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items" sheetId="1" r:id="rId5"/>
    <sheet state="visible" name="เช็คราคา" sheetId="2" r:id="rId6"/>
    <sheet state="visible" name="หมูกระทะ" sheetId="3" r:id="rId7"/>
    <sheet state="visible" name="ชาบู" sheetId="4" r:id="rId8"/>
    <sheet state="visible" name="ร้านชำ" sheetId="5" r:id="rId9"/>
    <sheet state="visible" name="หมึกย่าง" sheetId="6" r:id="rId10"/>
    <sheet state="visible" name="สถานะส่งออก JPG" sheetId="7" r:id="rId11"/>
  </sheets>
  <definedNames>
    <definedName name="Source">'เช็คราคา'!$A$80:$D$87</definedName>
    <definedName name="Salad">'เช็คราคา'!$A$216:$C$226</definedName>
    <definedName name="Noodle">'เช็คราคา'!$A$122:$C$134</definedName>
    <definedName name="Beacon">'เช็คราคา'!$A$88:$D$92</definedName>
    <definedName name="ball">'เช็คราคา'!$A$146:$D$176</definedName>
    <definedName name="Pices">'เช็คราคา'!$A$43:$D$59</definedName>
    <definedName name="Fried">'เช็คราคา'!$A$62:$D$73</definedName>
    <definedName name="meat">'เช็คราคา'!$A$135:$C$145</definedName>
    <definedName name="Fresh">'เช็คราคา'!$A$98:$C$121</definedName>
    <definedName name="Nammmm">'เช็คราคา'!$A$31:$C$41</definedName>
    <definedName name="Grill">'เช็คราคา'!$A$202:$D$215</definedName>
    <definedName name="Fish">'เช็คราคา'!$A$177:$D$188</definedName>
    <definedName name="Pork1">'เช็คราคา'!$A$1:$C$30</definedName>
    <definedName name="bar">'เช็คราคา'!$A$189:$D$199</definedName>
    <definedName name="InPork">'เช็คราคา'!$A$74:$D$79</definedName>
  </definedNames>
  <calcPr/>
</workbook>
</file>

<file path=xl/sharedStrings.xml><?xml version="1.0" encoding="utf-8"?>
<sst xmlns="http://schemas.openxmlformats.org/spreadsheetml/2006/main" count="822" uniqueCount="200">
  <si>
    <t>🥩 หมวดเนื้อหมู และเนื้อวัว (สไลด์/หมัก)</t>
  </si>
  <si>
    <t>ราคา</t>
  </si>
  <si>
    <t>ก.ก. ละ</t>
  </si>
  <si>
    <t>รหัสสินค้า</t>
  </si>
  <si>
    <t>สามชั้นหมัก นุ่ม งา A (ทองสุข) 5 กก./ถุง</t>
  </si>
  <si>
    <t>แบ่งขาย</t>
  </si>
  <si>
    <t>หมึกบั้ง A (ลัง)</t>
  </si>
  <si>
    <t>สามชั้นหมัก นุ่ม งา (4K)  5 กก./ถุง</t>
  </si>
  <si>
    <t>หมึกวง (ลัง)</t>
  </si>
  <si>
    <t>สามชั้นหมัก นุ่ม งา (2K)  5 กก./ถุง</t>
  </si>
  <si>
    <t>หนวดหั่น (ลัง)</t>
  </si>
  <si>
    <t>สามชั้น นุ่ม งา (ถุงใส) งา 5 กก./ถุง</t>
  </si>
  <si>
    <t>หนวดเบบี๋จิ๋ว (ลัง)</t>
  </si>
  <si>
    <t>หมูหมัก นุ่ม งา (ถุงใส) 5 กก./ถุง</t>
  </si>
  <si>
    <t>หมึกวงติดปีก (ลัง)</t>
  </si>
  <si>
    <t xml:space="preserve">สามชั้นแท่ง เบทาโกร </t>
  </si>
  <si>
    <t>หมูหมัก สมชาย   5 กก./ถุง</t>
  </si>
  <si>
    <t>หมึกบั้งมะเฟือง (ลัง)</t>
  </si>
  <si>
    <t>สามชั้นหมัก พีเมี่ยม (VJ)   5 กก.</t>
  </si>
  <si>
    <t>หมึกดอกไม้ A  (ลัง)</t>
  </si>
  <si>
    <t>ลอกหนัง (ถุงใส) 5 กก. (หิ้ว)</t>
  </si>
  <si>
    <t>ปลายหนวด ติดโคน  (ลัง)</t>
  </si>
  <si>
    <t>ลอกหนัง TS 5 กก. (หิ้ว)</t>
  </si>
  <si>
    <t>ปลายหนวด เรด้ามิกซ์ (ลัง)</t>
  </si>
  <si>
    <t>หมูชาบู (ฟ้า) 5 กก. (หิ้ว)</t>
  </si>
  <si>
    <t>ปลายหนวด A  (ลัง)</t>
  </si>
  <si>
    <t>หมูกลม TS 5 กก. (หิ้ว)</t>
  </si>
  <si>
    <t>สันคอแท่ง เบทาโกร</t>
  </si>
  <si>
    <t>คอเอ็นแก้ว  (ลัง)</t>
  </si>
  <si>
    <t>สันคอชาบู หมูอร่อย 5 กก./หิ้วเขียว</t>
  </si>
  <si>
    <t>ดอลลี่หั่น (น้ำเงิน)  (ลัง)</t>
  </si>
  <si>
    <t>ชาบูนมสด หมูอร่อย 5 กก./หิ้วชมพู</t>
  </si>
  <si>
    <t>ดอลลี่หั่น (น้ำตาล)  (ลัง)</t>
  </si>
  <si>
    <t>หมูชาบู 3 แถว 5 กก. (หิ้ว)</t>
  </si>
  <si>
    <t>ดอลลี่ตัว (เขียว)  (ลัง)</t>
  </si>
  <si>
    <t>หมูชาบู (หอม)  5กก (หิ้ว)</t>
  </si>
  <si>
    <t>สันนอกแท่ง เบทาโกร</t>
  </si>
  <si>
    <t>ดอลลี่ตัว (น้ำตาล)  (ลัง)</t>
  </si>
  <si>
    <t>คุโรบุตะ ถุงใส 5 กก. (หิ้ว)</t>
  </si>
  <si>
    <t>ท้องม่อน  (ลัง)</t>
  </si>
  <si>
    <t xml:space="preserve">เนื้อเสือออส </t>
  </si>
  <si>
    <t>คุโรบุตะ (สมชาย) 5 กก. (หิ้ว)</t>
  </si>
  <si>
    <t xml:space="preserve">เนื้อน่องลาย โคขุน </t>
  </si>
  <si>
    <t>สามชั้นลอก (เรียง) 1 กก. (หิ้ว)</t>
  </si>
  <si>
    <t xml:space="preserve">สันคอ โคขุน </t>
  </si>
  <si>
    <t>ใบพาย (เต็ม) โคขุน</t>
  </si>
  <si>
    <t xml:space="preserve">ใบพาย (ใบไม้)โคขุน </t>
  </si>
  <si>
    <t xml:space="preserve">เสือ โคขุน </t>
  </si>
  <si>
    <t xml:space="preserve">ริบอาย โคขุน </t>
  </si>
  <si>
    <t>ลอก (ไม่เรียง)  (ถุง 5 กก.)</t>
  </si>
  <si>
    <t>ขนมจีบไส้ทะลัก 1กก. (หิ้ว)</t>
  </si>
  <si>
    <t>สามชั้นสไลด์ A  (ถุง 5 กก.)</t>
  </si>
  <si>
    <t>ขนมจีบหมู 390 กรัม 10 แพ็ค (ลัง)</t>
  </si>
  <si>
    <t>สันคอ Mfood (เหลือง) 5 กก.(หิ้ว)</t>
  </si>
  <si>
    <t>ฟองเต้าหู้ถาด 32 แพ็ค (ลัง)</t>
  </si>
  <si>
    <t>ชาบูกลม Mfood (เขียว) 5 กก.(หิ้ว)</t>
  </si>
  <si>
    <t>เฟรนช์ฟรายส์ วีนัส 7 มิล  (ลัง)</t>
  </si>
  <si>
    <t>สามชั้นเทียม Mfood ด 5 กก.(หิ้ว)</t>
  </si>
  <si>
    <t>เฟรนช์ฟรายส์ ยูเรนัส 10 มิล  (ลัง)</t>
  </si>
  <si>
    <t>เนื้อสไลด์ (ถุงแดง) 5 กก.(หิ้ว)</t>
  </si>
  <si>
    <t>เฟรนช์ฟรายส์ หยัก  (ลัง)</t>
  </si>
  <si>
    <t>เนื้อวัวนุ่ม (สมชาย) 2 กก./ถุง</t>
  </si>
  <si>
    <t>นักเก็ตไก่ ซันเวลเล่  (ลัง)</t>
  </si>
  <si>
    <t>หมูเด้งหลอด 5 แพ็ค (หิ้ว)</t>
  </si>
  <si>
    <t>นักเก็ต ถุงชมพู 8 กก.  (ลัง)</t>
  </si>
  <si>
    <t>หมูนุ่ม เบทาโกร (ลัง)</t>
  </si>
  <si>
    <t>ไก่ป๊อป ซันเวลเล่  (ลัง)</t>
  </si>
  <si>
    <t>หมูนุ่มหมักปรุงรส เบทาโกร (ลัง)</t>
  </si>
  <si>
    <t>ซาลาเปา 20 ลูก ไส้ครีม 14 แพ็ค  (ลัง)</t>
  </si>
  <si>
    <t>ตับหมู ลัง 10 กก.</t>
  </si>
  <si>
    <t>ขายำ 5 กก./ถุง</t>
  </si>
  <si>
    <t>ตับหมูสไลด์ แพ็ค 1 กก.</t>
  </si>
  <si>
    <t>หมึกกรอบหั่น 5 กก./ถุง</t>
  </si>
  <si>
    <t>จี้หมู  ลัง 10 กก.</t>
  </si>
  <si>
    <t>หมึกกรอบตัว 5 กก./ถุง</t>
  </si>
  <si>
    <t>จี้หมูสไลด์ แพ็ค 1 กก.</t>
  </si>
  <si>
    <t>สไบหั่น 5 กก./ถุง</t>
  </si>
  <si>
    <t>สไบผืน A 5 กก./ถุง</t>
  </si>
  <si>
    <t xml:space="preserve">สไบจุก 5 กก./ถุง </t>
  </si>
  <si>
    <t>ยำสาหร่าย  (ลัง)</t>
  </si>
  <si>
    <t>ไส้ตันเล็ก 5 กก./ถุง</t>
  </si>
  <si>
    <t>เห็ดแห้ง 500 กรัม * 8 แพ็ค  (ลัง)</t>
  </si>
  <si>
    <t>ไส้ตันกลาง 5 กก./ถุง</t>
  </si>
  <si>
    <t>น้ำจิ้มแชมป์ เล็ก (ลัง)</t>
  </si>
  <si>
    <t>ไข่นกกระทา 500 กรัม 10 ถุง(หิ้ว)</t>
  </si>
  <si>
    <t>น้ำจิ้มแชมป์ กลาง (ลัง)</t>
  </si>
  <si>
    <t>แมงกะพรุนจืด 5 กก.(หิ้ว)</t>
  </si>
  <si>
    <t>น้ำจิ้มแชมป์ ใหญ่ (ลัง)</t>
  </si>
  <si>
    <t>น้ำจิ้มแม่อมร  (ลัง)</t>
  </si>
  <si>
    <t>อาเจน SS (ชั่ง)</t>
  </si>
  <si>
    <t>เบคอน (ยาว) (ลัง)</t>
  </si>
  <si>
    <t>อาเจน SS ปั่น</t>
  </si>
  <si>
    <t>T เบคอน 10*500 กรัม (หิ้ว)</t>
  </si>
  <si>
    <t>อาเจน S (ชั่ง)</t>
  </si>
  <si>
    <t>เบคอนสูตร 2  10*500 กรัม (หิ้ว)</t>
  </si>
  <si>
    <t>อาเจน S ปั่น</t>
  </si>
  <si>
    <t>มันหั่นเต๋า 1 กก./ถุง</t>
  </si>
  <si>
    <t>หมึกเมก้า 10 กก (ลัง)</t>
  </si>
  <si>
    <t>คอเปรู 100/300 ก้อน 10 กก.</t>
  </si>
  <si>
    <t>คอเปรู 500up ก้อน 7.5 กก.</t>
  </si>
  <si>
    <t>เต้าหู้หมู ถุงม่วง 500 กรัม (หิ้ว)</t>
  </si>
  <si>
    <t>หนวดเบบี๋ กระสอบเขียว 10 กก.</t>
  </si>
  <si>
    <t>เต้าหู้ปลา แพนด้าฟ้า 500 กรัม (หิ้ว)</t>
  </si>
  <si>
    <t>ปูม้า 100/150 ผู้ 8 กก. (ลัง)</t>
  </si>
  <si>
    <t>เต้าหู้ไข่ 10 หลอด (หิ้ว)</t>
  </si>
  <si>
    <t>ปูม้า 60/80 เมีย 8 กก.  (ลัง)</t>
  </si>
  <si>
    <t>แฮมหมูเหลี่ยม  1 กก</t>
  </si>
  <si>
    <t>หอยหวาน 50/80 12 กก. (ลัง)</t>
  </si>
  <si>
    <t>กุ้งพันสาหร่าย แครปโตะ 500 กรัม (ลัง)</t>
  </si>
  <si>
    <t>หอยหวาน 30/50 10 กก. (ลัง)</t>
  </si>
  <si>
    <t>ชีสยืด ถุงม่วง 400 กรัม (ลัง)</t>
  </si>
  <si>
    <t>หอยหวาน 10/20 10 กก. (ลัง)</t>
  </si>
  <si>
    <t>ชีสยืด ถุงม่วง 200 กรัม (ลัง)</t>
  </si>
  <si>
    <t>เนื้อหอยชิลี  (ลัง)</t>
  </si>
  <si>
    <t>ปูอัด A 500 กรัม (ลัง)</t>
  </si>
  <si>
    <t>หอยภู่ชิลี L ฝาเดียว  (ลัง)</t>
  </si>
  <si>
    <t>ลูกชิ้นแฟนซี 500 กรัม (ลัง)</t>
  </si>
  <si>
    <t>หอยภู่ชิลี L (ลังเหลือง)  (ลัง)</t>
  </si>
  <si>
    <t>ปูอัด สมชาย 450 กรัม (ลัง)</t>
  </si>
  <si>
    <t>เนื้อหอยแครง  (ลัง)</t>
  </si>
  <si>
    <t>ปูอัด เบนโตะ 500 กรัม (ลัง)</t>
  </si>
  <si>
    <t>เนื้อหอยเชลล์  (ลัง)</t>
  </si>
  <si>
    <t>คานิจัง 500 กรัม (ลัง)</t>
  </si>
  <si>
    <t>หอยเชลล์ฝาเดียว  (ลัง)</t>
  </si>
  <si>
    <t>ปูอัดเมก้าแครบ 12 ชิ้น 500 กรัม (ลัง)</t>
  </si>
  <si>
    <t>ปูอัดทูโทนไส้ชีส 500 กรัม (ลัง)</t>
  </si>
  <si>
    <t>แมงกะพรุน ผ่า ถัง</t>
  </si>
  <si>
    <t>ซูซูฟิชเคก 500 กรัม (ลัง)</t>
  </si>
  <si>
    <t>แมงกะพรุน A ถัง</t>
  </si>
  <si>
    <t>ซาลาเปาครีมชีส 500 กรัม (ลัง)</t>
  </si>
  <si>
    <t>คอมโบฟิชบัน 500 กรัม (ลัง)</t>
  </si>
  <si>
    <t>🍜 หมวดเส้น วุ้นเส้น</t>
  </si>
  <si>
    <t>เปาทูโทนไข่กุ้ง 500 กรัม (ลัง)</t>
  </si>
  <si>
    <t>วุ้นเส้นหงส์ 25*200 กรัม/หิ้ว</t>
  </si>
  <si>
    <t>แองกรี้เบิร์ด 500 กรัม (ลัง)</t>
  </si>
  <si>
    <t>วุ้นเส้นหงส์ 10*500 กรัม/หิ้ว</t>
  </si>
  <si>
    <t>กุ้งแม็กนั่ม 500 กรัม (ลัง)</t>
  </si>
  <si>
    <t>วุ้นเส้นกิเลน 25*200 กรัม/หิ้ว</t>
  </si>
  <si>
    <t>ก้ามมหาชัย 500 กรัม (ลัง)</t>
  </si>
  <si>
    <t>วุ้นเส้นกิเลน 10*500 กรัม/หิ้ว</t>
  </si>
  <si>
    <t>ฟองเต้าหู้ซีฟู้ด pfp 500 กรัม (ลัง)</t>
  </si>
  <si>
    <t>วุ้นเส้นเกาหลี 10*500 กรัม/หิ้ว</t>
  </si>
  <si>
    <t>เต้าหู้ชีส pfp 500 กรัม (ลัง)</t>
  </si>
  <si>
    <t xml:space="preserve">วุ้นเส้น แห้ง ห่อใหญ่ 10กก </t>
  </si>
  <si>
    <t>เส้นแก้วคาวา 12 กก. (ลัง)</t>
  </si>
  <si>
    <t>วากาเมะ A 100 กรัม (ยาว)</t>
  </si>
  <si>
    <t>เส้นหนึบ 10แพ็ค (หิ้ว)</t>
  </si>
  <si>
    <t>วากาเมะ 100 กรัม (สั้น)</t>
  </si>
  <si>
    <t>บุกขาว (ลัง)</t>
  </si>
  <si>
    <t>เห็ดออรินจิ 5 กก. (ลัง)</t>
  </si>
  <si>
    <t>บุกไข่  (ลัง)</t>
  </si>
  <si>
    <t>เห็ดเข็มทอง 25*200 กรัม  (ลัง)</t>
  </si>
  <si>
    <t>บุกม้วน (ลัง)</t>
  </si>
  <si>
    <t>เห็ดเข็มทอง 10 กก.  (ลัง)</t>
  </si>
  <si>
    <t>ตะเกียบ 40 แพ็ค  (ลัง)</t>
  </si>
  <si>
    <t>หมูบด ชนัญญา 1 ก.ก. (ลัง)</t>
  </si>
  <si>
    <t>ปลาทู 4/6 (ลัง)</t>
  </si>
  <si>
    <t>หมูบด อนามัย 10 ก.ก. (ลัง)</t>
  </si>
  <si>
    <t>ปลาทูตาโต (ลัง)</t>
  </si>
  <si>
    <t xml:space="preserve">หมูบด อนามัย 500 กรัม (ลัง) </t>
  </si>
  <si>
    <t>ซาบะ(ลัง)</t>
  </si>
  <si>
    <t xml:space="preserve">เป็ดบด 1 ก.ก. (หิ้ว) </t>
  </si>
  <si>
    <t>ปูม้า 60/80 ผู้ 8 กก. (ลัง)</t>
  </si>
  <si>
    <t xml:space="preserve">หนังเป็ด 12*1 ก.ก. (ลัง) </t>
  </si>
  <si>
    <t>ปูม้า 60/80 เมีย 8 กก. (ลัง)</t>
  </si>
  <si>
    <t>หมูป่า แพ็ค 1 ก.ก.</t>
  </si>
  <si>
    <t>ปูตัด (ปูดาว) 12 กล่อง (ลัง)</t>
  </si>
  <si>
    <t>หน้ากากหมู 5 ก.ก.</t>
  </si>
  <si>
    <t>หอยแมลงภู่ต้ม (ใหญ่) 500 กรัม(หิ้ว)</t>
  </si>
  <si>
    <t xml:space="preserve">ยออุบล-ก้าวหน้า  20 แท่ง (หิ้ว) </t>
  </si>
  <si>
    <t>หอยดองเล็ก 20ขวด(หิ้ว)</t>
  </si>
  <si>
    <t>สามชั้นแผ่น (เบทาโกร)</t>
  </si>
  <si>
    <t>หอยดองใหญ่ 12ขวด (หิ้ว)</t>
  </si>
  <si>
    <t>ดักแด้ 10 ก.ก. (ลัง)</t>
  </si>
  <si>
    <t>ปลาดุกหั่นชิ้น 1 ก.ก.</t>
  </si>
  <si>
    <t>🥗 หมวดเครื่องใน และของยำ</t>
  </si>
  <si>
    <t>🦑 หมวดอาหารทะเล (หมึก ปลา ชิ้น)</t>
  </si>
  <si>
    <t>🍟 หมวดของทานเล่น และของทอด</t>
  </si>
  <si>
    <t>ไข่แท่ง 1 กก.</t>
  </si>
  <si>
    <t>ไข่อาเจน A 10 กก. (ลัง)</t>
  </si>
  <si>
    <t>สาหร่ายแผ่นกลม 20แพ็ค (หิ้ว)</t>
  </si>
  <si>
    <t>ไข่อาเจน A 1กก.</t>
  </si>
  <si>
    <t>ปลาไข่ 1กก.</t>
  </si>
  <si>
    <t>ไม้เสียบ (ลัง)</t>
  </si>
  <si>
    <t>เกลือ กระสอบ</t>
  </si>
  <si>
    <t>Job ID</t>
  </si>
  <si>
    <t>เวลาสร้าง</t>
  </si>
  <si>
    <t>อัปเดตล่าสุด</t>
  </si>
  <si>
    <t>สถานะ</t>
  </si>
  <si>
    <t>รายละเอียด</t>
  </si>
  <si>
    <t>Manifest URL</t>
  </si>
  <si>
    <t>🥓 หมวดเครื่องในหมู</t>
  </si>
  <si>
    <t>🍄 หมวดเห็ด สาหร่าย และน้ำจิ้ม</t>
  </si>
  <si>
    <t>🥓 หมวดเบคอน และมันหมู</t>
  </si>
  <si>
    <t>🦑 หมวดอาหารทะเล (หมึก ปู หอย กะพรุน)</t>
  </si>
  <si>
    <t>🥩 หมวดเนื้อหมู เนื้อเป็ด</t>
  </si>
  <si>
    <t>🍢 หมวดลูกชิ้น เต้าหู้ ปูอัด และ บุก</t>
  </si>
  <si>
    <t>🥩 หมวด แท่งหมูและเนื้อวัว (ขึ้นรูป)</t>
  </si>
  <si>
    <t>🦑 หมวดหมึกย่าง</t>
  </si>
  <si>
    <t>🥗 หมวด ร้านยำ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</si>
</sst>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4.0"/>
      <color rgb="FF1F1F1F"/>
      <name val="&quot;Google Sans&quot;"/>
    </font>
    <font>
      <sz val="14.0"/>
      <color rgb="FF1F1F1F"/>
      <name val="&quot;Google Sans&quot;"/>
    </font>
    <font>
      <color theme="1"/>
      <name val="Arial"/>
      <scheme val="minor"/>
    </font>
    <font>
      <b/>
      <sz val="10.0"/>
      <color rgb="FFFF0000"/>
      <name val="&quot;Google Sans&quot;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2.0"/>
      <color rgb="FF1F1F1F"/>
      <name val="&quot;Google Sans&quot;"/>
    </font>
    <font>
      <b/>
      <sz val="13.0"/>
      <color rgb="FF1F1F1F"/>
      <name val="&quot;Google Sans&quot;"/>
    </font>
    <font>
      <sz val="13.0"/>
      <color rgb="FF1F1F1F"/>
      <name val="&quot;Google Sans&quot;"/>
    </font>
    <font>
      <sz val="14.0"/>
      <color theme="8"/>
      <name val="Arial"/>
      <scheme val="minor"/>
    </font>
    <font>
      <sz val="14.0"/>
      <color rgb="FFFF6D01"/>
      <name val="Arial"/>
      <scheme val="minor"/>
    </font>
    <font>
      <sz val="13.0"/>
      <color theme="1"/>
      <name val="Arial"/>
      <scheme val="minor"/>
    </font>
    <font>
      <sz val="13.0"/>
      <color theme="8"/>
      <name val="Arial"/>
      <scheme val="minor"/>
    </font>
    <font>
      <sz val="13.0"/>
      <color rgb="FFFF6D01"/>
      <name val="Arial"/>
      <scheme val="minor"/>
    </font>
    <font>
      <b/>
      <sz val="14.0"/>
      <color theme="8"/>
      <name val="Arial"/>
      <scheme val="minor"/>
    </font>
    <font>
      <b/>
      <sz val="13.0"/>
      <color theme="8"/>
      <name val="Arial"/>
      <scheme val="minor"/>
    </font>
    <font>
      <sz val="14.0"/>
      <color theme="8"/>
      <name val="&quot;Google Sans&quot;"/>
    </font>
    <font>
      <sz val="14.0"/>
      <color rgb="FFFF9900"/>
      <name val="Arial"/>
      <scheme val="minor"/>
    </font>
    <font>
      <sz val="13.0"/>
      <color theme="8"/>
      <name val="&quot;Google Sans&quot;"/>
    </font>
    <font>
      <b/>
      <sz val="14.0"/>
      <color rgb="FF1F1F1F"/>
      <name val="Google Sans"/>
    </font>
    <font>
      <sz val="14.0"/>
      <color rgb="FF1F1F1F"/>
      <name val="Google Sans"/>
    </font>
    <font>
      <sz val="14.0"/>
      <color theme="1"/>
      <name val="Arial"/>
    </font>
    <font>
      <color theme="1"/>
      <name val="Arial"/>
    </font>
    <font>
      <b/>
      <color rgb="FFFF0000"/>
      <name val="Google Sans"/>
    </font>
    <font>
      <sz val="12.0"/>
      <color rgb="FF1F1F1F"/>
      <name val="Google Sans"/>
    </font>
    <font>
      <sz val="12.0"/>
      <color theme="1"/>
      <name val="Arial"/>
    </font>
    <font>
      <sz val="14.0"/>
      <color theme="0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4C7C5"/>
      </lef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3" fontId="3" numFmtId="0" xfId="0" applyFill="1" applyFont="1"/>
    <xf borderId="0" fillId="0" fontId="3" numFmtId="0" xfId="0" applyFont="1"/>
    <xf borderId="0" fillId="0" fontId="4" numFmtId="0" xfId="0" applyAlignment="1" applyFont="1">
      <alignment horizontal="right" readingOrder="0"/>
    </xf>
    <xf borderId="0" fillId="0" fontId="5" numFmtId="0" xfId="0" applyFont="1"/>
    <xf borderId="0" fillId="0" fontId="6" numFmtId="0" xfId="0" applyFont="1"/>
    <xf borderId="1" fillId="0" fontId="2" numFmtId="0" xfId="0" applyAlignment="1" applyBorder="1" applyFont="1">
      <alignment readingOrder="0"/>
    </xf>
    <xf borderId="1" fillId="0" fontId="6" numFmtId="0" xfId="0" applyBorder="1" applyFont="1"/>
    <xf borderId="0" fillId="0" fontId="7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1" fillId="2" fontId="8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3" xfId="0" applyAlignment="1" applyBorder="1" applyFont="1" applyNumberFormat="1">
      <alignment readingOrder="0"/>
    </xf>
    <xf borderId="1" fillId="0" fontId="12" numFmtId="3" xfId="0" applyBorder="1" applyFont="1" applyNumberFormat="1"/>
    <xf borderId="1" fillId="0" fontId="12" numFmtId="0" xfId="0" applyBorder="1" applyFont="1"/>
    <xf borderId="1" fillId="0" fontId="13" numFmtId="0" xfId="0" applyAlignment="1" applyBorder="1" applyFont="1">
      <alignment readingOrder="0"/>
    </xf>
    <xf borderId="1" fillId="0" fontId="10" numFmtId="0" xfId="0" applyBorder="1" applyFont="1"/>
    <xf borderId="1" fillId="0" fontId="12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2" numFmtId="3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3" numFmtId="0" xfId="0" applyBorder="1" applyFont="1"/>
    <xf borderId="1" fillId="0" fontId="2" numFmtId="3" xfId="0" applyAlignment="1" applyBorder="1" applyFont="1" applyNumberFormat="1">
      <alignment readingOrder="0"/>
    </xf>
    <xf borderId="0" fillId="0" fontId="6" numFmtId="0" xfId="0" applyFont="1"/>
    <xf borderId="1" fillId="0" fontId="6" numFmtId="2" xfId="0" applyBorder="1" applyFont="1" applyNumberFormat="1"/>
    <xf borderId="3" fillId="2" fontId="1" numFmtId="0" xfId="0" applyAlignment="1" applyBorder="1" applyFill="1" applyFont="1">
      <alignment readingOrder="0"/>
    </xf>
    <xf borderId="1" fillId="0" fontId="12" numFmtId="2" xfId="0" applyBorder="1" applyFont="1" applyNumberFormat="1"/>
    <xf borderId="0" fillId="0" fontId="12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/>
    </xf>
    <xf borderId="3" fillId="2" fontId="8" numFmtId="0" xfId="0" applyAlignment="1" applyBorder="1" applyFill="1" applyFont="1">
      <alignment readingOrder="0"/>
    </xf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1" xfId="0" applyAlignment="1" applyBorder="1" applyFont="1" applyNumberFormat="1">
      <alignment readingOrder="0"/>
    </xf>
    <xf borderId="0" fillId="0" fontId="12" numFmtId="0" xfId="0" applyFont="1"/>
    <xf borderId="0" fillId="0" fontId="8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0" fillId="0" fontId="18" numFmtId="0" xfId="0" applyFont="1"/>
    <xf borderId="1" fillId="0" fontId="12" numFmtId="1" xfId="0" applyAlignment="1" applyBorder="1" applyFont="1" applyNumberFormat="1">
      <alignment readingOrder="0"/>
    </xf>
    <xf borderId="1" fillId="0" fontId="19" numFmtId="0" xfId="0" applyAlignment="1" applyBorder="1" applyFont="1">
      <alignment readingOrder="0"/>
    </xf>
    <xf borderId="1" fillId="2" fontId="20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1" fillId="0" fontId="21" numFmtId="3" xfId="0" applyAlignment="1" applyBorder="1" applyFont="1" applyNumberFormat="1">
      <alignment horizontal="right" vertical="bottom"/>
    </xf>
    <xf borderId="1" fillId="0" fontId="22" numFmtId="0" xfId="0" applyAlignment="1" applyBorder="1" applyFont="1">
      <alignment horizontal="right" vertical="bottom"/>
    </xf>
    <xf borderId="1" fillId="0" fontId="12" numFmtId="1" xfId="0" applyBorder="1" applyFont="1" applyNumberFormat="1"/>
    <xf borderId="1" fillId="0" fontId="21" numFmtId="3" xfId="0" applyAlignment="1" applyBorder="1" applyFont="1" applyNumberFormat="1">
      <alignment horizontal="right" readingOrder="0" vertical="bottom"/>
    </xf>
    <xf borderId="1" fillId="0" fontId="2" numFmtId="0" xfId="0" applyBorder="1" applyFont="1"/>
    <xf borderId="1" fillId="0" fontId="3" numFmtId="0" xfId="0" applyBorder="1" applyFont="1"/>
    <xf borderId="1" fillId="0" fontId="23" numFmtId="3" xfId="0" applyAlignment="1" applyBorder="1" applyFont="1" applyNumberFormat="1">
      <alignment vertical="bottom"/>
    </xf>
    <xf borderId="1" fillId="0" fontId="21" numFmtId="0" xfId="0" applyAlignment="1" applyBorder="1" applyFont="1">
      <alignment horizontal="right" vertical="bottom"/>
    </xf>
    <xf borderId="1" fillId="0" fontId="22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right" readingOrder="0" vertical="bottom"/>
    </xf>
    <xf borderId="1" fillId="0" fontId="22" numFmtId="0" xfId="0" applyAlignment="1" applyBorder="1" applyFont="1">
      <alignment horizontal="right" readingOrder="0" vertical="bottom"/>
    </xf>
    <xf borderId="1" fillId="0" fontId="2" numFmtId="1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1" fillId="0" fontId="21" numFmtId="0" xfId="0" applyAlignment="1" applyBorder="1" applyFont="1">
      <alignment horizontal="right" vertical="bottom"/>
    </xf>
    <xf borderId="4" fillId="0" fontId="7" numFmtId="0" xfId="0" applyAlignment="1" applyBorder="1" applyFont="1">
      <alignment readingOrder="0"/>
    </xf>
    <xf borderId="1" fillId="0" fontId="6" numFmtId="2" xfId="0" applyAlignment="1" applyBorder="1" applyFont="1" applyNumberFormat="1">
      <alignment readingOrder="0"/>
    </xf>
    <xf borderId="0" fillId="0" fontId="5" numFmtId="0" xfId="0" applyFont="1"/>
    <xf borderId="0" fillId="0" fontId="24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5" numFmtId="0" xfId="0" applyAlignment="1" applyFont="1">
      <alignment vertical="bottom"/>
    </xf>
    <xf borderId="2" fillId="0" fontId="25" numFmtId="0" xfId="0" applyAlignment="1" applyBorder="1" applyFont="1">
      <alignment vertical="bottom"/>
    </xf>
    <xf borderId="0" fillId="0" fontId="25" numFmtId="0" xfId="0" applyAlignment="1" applyFont="1">
      <alignment horizontal="right" vertical="bottom"/>
    </xf>
    <xf borderId="2" fillId="0" fontId="25" numFmtId="0" xfId="0" applyAlignment="1" applyBorder="1" applyFont="1">
      <alignment horizontal="right" vertical="bottom"/>
    </xf>
    <xf borderId="0" fillId="0" fontId="26" numFmtId="0" xfId="0" applyAlignment="1" applyFont="1">
      <alignment vertical="bottom"/>
    </xf>
    <xf borderId="1" fillId="0" fontId="27" numFmtId="0" xfId="0" applyAlignment="1" applyBorder="1" applyFont="1">
      <alignment readingOrder="0"/>
    </xf>
    <xf borderId="0" fillId="0" fontId="21" numFmtId="0" xfId="0" applyAlignment="1" applyFont="1">
      <alignment vertical="bottom"/>
    </xf>
    <xf borderId="2" fillId="0" fontId="21" numFmtId="0" xfId="0" applyAlignment="1" applyBorder="1" applyFont="1">
      <alignment vertical="bottom"/>
    </xf>
    <xf borderId="4" fillId="0" fontId="23" numFmtId="0" xfId="0" applyAlignment="1" applyBorder="1" applyFont="1">
      <alignment vertical="bottom"/>
    </xf>
    <xf borderId="1" fillId="0" fontId="21" numFmtId="0" xfId="0" applyAlignment="1" applyBorder="1" applyFont="1">
      <alignment readingOrder="0" vertical="bottom"/>
    </xf>
    <xf borderId="0" fillId="0" fontId="23" numFmtId="0" xfId="0" applyAlignment="1" applyFont="1">
      <alignment horizontal="right" vertical="bottom"/>
    </xf>
    <xf borderId="2" fillId="0" fontId="25" numFmtId="0" xfId="0" applyAlignment="1" applyBorder="1" applyFont="1">
      <alignment horizontal="right" readingOrder="0" vertical="bottom"/>
    </xf>
    <xf borderId="0" fillId="0" fontId="26" numFmtId="0" xfId="0" applyAlignment="1" applyFont="1">
      <alignment horizontal="right" vertical="bottom"/>
    </xf>
    <xf borderId="1" fillId="0" fontId="6" numFmtId="3" xfId="0" applyAlignment="1" applyBorder="1" applyFont="1" applyNumberFormat="1">
      <alignment readingOrder="0"/>
    </xf>
    <xf borderId="0" fillId="0" fontId="5" numFmtId="0" xfId="0" applyFont="1"/>
    <xf borderId="1" fillId="0" fontId="22" numFmtId="0" xfId="0" applyAlignment="1" applyBorder="1" applyFont="1">
      <alignment vertical="bottom"/>
    </xf>
  </cellXfs>
  <cellStyles count="1">
    <cellStyle xfId="0" name="Normal" builtinId="0"/>
  </cellStyles>
  <dxfs count="1">
    <dxf>
      <font>
        <b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8048625" cy="141922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29575" cy="16192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8105775" cy="1466850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7162800" cy="145732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38"/>
  </cols>
  <sheetData>
    <row r="1">
      <c r="A1" s="4" t="str">
        <f>IFERROR(__xludf.DUMMYFUNCTION("QUERY(IMPORTRANGE(""https://docs.google.com/spreadsheets/d/1LgvW4Yly4zdVOUCZgROMSAP5uJtTP22RoI-4tTi5cwY/edit"", ""export_items!A:Z""), ""SELECT * WHERE Col1 IS NOT NULL"", 1)"),"Handle")</f>
        <v>Handle</v>
      </c>
      <c r="B1" s="5" t="str">
        <f>IFERROR(__xludf.DUMMYFUNCTION("""COMPUTED_VALUE"""),"SKU")</f>
        <v>SKU</v>
      </c>
      <c r="C1" s="5" t="str">
        <f>IFERROR(__xludf.DUMMYFUNCTION("""COMPUTED_VALUE"""),"Name")</f>
        <v>Name</v>
      </c>
      <c r="D1" s="5" t="str">
        <f>IFERROR(__xludf.DUMMYFUNCTION("""COMPUTED_VALUE"""),"Category")</f>
        <v>Category</v>
      </c>
      <c r="E1" s="5" t="str">
        <f>IFERROR(__xludf.DUMMYFUNCTION("""COMPUTED_VALUE"""),"Description")</f>
        <v>Description</v>
      </c>
      <c r="F1" s="5" t="str">
        <f>IFERROR(__xludf.DUMMYFUNCTION("""COMPUTED_VALUE"""),"Sold by weight")</f>
        <v>Sold by weight</v>
      </c>
      <c r="G1" s="5" t="str">
        <f>IFERROR(__xludf.DUMMYFUNCTION("""COMPUTED_VALUE"""),"Option 1 name")</f>
        <v>Option 1 name</v>
      </c>
      <c r="H1" s="5" t="str">
        <f>IFERROR(__xludf.DUMMYFUNCTION("""COMPUTED_VALUE"""),"Option 1 value")</f>
        <v>Option 1 value</v>
      </c>
      <c r="I1" s="5" t="str">
        <f>IFERROR(__xludf.DUMMYFUNCTION("""COMPUTED_VALUE"""),"Option 2 name")</f>
        <v>Option 2 name</v>
      </c>
      <c r="J1" s="5" t="str">
        <f>IFERROR(__xludf.DUMMYFUNCTION("""COMPUTED_VALUE"""),"Option 2 value")</f>
        <v>Option 2 value</v>
      </c>
      <c r="K1" s="5" t="str">
        <f>IFERROR(__xludf.DUMMYFUNCTION("""COMPUTED_VALUE"""),"Option 3 name")</f>
        <v>Option 3 name</v>
      </c>
      <c r="L1" s="5" t="str">
        <f>IFERROR(__xludf.DUMMYFUNCTION("""COMPUTED_VALUE"""),"Option 3 value")</f>
        <v>Option 3 value</v>
      </c>
      <c r="M1" s="5" t="str">
        <f>IFERROR(__xludf.DUMMYFUNCTION("""COMPUTED_VALUE"""),"Cost")</f>
        <v>Cost</v>
      </c>
      <c r="N1" s="5" t="str">
        <f>IFERROR(__xludf.DUMMYFUNCTION("""COMPUTED_VALUE"""),"Barcode")</f>
        <v>Barcode</v>
      </c>
      <c r="O1" s="5" t="str">
        <f>IFERROR(__xludf.DUMMYFUNCTION("""COMPUTED_VALUE"""),"SKU of included item")</f>
        <v>SKU of included item</v>
      </c>
      <c r="P1" s="5" t="str">
        <f>IFERROR(__xludf.DUMMYFUNCTION("""COMPUTED_VALUE"""),"Quantity of included item")</f>
        <v>Quantity of included item</v>
      </c>
      <c r="Q1" s="5" t="str">
        <f>IFERROR(__xludf.DUMMYFUNCTION("""COMPUTED_VALUE"""),"Track stock")</f>
        <v>Track stock</v>
      </c>
      <c r="R1" s="5" t="str">
        <f>IFERROR(__xludf.DUMMYFUNCTION("""COMPUTED_VALUE"""),"Use production")</f>
        <v>Use production</v>
      </c>
      <c r="S1" s="5" t="str">
        <f>IFERROR(__xludf.DUMMYFUNCTION("""COMPUTED_VALUE"""),"Supplier")</f>
        <v>Supplier</v>
      </c>
      <c r="T1" s="5" t="str">
        <f>IFERROR(__xludf.DUMMYFUNCTION("""COMPUTED_VALUE"""),"Purchase cost")</f>
        <v>Purchase cost</v>
      </c>
      <c r="U1" s="5" t="str">
        <f>IFERROR(__xludf.DUMMYFUNCTION("""COMPUTED_VALUE"""),"Available for sale [ห้องเย็นทองสุข สาขาโพนทอง]")</f>
        <v>Available for sale [ห้องเย็นทองสุข สาขาโพนทอง]</v>
      </c>
      <c r="V1" s="5" t="str">
        <f>IFERROR(__xludf.DUMMYFUNCTION("""COMPUTED_VALUE"""),"Price [ห้องเย็นทองสุข สาขาโพนทอง]")</f>
        <v>Price [ห้องเย็นทองสุข สาขาโพนทอง]</v>
      </c>
      <c r="W1" s="5" t="str">
        <f>IFERROR(__xludf.DUMMYFUNCTION("""COMPUTED_VALUE"""),"In stock [ห้องเย็นทองสุข สาขาโพนทอง]")</f>
        <v>In stock [ห้องเย็นทองสุข สาขาโพนทอง]</v>
      </c>
      <c r="X1" s="5" t="str">
        <f>IFERROR(__xludf.DUMMYFUNCTION("""COMPUTED_VALUE"""),"Low stock [ห้องเย็นทองสุข สาขาโพนทอง]")</f>
        <v>Low stock [ห้องเย็นทองสุข สาขาโพนทอง]</v>
      </c>
      <c r="Y1" s="5" t="str">
        <f>IFERROR(__xludf.DUMMYFUNCTION("""COMPUTED_VALUE"""),"Optimal stock [ห้องเย็นทองสุข สาขาโพนทอง]")</f>
        <v>Optimal stock [ห้องเย็นทองสุข สาขาโพนทอง]</v>
      </c>
      <c r="Z1" s="5" t="str">
        <f>IFERROR(__xludf.DUMMYFUNCTION("""COMPUTED_VALUE"""),"")</f>
        <v/>
      </c>
    </row>
    <row r="2">
      <c r="A2" s="5" t="str">
        <f>IFERROR(__xludf.DUMMYFUNCTION("""COMPUTED_VALUE"""),"ผัก-1")</f>
        <v>ผัก-1</v>
      </c>
      <c r="B2" s="5">
        <f>IFERROR(__xludf.DUMMYFUNCTION("""COMPUTED_VALUE"""),90001.0)</f>
        <v>90001</v>
      </c>
      <c r="C2" s="5" t="str">
        <f>IFERROR(__xludf.DUMMYFUNCTION("""COMPUTED_VALUE"""),"(A) ผัก")</f>
        <v>(A) ผัก</v>
      </c>
      <c r="D2" s="5"/>
      <c r="E2" s="5" t="str">
        <f>IFERROR(__xludf.DUMMYFUNCTION("""COMPUTED_VALUE"""),"&lt;p&gt;X&lt;/p&gt;")</f>
        <v>&lt;p&gt;X&lt;/p&gt;</v>
      </c>
      <c r="F2" s="5" t="str">
        <f>IFERROR(__xludf.DUMMYFUNCTION("""COMPUTED_VALUE"""),"Y")</f>
        <v>Y</v>
      </c>
      <c r="G2" s="5"/>
      <c r="H2" s="5"/>
      <c r="I2" s="5"/>
      <c r="J2" s="5"/>
      <c r="K2" s="5"/>
      <c r="L2" s="5"/>
      <c r="M2" s="5">
        <f>IFERROR(__xludf.DUMMYFUNCTION("""COMPUTED_VALUE"""),0.8)</f>
        <v>0.8</v>
      </c>
      <c r="N2" s="5">
        <f>IFERROR(__xludf.DUMMYFUNCTION("""COMPUTED_VALUE"""),90001.0)</f>
        <v>90001</v>
      </c>
      <c r="O2" s="5"/>
      <c r="P2" s="5"/>
      <c r="Q2" s="5" t="str">
        <f>IFERROR(__xludf.DUMMYFUNCTION("""COMPUTED_VALUE"""),"N")</f>
        <v>N</v>
      </c>
      <c r="R2" s="5"/>
      <c r="S2" s="5"/>
      <c r="T2" s="5"/>
      <c r="U2" s="5" t="str">
        <f>IFERROR(__xludf.DUMMYFUNCTION("""COMPUTED_VALUE"""),"Y")</f>
        <v>Y</v>
      </c>
      <c r="V2" s="5">
        <f>IFERROR(__xludf.DUMMYFUNCTION("""COMPUTED_VALUE"""),1.0)</f>
        <v>1</v>
      </c>
      <c r="W2" s="5"/>
      <c r="X2" s="5"/>
      <c r="Y2" s="5"/>
      <c r="Z2" s="5"/>
    </row>
    <row r="3">
      <c r="A3" s="5" t="str">
        <f>IFERROR(__xludf.DUMMYFUNCTION("""COMPUTED_VALUE"""),"(b)-เบิก-กระดาษม้วน")</f>
        <v>(b)-เบิก-กระดาษม้วน</v>
      </c>
      <c r="B3" s="5">
        <f>IFERROR(__xludf.DUMMYFUNCTION("""COMPUTED_VALUE"""),10703.0)</f>
        <v>10703</v>
      </c>
      <c r="C3" s="5" t="str">
        <f>IFERROR(__xludf.DUMMYFUNCTION("""COMPUTED_VALUE"""),"(B) เบิก กระดาษม้วน")</f>
        <v>(B) เบิก กระดาษม้วน</v>
      </c>
      <c r="D3" s="5"/>
      <c r="E3" s="5"/>
      <c r="F3" s="5" t="str">
        <f>IFERROR(__xludf.DUMMYFUNCTION("""COMPUTED_VALUE"""),"N")</f>
        <v>N</v>
      </c>
      <c r="G3" s="5"/>
      <c r="H3" s="5"/>
      <c r="I3" s="5"/>
      <c r="J3" s="5"/>
      <c r="K3" s="5"/>
      <c r="L3" s="5"/>
      <c r="M3" s="5">
        <f>IFERROR(__xludf.DUMMYFUNCTION("""COMPUTED_VALUE"""),19.33)</f>
        <v>19.33</v>
      </c>
      <c r="N3" s="5"/>
      <c r="O3" s="5"/>
      <c r="P3" s="5"/>
      <c r="Q3" s="5" t="str">
        <f>IFERROR(__xludf.DUMMYFUNCTION("""COMPUTED_VALUE"""),"Y")</f>
        <v>Y</v>
      </c>
      <c r="R3" s="5"/>
      <c r="S3" s="5"/>
      <c r="T3" s="5"/>
      <c r="U3" s="5" t="str">
        <f>IFERROR(__xludf.DUMMYFUNCTION("""COMPUTED_VALUE"""),"Y")</f>
        <v>Y</v>
      </c>
      <c r="V3" s="5">
        <f>IFERROR(__xludf.DUMMYFUNCTION("""COMPUTED_VALUE"""),30.0)</f>
        <v>30</v>
      </c>
      <c r="W3" s="5">
        <f>IFERROR(__xludf.DUMMYFUNCTION("""COMPUTED_VALUE"""),62.0)</f>
        <v>62</v>
      </c>
      <c r="X3" s="5"/>
      <c r="Y3" s="5"/>
      <c r="Z3" s="5"/>
    </row>
    <row r="4">
      <c r="A4" s="5" t="str">
        <f>IFERROR(__xludf.DUMMYFUNCTION("""COMPUTED_VALUE"""),"(a)-เบิกหมูกระทะ-น้ำ(ถัง)")</f>
        <v>(a)-เบิกหมูกระทะ-น้ำ(ถัง)</v>
      </c>
      <c r="B4" s="5">
        <f>IFERROR(__xludf.DUMMYFUNCTION("""COMPUTED_VALUE"""),10616.0)</f>
        <v>10616</v>
      </c>
      <c r="C4" s="5" t="str">
        <f>IFERROR(__xludf.DUMMYFUNCTION("""COMPUTED_VALUE"""),"(B) เบิกหมูกระทะ น้ำ(ถัง)")</f>
        <v>(B) เบิกหมูกระทะ น้ำ(ถัง)</v>
      </c>
      <c r="D4" s="5"/>
      <c r="E4" s="5"/>
      <c r="F4" s="5" t="str">
        <f>IFERROR(__xludf.DUMMYFUNCTION("""COMPUTED_VALUE"""),"N")</f>
        <v>N</v>
      </c>
      <c r="G4" s="5"/>
      <c r="H4" s="5"/>
      <c r="I4" s="5"/>
      <c r="J4" s="5"/>
      <c r="K4" s="5"/>
      <c r="L4" s="5"/>
      <c r="M4" s="5">
        <f>IFERROR(__xludf.DUMMYFUNCTION("""COMPUTED_VALUE"""),13.0)</f>
        <v>13</v>
      </c>
      <c r="N4" s="5"/>
      <c r="O4" s="5"/>
      <c r="P4" s="5"/>
      <c r="Q4" s="5" t="str">
        <f>IFERROR(__xludf.DUMMYFUNCTION("""COMPUTED_VALUE"""),"N")</f>
        <v>N</v>
      </c>
      <c r="R4" s="5"/>
      <c r="S4" s="5"/>
      <c r="T4" s="5"/>
      <c r="U4" s="5" t="str">
        <f>IFERROR(__xludf.DUMMYFUNCTION("""COMPUTED_VALUE"""),"Y")</f>
        <v>Y</v>
      </c>
      <c r="V4" s="5">
        <f>IFERROR(__xludf.DUMMYFUNCTION("""COMPUTED_VALUE"""),13.0)</f>
        <v>13</v>
      </c>
      <c r="W4" s="5"/>
      <c r="X4" s="5"/>
      <c r="Y4" s="5"/>
      <c r="Z4" s="5"/>
    </row>
    <row r="5">
      <c r="A5" s="5" t="str">
        <f>IFERROR(__xludf.DUMMYFUNCTION("""COMPUTED_VALUE"""),"dd-สามชั้นกระทะ-2-แถว-1kg")</f>
        <v>dd-สามชั้นกระทะ-2-แถว-1kg</v>
      </c>
      <c r="B5" s="5">
        <f>IFERROR(__xludf.DUMMYFUNCTION("""COMPUTED_VALUE"""),10821.0)</f>
        <v>10821</v>
      </c>
      <c r="C5" s="5" t="str">
        <f>IFERROR(__xludf.DUMMYFUNCTION("""COMPUTED_VALUE"""),"(S) DD สามชั้นสไลด์ชาบู 1Kg")</f>
        <v>(S) DD สามชั้นสไลด์ชาบู 1Kg</v>
      </c>
      <c r="D5" s="5" t="str">
        <f>IFERROR(__xludf.DUMMYFUNCTION("""COMPUTED_VALUE"""),"**ลัง มหาชัย")</f>
        <v>**ลัง มหาชัย</v>
      </c>
      <c r="E5" s="5" t="str">
        <f>IFERROR(__xludf.DUMMYFUNCTION("""COMPUTED_VALUE"""),"&lt;p&gt;1&lt;/p&gt;")</f>
        <v>&lt;p&gt;1&lt;/p&gt;</v>
      </c>
      <c r="F5" s="5" t="str">
        <f>IFERROR(__xludf.DUMMYFUNCTION("""COMPUTED_VALUE"""),"N")</f>
        <v>N</v>
      </c>
      <c r="G5" s="5"/>
      <c r="H5" s="5"/>
      <c r="I5" s="5"/>
      <c r="J5" s="5"/>
      <c r="K5" s="5"/>
      <c r="L5" s="5"/>
      <c r="M5" s="5">
        <f>IFERROR(__xludf.DUMMYFUNCTION("""COMPUTED_VALUE"""),138.85)</f>
        <v>138.85</v>
      </c>
      <c r="N5" s="5">
        <f>IFERROR(__xludf.DUMMYFUNCTION("""COMPUTED_VALUE"""),10821.0)</f>
        <v>10821</v>
      </c>
      <c r="O5" s="5"/>
      <c r="P5" s="5"/>
      <c r="Q5" s="5" t="str">
        <f>IFERROR(__xludf.DUMMYFUNCTION("""COMPUTED_VALUE"""),"Y")</f>
        <v>Y</v>
      </c>
      <c r="R5" s="5"/>
      <c r="S5" s="5" t="str">
        <f>IFERROR(__xludf.DUMMYFUNCTION("""COMPUTED_VALUE"""),"ขึ้นของมหาชัย")</f>
        <v>ขึ้นของมหาชัย</v>
      </c>
      <c r="T5" s="5">
        <f>IFERROR(__xludf.DUMMYFUNCTION("""COMPUTED_VALUE"""),134.0)</f>
        <v>134</v>
      </c>
      <c r="U5" s="5" t="str">
        <f>IFERROR(__xludf.DUMMYFUNCTION("""COMPUTED_VALUE"""),"Y")</f>
        <v>Y</v>
      </c>
      <c r="V5" s="5">
        <f>IFERROR(__xludf.DUMMYFUNCTION("""COMPUTED_VALUE"""),170.0)</f>
        <v>170</v>
      </c>
      <c r="W5" s="5">
        <f>IFERROR(__xludf.DUMMYFUNCTION("""COMPUTED_VALUE"""),66.0)</f>
        <v>66</v>
      </c>
      <c r="X5" s="5">
        <f>IFERROR(__xludf.DUMMYFUNCTION("""COMPUTED_VALUE"""),10.0)</f>
        <v>10</v>
      </c>
      <c r="Y5" s="5">
        <f>IFERROR(__xludf.DUMMYFUNCTION("""COMPUTED_VALUE"""),60.0)</f>
        <v>60</v>
      </c>
      <c r="Z5" s="5"/>
    </row>
    <row r="6">
      <c r="A6" s="5" t="str">
        <f>IFERROR(__xludf.DUMMYFUNCTION("""COMPUTED_VALUE"""),"(s)-กุ้งแก้ว-51/60-1kg")</f>
        <v>(s)-กุ้งแก้ว-51/60-1kg</v>
      </c>
      <c r="B6" s="5">
        <f>IFERROR(__xludf.DUMMYFUNCTION("""COMPUTED_VALUE"""),10066.0)</f>
        <v>10066</v>
      </c>
      <c r="C6" s="5" t="str">
        <f>IFERROR(__xludf.DUMMYFUNCTION("""COMPUTED_VALUE"""),"(S) กุ้งแก้ว 51/60  ถุง1Kg")</f>
        <v>(S) กุ้งแก้ว 51/60  ถุง1Kg</v>
      </c>
      <c r="D6" s="5"/>
      <c r="E6" s="5"/>
      <c r="F6" s="5" t="str">
        <f>IFERROR(__xludf.DUMMYFUNCTION("""COMPUTED_VALUE"""),"N")</f>
        <v>N</v>
      </c>
      <c r="G6" s="5"/>
      <c r="H6" s="5"/>
      <c r="I6" s="5"/>
      <c r="J6" s="5"/>
      <c r="K6" s="5"/>
      <c r="L6" s="5"/>
      <c r="M6" s="5"/>
      <c r="N6" s="5"/>
      <c r="O6" s="5">
        <f>IFERROR(__xludf.DUMMYFUNCTION("""COMPUTED_VALUE"""),10000.0)</f>
        <v>10000</v>
      </c>
      <c r="P6" s="5">
        <f>IFERROR(__xludf.DUMMYFUNCTION("""COMPUTED_VALUE"""),0.1)</f>
        <v>0.1</v>
      </c>
      <c r="Q6" s="5" t="str">
        <f>IFERROR(__xludf.DUMMYFUNCTION("""COMPUTED_VALUE"""),"N")</f>
        <v>N</v>
      </c>
      <c r="R6" s="5" t="str">
        <f>IFERROR(__xludf.DUMMYFUNCTION("""COMPUTED_VALUE"""),"N")</f>
        <v>N</v>
      </c>
      <c r="S6" s="5"/>
      <c r="T6" s="5"/>
      <c r="U6" s="5" t="str">
        <f>IFERROR(__xludf.DUMMYFUNCTION("""COMPUTED_VALUE"""),"Y")</f>
        <v>Y</v>
      </c>
      <c r="V6" s="5">
        <f>IFERROR(__xludf.DUMMYFUNCTION("""COMPUTED_VALUE"""),140.0)</f>
        <v>140</v>
      </c>
      <c r="W6" s="5"/>
      <c r="X6" s="5"/>
      <c r="Y6" s="5"/>
      <c r="Z6" s="5"/>
    </row>
    <row r="7">
      <c r="A7" s="5" t="str">
        <f>IFERROR(__xludf.DUMMYFUNCTION("""COMPUTED_VALUE"""),"คอเอ็นแก้ว-แพ็ค1-กก")</f>
        <v>คอเอ็นแก้ว-แพ็ค1-กก</v>
      </c>
      <c r="B7" s="5">
        <f>IFERROR(__xludf.DUMMYFUNCTION("""COMPUTED_VALUE"""),10943.0)</f>
        <v>10943</v>
      </c>
      <c r="C7" s="5" t="str">
        <f>IFERROR(__xludf.DUMMYFUNCTION("""COMPUTED_VALUE"""),"(S) คอเอ็นแก้ว แพ็ค1 กก")</f>
        <v>(S) คอเอ็นแก้ว แพ็ค1 กก</v>
      </c>
      <c r="D7" s="5" t="str">
        <f>IFERROR(__xludf.DUMMYFUNCTION("""COMPUTED_VALUE"""),"**ลัง มหาชัย")</f>
        <v>**ลัง มหาชัย</v>
      </c>
      <c r="E7" s="5" t="str">
        <f>IFERROR(__xludf.DUMMYFUNCTION("""COMPUTED_VALUE"""),"&lt;p&gt;1&lt;/p&gt;")</f>
        <v>&lt;p&gt;1&lt;/p&gt;</v>
      </c>
      <c r="F7" s="5" t="str">
        <f>IFERROR(__xludf.DUMMYFUNCTION("""COMPUTED_VALUE"""),"N")</f>
        <v>N</v>
      </c>
      <c r="G7" s="5"/>
      <c r="H7" s="5"/>
      <c r="I7" s="5"/>
      <c r="J7" s="5"/>
      <c r="K7" s="5"/>
      <c r="L7" s="5"/>
      <c r="M7" s="5">
        <f>IFERROR(__xludf.DUMMYFUNCTION("""COMPUTED_VALUE"""),26.1)</f>
        <v>26.1</v>
      </c>
      <c r="N7" s="5">
        <f>IFERROR(__xludf.DUMMYFUNCTION("""COMPUTED_VALUE"""),10943.0)</f>
        <v>10943</v>
      </c>
      <c r="O7" s="5"/>
      <c r="P7" s="5"/>
      <c r="Q7" s="5" t="str">
        <f>IFERROR(__xludf.DUMMYFUNCTION("""COMPUTED_VALUE"""),"Y")</f>
        <v>Y</v>
      </c>
      <c r="R7" s="5"/>
      <c r="S7" s="5" t="str">
        <f>IFERROR(__xludf.DUMMYFUNCTION("""COMPUTED_VALUE"""),"ขึ้นของมหาชัย")</f>
        <v>ขึ้นของมหาชัย</v>
      </c>
      <c r="T7" s="5">
        <f>IFERROR(__xludf.DUMMYFUNCTION("""COMPUTED_VALUE"""),26.0)</f>
        <v>26</v>
      </c>
      <c r="U7" s="5" t="str">
        <f>IFERROR(__xludf.DUMMYFUNCTION("""COMPUTED_VALUE"""),"Y")</f>
        <v>Y</v>
      </c>
      <c r="V7" s="5">
        <f>IFERROR(__xludf.DUMMYFUNCTION("""COMPUTED_VALUE"""),45.0)</f>
        <v>45</v>
      </c>
      <c r="W7" s="5">
        <f>IFERROR(__xludf.DUMMYFUNCTION("""COMPUTED_VALUE"""),30.0)</f>
        <v>30</v>
      </c>
      <c r="X7" s="5">
        <f>IFERROR(__xludf.DUMMYFUNCTION("""COMPUTED_VALUE"""),10.0)</f>
        <v>10</v>
      </c>
      <c r="Y7" s="5">
        <f>IFERROR(__xludf.DUMMYFUNCTION("""COMPUTED_VALUE"""),60.0)</f>
        <v>60</v>
      </c>
      <c r="Z7" s="5"/>
    </row>
    <row r="8">
      <c r="A8" s="5" t="str">
        <f>IFERROR(__xludf.DUMMYFUNCTION("""COMPUTED_VALUE"""),"(s)-คานิจัง-ยาว500g")</f>
        <v>(s)-คานิจัง-ยาว500g</v>
      </c>
      <c r="B8" s="5">
        <f>IFERROR(__xludf.DUMMYFUNCTION("""COMPUTED_VALUE"""),31226.0)</f>
        <v>31226</v>
      </c>
      <c r="C8" s="5" t="str">
        <f>IFERROR(__xludf.DUMMYFUNCTION("""COMPUTED_VALUE"""),"(s) คานิจัง ยาว500g")</f>
        <v>(s) คานิจัง ยาว500g</v>
      </c>
      <c r="D8" s="5"/>
      <c r="E8" s="5" t="str">
        <f>IFERROR(__xludf.DUMMYFUNCTION("""COMPUTED_VALUE"""),"&lt;p&gt;X&lt;/p&gt;")</f>
        <v>&lt;p&gt;X&lt;/p&gt;</v>
      </c>
      <c r="F8" s="5" t="str">
        <f>IFERROR(__xludf.DUMMYFUNCTION("""COMPUTED_VALUE"""),"N")</f>
        <v>N</v>
      </c>
      <c r="G8" s="5"/>
      <c r="H8" s="5"/>
      <c r="I8" s="5"/>
      <c r="J8" s="5"/>
      <c r="K8" s="5"/>
      <c r="L8" s="5"/>
      <c r="M8" s="5"/>
      <c r="N8" s="5">
        <f>IFERROR(__xludf.DUMMYFUNCTION("""COMPUTED_VALUE"""),8.850016084899E12)</f>
        <v>8850016084899</v>
      </c>
      <c r="O8" s="5">
        <f>IFERROR(__xludf.DUMMYFUNCTION("""COMPUTED_VALUE"""),11226.0)</f>
        <v>11226</v>
      </c>
      <c r="P8" s="5">
        <f>IFERROR(__xludf.DUMMYFUNCTION("""COMPUTED_VALUE"""),0.05)</f>
        <v>0.05</v>
      </c>
      <c r="Q8" s="5" t="str">
        <f>IFERROR(__xludf.DUMMYFUNCTION("""COMPUTED_VALUE"""),"N")</f>
        <v>N</v>
      </c>
      <c r="R8" s="5" t="str">
        <f>IFERROR(__xludf.DUMMYFUNCTION("""COMPUTED_VALUE"""),"N")</f>
        <v>N</v>
      </c>
      <c r="S8" s="5"/>
      <c r="T8" s="5"/>
      <c r="U8" s="5" t="str">
        <f>IFERROR(__xludf.DUMMYFUNCTION("""COMPUTED_VALUE"""),"Y")</f>
        <v>Y</v>
      </c>
      <c r="V8" s="5">
        <f>IFERROR(__xludf.DUMMYFUNCTION("""COMPUTED_VALUE"""),55.0)</f>
        <v>55</v>
      </c>
      <c r="W8" s="5"/>
      <c r="X8" s="5"/>
      <c r="Y8" s="5"/>
      <c r="Z8" s="5"/>
    </row>
    <row r="9">
      <c r="A9" s="5" t="str">
        <f>IFERROR(__xludf.DUMMYFUNCTION("""COMPUTED_VALUE"""),"(s)-ซาลาเปาไข่กุ้ง-แพ็ค-500g")</f>
        <v>(s)-ซาลาเปาไข่กุ้ง-แพ็ค-500g</v>
      </c>
      <c r="B9" s="5">
        <f>IFERROR(__xludf.DUMMYFUNCTION("""COMPUTED_VALUE"""),30981.0)</f>
        <v>30981</v>
      </c>
      <c r="C9" s="5" t="str">
        <f>IFERROR(__xludf.DUMMYFUNCTION("""COMPUTED_VALUE"""),"(s) ซาลาเปาปลาไข่กุ้ง แพ็ค 500g")</f>
        <v>(s) ซาลาเปาปลาไข่กุ้ง แพ็ค 500g</v>
      </c>
      <c r="D9" s="5"/>
      <c r="E9" s="5" t="str">
        <f>IFERROR(__xludf.DUMMYFUNCTION("""COMPUTED_VALUE"""),"X")</f>
        <v>X</v>
      </c>
      <c r="F9" s="5" t="str">
        <f>IFERROR(__xludf.DUMMYFUNCTION("""COMPUTED_VALUE"""),"N")</f>
        <v>N</v>
      </c>
      <c r="G9" s="5"/>
      <c r="H9" s="5"/>
      <c r="I9" s="5"/>
      <c r="J9" s="5"/>
      <c r="K9" s="5"/>
      <c r="L9" s="5"/>
      <c r="M9" s="5"/>
      <c r="N9" s="5"/>
      <c r="O9" s="5">
        <f>IFERROR(__xludf.DUMMYFUNCTION("""COMPUTED_VALUE"""),10981.0)</f>
        <v>10981</v>
      </c>
      <c r="P9" s="5">
        <f>IFERROR(__xludf.DUMMYFUNCTION("""COMPUTED_VALUE"""),1.0)</f>
        <v>1</v>
      </c>
      <c r="Q9" s="5" t="str">
        <f>IFERROR(__xludf.DUMMYFUNCTION("""COMPUTED_VALUE"""),"N")</f>
        <v>N</v>
      </c>
      <c r="R9" s="5" t="str">
        <f>IFERROR(__xludf.DUMMYFUNCTION("""COMPUTED_VALUE"""),"N")</f>
        <v>N</v>
      </c>
      <c r="S9" s="5"/>
      <c r="T9" s="5"/>
      <c r="U9" s="5" t="str">
        <f>IFERROR(__xludf.DUMMYFUNCTION("""COMPUTED_VALUE"""),"Y")</f>
        <v>Y</v>
      </c>
      <c r="V9" s="5">
        <f>IFERROR(__xludf.DUMMYFUNCTION("""COMPUTED_VALUE"""),85.0)</f>
        <v>85</v>
      </c>
      <c r="W9" s="5"/>
      <c r="X9" s="5"/>
      <c r="Y9" s="5"/>
      <c r="Z9" s="5"/>
    </row>
    <row r="10">
      <c r="A10" s="5" t="str">
        <f>IFERROR(__xludf.DUMMYFUNCTION("""COMPUTED_VALUE"""),"(s)-ซาลาเปาไส้ไข่เค็ม-500g")</f>
        <v>(s)-ซาลาเปาไส้ไข่เค็ม-500g</v>
      </c>
      <c r="B10" s="5">
        <f>IFERROR(__xludf.DUMMYFUNCTION("""COMPUTED_VALUE"""),30675.0)</f>
        <v>30675</v>
      </c>
      <c r="C10" s="5" t="str">
        <f>IFERROR(__xludf.DUMMYFUNCTION("""COMPUTED_VALUE"""),"(s) ซาลาเปาไส้ไข่เค็ม 500g")</f>
        <v>(s) ซาลาเปาไส้ไข่เค็ม 500g</v>
      </c>
      <c r="D10" s="5"/>
      <c r="E10" s="5" t="str">
        <f>IFERROR(__xludf.DUMMYFUNCTION("""COMPUTED_VALUE"""),"&lt;p&gt;X&lt;/p&gt;")</f>
        <v>&lt;p&gt;X&lt;/p&gt;</v>
      </c>
      <c r="F10" s="5" t="str">
        <f>IFERROR(__xludf.DUMMYFUNCTION("""COMPUTED_VALUE"""),"N")</f>
        <v>N</v>
      </c>
      <c r="G10" s="5"/>
      <c r="H10" s="5"/>
      <c r="I10" s="5"/>
      <c r="J10" s="5"/>
      <c r="K10" s="5"/>
      <c r="L10" s="5"/>
      <c r="M10" s="5"/>
      <c r="N10" s="5">
        <f>IFERROR(__xludf.DUMMYFUNCTION("""COMPUTED_VALUE"""),8.850016635152E12)</f>
        <v>8850016635152</v>
      </c>
      <c r="O10" s="5">
        <f>IFERROR(__xludf.DUMMYFUNCTION("""COMPUTED_VALUE"""),10675.0)</f>
        <v>10675</v>
      </c>
      <c r="P10" s="5">
        <f>IFERROR(__xludf.DUMMYFUNCTION("""COMPUTED_VALUE"""),1.0)</f>
        <v>1</v>
      </c>
      <c r="Q10" s="5" t="str">
        <f>IFERROR(__xludf.DUMMYFUNCTION("""COMPUTED_VALUE"""),"N")</f>
        <v>N</v>
      </c>
      <c r="R10" s="5" t="str">
        <f>IFERROR(__xludf.DUMMYFUNCTION("""COMPUTED_VALUE"""),"N")</f>
        <v>N</v>
      </c>
      <c r="S10" s="5"/>
      <c r="T10" s="5"/>
      <c r="U10" s="5" t="str">
        <f>IFERROR(__xludf.DUMMYFUNCTION("""COMPUTED_VALUE"""),"N")</f>
        <v>N</v>
      </c>
      <c r="V10" s="5">
        <f>IFERROR(__xludf.DUMMYFUNCTION("""COMPUTED_VALUE"""),89.0)</f>
        <v>89</v>
      </c>
      <c r="W10" s="5"/>
      <c r="X10" s="5"/>
      <c r="Y10" s="5"/>
      <c r="Z10" s="5"/>
    </row>
    <row r="11">
      <c r="A11" s="5" t="str">
        <f>IFERROR(__xludf.DUMMYFUNCTION("""COMPUTED_VALUE"""),"(s)-ซูเปอร์-อลาสก้า-250g")</f>
        <v>(s)-ซูเปอร์-อลาสก้า-250g</v>
      </c>
      <c r="B11" s="5">
        <f>IFERROR(__xludf.DUMMYFUNCTION("""COMPUTED_VALUE"""),31490.0)</f>
        <v>31490</v>
      </c>
      <c r="C11" s="5" t="str">
        <f>IFERROR(__xludf.DUMMYFUNCTION("""COMPUTED_VALUE"""),"(s) ซูเปอร์ อลาสก้า 250g")</f>
        <v>(s) ซูเปอร์ อลาสก้า 250g</v>
      </c>
      <c r="D11" s="5"/>
      <c r="E11" s="5" t="str">
        <f>IFERROR(__xludf.DUMMYFUNCTION("""COMPUTED_VALUE"""),"X")</f>
        <v>X</v>
      </c>
      <c r="F11" s="5" t="str">
        <f>IFERROR(__xludf.DUMMYFUNCTION("""COMPUTED_VALUE"""),"N")</f>
        <v>N</v>
      </c>
      <c r="G11" s="5"/>
      <c r="H11" s="5"/>
      <c r="I11" s="5"/>
      <c r="J11" s="5"/>
      <c r="K11" s="5"/>
      <c r="L11" s="5"/>
      <c r="M11" s="5"/>
      <c r="N11" s="5">
        <f>IFERROR(__xludf.DUMMYFUNCTION("""COMPUTED_VALUE"""),8.850016635794E12)</f>
        <v>8850016635794</v>
      </c>
      <c r="O11" s="5">
        <f>IFERROR(__xludf.DUMMYFUNCTION("""COMPUTED_VALUE"""),11490.0)</f>
        <v>11490</v>
      </c>
      <c r="P11" s="5">
        <f>IFERROR(__xludf.DUMMYFUNCTION("""COMPUTED_VALUE"""),1.0)</f>
        <v>1</v>
      </c>
      <c r="Q11" s="5" t="str">
        <f>IFERROR(__xludf.DUMMYFUNCTION("""COMPUTED_VALUE"""),"N")</f>
        <v>N</v>
      </c>
      <c r="R11" s="5" t="str">
        <f>IFERROR(__xludf.DUMMYFUNCTION("""COMPUTED_VALUE"""),"N")</f>
        <v>N</v>
      </c>
      <c r="S11" s="5"/>
      <c r="T11" s="5"/>
      <c r="U11" s="5" t="str">
        <f>IFERROR(__xludf.DUMMYFUNCTION("""COMPUTED_VALUE"""),"Y")</f>
        <v>Y</v>
      </c>
      <c r="V11" s="5">
        <f>IFERROR(__xludf.DUMMYFUNCTION("""COMPUTED_VALUE"""),60.0)</f>
        <v>60</v>
      </c>
      <c r="W11" s="5"/>
      <c r="X11" s="5"/>
      <c r="Y11" s="5"/>
      <c r="Z11" s="5"/>
    </row>
    <row r="12">
      <c r="A12" s="5" t="str">
        <f>IFERROR(__xludf.DUMMYFUNCTION("""COMPUTED_VALUE"""),"ดอลลี่หั่น-(ลังน้ําตาล)-1kg")</f>
        <v>ดอลลี่หั่น-(ลังน้ําตาล)-1kg</v>
      </c>
      <c r="B12" s="5">
        <f>IFERROR(__xludf.DUMMYFUNCTION("""COMPUTED_VALUE"""),10048.0)</f>
        <v>10048</v>
      </c>
      <c r="C12" s="5" t="str">
        <f>IFERROR(__xludf.DUMMYFUNCTION("""COMPUTED_VALUE"""),"(S) ดอลลี่หั่น (น้ำตาล) 1kg")</f>
        <v>(S) ดอลลี่หั่น (น้ำตาล) 1kg</v>
      </c>
      <c r="D12" s="5"/>
      <c r="E12" s="5"/>
      <c r="F12" s="5" t="str">
        <f>IFERROR(__xludf.DUMMYFUNCTION("""COMPUTED_VALUE"""),"N")</f>
        <v>N</v>
      </c>
      <c r="G12" s="5"/>
      <c r="H12" s="5"/>
      <c r="I12" s="5"/>
      <c r="J12" s="5"/>
      <c r="K12" s="5"/>
      <c r="L12" s="5"/>
      <c r="M12" s="5"/>
      <c r="N12" s="5"/>
      <c r="O12" s="5">
        <f>IFERROR(__xludf.DUMMYFUNCTION("""COMPUTED_VALUE"""),10472.0)</f>
        <v>10472</v>
      </c>
      <c r="P12" s="5">
        <f>IFERROR(__xludf.DUMMYFUNCTION("""COMPUTED_VALUE"""),0.1)</f>
        <v>0.1</v>
      </c>
      <c r="Q12" s="5" t="str">
        <f>IFERROR(__xludf.DUMMYFUNCTION("""COMPUTED_VALUE"""),"N")</f>
        <v>N</v>
      </c>
      <c r="R12" s="5" t="str">
        <f>IFERROR(__xludf.DUMMYFUNCTION("""COMPUTED_VALUE"""),"N")</f>
        <v>N</v>
      </c>
      <c r="S12" s="5"/>
      <c r="T12" s="5"/>
      <c r="U12" s="5" t="str">
        <f>IFERROR(__xludf.DUMMYFUNCTION("""COMPUTED_VALUE"""),"Y")</f>
        <v>Y</v>
      </c>
      <c r="V12" s="5">
        <f>IFERROR(__xludf.DUMMYFUNCTION("""COMPUTED_VALUE"""),70.0)</f>
        <v>70</v>
      </c>
      <c r="W12" s="5"/>
      <c r="X12" s="5"/>
      <c r="Y12" s="5"/>
      <c r="Z12" s="5"/>
    </row>
    <row r="13">
      <c r="A13" s="5" t="str">
        <f>IFERROR(__xludf.DUMMYFUNCTION("""COMPUTED_VALUE"""),"ตะเกียบ-ตราฟินิกซ์-1ห่อ-1")</f>
        <v>ตะเกียบ-ตราฟินิกซ์-1ห่อ-1</v>
      </c>
      <c r="B13" s="5">
        <f>IFERROR(__xludf.DUMMYFUNCTION("""COMPUTED_VALUE"""),10134.0)</f>
        <v>10134</v>
      </c>
      <c r="C13" s="5" t="str">
        <f>IFERROR(__xludf.DUMMYFUNCTION("""COMPUTED_VALUE"""),"(S) ตะเกียบ ท.พิพัฒน์")</f>
        <v>(S) ตะเกียบ ท.พิพัฒน์</v>
      </c>
      <c r="D13" s="5"/>
      <c r="E13" s="5" t="str">
        <f>IFERROR(__xludf.DUMMYFUNCTION("""COMPUTED_VALUE"""),"&lt;p&gt;X&lt;/p&gt;")</f>
        <v>&lt;p&gt;X&lt;/p&gt;</v>
      </c>
      <c r="F13" s="5" t="str">
        <f>IFERROR(__xludf.DUMMYFUNCTION("""COMPUTED_VALUE"""),"N")</f>
        <v>N</v>
      </c>
      <c r="G13" s="5"/>
      <c r="H13" s="5"/>
      <c r="I13" s="5"/>
      <c r="J13" s="5"/>
      <c r="K13" s="5"/>
      <c r="L13" s="5"/>
      <c r="M13" s="5"/>
      <c r="N13" s="5">
        <f>IFERROR(__xludf.DUMMYFUNCTION("""COMPUTED_VALUE"""),8.85712659513E12)</f>
        <v>8857126595130</v>
      </c>
      <c r="O13" s="5">
        <f>IFERROR(__xludf.DUMMYFUNCTION("""COMPUTED_VALUE"""),10837.0)</f>
        <v>10837</v>
      </c>
      <c r="P13" s="5">
        <f>IFERROR(__xludf.DUMMYFUNCTION("""COMPUTED_VALUE"""),0.025)</f>
        <v>0.025</v>
      </c>
      <c r="Q13" s="5" t="str">
        <f>IFERROR(__xludf.DUMMYFUNCTION("""COMPUTED_VALUE"""),"N")</f>
        <v>N</v>
      </c>
      <c r="R13" s="5" t="str">
        <f>IFERROR(__xludf.DUMMYFUNCTION("""COMPUTED_VALUE"""),"N")</f>
        <v>N</v>
      </c>
      <c r="S13" s="5"/>
      <c r="T13" s="5"/>
      <c r="U13" s="5" t="str">
        <f>IFERROR(__xludf.DUMMYFUNCTION("""COMPUTED_VALUE"""),"Y")</f>
        <v>Y</v>
      </c>
      <c r="V13" s="5">
        <f>IFERROR(__xludf.DUMMYFUNCTION("""COMPUTED_VALUE"""),20.0)</f>
        <v>20</v>
      </c>
      <c r="W13" s="5"/>
      <c r="X13" s="5"/>
      <c r="Y13" s="5"/>
      <c r="Z13" s="5"/>
    </row>
    <row r="14">
      <c r="A14" s="5" t="str">
        <f>IFERROR(__xludf.DUMMYFUNCTION("""COMPUTED_VALUE"""),"ถงขุ่น9*14")</f>
        <v>ถงขุ่น9*14</v>
      </c>
      <c r="B14" s="5">
        <f>IFERROR(__xludf.DUMMYFUNCTION("""COMPUTED_VALUE"""),11558.0)</f>
        <v>11558</v>
      </c>
      <c r="C14" s="5" t="str">
        <f>IFERROR(__xludf.DUMMYFUNCTION("""COMPUTED_VALUE"""),"(S) ถงขุ่น9*14")</f>
        <v>(S) ถงขุ่น9*14</v>
      </c>
      <c r="D14" s="5"/>
      <c r="E14" s="5" t="str">
        <f>IFERROR(__xludf.DUMMYFUNCTION("""COMPUTED_VALUE"""),"X")</f>
        <v>X</v>
      </c>
      <c r="F14" s="5" t="str">
        <f>IFERROR(__xludf.DUMMYFUNCTION("""COMPUTED_VALUE"""),"N")</f>
        <v>N</v>
      </c>
      <c r="G14" s="5"/>
      <c r="H14" s="5"/>
      <c r="I14" s="5"/>
      <c r="J14" s="5"/>
      <c r="K14" s="5"/>
      <c r="L14" s="5"/>
      <c r="M14" s="5">
        <f>IFERROR(__xludf.DUMMYFUNCTION("""COMPUTED_VALUE"""),40.0)</f>
        <v>40</v>
      </c>
      <c r="N14" s="5"/>
      <c r="O14" s="5"/>
      <c r="P14" s="5"/>
      <c r="Q14" s="5" t="str">
        <f>IFERROR(__xludf.DUMMYFUNCTION("""COMPUTED_VALUE"""),"N")</f>
        <v>N</v>
      </c>
      <c r="R14" s="5"/>
      <c r="S14" s="5"/>
      <c r="T14" s="5"/>
      <c r="U14" s="5" t="str">
        <f>IFERROR(__xludf.DUMMYFUNCTION("""COMPUTED_VALUE"""),"Y")</f>
        <v>Y</v>
      </c>
      <c r="V14" s="5">
        <f>IFERROR(__xludf.DUMMYFUNCTION("""COMPUTED_VALUE"""),45.0)</f>
        <v>45</v>
      </c>
      <c r="W14" s="5"/>
      <c r="X14" s="5"/>
      <c r="Y14" s="5"/>
      <c r="Z14" s="5"/>
    </row>
    <row r="15">
      <c r="A15" s="5" t="str">
        <f>IFERROR(__xludf.DUMMYFUNCTION("""COMPUTED_VALUE"""),"ถุง-8*16-ตรานางกวัก-แพ็ค-1")</f>
        <v>ถุง-8*16-ตรานางกวัก-แพ็ค-1</v>
      </c>
      <c r="B15" s="5">
        <f>IFERROR(__xludf.DUMMYFUNCTION("""COMPUTED_VALUE"""),20150.0)</f>
        <v>20150</v>
      </c>
      <c r="C15" s="5" t="str">
        <f>IFERROR(__xludf.DUMMYFUNCTION("""COMPUTED_VALUE"""),"(S) ถุง 10*15 pp")</f>
        <v>(S) ถุง 10*15 pp</v>
      </c>
      <c r="D15" s="5" t="str">
        <f>IFERROR(__xludf.DUMMYFUNCTION("""COMPUTED_VALUE"""),"**ของแห้ง")</f>
        <v>**ของแห้ง</v>
      </c>
      <c r="E15" s="5" t="str">
        <f>IFERROR(__xludf.DUMMYFUNCTION("""COMPUTED_VALUE"""),"X")</f>
        <v>X</v>
      </c>
      <c r="F15" s="5" t="str">
        <f>IFERROR(__xludf.DUMMYFUNCTION("""COMPUTED_VALUE"""),"N")</f>
        <v>N</v>
      </c>
      <c r="G15" s="5"/>
      <c r="H15" s="5"/>
      <c r="I15" s="5"/>
      <c r="J15" s="5"/>
      <c r="K15" s="5"/>
      <c r="L15" s="5"/>
      <c r="M15" s="5">
        <f>IFERROR(__xludf.DUMMYFUNCTION("""COMPUTED_VALUE"""),36.0)</f>
        <v>36</v>
      </c>
      <c r="N15" s="5">
        <f>IFERROR(__xludf.DUMMYFUNCTION("""COMPUTED_VALUE"""),8.858817011243E12)</f>
        <v>8858817011243</v>
      </c>
      <c r="O15" s="5"/>
      <c r="P15" s="5"/>
      <c r="Q15" s="5" t="str">
        <f>IFERROR(__xludf.DUMMYFUNCTION("""COMPUTED_VALUE"""),"Y")</f>
        <v>Y</v>
      </c>
      <c r="R15" s="5"/>
      <c r="S15" s="5"/>
      <c r="T15" s="5">
        <f>IFERROR(__xludf.DUMMYFUNCTION("""COMPUTED_VALUE"""),0.0)</f>
        <v>0</v>
      </c>
      <c r="U15" s="5" t="str">
        <f>IFERROR(__xludf.DUMMYFUNCTION("""COMPUTED_VALUE"""),"Y")</f>
        <v>Y</v>
      </c>
      <c r="V15" s="5">
        <f>IFERROR(__xludf.DUMMYFUNCTION("""COMPUTED_VALUE"""),45.0)</f>
        <v>45</v>
      </c>
      <c r="W15" s="5">
        <f>IFERROR(__xludf.DUMMYFUNCTION("""COMPUTED_VALUE"""),33.0)</f>
        <v>33</v>
      </c>
      <c r="X15" s="5"/>
      <c r="Y15" s="5"/>
      <c r="Z15" s="5"/>
    </row>
    <row r="16">
      <c r="A16" s="5" t="str">
        <f>IFERROR(__xludf.DUMMYFUNCTION("""COMPUTED_VALUE"""),"ถุง-12*20-ตรานางกวัก-แพ็ค-1")</f>
        <v>ถุง-12*20-ตรานางกวัก-แพ็ค-1</v>
      </c>
      <c r="B16" s="5">
        <f>IFERROR(__xludf.DUMMYFUNCTION("""COMPUTED_VALUE"""),20138.0)</f>
        <v>20138</v>
      </c>
      <c r="C16" s="5" t="str">
        <f>IFERROR(__xludf.DUMMYFUNCTION("""COMPUTED_VALUE"""),"(S) ถุง 12*20 ตรางาช้าง")</f>
        <v>(S) ถุง 12*20 ตรางาช้าง</v>
      </c>
      <c r="D16" s="5" t="str">
        <f>IFERROR(__xludf.DUMMYFUNCTION("""COMPUTED_VALUE"""),"**ของแห้ง")</f>
        <v>**ของแห้ง</v>
      </c>
      <c r="E16" s="5" t="str">
        <f>IFERROR(__xludf.DUMMYFUNCTION("""COMPUTED_VALUE"""),"&lt;p&gt;X&lt;/p&gt;")</f>
        <v>&lt;p&gt;X&lt;/p&gt;</v>
      </c>
      <c r="F16" s="5" t="str">
        <f>IFERROR(__xludf.DUMMYFUNCTION("""COMPUTED_VALUE"""),"N")</f>
        <v>N</v>
      </c>
      <c r="G16" s="5"/>
      <c r="H16" s="5"/>
      <c r="I16" s="5"/>
      <c r="J16" s="5"/>
      <c r="K16" s="5"/>
      <c r="L16" s="5"/>
      <c r="M16" s="5">
        <f>IFERROR(__xludf.DUMMYFUNCTION("""COMPUTED_VALUE"""),41.0)</f>
        <v>41</v>
      </c>
      <c r="N16" s="5">
        <f>IFERROR(__xludf.DUMMYFUNCTION("""COMPUTED_VALUE"""),8.858817019652E12)</f>
        <v>8858817019652</v>
      </c>
      <c r="O16" s="5"/>
      <c r="P16" s="5"/>
      <c r="Q16" s="5" t="str">
        <f>IFERROR(__xludf.DUMMYFUNCTION("""COMPUTED_VALUE"""),"Y")</f>
        <v>Y</v>
      </c>
      <c r="R16" s="5"/>
      <c r="S16" s="5"/>
      <c r="T16" s="5">
        <f>IFERROR(__xludf.DUMMYFUNCTION("""COMPUTED_VALUE"""),41.0)</f>
        <v>41</v>
      </c>
      <c r="U16" s="5" t="str">
        <f>IFERROR(__xludf.DUMMYFUNCTION("""COMPUTED_VALUE"""),"Y")</f>
        <v>Y</v>
      </c>
      <c r="V16" s="5">
        <f>IFERROR(__xludf.DUMMYFUNCTION("""COMPUTED_VALUE"""),45.0)</f>
        <v>45</v>
      </c>
      <c r="W16" s="5">
        <f>IFERROR(__xludf.DUMMYFUNCTION("""COMPUTED_VALUE"""),30.0)</f>
        <v>30</v>
      </c>
      <c r="X16" s="5">
        <f>IFERROR(__xludf.DUMMYFUNCTION("""COMPUTED_VALUE"""),4.0)</f>
        <v>4</v>
      </c>
      <c r="Y16" s="5"/>
      <c r="Z16" s="5"/>
    </row>
    <row r="17">
      <c r="A17" s="5" t="str">
        <f>IFERROR(__xludf.DUMMYFUNCTION("""COMPUTED_VALUE"""),"ถุง-6*9")</f>
        <v>ถุง-6*9</v>
      </c>
      <c r="B17" s="5">
        <f>IFERROR(__xludf.DUMMYFUNCTION("""COMPUTED_VALUE"""),10694.0)</f>
        <v>10694</v>
      </c>
      <c r="C17" s="5" t="str">
        <f>IFERROR(__xludf.DUMMYFUNCTION("""COMPUTED_VALUE"""),"(S) ถุง 6*9pp ฟ้า")</f>
        <v>(S) ถุง 6*9pp ฟ้า</v>
      </c>
      <c r="D17" s="5" t="str">
        <f>IFERROR(__xludf.DUMMYFUNCTION("""COMPUTED_VALUE"""),"**ของแห้ง")</f>
        <v>**ของแห้ง</v>
      </c>
      <c r="E17" s="5" t="str">
        <f>IFERROR(__xludf.DUMMYFUNCTION("""COMPUTED_VALUE"""),"X")</f>
        <v>X</v>
      </c>
      <c r="F17" s="5" t="str">
        <f>IFERROR(__xludf.DUMMYFUNCTION("""COMPUTED_VALUE"""),"N")</f>
        <v>N</v>
      </c>
      <c r="G17" s="5"/>
      <c r="H17" s="5"/>
      <c r="I17" s="5"/>
      <c r="J17" s="5"/>
      <c r="K17" s="5"/>
      <c r="L17" s="5"/>
      <c r="M17" s="5">
        <f>IFERROR(__xludf.DUMMYFUNCTION("""COMPUTED_VALUE"""),36.0)</f>
        <v>36</v>
      </c>
      <c r="N17" s="5">
        <f>IFERROR(__xludf.DUMMYFUNCTION("""COMPUTED_VALUE"""),8.858817011151E12)</f>
        <v>8858817011151</v>
      </c>
      <c r="O17" s="5"/>
      <c r="P17" s="5"/>
      <c r="Q17" s="5" t="str">
        <f>IFERROR(__xludf.DUMMYFUNCTION("""COMPUTED_VALUE"""),"Y")</f>
        <v>Y</v>
      </c>
      <c r="R17" s="5"/>
      <c r="S17" s="5"/>
      <c r="T17" s="5">
        <f>IFERROR(__xludf.DUMMYFUNCTION("""COMPUTED_VALUE"""),0.0)</f>
        <v>0</v>
      </c>
      <c r="U17" s="5" t="str">
        <f>IFERROR(__xludf.DUMMYFUNCTION("""COMPUTED_VALUE"""),"Y")</f>
        <v>Y</v>
      </c>
      <c r="V17" s="5">
        <f>IFERROR(__xludf.DUMMYFUNCTION("""COMPUTED_VALUE"""),45.0)</f>
        <v>45</v>
      </c>
      <c r="W17" s="5">
        <f>IFERROR(__xludf.DUMMYFUNCTION("""COMPUTED_VALUE"""),12.0)</f>
        <v>12</v>
      </c>
      <c r="X17" s="5"/>
      <c r="Y17" s="5"/>
      <c r="Z17" s="5"/>
    </row>
    <row r="18">
      <c r="A18" s="5" t="str">
        <f>IFERROR(__xludf.DUMMYFUNCTION("""COMPUTED_VALUE"""),"ถุง-20*30-ตรานางกวัก-แพ็ค-1")</f>
        <v>ถุง-20*30-ตรานางกวัก-แพ็ค-1</v>
      </c>
      <c r="B18" s="5">
        <f>IFERROR(__xludf.DUMMYFUNCTION("""COMPUTED_VALUE"""),20139.0)</f>
        <v>20139</v>
      </c>
      <c r="C18" s="5" t="str">
        <f>IFERROR(__xludf.DUMMYFUNCTION("""COMPUTED_VALUE"""),"(S) ถุง 7*11 ppม่วง")</f>
        <v>(S) ถุง 7*11 ppม่วง</v>
      </c>
      <c r="D18" s="5" t="str">
        <f>IFERROR(__xludf.DUMMYFUNCTION("""COMPUTED_VALUE"""),"**ของแห้ง")</f>
        <v>**ของแห้ง</v>
      </c>
      <c r="E18" s="5" t="str">
        <f>IFERROR(__xludf.DUMMYFUNCTION("""COMPUTED_VALUE"""),"&lt;p&gt;X&lt;/p&gt;")</f>
        <v>&lt;p&gt;X&lt;/p&gt;</v>
      </c>
      <c r="F18" s="5" t="str">
        <f>IFERROR(__xludf.DUMMYFUNCTION("""COMPUTED_VALUE"""),"N")</f>
        <v>N</v>
      </c>
      <c r="G18" s="5"/>
      <c r="H18" s="5"/>
      <c r="I18" s="5"/>
      <c r="J18" s="5"/>
      <c r="K18" s="5"/>
      <c r="L18" s="5"/>
      <c r="M18" s="5">
        <f>IFERROR(__xludf.DUMMYFUNCTION("""COMPUTED_VALUE"""),46.0)</f>
        <v>46</v>
      </c>
      <c r="N18" s="5">
        <f>IFERROR(__xludf.DUMMYFUNCTION("""COMPUTED_VALUE"""),8.858817011199E12)</f>
        <v>8858817011199</v>
      </c>
      <c r="O18" s="5"/>
      <c r="P18" s="5"/>
      <c r="Q18" s="5" t="str">
        <f>IFERROR(__xludf.DUMMYFUNCTION("""COMPUTED_VALUE"""),"Y")</f>
        <v>Y</v>
      </c>
      <c r="R18" s="5"/>
      <c r="S18" s="5"/>
      <c r="T18" s="5">
        <f>IFERROR(__xludf.DUMMYFUNCTION("""COMPUTED_VALUE"""),46.0)</f>
        <v>46</v>
      </c>
      <c r="U18" s="5" t="str">
        <f>IFERROR(__xludf.DUMMYFUNCTION("""COMPUTED_VALUE"""),"Y")</f>
        <v>Y</v>
      </c>
      <c r="V18" s="5">
        <f>IFERROR(__xludf.DUMMYFUNCTION("""COMPUTED_VALUE"""),55.0)</f>
        <v>55</v>
      </c>
      <c r="W18" s="5">
        <f>IFERROR(__xludf.DUMMYFUNCTION("""COMPUTED_VALUE"""),40.0)</f>
        <v>40</v>
      </c>
      <c r="X18" s="5"/>
      <c r="Y18" s="5"/>
      <c r="Z18" s="5"/>
    </row>
    <row r="19">
      <c r="A19" s="5" t="str">
        <f>IFERROR(__xludf.DUMMYFUNCTION("""COMPUTED_VALUE"""),"8*12-หนา")</f>
        <v>8*12-หนา</v>
      </c>
      <c r="B19" s="5">
        <f>IFERROR(__xludf.DUMMYFUNCTION("""COMPUTED_VALUE"""),11351.0)</f>
        <v>11351</v>
      </c>
      <c r="C19" s="5" t="str">
        <f>IFERROR(__xludf.DUMMYFUNCTION("""COMPUTED_VALUE"""),"(S) ถุง 8*12 ขุ่น")</f>
        <v>(S) ถุง 8*12 ขุ่น</v>
      </c>
      <c r="D19" s="5" t="str">
        <f>IFERROR(__xludf.DUMMYFUNCTION("""COMPUTED_VALUE"""),"**ของแห้ง")</f>
        <v>**ของแห้ง</v>
      </c>
      <c r="E19" s="5" t="str">
        <f>IFERROR(__xludf.DUMMYFUNCTION("""COMPUTED_VALUE"""),"X")</f>
        <v>X</v>
      </c>
      <c r="F19" s="5" t="str">
        <f>IFERROR(__xludf.DUMMYFUNCTION("""COMPUTED_VALUE"""),"N")</f>
        <v>N</v>
      </c>
      <c r="G19" s="5"/>
      <c r="H19" s="5"/>
      <c r="I19" s="5"/>
      <c r="J19" s="5"/>
      <c r="K19" s="5"/>
      <c r="L19" s="5"/>
      <c r="M19" s="5">
        <f>IFERROR(__xludf.DUMMYFUNCTION("""COMPUTED_VALUE"""),36.0)</f>
        <v>36</v>
      </c>
      <c r="N19" s="5">
        <f>IFERROR(__xludf.DUMMYFUNCTION("""COMPUTED_VALUE"""),8.858817012264E12)</f>
        <v>8858817012264</v>
      </c>
      <c r="O19" s="5"/>
      <c r="P19" s="5"/>
      <c r="Q19" s="5" t="str">
        <f>IFERROR(__xludf.DUMMYFUNCTION("""COMPUTED_VALUE"""),"Y")</f>
        <v>Y</v>
      </c>
      <c r="R19" s="5"/>
      <c r="S19" s="5"/>
      <c r="T19" s="5">
        <f>IFERROR(__xludf.DUMMYFUNCTION("""COMPUTED_VALUE"""),0.0)</f>
        <v>0</v>
      </c>
      <c r="U19" s="5" t="str">
        <f>IFERROR(__xludf.DUMMYFUNCTION("""COMPUTED_VALUE"""),"Y")</f>
        <v>Y</v>
      </c>
      <c r="V19" s="5">
        <f>IFERROR(__xludf.DUMMYFUNCTION("""COMPUTED_VALUE"""),45.0)</f>
        <v>45</v>
      </c>
      <c r="W19" s="5">
        <f>IFERROR(__xludf.DUMMYFUNCTION("""COMPUTED_VALUE"""),4.0)</f>
        <v>4</v>
      </c>
      <c r="X19" s="5"/>
      <c r="Y19" s="5"/>
      <c r="Z19" s="5"/>
    </row>
    <row r="20">
      <c r="A20" s="5" t="str">
        <f>IFERROR(__xludf.DUMMYFUNCTION("""COMPUTED_VALUE"""),"ถุง-9*14ppน้ำตาลเข้ม")</f>
        <v>ถุง-9*14ppน้ำตาลเข้ม</v>
      </c>
      <c r="B20" s="5">
        <f>IFERROR(__xludf.DUMMYFUNCTION("""COMPUTED_VALUE"""),10695.0)</f>
        <v>10695</v>
      </c>
      <c r="C20" s="5" t="str">
        <f>IFERROR(__xludf.DUMMYFUNCTION("""COMPUTED_VALUE"""),"(S) ถุง 9*14pp")</f>
        <v>(S) ถุง 9*14pp</v>
      </c>
      <c r="D20" s="5" t="str">
        <f>IFERROR(__xludf.DUMMYFUNCTION("""COMPUTED_VALUE"""),"**ของแห้ง")</f>
        <v>**ของแห้ง</v>
      </c>
      <c r="E20" s="5" t="str">
        <f>IFERROR(__xludf.DUMMYFUNCTION("""COMPUTED_VALUE"""),"&lt;p&gt;X&lt;/p&gt;")</f>
        <v>&lt;p&gt;X&lt;/p&gt;</v>
      </c>
      <c r="F20" s="5" t="str">
        <f>IFERROR(__xludf.DUMMYFUNCTION("""COMPUTED_VALUE"""),"N")</f>
        <v>N</v>
      </c>
      <c r="G20" s="5"/>
      <c r="H20" s="5"/>
      <c r="I20" s="5"/>
      <c r="J20" s="5"/>
      <c r="K20" s="5"/>
      <c r="L20" s="5"/>
      <c r="M20" s="5">
        <f>IFERROR(__xludf.DUMMYFUNCTION("""COMPUTED_VALUE"""),43.0)</f>
        <v>43</v>
      </c>
      <c r="N20" s="5">
        <f>IFERROR(__xludf.DUMMYFUNCTION("""COMPUTED_VALUE"""),8.858817011236E12)</f>
        <v>8858817011236</v>
      </c>
      <c r="O20" s="5"/>
      <c r="P20" s="5"/>
      <c r="Q20" s="5" t="str">
        <f>IFERROR(__xludf.DUMMYFUNCTION("""COMPUTED_VALUE"""),"Y")</f>
        <v>Y</v>
      </c>
      <c r="R20" s="5"/>
      <c r="S20" s="5"/>
      <c r="T20" s="5">
        <f>IFERROR(__xludf.DUMMYFUNCTION("""COMPUTED_VALUE"""),0.0)</f>
        <v>0</v>
      </c>
      <c r="U20" s="5" t="str">
        <f>IFERROR(__xludf.DUMMYFUNCTION("""COMPUTED_VALUE"""),"Y")</f>
        <v>Y</v>
      </c>
      <c r="V20" s="5">
        <f>IFERROR(__xludf.DUMMYFUNCTION("""COMPUTED_VALUE"""),45.0)</f>
        <v>45</v>
      </c>
      <c r="W20" s="5">
        <f>IFERROR(__xludf.DUMMYFUNCTION("""COMPUTED_VALUE"""),5.0)</f>
        <v>5</v>
      </c>
      <c r="X20" s="5">
        <f>IFERROR(__xludf.DUMMYFUNCTION("""COMPUTED_VALUE"""),0.0)</f>
        <v>0</v>
      </c>
      <c r="Y20" s="5"/>
      <c r="Z20" s="5"/>
    </row>
    <row r="21">
      <c r="A21" s="5" t="str">
        <f>IFERROR(__xludf.DUMMYFUNCTION("""COMPUTED_VALUE"""),"ถุง-9*18-ตรางาช้าง")</f>
        <v>ถุง-9*18-ตรางาช้าง</v>
      </c>
      <c r="B21" s="5">
        <f>IFERROR(__xludf.DUMMYFUNCTION("""COMPUTED_VALUE"""),11151.0)</f>
        <v>11151</v>
      </c>
      <c r="C21" s="5" t="str">
        <f>IFERROR(__xludf.DUMMYFUNCTION("""COMPUTED_VALUE"""),"(S) ถุง 9*18 ตรางาช้าง")</f>
        <v>(S) ถุง 9*18 ตรางาช้าง</v>
      </c>
      <c r="D21" s="5" t="str">
        <f>IFERROR(__xludf.DUMMYFUNCTION("""COMPUTED_VALUE"""),"**ของแห้ง")</f>
        <v>**ของแห้ง</v>
      </c>
      <c r="E21" s="5" t="str">
        <f>IFERROR(__xludf.DUMMYFUNCTION("""COMPUTED_VALUE"""),"X")</f>
        <v>X</v>
      </c>
      <c r="F21" s="5" t="str">
        <f>IFERROR(__xludf.DUMMYFUNCTION("""COMPUTED_VALUE"""),"N")</f>
        <v>N</v>
      </c>
      <c r="G21" s="5"/>
      <c r="H21" s="5"/>
      <c r="I21" s="5"/>
      <c r="J21" s="5"/>
      <c r="K21" s="5"/>
      <c r="L21" s="5"/>
      <c r="M21" s="5">
        <f>IFERROR(__xludf.DUMMYFUNCTION("""COMPUTED_VALUE"""),36.0)</f>
        <v>36</v>
      </c>
      <c r="N21" s="5">
        <f>IFERROR(__xludf.DUMMYFUNCTION("""COMPUTED_VALUE"""),8.858817019645E12)</f>
        <v>8858817019645</v>
      </c>
      <c r="O21" s="5"/>
      <c r="P21" s="5"/>
      <c r="Q21" s="5" t="str">
        <f>IFERROR(__xludf.DUMMYFUNCTION("""COMPUTED_VALUE"""),"Y")</f>
        <v>Y</v>
      </c>
      <c r="R21" s="5"/>
      <c r="S21" s="5"/>
      <c r="T21" s="5">
        <f>IFERROR(__xludf.DUMMYFUNCTION("""COMPUTED_VALUE"""),0.0)</f>
        <v>0</v>
      </c>
      <c r="U21" s="5" t="str">
        <f>IFERROR(__xludf.DUMMYFUNCTION("""COMPUTED_VALUE"""),"Y")</f>
        <v>Y</v>
      </c>
      <c r="V21" s="5">
        <f>IFERROR(__xludf.DUMMYFUNCTION("""COMPUTED_VALUE"""),45.0)</f>
        <v>45</v>
      </c>
      <c r="W21" s="5">
        <f>IFERROR(__xludf.DUMMYFUNCTION("""COMPUTED_VALUE"""),5.0)</f>
        <v>5</v>
      </c>
      <c r="X21" s="5"/>
      <c r="Y21" s="5"/>
      <c r="Z21" s="5"/>
    </row>
    <row r="22">
      <c r="A22" s="5" t="str">
        <f>IFERROR(__xludf.DUMMYFUNCTION("""COMPUTED_VALUE"""),"ถุง-นางกวัก-8*15-แพ็ค")</f>
        <v>ถุง-นางกวัก-8*15-แพ็ค</v>
      </c>
      <c r="B22" s="5">
        <f>IFERROR(__xludf.DUMMYFUNCTION("""COMPUTED_VALUE"""),10473.0)</f>
        <v>10473</v>
      </c>
      <c r="C22" s="5" t="str">
        <f>IFERROR(__xludf.DUMMYFUNCTION("""COMPUTED_VALUE"""),"(S) ถุง นางกวัก 8*15 แพ็ค")</f>
        <v>(S) ถุง นางกวัก 8*15 แพ็ค</v>
      </c>
      <c r="D22" s="5" t="str">
        <f>IFERROR(__xludf.DUMMYFUNCTION("""COMPUTED_VALUE"""),"**ของแห้ง")</f>
        <v>**ของแห้ง</v>
      </c>
      <c r="E22" s="5" t="str">
        <f>IFERROR(__xludf.DUMMYFUNCTION("""COMPUTED_VALUE"""),"X")</f>
        <v>X</v>
      </c>
      <c r="F22" s="5" t="str">
        <f>IFERROR(__xludf.DUMMYFUNCTION("""COMPUTED_VALUE"""),"N")</f>
        <v>N</v>
      </c>
      <c r="G22" s="5"/>
      <c r="H22" s="5"/>
      <c r="I22" s="5"/>
      <c r="J22" s="5"/>
      <c r="K22" s="5"/>
      <c r="L22" s="5"/>
      <c r="M22" s="5">
        <f>IFERROR(__xludf.DUMMYFUNCTION("""COMPUTED_VALUE"""),22.0)</f>
        <v>22</v>
      </c>
      <c r="N22" s="5">
        <f>IFERROR(__xludf.DUMMYFUNCTION("""COMPUTED_VALUE"""),8.859052000047E12)</f>
        <v>8859052000047</v>
      </c>
      <c r="O22" s="5"/>
      <c r="P22" s="5"/>
      <c r="Q22" s="5" t="str">
        <f>IFERROR(__xludf.DUMMYFUNCTION("""COMPUTED_VALUE"""),"Y")</f>
        <v>Y</v>
      </c>
      <c r="R22" s="5"/>
      <c r="S22" s="5"/>
      <c r="T22" s="5">
        <f>IFERROR(__xludf.DUMMYFUNCTION("""COMPUTED_VALUE"""),0.0)</f>
        <v>0</v>
      </c>
      <c r="U22" s="5" t="str">
        <f>IFERROR(__xludf.DUMMYFUNCTION("""COMPUTED_VALUE"""),"Y")</f>
        <v>Y</v>
      </c>
      <c r="V22" s="5">
        <f>IFERROR(__xludf.DUMMYFUNCTION("""COMPUTED_VALUE"""),25.0)</f>
        <v>25</v>
      </c>
      <c r="W22" s="5">
        <f>IFERROR(__xludf.DUMMYFUNCTION("""COMPUTED_VALUE"""),20.0)</f>
        <v>20</v>
      </c>
      <c r="X22" s="5"/>
      <c r="Y22" s="5"/>
      <c r="Z22" s="5"/>
    </row>
    <row r="23">
      <c r="A23" s="5" t="str">
        <f>IFERROR(__xludf.DUMMYFUNCTION("""COMPUTED_VALUE"""),"ถุง10*15-ขุ่น")</f>
        <v>ถุง10*15-ขุ่น</v>
      </c>
      <c r="B23" s="5">
        <f>IFERROR(__xludf.DUMMYFUNCTION("""COMPUTED_VALUE"""),11583.0)</f>
        <v>11583</v>
      </c>
      <c r="C23" s="5" t="str">
        <f>IFERROR(__xludf.DUMMYFUNCTION("""COMPUTED_VALUE"""),"(S) ถุง10*15 ขุ่น")</f>
        <v>(S) ถุง10*15 ขุ่น</v>
      </c>
      <c r="D23" s="5"/>
      <c r="E23" s="5" t="str">
        <f>IFERROR(__xludf.DUMMYFUNCTION("""COMPUTED_VALUE"""),"X")</f>
        <v>X</v>
      </c>
      <c r="F23" s="5" t="str">
        <f>IFERROR(__xludf.DUMMYFUNCTION("""COMPUTED_VALUE"""),"N")</f>
        <v>N</v>
      </c>
      <c r="G23" s="5"/>
      <c r="H23" s="5"/>
      <c r="I23" s="5"/>
      <c r="J23" s="5"/>
      <c r="K23" s="5"/>
      <c r="L23" s="5"/>
      <c r="M23" s="5">
        <f>IFERROR(__xludf.DUMMYFUNCTION("""COMPUTED_VALUE"""),40.0)</f>
        <v>40</v>
      </c>
      <c r="N23" s="5"/>
      <c r="O23" s="5"/>
      <c r="P23" s="5"/>
      <c r="Q23" s="5" t="str">
        <f>IFERROR(__xludf.DUMMYFUNCTION("""COMPUTED_VALUE"""),"N")</f>
        <v>N</v>
      </c>
      <c r="R23" s="5"/>
      <c r="S23" s="5"/>
      <c r="T23" s="5"/>
      <c r="U23" s="5" t="str">
        <f>IFERROR(__xludf.DUMMYFUNCTION("""COMPUTED_VALUE"""),"Y")</f>
        <v>Y</v>
      </c>
      <c r="V23" s="5">
        <f>IFERROR(__xludf.DUMMYFUNCTION("""COMPUTED_VALUE"""),45.0)</f>
        <v>45</v>
      </c>
      <c r="W23" s="5"/>
      <c r="X23" s="5"/>
      <c r="Y23" s="5"/>
      <c r="Z23" s="5"/>
    </row>
    <row r="24">
      <c r="A24" s="5" t="str">
        <f>IFERROR(__xludf.DUMMYFUNCTION("""COMPUTED_VALUE"""),"ถุง9*14ขุ่น")</f>
        <v>ถุง9*14ขุ่น</v>
      </c>
      <c r="B24" s="5">
        <f>IFERROR(__xludf.DUMMYFUNCTION("""COMPUTED_VALUE"""),11559.0)</f>
        <v>11559</v>
      </c>
      <c r="C24" s="5" t="str">
        <f>IFERROR(__xludf.DUMMYFUNCTION("""COMPUTED_VALUE"""),"(S) ถุง9*14ขุ่น")</f>
        <v>(S) ถุง9*14ขุ่น</v>
      </c>
      <c r="D24" s="5" t="str">
        <f>IFERROR(__xludf.DUMMYFUNCTION("""COMPUTED_VALUE"""),"**ของแห้ง")</f>
        <v>**ของแห้ง</v>
      </c>
      <c r="E24" s="5" t="str">
        <f>IFERROR(__xludf.DUMMYFUNCTION("""COMPUTED_VALUE"""),"&lt;p&gt;X&lt;/p&gt;")</f>
        <v>&lt;p&gt;X&lt;/p&gt;</v>
      </c>
      <c r="F24" s="5" t="str">
        <f>IFERROR(__xludf.DUMMYFUNCTION("""COMPUTED_VALUE"""),"N")</f>
        <v>N</v>
      </c>
      <c r="G24" s="5"/>
      <c r="H24" s="5"/>
      <c r="I24" s="5"/>
      <c r="J24" s="5"/>
      <c r="K24" s="5"/>
      <c r="L24" s="5"/>
      <c r="M24" s="5">
        <f>IFERROR(__xludf.DUMMYFUNCTION("""COMPUTED_VALUE"""),45.4)</f>
        <v>45.4</v>
      </c>
      <c r="N24" s="5">
        <f>IFERROR(__xludf.DUMMYFUNCTION("""COMPUTED_VALUE"""),8.858817012271E12)</f>
        <v>8858817012271</v>
      </c>
      <c r="O24" s="5"/>
      <c r="P24" s="5"/>
      <c r="Q24" s="5" t="str">
        <f>IFERROR(__xludf.DUMMYFUNCTION("""COMPUTED_VALUE"""),"Y")</f>
        <v>Y</v>
      </c>
      <c r="R24" s="5"/>
      <c r="S24" s="5"/>
      <c r="T24" s="5">
        <f>IFERROR(__xludf.DUMMYFUNCTION("""COMPUTED_VALUE"""),0.0)</f>
        <v>0</v>
      </c>
      <c r="U24" s="5" t="str">
        <f>IFERROR(__xludf.DUMMYFUNCTION("""COMPUTED_VALUE"""),"Y")</f>
        <v>Y</v>
      </c>
      <c r="V24" s="5">
        <f>IFERROR(__xludf.DUMMYFUNCTION("""COMPUTED_VALUE"""),55.0)</f>
        <v>55</v>
      </c>
      <c r="W24" s="5">
        <f>IFERROR(__xludf.DUMMYFUNCTION("""COMPUTED_VALUE"""),50.0)</f>
        <v>50</v>
      </c>
      <c r="X24" s="5"/>
      <c r="Y24" s="5"/>
      <c r="Z24" s="5"/>
    </row>
    <row r="25">
      <c r="A25" s="5" t="str">
        <f>IFERROR(__xludf.DUMMYFUNCTION("""COMPUTED_VALUE"""),"ถุง-16*/26")</f>
        <v>ถุง-16*/26</v>
      </c>
      <c r="B25" s="5">
        <f>IFERROR(__xludf.DUMMYFUNCTION("""COMPUTED_VALUE"""),11384.0)</f>
        <v>11384</v>
      </c>
      <c r="C25" s="5" t="str">
        <f>IFERROR(__xludf.DUMMYFUNCTION("""COMPUTED_VALUE"""),"(S) ถุงLL 14*22สีส้ม500g")</f>
        <v>(S) ถุงLL 14*22สีส้ม500g</v>
      </c>
      <c r="D25" s="5"/>
      <c r="E25" s="5" t="str">
        <f>IFERROR(__xludf.DUMMYFUNCTION("""COMPUTED_VALUE"""),"&lt;p&gt;X&lt;/p&gt;")</f>
        <v>&lt;p&gt;X&lt;/p&gt;</v>
      </c>
      <c r="F25" s="5" t="str">
        <f>IFERROR(__xludf.DUMMYFUNCTION("""COMPUTED_VALUE"""),"N")</f>
        <v>N</v>
      </c>
      <c r="G25" s="5"/>
      <c r="H25" s="5"/>
      <c r="I25" s="5"/>
      <c r="J25" s="5"/>
      <c r="K25" s="5"/>
      <c r="L25" s="5"/>
      <c r="M25" s="5">
        <f>IFERROR(__xludf.DUMMYFUNCTION("""COMPUTED_VALUE"""),46.0)</f>
        <v>46</v>
      </c>
      <c r="N25" s="5">
        <f>IFERROR(__xludf.DUMMYFUNCTION("""COMPUTED_VALUE"""),8.858817012738E12)</f>
        <v>8858817012738</v>
      </c>
      <c r="O25" s="5"/>
      <c r="P25" s="5"/>
      <c r="Q25" s="5" t="str">
        <f>IFERROR(__xludf.DUMMYFUNCTION("""COMPUTED_VALUE"""),"N")</f>
        <v>N</v>
      </c>
      <c r="R25" s="5"/>
      <c r="S25" s="5"/>
      <c r="T25" s="5"/>
      <c r="U25" s="5" t="str">
        <f>IFERROR(__xludf.DUMMYFUNCTION("""COMPUTED_VALUE"""),"Y")</f>
        <v>Y</v>
      </c>
      <c r="V25" s="5">
        <f>IFERROR(__xludf.DUMMYFUNCTION("""COMPUTED_VALUE"""),55.0)</f>
        <v>55</v>
      </c>
      <c r="W25" s="5"/>
      <c r="X25" s="5"/>
      <c r="Y25" s="5"/>
      <c r="Z25" s="5"/>
    </row>
    <row r="26">
      <c r="A26" s="5" t="str">
        <f>IFERROR(__xludf.DUMMYFUNCTION("""COMPUTED_VALUE"""),"ถุงหนา8*16")</f>
        <v>ถุงหนา8*16</v>
      </c>
      <c r="B26" s="5">
        <f>IFERROR(__xludf.DUMMYFUNCTION("""COMPUTED_VALUE"""),11360.0)</f>
        <v>11360</v>
      </c>
      <c r="C26" s="5" t="str">
        <f>IFERROR(__xludf.DUMMYFUNCTION("""COMPUTED_VALUE"""),"(S) ถุงหนา8*16")</f>
        <v>(S) ถุงหนา8*16</v>
      </c>
      <c r="D26" s="5"/>
      <c r="E26" s="5" t="str">
        <f>IFERROR(__xludf.DUMMYFUNCTION("""COMPUTED_VALUE"""),"X")</f>
        <v>X</v>
      </c>
      <c r="F26" s="5" t="str">
        <f>IFERROR(__xludf.DUMMYFUNCTION("""COMPUTED_VALUE"""),"N")</f>
        <v>N</v>
      </c>
      <c r="G26" s="5"/>
      <c r="H26" s="5"/>
      <c r="I26" s="5"/>
      <c r="J26" s="5"/>
      <c r="K26" s="5"/>
      <c r="L26" s="5"/>
      <c r="M26" s="5">
        <f>IFERROR(__xludf.DUMMYFUNCTION("""COMPUTED_VALUE"""),36.0)</f>
        <v>36</v>
      </c>
      <c r="N26" s="5">
        <f>IFERROR(__xludf.DUMMYFUNCTION("""COMPUTED_VALUE"""),8.858817019638E12)</f>
        <v>8858817019638</v>
      </c>
      <c r="O26" s="5"/>
      <c r="P26" s="5"/>
      <c r="Q26" s="5" t="str">
        <f>IFERROR(__xludf.DUMMYFUNCTION("""COMPUTED_VALUE"""),"N")</f>
        <v>N</v>
      </c>
      <c r="R26" s="5"/>
      <c r="S26" s="5"/>
      <c r="T26" s="5"/>
      <c r="U26" s="5" t="str">
        <f>IFERROR(__xludf.DUMMYFUNCTION("""COMPUTED_VALUE"""),"Y")</f>
        <v>Y</v>
      </c>
      <c r="V26" s="5">
        <f>IFERROR(__xludf.DUMMYFUNCTION("""COMPUTED_VALUE"""),45.0)</f>
        <v>45</v>
      </c>
      <c r="W26" s="5"/>
      <c r="X26" s="5"/>
      <c r="Y26" s="5"/>
      <c r="Z26" s="5"/>
    </row>
    <row r="27">
      <c r="A27" s="5" t="str">
        <f>IFERROR(__xludf.DUMMYFUNCTION("""COMPUTED_VALUE"""),"ถุงหูหิ้ว-12*20-แพ็ค")</f>
        <v>ถุงหูหิ้ว-12*20-แพ็ค</v>
      </c>
      <c r="B27" s="5">
        <f>IFERROR(__xludf.DUMMYFUNCTION("""COMPUTED_VALUE"""),10475.0)</f>
        <v>10475</v>
      </c>
      <c r="C27" s="5" t="str">
        <f>IFERROR(__xludf.DUMMYFUNCTION("""COMPUTED_VALUE"""),"(S) ถุงหิ้ว12*20 ตราส้ม(บาง)")</f>
        <v>(S) ถุงหิ้ว12*20 ตราส้ม(บาง)</v>
      </c>
      <c r="D27" s="5" t="str">
        <f>IFERROR(__xludf.DUMMYFUNCTION("""COMPUTED_VALUE"""),"**ของแห้ง")</f>
        <v>**ของแห้ง</v>
      </c>
      <c r="E27" s="5" t="str">
        <f>IFERROR(__xludf.DUMMYFUNCTION("""COMPUTED_VALUE"""),"&lt;p&gt;X&lt;/p&gt;")</f>
        <v>&lt;p&gt;X&lt;/p&gt;</v>
      </c>
      <c r="F27" s="5" t="str">
        <f>IFERROR(__xludf.DUMMYFUNCTION("""COMPUTED_VALUE"""),"N")</f>
        <v>N</v>
      </c>
      <c r="G27" s="5"/>
      <c r="H27" s="5"/>
      <c r="I27" s="5"/>
      <c r="J27" s="5"/>
      <c r="K27" s="5"/>
      <c r="L27" s="5"/>
      <c r="M27" s="5">
        <f>IFERROR(__xludf.DUMMYFUNCTION("""COMPUTED_VALUE"""),36.29)</f>
        <v>36.29</v>
      </c>
      <c r="N27" s="5">
        <f>IFERROR(__xludf.DUMMYFUNCTION("""COMPUTED_VALUE"""),8.858678310059E12)</f>
        <v>8858678310059</v>
      </c>
      <c r="O27" s="5"/>
      <c r="P27" s="5"/>
      <c r="Q27" s="5" t="str">
        <f>IFERROR(__xludf.DUMMYFUNCTION("""COMPUTED_VALUE"""),"Y")</f>
        <v>Y</v>
      </c>
      <c r="R27" s="5"/>
      <c r="S27" s="5"/>
      <c r="T27" s="5">
        <f>IFERROR(__xludf.DUMMYFUNCTION("""COMPUTED_VALUE"""),36.29)</f>
        <v>36.29</v>
      </c>
      <c r="U27" s="5" t="str">
        <f>IFERROR(__xludf.DUMMYFUNCTION("""COMPUTED_VALUE"""),"Y")</f>
        <v>Y</v>
      </c>
      <c r="V27" s="5">
        <f>IFERROR(__xludf.DUMMYFUNCTION("""COMPUTED_VALUE"""),45.0)</f>
        <v>45</v>
      </c>
      <c r="W27" s="5">
        <f>IFERROR(__xludf.DUMMYFUNCTION("""COMPUTED_VALUE"""),61.0)</f>
        <v>61</v>
      </c>
      <c r="X27" s="5">
        <f>IFERROR(__xludf.DUMMYFUNCTION("""COMPUTED_VALUE"""),0.0)</f>
        <v>0</v>
      </c>
      <c r="Y27" s="5"/>
      <c r="Z27" s="5"/>
    </row>
    <row r="28">
      <c r="A28" s="5" t="str">
        <f>IFERROR(__xludf.DUMMYFUNCTION("""COMPUTED_VALUE"""),"ถุงหูหิ้ว-6*14")</f>
        <v>ถุงหูหิ้ว-6*14</v>
      </c>
      <c r="B28" s="5">
        <f>IFERROR(__xludf.DUMMYFUNCTION("""COMPUTED_VALUE"""),10497.0)</f>
        <v>10497</v>
      </c>
      <c r="C28" s="5" t="str">
        <f>IFERROR(__xludf.DUMMYFUNCTION("""COMPUTED_VALUE"""),"(S) ถุงหูหิ้ว 6*14มิสแฮปปี้")</f>
        <v>(S) ถุงหูหิ้ว 6*14มิสแฮปปี้</v>
      </c>
      <c r="D28" s="5" t="str">
        <f>IFERROR(__xludf.DUMMYFUNCTION("""COMPUTED_VALUE"""),"**ของแห้ง")</f>
        <v>**ของแห้ง</v>
      </c>
      <c r="E28" s="5" t="str">
        <f>IFERROR(__xludf.DUMMYFUNCTION("""COMPUTED_VALUE"""),"X")</f>
        <v>X</v>
      </c>
      <c r="F28" s="5" t="str">
        <f>IFERROR(__xludf.DUMMYFUNCTION("""COMPUTED_VALUE"""),"N")</f>
        <v>N</v>
      </c>
      <c r="G28" s="5"/>
      <c r="H28" s="5"/>
      <c r="I28" s="5"/>
      <c r="J28" s="5"/>
      <c r="K28" s="5"/>
      <c r="L28" s="5"/>
      <c r="M28" s="5">
        <f>IFERROR(__xludf.DUMMYFUNCTION("""COMPUTED_VALUE"""),10.0)</f>
        <v>10</v>
      </c>
      <c r="N28" s="5">
        <f>IFERROR(__xludf.DUMMYFUNCTION("""COMPUTED_VALUE"""),8.858746105396E12)</f>
        <v>8858746105396</v>
      </c>
      <c r="O28" s="5"/>
      <c r="P28" s="5"/>
      <c r="Q28" s="5" t="str">
        <f>IFERROR(__xludf.DUMMYFUNCTION("""COMPUTED_VALUE"""),"Y")</f>
        <v>Y</v>
      </c>
      <c r="R28" s="5"/>
      <c r="S28" s="5"/>
      <c r="T28" s="5">
        <f>IFERROR(__xludf.DUMMYFUNCTION("""COMPUTED_VALUE"""),0.0)</f>
        <v>0</v>
      </c>
      <c r="U28" s="5" t="str">
        <f>IFERROR(__xludf.DUMMYFUNCTION("""COMPUTED_VALUE"""),"Y")</f>
        <v>Y</v>
      </c>
      <c r="V28" s="5">
        <f>IFERROR(__xludf.DUMMYFUNCTION("""COMPUTED_VALUE"""),15.0)</f>
        <v>15</v>
      </c>
      <c r="W28" s="5">
        <f>IFERROR(__xludf.DUMMYFUNCTION("""COMPUTED_VALUE"""),1.0)</f>
        <v>1</v>
      </c>
      <c r="X28" s="5"/>
      <c r="Y28" s="5"/>
      <c r="Z28" s="5"/>
    </row>
    <row r="29">
      <c r="A29" s="5" t="str">
        <f>IFERROR(__xludf.DUMMYFUNCTION("""COMPUTED_VALUE"""),"ถุงหูหิ้ว-7*15")</f>
        <v>ถุงหูหิ้ว-7*15</v>
      </c>
      <c r="B29" s="5">
        <f>IFERROR(__xludf.DUMMYFUNCTION("""COMPUTED_VALUE"""),10495.0)</f>
        <v>10495</v>
      </c>
      <c r="C29" s="5" t="str">
        <f>IFERROR(__xludf.DUMMYFUNCTION("""COMPUTED_VALUE"""),"(S) ถุงหูหิ้ว 7*15ตราส้ม")</f>
        <v>(S) ถุงหูหิ้ว 7*15ตราส้ม</v>
      </c>
      <c r="D29" s="5" t="str">
        <f>IFERROR(__xludf.DUMMYFUNCTION("""COMPUTED_VALUE"""),"**ของแห้ง")</f>
        <v>**ของแห้ง</v>
      </c>
      <c r="E29" s="5" t="str">
        <f>IFERROR(__xludf.DUMMYFUNCTION("""COMPUTED_VALUE"""),"X")</f>
        <v>X</v>
      </c>
      <c r="F29" s="5" t="str">
        <f>IFERROR(__xludf.DUMMYFUNCTION("""COMPUTED_VALUE"""),"N")</f>
        <v>N</v>
      </c>
      <c r="G29" s="5"/>
      <c r="H29" s="5"/>
      <c r="I29" s="5"/>
      <c r="J29" s="5"/>
      <c r="K29" s="5"/>
      <c r="L29" s="5"/>
      <c r="M29" s="5">
        <f>IFERROR(__xludf.DUMMYFUNCTION("""COMPUTED_VALUE"""),10.5)</f>
        <v>10.5</v>
      </c>
      <c r="N29" s="5">
        <f>IFERROR(__xludf.DUMMYFUNCTION("""COMPUTED_VALUE"""),8.858678310066E12)</f>
        <v>8858678310066</v>
      </c>
      <c r="O29" s="5"/>
      <c r="P29" s="5"/>
      <c r="Q29" s="5" t="str">
        <f>IFERROR(__xludf.DUMMYFUNCTION("""COMPUTED_VALUE"""),"Y")</f>
        <v>Y</v>
      </c>
      <c r="R29" s="5"/>
      <c r="S29" s="5"/>
      <c r="T29" s="5">
        <f>IFERROR(__xludf.DUMMYFUNCTION("""COMPUTED_VALUE"""),0.0)</f>
        <v>0</v>
      </c>
      <c r="U29" s="5" t="str">
        <f>IFERROR(__xludf.DUMMYFUNCTION("""COMPUTED_VALUE"""),"Y")</f>
        <v>Y</v>
      </c>
      <c r="V29" s="5">
        <f>IFERROR(__xludf.DUMMYFUNCTION("""COMPUTED_VALUE"""),15.0)</f>
        <v>15</v>
      </c>
      <c r="W29" s="5">
        <f>IFERROR(__xludf.DUMMYFUNCTION("""COMPUTED_VALUE"""),3.0)</f>
        <v>3</v>
      </c>
      <c r="X29" s="5"/>
      <c r="Y29" s="5"/>
      <c r="Z29" s="5"/>
    </row>
    <row r="30">
      <c r="A30" s="5" t="str">
        <f>IFERROR(__xludf.DUMMYFUNCTION("""COMPUTED_VALUE"""),"ถุงหูหิ้ว-7*15ตราเด็ก")</f>
        <v>ถุงหูหิ้ว-7*15ตราเด็ก</v>
      </c>
      <c r="B30" s="5">
        <f>IFERROR(__xludf.DUMMYFUNCTION("""COMPUTED_VALUE"""),11011.0)</f>
        <v>11011</v>
      </c>
      <c r="C30" s="5" t="str">
        <f>IFERROR(__xludf.DUMMYFUNCTION("""COMPUTED_VALUE"""),"(S) ถุงหูหิ้ว 7*15ตราเด็ก")</f>
        <v>(S) ถุงหูหิ้ว 7*15ตราเด็ก</v>
      </c>
      <c r="D30" s="5" t="str">
        <f>IFERROR(__xludf.DUMMYFUNCTION("""COMPUTED_VALUE"""),"**ของแห้ง")</f>
        <v>**ของแห้ง</v>
      </c>
      <c r="E30" s="5" t="str">
        <f>IFERROR(__xludf.DUMMYFUNCTION("""COMPUTED_VALUE"""),"X")</f>
        <v>X</v>
      </c>
      <c r="F30" s="5" t="str">
        <f>IFERROR(__xludf.DUMMYFUNCTION("""COMPUTED_VALUE"""),"N")</f>
        <v>N</v>
      </c>
      <c r="G30" s="5"/>
      <c r="H30" s="5"/>
      <c r="I30" s="5"/>
      <c r="J30" s="5"/>
      <c r="K30" s="5"/>
      <c r="L30" s="5"/>
      <c r="M30" s="5">
        <f>IFERROR(__xludf.DUMMYFUNCTION("""COMPUTED_VALUE"""),22.0)</f>
        <v>22</v>
      </c>
      <c r="N30" s="5">
        <f>IFERROR(__xludf.DUMMYFUNCTION("""COMPUTED_VALUE"""),8.8588711119282E13)</f>
        <v>88588711119282</v>
      </c>
      <c r="O30" s="5"/>
      <c r="P30" s="5"/>
      <c r="Q30" s="5" t="str">
        <f>IFERROR(__xludf.DUMMYFUNCTION("""COMPUTED_VALUE"""),"Y")</f>
        <v>Y</v>
      </c>
      <c r="R30" s="5"/>
      <c r="S30" s="5"/>
      <c r="T30" s="5">
        <f>IFERROR(__xludf.DUMMYFUNCTION("""COMPUTED_VALUE"""),0.0)</f>
        <v>0</v>
      </c>
      <c r="U30" s="5" t="str">
        <f>IFERROR(__xludf.DUMMYFUNCTION("""COMPUTED_VALUE"""),"Y")</f>
        <v>Y</v>
      </c>
      <c r="V30" s="5">
        <f>IFERROR(__xludf.DUMMYFUNCTION("""COMPUTED_VALUE"""),27.0)</f>
        <v>27</v>
      </c>
      <c r="W30" s="5">
        <f>IFERROR(__xludf.DUMMYFUNCTION("""COMPUTED_VALUE"""),1.0)</f>
        <v>1</v>
      </c>
      <c r="X30" s="5"/>
      <c r="Y30" s="5"/>
      <c r="Z30" s="5"/>
    </row>
    <row r="31">
      <c r="A31" s="5" t="str">
        <f>IFERROR(__xludf.DUMMYFUNCTION("""COMPUTED_VALUE"""),"ถุงหูหิ้ว-9*18--ตราเด็ก")</f>
        <v>ถุงหูหิ้ว-9*18--ตราเด็ก</v>
      </c>
      <c r="B31" s="5">
        <f>IFERROR(__xludf.DUMMYFUNCTION("""COMPUTED_VALUE"""),11012.0)</f>
        <v>11012</v>
      </c>
      <c r="C31" s="5" t="str">
        <f>IFERROR(__xludf.DUMMYFUNCTION("""COMPUTED_VALUE"""),"(S) ถุงหูหิ้ว 9*18  ตรามิสแฮปปี้")</f>
        <v>(S) ถุงหูหิ้ว 9*18  ตรามิสแฮปปี้</v>
      </c>
      <c r="D31" s="5" t="str">
        <f>IFERROR(__xludf.DUMMYFUNCTION("""COMPUTED_VALUE"""),"**ของแห้ง")</f>
        <v>**ของแห้ง</v>
      </c>
      <c r="E31" s="5" t="str">
        <f>IFERROR(__xludf.DUMMYFUNCTION("""COMPUTED_VALUE"""),"X")</f>
        <v>X</v>
      </c>
      <c r="F31" s="5" t="str">
        <f>IFERROR(__xludf.DUMMYFUNCTION("""COMPUTED_VALUE"""),"N")</f>
        <v>N</v>
      </c>
      <c r="G31" s="5"/>
      <c r="H31" s="5"/>
      <c r="I31" s="5"/>
      <c r="J31" s="5"/>
      <c r="K31" s="5"/>
      <c r="L31" s="5"/>
      <c r="M31" s="5">
        <f>IFERROR(__xludf.DUMMYFUNCTION("""COMPUTED_VALUE"""),22.0)</f>
        <v>22</v>
      </c>
      <c r="N31" s="5">
        <f>IFERROR(__xludf.DUMMYFUNCTION("""COMPUTED_VALUE"""),8.858746105419E12)</f>
        <v>8858746105419</v>
      </c>
      <c r="O31" s="5"/>
      <c r="P31" s="5"/>
      <c r="Q31" s="5" t="str">
        <f>IFERROR(__xludf.DUMMYFUNCTION("""COMPUTED_VALUE"""),"Y")</f>
        <v>Y</v>
      </c>
      <c r="R31" s="5"/>
      <c r="S31" s="5"/>
      <c r="T31" s="5">
        <f>IFERROR(__xludf.DUMMYFUNCTION("""COMPUTED_VALUE"""),0.0)</f>
        <v>0</v>
      </c>
      <c r="U31" s="5" t="str">
        <f>IFERROR(__xludf.DUMMYFUNCTION("""COMPUTED_VALUE"""),"Y")</f>
        <v>Y</v>
      </c>
      <c r="V31" s="5">
        <f>IFERROR(__xludf.DUMMYFUNCTION("""COMPUTED_VALUE"""),30.0)</f>
        <v>30</v>
      </c>
      <c r="W31" s="5">
        <f>IFERROR(__xludf.DUMMYFUNCTION("""COMPUTED_VALUE"""),16.0)</f>
        <v>16</v>
      </c>
      <c r="X31" s="5"/>
      <c r="Y31" s="5"/>
      <c r="Z31" s="5"/>
    </row>
    <row r="32">
      <c r="A32" s="5" t="str">
        <f>IFERROR(__xludf.DUMMYFUNCTION("""COMPUTED_VALUE"""),"ถุงแกง-7*11")</f>
        <v>ถุงแกง-7*11</v>
      </c>
      <c r="B32" s="5">
        <f>IFERROR(__xludf.DUMMYFUNCTION("""COMPUTED_VALUE"""),10520.0)</f>
        <v>10520</v>
      </c>
      <c r="C32" s="5" t="str">
        <f>IFERROR(__xludf.DUMMYFUNCTION("""COMPUTED_VALUE"""),"(S) ถุงแกง 7*11 ตราดาว")</f>
        <v>(S) ถุงแกง 7*11 ตราดาว</v>
      </c>
      <c r="D32" s="5" t="str">
        <f>IFERROR(__xludf.DUMMYFUNCTION("""COMPUTED_VALUE"""),"**ของแห้ง")</f>
        <v>**ของแห้ง</v>
      </c>
      <c r="E32" s="5" t="str">
        <f>IFERROR(__xludf.DUMMYFUNCTION("""COMPUTED_VALUE"""),"X")</f>
        <v>X</v>
      </c>
      <c r="F32" s="5" t="str">
        <f>IFERROR(__xludf.DUMMYFUNCTION("""COMPUTED_VALUE"""),"N")</f>
        <v>N</v>
      </c>
      <c r="G32" s="5"/>
      <c r="H32" s="5"/>
      <c r="I32" s="5"/>
      <c r="J32" s="5"/>
      <c r="K32" s="5"/>
      <c r="L32" s="5"/>
      <c r="M32" s="5">
        <f>IFERROR(__xludf.DUMMYFUNCTION("""COMPUTED_VALUE"""),34.0)</f>
        <v>34</v>
      </c>
      <c r="N32" s="5">
        <f>IFERROR(__xludf.DUMMYFUNCTION("""COMPUTED_VALUE"""),8.859085900666E12)</f>
        <v>8859085900666</v>
      </c>
      <c r="O32" s="5"/>
      <c r="P32" s="5"/>
      <c r="Q32" s="5" t="str">
        <f>IFERROR(__xludf.DUMMYFUNCTION("""COMPUTED_VALUE"""),"Y")</f>
        <v>Y</v>
      </c>
      <c r="R32" s="5"/>
      <c r="S32" s="5"/>
      <c r="T32" s="5">
        <f>IFERROR(__xludf.DUMMYFUNCTION("""COMPUTED_VALUE"""),0.0)</f>
        <v>0</v>
      </c>
      <c r="U32" s="5" t="str">
        <f>IFERROR(__xludf.DUMMYFUNCTION("""COMPUTED_VALUE"""),"Y")</f>
        <v>Y</v>
      </c>
      <c r="V32" s="5">
        <f>IFERROR(__xludf.DUMMYFUNCTION("""COMPUTED_VALUE"""),45.0)</f>
        <v>45</v>
      </c>
      <c r="W32" s="5">
        <f>IFERROR(__xludf.DUMMYFUNCTION("""COMPUTED_VALUE"""),37.0)</f>
        <v>37</v>
      </c>
      <c r="X32" s="5">
        <f>IFERROR(__xludf.DUMMYFUNCTION("""COMPUTED_VALUE"""),10.0)</f>
        <v>10</v>
      </c>
      <c r="Y32" s="5"/>
      <c r="Z32" s="5"/>
    </row>
    <row r="33">
      <c r="A33" s="5" t="str">
        <f>IFERROR(__xludf.DUMMYFUNCTION("""COMPUTED_VALUE"""),"ถุงแกง-8*12")</f>
        <v>ถุงแกง-8*12</v>
      </c>
      <c r="B33" s="5">
        <f>IFERROR(__xludf.DUMMYFUNCTION("""COMPUTED_VALUE"""),10474.0)</f>
        <v>10474</v>
      </c>
      <c r="C33" s="5" t="str">
        <f>IFERROR(__xludf.DUMMYFUNCTION("""COMPUTED_VALUE"""),"(S) ถุงแกง 8*12 pp น้ำตาล")</f>
        <v>(S) ถุงแกง 8*12 pp น้ำตาล</v>
      </c>
      <c r="D33" s="5" t="str">
        <f>IFERROR(__xludf.DUMMYFUNCTION("""COMPUTED_VALUE"""),"**ของแห้ง")</f>
        <v>**ของแห้ง</v>
      </c>
      <c r="E33" s="5" t="str">
        <f>IFERROR(__xludf.DUMMYFUNCTION("""COMPUTED_VALUE"""),"X")</f>
        <v>X</v>
      </c>
      <c r="F33" s="5" t="str">
        <f>IFERROR(__xludf.DUMMYFUNCTION("""COMPUTED_VALUE"""),"N")</f>
        <v>N</v>
      </c>
      <c r="G33" s="5"/>
      <c r="H33" s="5"/>
      <c r="I33" s="5"/>
      <c r="J33" s="5"/>
      <c r="K33" s="5"/>
      <c r="L33" s="5"/>
      <c r="M33" s="5">
        <f>IFERROR(__xludf.DUMMYFUNCTION("""COMPUTED_VALUE"""),33.0)</f>
        <v>33</v>
      </c>
      <c r="N33" s="5">
        <f>IFERROR(__xludf.DUMMYFUNCTION("""COMPUTED_VALUE"""),8.858817011212E12)</f>
        <v>8858817011212</v>
      </c>
      <c r="O33" s="5"/>
      <c r="P33" s="5"/>
      <c r="Q33" s="5" t="str">
        <f>IFERROR(__xludf.DUMMYFUNCTION("""COMPUTED_VALUE"""),"Y")</f>
        <v>Y</v>
      </c>
      <c r="R33" s="5"/>
      <c r="S33" s="5"/>
      <c r="T33" s="5">
        <f>IFERROR(__xludf.DUMMYFUNCTION("""COMPUTED_VALUE"""),0.0)</f>
        <v>0</v>
      </c>
      <c r="U33" s="5" t="str">
        <f>IFERROR(__xludf.DUMMYFUNCTION("""COMPUTED_VALUE"""),"Y")</f>
        <v>Y</v>
      </c>
      <c r="V33" s="5">
        <f>IFERROR(__xludf.DUMMYFUNCTION("""COMPUTED_VALUE"""),45.0)</f>
        <v>45</v>
      </c>
      <c r="W33" s="5">
        <f>IFERROR(__xludf.DUMMYFUNCTION("""COMPUTED_VALUE"""),33.0)</f>
        <v>33</v>
      </c>
      <c r="X33" s="5"/>
      <c r="Y33" s="5"/>
      <c r="Z33" s="5"/>
    </row>
    <row r="34">
      <c r="A34" s="5" t="str">
        <f>IFERROR(__xludf.DUMMYFUNCTION("""COMPUTED_VALUE"""),"น้ำจิ้มชีฟู้ด")</f>
        <v>น้ำจิ้มชีฟู้ด</v>
      </c>
      <c r="B34" s="5">
        <f>IFERROR(__xludf.DUMMYFUNCTION("""COMPUTED_VALUE"""),10015.0)</f>
        <v>10015</v>
      </c>
      <c r="C34" s="5" t="str">
        <f>IFERROR(__xludf.DUMMYFUNCTION("""COMPUTED_VALUE"""),"(S) น้ำจิ้มซีฟู้ดฝาเขียว")</f>
        <v>(S) น้ำจิ้มซีฟู้ดฝาเขียว</v>
      </c>
      <c r="D34" s="5"/>
      <c r="E34" s="5"/>
      <c r="F34" s="5" t="str">
        <f>IFERROR(__xludf.DUMMYFUNCTION("""COMPUTED_VALUE"""),"N")</f>
        <v>N</v>
      </c>
      <c r="G34" s="5"/>
      <c r="H34" s="5"/>
      <c r="I34" s="5"/>
      <c r="J34" s="5"/>
      <c r="K34" s="5"/>
      <c r="L34" s="5"/>
      <c r="M34" s="5">
        <f>IFERROR(__xludf.DUMMYFUNCTION("""COMPUTED_VALUE"""),20.0)</f>
        <v>20</v>
      </c>
      <c r="N34" s="5"/>
      <c r="O34" s="5"/>
      <c r="P34" s="5"/>
      <c r="Q34" s="5" t="str">
        <f>IFERROR(__xludf.DUMMYFUNCTION("""COMPUTED_VALUE"""),"N")</f>
        <v>N</v>
      </c>
      <c r="R34" s="5"/>
      <c r="S34" s="5"/>
      <c r="T34" s="5"/>
      <c r="U34" s="5" t="str">
        <f>IFERROR(__xludf.DUMMYFUNCTION("""COMPUTED_VALUE"""),"Y")</f>
        <v>Y</v>
      </c>
      <c r="V34" s="5">
        <f>IFERROR(__xludf.DUMMYFUNCTION("""COMPUTED_VALUE"""),30.0)</f>
        <v>30</v>
      </c>
      <c r="W34" s="5"/>
      <c r="X34" s="5"/>
      <c r="Y34" s="5"/>
      <c r="Z34" s="5"/>
    </row>
    <row r="35">
      <c r="A35" s="5" t="str">
        <f>IFERROR(__xludf.DUMMYFUNCTION("""COMPUTED_VALUE"""),"น้ำตาลทรายแดง(วังขนาย)1,000กรัม")</f>
        <v>น้ำตาลทรายแดง(วังขนาย)1,000กรัม</v>
      </c>
      <c r="B35" s="5">
        <f>IFERROR(__xludf.DUMMYFUNCTION("""COMPUTED_VALUE"""),11529.0)</f>
        <v>11529</v>
      </c>
      <c r="C35" s="5" t="str">
        <f>IFERROR(__xludf.DUMMYFUNCTION("""COMPUTED_VALUE"""),"(S) น้ำตาลทรายแดง(วังขนาย)1,000กรัม")</f>
        <v>(S) น้ำตาลทรายแดง(วังขนาย)1,000กรัม</v>
      </c>
      <c r="D35" s="5"/>
      <c r="E35" s="5" t="str">
        <f>IFERROR(__xludf.DUMMYFUNCTION("""COMPUTED_VALUE"""),"X")</f>
        <v>X</v>
      </c>
      <c r="F35" s="5" t="str">
        <f>IFERROR(__xludf.DUMMYFUNCTION("""COMPUTED_VALUE"""),"N")</f>
        <v>N</v>
      </c>
      <c r="G35" s="5"/>
      <c r="H35" s="5"/>
      <c r="I35" s="5"/>
      <c r="J35" s="5"/>
      <c r="K35" s="5"/>
      <c r="L35" s="5"/>
      <c r="M35" s="5">
        <f>IFERROR(__xludf.DUMMYFUNCTION("""COMPUTED_VALUE"""),26.0)</f>
        <v>26</v>
      </c>
      <c r="N35" s="5"/>
      <c r="O35" s="5"/>
      <c r="P35" s="5"/>
      <c r="Q35" s="5" t="str">
        <f>IFERROR(__xludf.DUMMYFUNCTION("""COMPUTED_VALUE"""),"N")</f>
        <v>N</v>
      </c>
      <c r="R35" s="5"/>
      <c r="S35" s="5"/>
      <c r="T35" s="5"/>
      <c r="U35" s="5" t="str">
        <f>IFERROR(__xludf.DUMMYFUNCTION("""COMPUTED_VALUE"""),"Y")</f>
        <v>Y</v>
      </c>
      <c r="V35" s="5">
        <f>IFERROR(__xludf.DUMMYFUNCTION("""COMPUTED_VALUE"""),35.0)</f>
        <v>35</v>
      </c>
      <c r="W35" s="5"/>
      <c r="X35" s="5"/>
      <c r="Y35" s="5"/>
      <c r="Z35" s="5"/>
    </row>
    <row r="36">
      <c r="A36" s="5" t="str">
        <f>IFERROR(__xludf.DUMMYFUNCTION("""COMPUTED_VALUE"""),"น้ำมะนาวฟ้าไทย-1000ml")</f>
        <v>น้ำมะนาวฟ้าไทย-1000ml</v>
      </c>
      <c r="B36" s="5">
        <f>IFERROR(__xludf.DUMMYFUNCTION("""COMPUTED_VALUE"""),10589.0)</f>
        <v>10589</v>
      </c>
      <c r="C36" s="5" t="str">
        <f>IFERROR(__xludf.DUMMYFUNCTION("""COMPUTED_VALUE"""),"(S) น้ำมะนาวฟ้าไทย 1000ml")</f>
        <v>(S) น้ำมะนาวฟ้าไทย 1000ml</v>
      </c>
      <c r="D36" s="5" t="str">
        <f>IFERROR(__xludf.DUMMYFUNCTION("""COMPUTED_VALUE"""),"**เครื่องปรุง")</f>
        <v>**เครื่องปรุง</v>
      </c>
      <c r="E36" s="5" t="str">
        <f>IFERROR(__xludf.DUMMYFUNCTION("""COMPUTED_VALUE"""),"&lt;p&gt;X&lt;/p&gt;")</f>
        <v>&lt;p&gt;X&lt;/p&gt;</v>
      </c>
      <c r="F36" s="5" t="str">
        <f>IFERROR(__xludf.DUMMYFUNCTION("""COMPUTED_VALUE"""),"N")</f>
        <v>N</v>
      </c>
      <c r="G36" s="5"/>
      <c r="H36" s="5"/>
      <c r="I36" s="5"/>
      <c r="J36" s="5"/>
      <c r="K36" s="5"/>
      <c r="L36" s="5"/>
      <c r="M36" s="5">
        <f>IFERROR(__xludf.DUMMYFUNCTION("""COMPUTED_VALUE"""),21.67)</f>
        <v>21.67</v>
      </c>
      <c r="N36" s="5">
        <f>IFERROR(__xludf.DUMMYFUNCTION("""COMPUTED_VALUE"""),8.854334002436E12)</f>
        <v>8854334002436</v>
      </c>
      <c r="O36" s="5"/>
      <c r="P36" s="5"/>
      <c r="Q36" s="5" t="str">
        <f>IFERROR(__xludf.DUMMYFUNCTION("""COMPUTED_VALUE"""),"Y")</f>
        <v>Y</v>
      </c>
      <c r="R36" s="5"/>
      <c r="S36" s="5"/>
      <c r="T36" s="5">
        <f>IFERROR(__xludf.DUMMYFUNCTION("""COMPUTED_VALUE"""),21.67)</f>
        <v>21.67</v>
      </c>
      <c r="U36" s="5" t="str">
        <f>IFERROR(__xludf.DUMMYFUNCTION("""COMPUTED_VALUE"""),"Y")</f>
        <v>Y</v>
      </c>
      <c r="V36" s="5">
        <f>IFERROR(__xludf.DUMMYFUNCTION("""COMPUTED_VALUE"""),25.0)</f>
        <v>25</v>
      </c>
      <c r="W36" s="5">
        <f>IFERROR(__xludf.DUMMYFUNCTION("""COMPUTED_VALUE"""),0.0)</f>
        <v>0</v>
      </c>
      <c r="X36" s="5"/>
      <c r="Y36" s="5"/>
      <c r="Z36" s="5"/>
    </row>
    <row r="37">
      <c r="A37" s="5" t="str">
        <f>IFERROR(__xludf.DUMMYFUNCTION("""COMPUTED_VALUE"""),"น้ำมะนาวฟ้าไทย-300มล")</f>
        <v>น้ำมะนาวฟ้าไทย-300มล</v>
      </c>
      <c r="B37" s="5">
        <f>IFERROR(__xludf.DUMMYFUNCTION("""COMPUTED_VALUE"""),11196.0)</f>
        <v>11196</v>
      </c>
      <c r="C37" s="5" t="str">
        <f>IFERROR(__xludf.DUMMYFUNCTION("""COMPUTED_VALUE"""),"(S) น้ำมะนาวฟ้าไทย 300มล")</f>
        <v>(S) น้ำมะนาวฟ้าไทย 300มล</v>
      </c>
      <c r="D37" s="5" t="str">
        <f>IFERROR(__xludf.DUMMYFUNCTION("""COMPUTED_VALUE"""),"**เครื่องปรุง")</f>
        <v>**เครื่องปรุง</v>
      </c>
      <c r="E37" s="5" t="str">
        <f>IFERROR(__xludf.DUMMYFUNCTION("""COMPUTED_VALUE"""),"X")</f>
        <v>X</v>
      </c>
      <c r="F37" s="5" t="str">
        <f>IFERROR(__xludf.DUMMYFUNCTION("""COMPUTED_VALUE"""),"N")</f>
        <v>N</v>
      </c>
      <c r="G37" s="5"/>
      <c r="H37" s="5"/>
      <c r="I37" s="5"/>
      <c r="J37" s="5"/>
      <c r="K37" s="5"/>
      <c r="L37" s="5"/>
      <c r="M37" s="5">
        <f>IFERROR(__xludf.DUMMYFUNCTION("""COMPUTED_VALUE"""),7.9)</f>
        <v>7.9</v>
      </c>
      <c r="N37" s="5">
        <f>IFERROR(__xludf.DUMMYFUNCTION("""COMPUTED_VALUE"""),8.854334005024E12)</f>
        <v>8854334005024</v>
      </c>
      <c r="O37" s="5"/>
      <c r="P37" s="5"/>
      <c r="Q37" s="5" t="str">
        <f>IFERROR(__xludf.DUMMYFUNCTION("""COMPUTED_VALUE"""),"Y")</f>
        <v>Y</v>
      </c>
      <c r="R37" s="5"/>
      <c r="S37" s="5"/>
      <c r="T37" s="5">
        <f>IFERROR(__xludf.DUMMYFUNCTION("""COMPUTED_VALUE"""),0.0)</f>
        <v>0</v>
      </c>
      <c r="U37" s="5" t="str">
        <f>IFERROR(__xludf.DUMMYFUNCTION("""COMPUTED_VALUE"""),"Y")</f>
        <v>Y</v>
      </c>
      <c r="V37" s="5">
        <f>IFERROR(__xludf.DUMMYFUNCTION("""COMPUTED_VALUE"""),15.0)</f>
        <v>15</v>
      </c>
      <c r="W37" s="5">
        <f>IFERROR(__xludf.DUMMYFUNCTION("""COMPUTED_VALUE"""),0.0)</f>
        <v>0</v>
      </c>
      <c r="X37" s="5">
        <f>IFERROR(__xludf.DUMMYFUNCTION("""COMPUTED_VALUE"""),0.0)</f>
        <v>0</v>
      </c>
      <c r="Y37" s="5"/>
      <c r="Z37" s="5"/>
    </row>
    <row r="38">
      <c r="A38" s="5" t="str">
        <f>IFERROR(__xludf.DUMMYFUNCTION("""COMPUTED_VALUE"""),"น้ำปลาแท้ทิพรส-เหลือง-700ml")</f>
        <v>น้ำปลาแท้ทิพรส-เหลือง-700ml</v>
      </c>
      <c r="B38" s="5">
        <f>IFERROR(__xludf.DUMMYFUNCTION("""COMPUTED_VALUE"""),10656.0)</f>
        <v>10656</v>
      </c>
      <c r="C38" s="5" t="str">
        <f>IFERROR(__xludf.DUMMYFUNCTION("""COMPUTED_VALUE"""),"(S) น้ําปลา ทิพรส  700ml")</f>
        <v>(S) น้ําปลา ทิพรส  700ml</v>
      </c>
      <c r="D38" s="5" t="str">
        <f>IFERROR(__xludf.DUMMYFUNCTION("""COMPUTED_VALUE"""),"**เครื่องปรุง")</f>
        <v>**เครื่องปรุง</v>
      </c>
      <c r="E38" s="5" t="str">
        <f>IFERROR(__xludf.DUMMYFUNCTION("""COMPUTED_VALUE"""),"&lt;p&gt;X&lt;/p&gt;")</f>
        <v>&lt;p&gt;X&lt;/p&gt;</v>
      </c>
      <c r="F38" s="5" t="str">
        <f>IFERROR(__xludf.DUMMYFUNCTION("""COMPUTED_VALUE"""),"N")</f>
        <v>N</v>
      </c>
      <c r="G38" s="5"/>
      <c r="H38" s="5"/>
      <c r="I38" s="5"/>
      <c r="J38" s="5"/>
      <c r="K38" s="5"/>
      <c r="L38" s="5"/>
      <c r="M38" s="5">
        <f>IFERROR(__xludf.DUMMYFUNCTION("""COMPUTED_VALUE"""),28.77)</f>
        <v>28.77</v>
      </c>
      <c r="N38" s="5">
        <f>IFERROR(__xludf.DUMMYFUNCTION("""COMPUTED_VALUE"""),8.850545777552E12)</f>
        <v>8850545777552</v>
      </c>
      <c r="O38" s="5"/>
      <c r="P38" s="5"/>
      <c r="Q38" s="5" t="str">
        <f>IFERROR(__xludf.DUMMYFUNCTION("""COMPUTED_VALUE"""),"Y")</f>
        <v>Y</v>
      </c>
      <c r="R38" s="5"/>
      <c r="S38" s="5"/>
      <c r="T38" s="5">
        <f>IFERROR(__xludf.DUMMYFUNCTION("""COMPUTED_VALUE"""),0.0)</f>
        <v>0</v>
      </c>
      <c r="U38" s="5" t="str">
        <f>IFERROR(__xludf.DUMMYFUNCTION("""COMPUTED_VALUE"""),"Y")</f>
        <v>Y</v>
      </c>
      <c r="V38" s="5">
        <f>IFERROR(__xludf.DUMMYFUNCTION("""COMPUTED_VALUE"""),35.0)</f>
        <v>35</v>
      </c>
      <c r="W38" s="5">
        <f>IFERROR(__xludf.DUMMYFUNCTION("""COMPUTED_VALUE"""),-1.0)</f>
        <v>-1</v>
      </c>
      <c r="X38" s="5"/>
      <c r="Y38" s="5"/>
      <c r="Z38" s="5"/>
    </row>
    <row r="39">
      <c r="A39" s="5" t="str">
        <f>IFERROR(__xludf.DUMMYFUNCTION("""COMPUTED_VALUE"""),"บะหมี่หยก-500g")</f>
        <v>บะหมี่หยก-500g</v>
      </c>
      <c r="B39" s="5">
        <f>IFERROR(__xludf.DUMMYFUNCTION("""COMPUTED_VALUE"""),11255.0)</f>
        <v>11255</v>
      </c>
      <c r="C39" s="5" t="str">
        <f>IFERROR(__xludf.DUMMYFUNCTION("""COMPUTED_VALUE"""),"(S) บะหมี่หยก 500g")</f>
        <v>(S) บะหมี่หยก 500g</v>
      </c>
      <c r="D39" s="5" t="str">
        <f>IFERROR(__xludf.DUMMYFUNCTION("""COMPUTED_VALUE"""),"**เครื่องดื่ม")</f>
        <v>**เครื่องดื่ม</v>
      </c>
      <c r="E39" s="5" t="str">
        <f>IFERROR(__xludf.DUMMYFUNCTION("""COMPUTED_VALUE"""),"&lt;p&gt;รุ่งโรจน์ (พุธ เสาร์)&lt;/p&gt;")</f>
        <v>&lt;p&gt;รุ่งโรจน์ (พุธ เสาร์)&lt;/p&gt;</v>
      </c>
      <c r="F39" s="5" t="str">
        <f>IFERROR(__xludf.DUMMYFUNCTION("""COMPUTED_VALUE"""),"N")</f>
        <v>N</v>
      </c>
      <c r="G39" s="5"/>
      <c r="H39" s="5"/>
      <c r="I39" s="5"/>
      <c r="J39" s="5"/>
      <c r="K39" s="5"/>
      <c r="L39" s="5"/>
      <c r="M39" s="5">
        <f>IFERROR(__xludf.DUMMYFUNCTION("""COMPUTED_VALUE"""),23.0)</f>
        <v>23</v>
      </c>
      <c r="N39" s="5"/>
      <c r="O39" s="5"/>
      <c r="P39" s="5"/>
      <c r="Q39" s="5" t="str">
        <f>IFERROR(__xludf.DUMMYFUNCTION("""COMPUTED_VALUE"""),"Y")</f>
        <v>Y</v>
      </c>
      <c r="R39" s="5"/>
      <c r="S39" s="5"/>
      <c r="T39" s="5">
        <f>IFERROR(__xludf.DUMMYFUNCTION("""COMPUTED_VALUE"""),23.0)</f>
        <v>23</v>
      </c>
      <c r="U39" s="5" t="str">
        <f>IFERROR(__xludf.DUMMYFUNCTION("""COMPUTED_VALUE"""),"Y")</f>
        <v>Y</v>
      </c>
      <c r="V39" s="5">
        <f>IFERROR(__xludf.DUMMYFUNCTION("""COMPUTED_VALUE"""),30.0)</f>
        <v>30</v>
      </c>
      <c r="W39" s="5">
        <f>IFERROR(__xludf.DUMMYFUNCTION("""COMPUTED_VALUE"""),17.0)</f>
        <v>17</v>
      </c>
      <c r="X39" s="5">
        <f>IFERROR(__xludf.DUMMYFUNCTION("""COMPUTED_VALUE"""),0.0)</f>
        <v>0</v>
      </c>
      <c r="Y39" s="5"/>
      <c r="Z39" s="5"/>
    </row>
    <row r="40">
      <c r="A40" s="5" t="str">
        <f>IFERROR(__xludf.DUMMYFUNCTION("""COMPUTED_VALUE"""),"(s)-ปูซิ่ง-500g")</f>
        <v>(s)-ปูซิ่ง-500g</v>
      </c>
      <c r="B40" s="5">
        <f>IFERROR(__xludf.DUMMYFUNCTION("""COMPUTED_VALUE"""),31439.0)</f>
        <v>31439</v>
      </c>
      <c r="C40" s="5" t="str">
        <f>IFERROR(__xludf.DUMMYFUNCTION("""COMPUTED_VALUE"""),"(s) ปูซิ่ง 500g")</f>
        <v>(s) ปูซิ่ง 500g</v>
      </c>
      <c r="D40" s="5" t="str">
        <f>IFERROR(__xludf.DUMMYFUNCTION("""COMPUTED_VALUE"""),"TMP")</f>
        <v>TMP</v>
      </c>
      <c r="E40" s="5" t="str">
        <f>IFERROR(__xludf.DUMMYFUNCTION("""COMPUTED_VALUE"""),"X")</f>
        <v>X</v>
      </c>
      <c r="F40" s="5" t="str">
        <f>IFERROR(__xludf.DUMMYFUNCTION("""COMPUTED_VALUE"""),"N")</f>
        <v>N</v>
      </c>
      <c r="G40" s="5"/>
      <c r="H40" s="5"/>
      <c r="I40" s="5"/>
      <c r="J40" s="5"/>
      <c r="K40" s="5"/>
      <c r="L40" s="5"/>
      <c r="M40" s="5"/>
      <c r="N40" s="5"/>
      <c r="O40" s="5">
        <f>IFERROR(__xludf.DUMMYFUNCTION("""COMPUTED_VALUE"""),11439.0)</f>
        <v>11439</v>
      </c>
      <c r="P40" s="5">
        <f>IFERROR(__xludf.DUMMYFUNCTION("""COMPUTED_VALUE"""),1.0)</f>
        <v>1</v>
      </c>
      <c r="Q40" s="5" t="str">
        <f>IFERROR(__xludf.DUMMYFUNCTION("""COMPUTED_VALUE"""),"N")</f>
        <v>N</v>
      </c>
      <c r="R40" s="5" t="str">
        <f>IFERROR(__xludf.DUMMYFUNCTION("""COMPUTED_VALUE"""),"N")</f>
        <v>N</v>
      </c>
      <c r="S40" s="5"/>
      <c r="T40" s="5"/>
      <c r="U40" s="5" t="str">
        <f>IFERROR(__xludf.DUMMYFUNCTION("""COMPUTED_VALUE"""),"Y")</f>
        <v>Y</v>
      </c>
      <c r="V40" s="5">
        <f>IFERROR(__xludf.DUMMYFUNCTION("""COMPUTED_VALUE"""),69.0)</f>
        <v>69</v>
      </c>
      <c r="W40" s="5"/>
      <c r="X40" s="5"/>
      <c r="Y40" s="5"/>
      <c r="Z40" s="5"/>
    </row>
    <row r="41">
      <c r="A41" s="5" t="str">
        <f>IFERROR(__xludf.DUMMYFUNCTION("""COMPUTED_VALUE"""),"(s)-ปูไลน์-500g")</f>
        <v>(s)-ปูไลน์-500g</v>
      </c>
      <c r="B41" s="5">
        <f>IFERROR(__xludf.DUMMYFUNCTION("""COMPUTED_VALUE"""),30651.0)</f>
        <v>30651</v>
      </c>
      <c r="C41" s="5" t="str">
        <f>IFERROR(__xludf.DUMMYFUNCTION("""COMPUTED_VALUE"""),"(s) ปูไลน์ 500g")</f>
        <v>(s) ปูไลน์ 500g</v>
      </c>
      <c r="D41" s="5"/>
      <c r="E41" s="5" t="str">
        <f>IFERROR(__xludf.DUMMYFUNCTION("""COMPUTED_VALUE"""),"X")</f>
        <v>X</v>
      </c>
      <c r="F41" s="5" t="str">
        <f>IFERROR(__xludf.DUMMYFUNCTION("""COMPUTED_VALUE"""),"N")</f>
        <v>N</v>
      </c>
      <c r="G41" s="5"/>
      <c r="H41" s="5"/>
      <c r="I41" s="5"/>
      <c r="J41" s="5"/>
      <c r="K41" s="5"/>
      <c r="L41" s="5"/>
      <c r="M41" s="5"/>
      <c r="N41" s="5">
        <f>IFERROR(__xludf.DUMMYFUNCTION("""COMPUTED_VALUE"""),8.850016634711E12)</f>
        <v>8850016634711</v>
      </c>
      <c r="O41" s="5">
        <f>IFERROR(__xludf.DUMMYFUNCTION("""COMPUTED_VALUE"""),10651.0)</f>
        <v>10651</v>
      </c>
      <c r="P41" s="5">
        <f>IFERROR(__xludf.DUMMYFUNCTION("""COMPUTED_VALUE"""),1.0)</f>
        <v>1</v>
      </c>
      <c r="Q41" s="5" t="str">
        <f>IFERROR(__xludf.DUMMYFUNCTION("""COMPUTED_VALUE"""),"N")</f>
        <v>N</v>
      </c>
      <c r="R41" s="5" t="str">
        <f>IFERROR(__xludf.DUMMYFUNCTION("""COMPUTED_VALUE"""),"N")</f>
        <v>N</v>
      </c>
      <c r="S41" s="5"/>
      <c r="T41" s="5"/>
      <c r="U41" s="5" t="str">
        <f>IFERROR(__xludf.DUMMYFUNCTION("""COMPUTED_VALUE"""),"Y")</f>
        <v>Y</v>
      </c>
      <c r="V41" s="5">
        <f>IFERROR(__xludf.DUMMYFUNCTION("""COMPUTED_VALUE"""),70.0)</f>
        <v>70</v>
      </c>
      <c r="W41" s="5"/>
      <c r="X41" s="5"/>
      <c r="Y41" s="5"/>
      <c r="Z41" s="5"/>
    </row>
    <row r="42">
      <c r="A42" s="5" t="str">
        <f>IFERROR(__xludf.DUMMYFUNCTION("""COMPUTED_VALUE"""),"(s)-ฟองเต้าหู้ถาด")</f>
        <v>(s)-ฟองเต้าหู้ถาด</v>
      </c>
      <c r="B42" s="5">
        <f>IFERROR(__xludf.DUMMYFUNCTION("""COMPUTED_VALUE"""),30344.0)</f>
        <v>30344</v>
      </c>
      <c r="C42" s="5" t="str">
        <f>IFERROR(__xludf.DUMMYFUNCTION("""COMPUTED_VALUE"""),"(S) ฟองเต้าหู้ถาด")</f>
        <v>(S) ฟองเต้าหู้ถาด</v>
      </c>
      <c r="D42" s="5"/>
      <c r="E42" s="5"/>
      <c r="F42" s="5" t="str">
        <f>IFERROR(__xludf.DUMMYFUNCTION("""COMPUTED_VALUE"""),"N")</f>
        <v>N</v>
      </c>
      <c r="G42" s="5"/>
      <c r="H42" s="5"/>
      <c r="I42" s="5"/>
      <c r="J42" s="5"/>
      <c r="K42" s="5"/>
      <c r="L42" s="5"/>
      <c r="M42" s="5"/>
      <c r="N42" s="5">
        <f>IFERROR(__xludf.DUMMYFUNCTION("""COMPUTED_VALUE"""),6.977602060012E12)</f>
        <v>6977602060012</v>
      </c>
      <c r="O42" s="5">
        <f>IFERROR(__xludf.DUMMYFUNCTION("""COMPUTED_VALUE"""),10220.0)</f>
        <v>10220</v>
      </c>
      <c r="P42" s="5">
        <f>IFERROR(__xludf.DUMMYFUNCTION("""COMPUTED_VALUE"""),1.0)</f>
        <v>1</v>
      </c>
      <c r="Q42" s="5" t="str">
        <f>IFERROR(__xludf.DUMMYFUNCTION("""COMPUTED_VALUE"""),"N")</f>
        <v>N</v>
      </c>
      <c r="R42" s="5" t="str">
        <f>IFERROR(__xludf.DUMMYFUNCTION("""COMPUTED_VALUE"""),"N")</f>
        <v>N</v>
      </c>
      <c r="S42" s="5"/>
      <c r="T42" s="5"/>
      <c r="U42" s="5" t="str">
        <f>IFERROR(__xludf.DUMMYFUNCTION("""COMPUTED_VALUE"""),"Y")</f>
        <v>Y</v>
      </c>
      <c r="V42" s="5">
        <f>IFERROR(__xludf.DUMMYFUNCTION("""COMPUTED_VALUE"""),55.0)</f>
        <v>55</v>
      </c>
      <c r="W42" s="5"/>
      <c r="X42" s="5"/>
      <c r="Y42" s="5"/>
      <c r="Z42" s="5"/>
    </row>
    <row r="43">
      <c r="A43" s="5" t="str">
        <f>IFERROR(__xludf.DUMMYFUNCTION("""COMPUTED_VALUE"""),"(s)-ยออุบล-ก้าวหน้า-(42)")</f>
        <v>(s)-ยออุบล-ก้าวหน้า-(42)</v>
      </c>
      <c r="B43" s="5">
        <f>IFERROR(__xludf.DUMMYFUNCTION("""COMPUTED_VALUE"""),10023.0)</f>
        <v>10023</v>
      </c>
      <c r="C43" s="5" t="str">
        <f>IFERROR(__xludf.DUMMYFUNCTION("""COMPUTED_VALUE"""),"(S) ยออุบล-ก้าวหน้า (42)")</f>
        <v>(S) ยออุบล-ก้าวหน้า (42)</v>
      </c>
      <c r="D43" s="5"/>
      <c r="E43" s="5"/>
      <c r="F43" s="5" t="str">
        <f>IFERROR(__xludf.DUMMYFUNCTION("""COMPUTED_VALUE"""),"N")</f>
        <v>N</v>
      </c>
      <c r="G43" s="5"/>
      <c r="H43" s="5"/>
      <c r="I43" s="5"/>
      <c r="J43" s="5"/>
      <c r="K43" s="5"/>
      <c r="L43" s="5"/>
      <c r="M43" s="5">
        <f>IFERROR(__xludf.DUMMYFUNCTION("""COMPUTED_VALUE"""),35.0)</f>
        <v>35</v>
      </c>
      <c r="N43" s="5"/>
      <c r="O43" s="5"/>
      <c r="P43" s="5"/>
      <c r="Q43" s="5" t="str">
        <f>IFERROR(__xludf.DUMMYFUNCTION("""COMPUTED_VALUE"""),"Y")</f>
        <v>Y</v>
      </c>
      <c r="R43" s="5"/>
      <c r="S43" s="5"/>
      <c r="T43" s="5">
        <f>IFERROR(__xludf.DUMMYFUNCTION("""COMPUTED_VALUE"""),35.0)</f>
        <v>35</v>
      </c>
      <c r="U43" s="5" t="str">
        <f>IFERROR(__xludf.DUMMYFUNCTION("""COMPUTED_VALUE"""),"Y")</f>
        <v>Y</v>
      </c>
      <c r="V43" s="5">
        <f>IFERROR(__xludf.DUMMYFUNCTION("""COMPUTED_VALUE"""),42.0)</f>
        <v>42</v>
      </c>
      <c r="W43" s="5">
        <f>IFERROR(__xludf.DUMMYFUNCTION("""COMPUTED_VALUE"""),40.0)</f>
        <v>40</v>
      </c>
      <c r="X43" s="5"/>
      <c r="Y43" s="5"/>
      <c r="Z43" s="5"/>
    </row>
    <row r="44">
      <c r="A44" s="5" t="str">
        <f>IFERROR(__xludf.DUMMYFUNCTION("""COMPUTED_VALUE"""),"(s)-ยำสาหร่าย1kg")</f>
        <v>(s)-ยำสาหร่าย1kg</v>
      </c>
      <c r="B44" s="5">
        <f>IFERROR(__xludf.DUMMYFUNCTION("""COMPUTED_VALUE"""),31006.0)</f>
        <v>31006</v>
      </c>
      <c r="C44" s="5" t="str">
        <f>IFERROR(__xludf.DUMMYFUNCTION("""COMPUTED_VALUE"""),"(s) ยำสาหร่าย  แพ็ค 1kg")</f>
        <v>(s) ยำสาหร่าย  แพ็ค 1kg</v>
      </c>
      <c r="D44" s="5"/>
      <c r="E44" s="5" t="str">
        <f>IFERROR(__xludf.DUMMYFUNCTION("""COMPUTED_VALUE"""),"&lt;p&gt;X&lt;/p&gt;")</f>
        <v>&lt;p&gt;X&lt;/p&gt;</v>
      </c>
      <c r="F44" s="5" t="str">
        <f>IFERROR(__xludf.DUMMYFUNCTION("""COMPUTED_VALUE"""),"N")</f>
        <v>N</v>
      </c>
      <c r="G44" s="5"/>
      <c r="H44" s="5"/>
      <c r="I44" s="5"/>
      <c r="J44" s="5"/>
      <c r="K44" s="5"/>
      <c r="L44" s="5"/>
      <c r="M44" s="5"/>
      <c r="N44" s="5"/>
      <c r="O44" s="5">
        <f>IFERROR(__xludf.DUMMYFUNCTION("""COMPUTED_VALUE"""),11006.0)</f>
        <v>11006</v>
      </c>
      <c r="P44" s="5">
        <f>IFERROR(__xludf.DUMMYFUNCTION("""COMPUTED_VALUE"""),1.0)</f>
        <v>1</v>
      </c>
      <c r="Q44" s="5" t="str">
        <f>IFERROR(__xludf.DUMMYFUNCTION("""COMPUTED_VALUE"""),"N")</f>
        <v>N</v>
      </c>
      <c r="R44" s="5" t="str">
        <f>IFERROR(__xludf.DUMMYFUNCTION("""COMPUTED_VALUE"""),"N")</f>
        <v>N</v>
      </c>
      <c r="S44" s="5"/>
      <c r="T44" s="5"/>
      <c r="U44" s="5" t="str">
        <f>IFERROR(__xludf.DUMMYFUNCTION("""COMPUTED_VALUE"""),"Y")</f>
        <v>Y</v>
      </c>
      <c r="V44" s="5">
        <f>IFERROR(__xludf.DUMMYFUNCTION("""COMPUTED_VALUE"""),115.0)</f>
        <v>115</v>
      </c>
      <c r="W44" s="5"/>
      <c r="X44" s="5"/>
      <c r="Y44" s="5"/>
      <c r="Z44" s="5"/>
    </row>
    <row r="45">
      <c r="A45" s="5" t="str">
        <f>IFERROR(__xludf.DUMMYFUNCTION("""COMPUTED_VALUE"""),"รสดี800กรัม")</f>
        <v>รสดี800กรัม</v>
      </c>
      <c r="B45" s="5">
        <f>IFERROR(__xludf.DUMMYFUNCTION("""COMPUTED_VALUE"""),10910.0)</f>
        <v>10910</v>
      </c>
      <c r="C45" s="5" t="str">
        <f>IFERROR(__xludf.DUMMYFUNCTION("""COMPUTED_VALUE"""),"(S) รสดี800กรัม")</f>
        <v>(S) รสดี800กรัม</v>
      </c>
      <c r="D45" s="5"/>
      <c r="E45" s="5" t="str">
        <f>IFERROR(__xludf.DUMMYFUNCTION("""COMPUTED_VALUE"""),"X")</f>
        <v>X</v>
      </c>
      <c r="F45" s="5" t="str">
        <f>IFERROR(__xludf.DUMMYFUNCTION("""COMPUTED_VALUE"""),"N")</f>
        <v>N</v>
      </c>
      <c r="G45" s="5"/>
      <c r="H45" s="5"/>
      <c r="I45" s="5"/>
      <c r="J45" s="5"/>
      <c r="K45" s="5"/>
      <c r="L45" s="5"/>
      <c r="M45" s="5">
        <f>IFERROR(__xludf.DUMMYFUNCTION("""COMPUTED_VALUE"""),100.0)</f>
        <v>100</v>
      </c>
      <c r="N45" s="5"/>
      <c r="O45" s="5"/>
      <c r="P45" s="5"/>
      <c r="Q45" s="5" t="str">
        <f>IFERROR(__xludf.DUMMYFUNCTION("""COMPUTED_VALUE"""),"N")</f>
        <v>N</v>
      </c>
      <c r="R45" s="5"/>
      <c r="S45" s="5"/>
      <c r="T45" s="5"/>
      <c r="U45" s="5" t="str">
        <f>IFERROR(__xludf.DUMMYFUNCTION("""COMPUTED_VALUE"""),"Y")</f>
        <v>Y</v>
      </c>
      <c r="V45" s="5">
        <f>IFERROR(__xludf.DUMMYFUNCTION("""COMPUTED_VALUE"""),105.0)</f>
        <v>105</v>
      </c>
      <c r="W45" s="5"/>
      <c r="X45" s="5"/>
      <c r="Y45" s="5"/>
      <c r="Z45" s="5"/>
    </row>
    <row r="46">
      <c r="A46" s="5" t="str">
        <f>IFERROR(__xludf.DUMMYFUNCTION("""COMPUTED_VALUE"""),"สันคอชาบูนมสด-1kg")</f>
        <v>สันคอชาบูนมสด-1kg</v>
      </c>
      <c r="B46" s="5">
        <f>IFERROR(__xludf.DUMMYFUNCTION("""COMPUTED_VALUE"""),10990.0)</f>
        <v>10990</v>
      </c>
      <c r="C46" s="5" t="str">
        <f>IFERROR(__xludf.DUMMYFUNCTION("""COMPUTED_VALUE"""),"(S) สันคอชาบู หมูอร่อย 1Kg")</f>
        <v>(S) สันคอชาบู หมูอร่อย 1Kg</v>
      </c>
      <c r="D46" s="5" t="str">
        <f>IFERROR(__xludf.DUMMYFUNCTION("""COMPUTED_VALUE"""),"อร่อย")</f>
        <v>อร่อย</v>
      </c>
      <c r="E46" s="5" t="str">
        <f>IFERROR(__xludf.DUMMYFUNCTION("""COMPUTED_VALUE"""),"&lt;p&gt;B&lt;/p&gt;")</f>
        <v>&lt;p&gt;B&lt;/p&gt;</v>
      </c>
      <c r="F46" s="5" t="str">
        <f>IFERROR(__xludf.DUMMYFUNCTION("""COMPUTED_VALUE"""),"N")</f>
        <v>N</v>
      </c>
      <c r="G46" s="5"/>
      <c r="H46" s="5"/>
      <c r="I46" s="5"/>
      <c r="J46" s="5"/>
      <c r="K46" s="5"/>
      <c r="L46" s="5"/>
      <c r="M46" s="5">
        <f>IFERROR(__xludf.DUMMYFUNCTION("""COMPUTED_VALUE"""),94.0)</f>
        <v>94</v>
      </c>
      <c r="N46" s="5">
        <f>IFERROR(__xludf.DUMMYFUNCTION("""COMPUTED_VALUE"""),10990.0)</f>
        <v>10990</v>
      </c>
      <c r="O46" s="5"/>
      <c r="P46" s="5"/>
      <c r="Q46" s="5" t="str">
        <f>IFERROR(__xludf.DUMMYFUNCTION("""COMPUTED_VALUE"""),"Y")</f>
        <v>Y</v>
      </c>
      <c r="R46" s="5"/>
      <c r="S46" s="5" t="str">
        <f>IFERROR(__xludf.DUMMYFUNCTION("""COMPUTED_VALUE"""),"หมูอร่อย")</f>
        <v>หมูอร่อย</v>
      </c>
      <c r="T46" s="5">
        <f>IFERROR(__xludf.DUMMYFUNCTION("""COMPUTED_VALUE"""),94.0)</f>
        <v>94</v>
      </c>
      <c r="U46" s="5" t="str">
        <f>IFERROR(__xludf.DUMMYFUNCTION("""COMPUTED_VALUE"""),"Y")</f>
        <v>Y</v>
      </c>
      <c r="V46" s="5">
        <f>IFERROR(__xludf.DUMMYFUNCTION("""COMPUTED_VALUE"""),128.0)</f>
        <v>128</v>
      </c>
      <c r="W46" s="5">
        <f>IFERROR(__xludf.DUMMYFUNCTION("""COMPUTED_VALUE"""),75.0)</f>
        <v>75</v>
      </c>
      <c r="X46" s="5">
        <f>IFERROR(__xludf.DUMMYFUNCTION("""COMPUTED_VALUE"""),19.0)</f>
        <v>19</v>
      </c>
      <c r="Y46" s="5">
        <f>IFERROR(__xludf.DUMMYFUNCTION("""COMPUTED_VALUE"""),29.0)</f>
        <v>29</v>
      </c>
      <c r="Z46" s="5"/>
    </row>
    <row r="47">
      <c r="A47" s="5" t="str">
        <f>IFERROR(__xludf.DUMMYFUNCTION("""COMPUTED_VALUE"""),"(s)-สาหร่ายดำแห้ง-แพ็ค")</f>
        <v>(s)-สาหร่ายดำแห้ง-แพ็ค</v>
      </c>
      <c r="B47" s="5">
        <f>IFERROR(__xludf.DUMMYFUNCTION("""COMPUTED_VALUE"""),30506.0)</f>
        <v>30506</v>
      </c>
      <c r="C47" s="5" t="str">
        <f>IFERROR(__xludf.DUMMYFUNCTION("""COMPUTED_VALUE"""),"(s) สาหร่ายแผ่นกลม (ฟินิกซ์)")</f>
        <v>(s) สาหร่ายแผ่นกลม (ฟินิกซ์)</v>
      </c>
      <c r="D47" s="5"/>
      <c r="E47" s="5" t="str">
        <f>IFERROR(__xludf.DUMMYFUNCTION("""COMPUTED_VALUE"""),"&lt;p&gt;X&lt;/p&gt;")</f>
        <v>&lt;p&gt;X&lt;/p&gt;</v>
      </c>
      <c r="F47" s="5" t="str">
        <f>IFERROR(__xludf.DUMMYFUNCTION("""COMPUTED_VALUE"""),"N")</f>
        <v>N</v>
      </c>
      <c r="G47" s="5"/>
      <c r="H47" s="5"/>
      <c r="I47" s="5"/>
      <c r="J47" s="5"/>
      <c r="K47" s="5"/>
      <c r="L47" s="5"/>
      <c r="M47" s="5"/>
      <c r="N47" s="5">
        <f>IFERROR(__xludf.DUMMYFUNCTION("""COMPUTED_VALUE"""),8.859344902196E12)</f>
        <v>8859344902196</v>
      </c>
      <c r="O47" s="5">
        <f>IFERROR(__xludf.DUMMYFUNCTION("""COMPUTED_VALUE"""),10418.0)</f>
        <v>10418</v>
      </c>
      <c r="P47" s="5">
        <f>IFERROR(__xludf.DUMMYFUNCTION("""COMPUTED_VALUE"""),0.05)</f>
        <v>0.05</v>
      </c>
      <c r="Q47" s="5" t="str">
        <f>IFERROR(__xludf.DUMMYFUNCTION("""COMPUTED_VALUE"""),"N")</f>
        <v>N</v>
      </c>
      <c r="R47" s="5" t="str">
        <f>IFERROR(__xludf.DUMMYFUNCTION("""COMPUTED_VALUE"""),"N")</f>
        <v>N</v>
      </c>
      <c r="S47" s="5"/>
      <c r="T47" s="5"/>
      <c r="U47" s="5" t="str">
        <f>IFERROR(__xludf.DUMMYFUNCTION("""COMPUTED_VALUE"""),"N")</f>
        <v>N</v>
      </c>
      <c r="V47" s="5">
        <f>IFERROR(__xludf.DUMMYFUNCTION("""COMPUTED_VALUE"""),20.0)</f>
        <v>20</v>
      </c>
      <c r="W47" s="5"/>
      <c r="X47" s="5"/>
      <c r="Y47" s="5"/>
      <c r="Z47" s="5"/>
    </row>
    <row r="48">
      <c r="A48" s="5" t="str">
        <f>IFERROR(__xludf.DUMMYFUNCTION("""COMPUTED_VALUE"""),"สินค้า3แพ็ค100")</f>
        <v>สินค้า3แพ็ค100</v>
      </c>
      <c r="B48" s="5">
        <f>IFERROR(__xludf.DUMMYFUNCTION("""COMPUTED_VALUE"""),10705.0)</f>
        <v>10705</v>
      </c>
      <c r="C48" s="5" t="str">
        <f>IFERROR(__xludf.DUMMYFUNCTION("""COMPUTED_VALUE"""),"(S) สินค้า3แพ็ค100")</f>
        <v>(S) สินค้า3แพ็ค100</v>
      </c>
      <c r="D48" s="5"/>
      <c r="E48" s="5" t="str">
        <f>IFERROR(__xludf.DUMMYFUNCTION("""COMPUTED_VALUE"""),"X")</f>
        <v>X</v>
      </c>
      <c r="F48" s="5" t="str">
        <f>IFERROR(__xludf.DUMMYFUNCTION("""COMPUTED_VALUE"""),"N")</f>
        <v>N</v>
      </c>
      <c r="G48" s="5"/>
      <c r="H48" s="5"/>
      <c r="I48" s="5"/>
      <c r="J48" s="5"/>
      <c r="K48" s="5"/>
      <c r="L48" s="5"/>
      <c r="M48" s="5">
        <f>IFERROR(__xludf.DUMMYFUNCTION("""COMPUTED_VALUE"""),31.0)</f>
        <v>31</v>
      </c>
      <c r="N48" s="5"/>
      <c r="O48" s="5"/>
      <c r="P48" s="5"/>
      <c r="Q48" s="5" t="str">
        <f>IFERROR(__xludf.DUMMYFUNCTION("""COMPUTED_VALUE"""),"N")</f>
        <v>N</v>
      </c>
      <c r="R48" s="5"/>
      <c r="S48" s="5"/>
      <c r="T48" s="5"/>
      <c r="U48" s="5" t="str">
        <f>IFERROR(__xludf.DUMMYFUNCTION("""COMPUTED_VALUE"""),"Y")</f>
        <v>Y</v>
      </c>
      <c r="V48" s="5">
        <f>IFERROR(__xludf.DUMMYFUNCTION("""COMPUTED_VALUE"""),35.0)</f>
        <v>35</v>
      </c>
      <c r="W48" s="5"/>
      <c r="X48" s="5"/>
      <c r="Y48" s="5"/>
      <c r="Z48" s="5"/>
    </row>
    <row r="49">
      <c r="A49" s="5" t="str">
        <f>IFERROR(__xludf.DUMMYFUNCTION("""COMPUTED_VALUE"""),"หนังยาง-1ถุง")</f>
        <v>หนังยาง-1ถุง</v>
      </c>
      <c r="B49" s="5">
        <f>IFERROR(__xludf.DUMMYFUNCTION("""COMPUTED_VALUE"""),10494.0)</f>
        <v>10494</v>
      </c>
      <c r="C49" s="5" t="str">
        <f>IFERROR(__xludf.DUMMYFUNCTION("""COMPUTED_VALUE"""),"(S) หนังยาง 1ถุง")</f>
        <v>(S) หนังยาง 1ถุง</v>
      </c>
      <c r="D49" s="5" t="str">
        <f>IFERROR(__xludf.DUMMYFUNCTION("""COMPUTED_VALUE"""),"**ของแห้ง")</f>
        <v>**ของแห้ง</v>
      </c>
      <c r="E49" s="5" t="str">
        <f>IFERROR(__xludf.DUMMYFUNCTION("""COMPUTED_VALUE"""),"&lt;p&gt;X&lt;/p&gt;")</f>
        <v>&lt;p&gt;X&lt;/p&gt;</v>
      </c>
      <c r="F49" s="5" t="str">
        <f>IFERROR(__xludf.DUMMYFUNCTION("""COMPUTED_VALUE"""),"N")</f>
        <v>N</v>
      </c>
      <c r="G49" s="5"/>
      <c r="H49" s="5"/>
      <c r="I49" s="5"/>
      <c r="J49" s="5"/>
      <c r="K49" s="5"/>
      <c r="L49" s="5"/>
      <c r="M49" s="5">
        <f>IFERROR(__xludf.DUMMYFUNCTION("""COMPUTED_VALUE"""),54.55)</f>
        <v>54.55</v>
      </c>
      <c r="N49" s="5">
        <f>IFERROR(__xludf.DUMMYFUNCTION("""COMPUTED_VALUE"""),8.857200248327E12)</f>
        <v>8857200248327</v>
      </c>
      <c r="O49" s="5"/>
      <c r="P49" s="5"/>
      <c r="Q49" s="5" t="str">
        <f>IFERROR(__xludf.DUMMYFUNCTION("""COMPUTED_VALUE"""),"Y")</f>
        <v>Y</v>
      </c>
      <c r="R49" s="5"/>
      <c r="S49" s="5"/>
      <c r="T49" s="5">
        <f>IFERROR(__xludf.DUMMYFUNCTION("""COMPUTED_VALUE"""),0.0)</f>
        <v>0</v>
      </c>
      <c r="U49" s="5" t="str">
        <f>IFERROR(__xludf.DUMMYFUNCTION("""COMPUTED_VALUE"""),"Y")</f>
        <v>Y</v>
      </c>
      <c r="V49" s="5">
        <f>IFERROR(__xludf.DUMMYFUNCTION("""COMPUTED_VALUE"""),60.0)</f>
        <v>60</v>
      </c>
      <c r="W49" s="5">
        <f>IFERROR(__xludf.DUMMYFUNCTION("""COMPUTED_VALUE"""),0.0)</f>
        <v>0</v>
      </c>
      <c r="X49" s="5"/>
      <c r="Y49" s="5"/>
      <c r="Z49" s="5"/>
    </row>
    <row r="50">
      <c r="A50" s="5" t="str">
        <f>IFERROR(__xludf.DUMMYFUNCTION("""COMPUTED_VALUE"""),"(s)-หมึกกล้วยลอก-16/20-ถุง-5กก")</f>
        <v>(s)-หมึกกล้วยลอก-16/20-ถุง-5กก</v>
      </c>
      <c r="B50" s="5">
        <f>IFERROR(__xludf.DUMMYFUNCTION("""COMPUTED_VALUE"""),31358.0)</f>
        <v>31358</v>
      </c>
      <c r="C50" s="5" t="str">
        <f>IFERROR(__xludf.DUMMYFUNCTION("""COMPUTED_VALUE"""),"(S) หมึกกล้วย IQF แพ็ค 1 กก")</f>
        <v>(S) หมึกกล้วย IQF แพ็ค 1 กก</v>
      </c>
      <c r="D50" s="5"/>
      <c r="E50" s="5" t="str">
        <f>IFERROR(__xludf.DUMMYFUNCTION("""COMPUTED_VALUE"""),"&lt;p&gt;X&lt;/p&gt;")</f>
        <v>&lt;p&gt;X&lt;/p&gt;</v>
      </c>
      <c r="F50" s="5" t="str">
        <f>IFERROR(__xludf.DUMMYFUNCTION("""COMPUTED_VALUE"""),"N")</f>
        <v>N</v>
      </c>
      <c r="G50" s="5"/>
      <c r="H50" s="5"/>
      <c r="I50" s="5"/>
      <c r="J50" s="5"/>
      <c r="K50" s="5"/>
      <c r="L50" s="5"/>
      <c r="M50" s="5"/>
      <c r="N50" s="5"/>
      <c r="O50" s="5">
        <f>IFERROR(__xludf.DUMMYFUNCTION("""COMPUTED_VALUE"""),11554.0)</f>
        <v>11554</v>
      </c>
      <c r="P50" s="5">
        <f>IFERROR(__xludf.DUMMYFUNCTION("""COMPUTED_VALUE"""),0.1)</f>
        <v>0.1</v>
      </c>
      <c r="Q50" s="5" t="str">
        <f>IFERROR(__xludf.DUMMYFUNCTION("""COMPUTED_VALUE"""),"N")</f>
        <v>N</v>
      </c>
      <c r="R50" s="5" t="str">
        <f>IFERROR(__xludf.DUMMYFUNCTION("""COMPUTED_VALUE"""),"N")</f>
        <v>N</v>
      </c>
      <c r="S50" s="5"/>
      <c r="T50" s="5"/>
      <c r="U50" s="5" t="str">
        <f>IFERROR(__xludf.DUMMYFUNCTION("""COMPUTED_VALUE"""),"N")</f>
        <v>N</v>
      </c>
      <c r="V50" s="5">
        <f>IFERROR(__xludf.DUMMYFUNCTION("""COMPUTED_VALUE"""),120.0)</f>
        <v>120</v>
      </c>
      <c r="W50" s="5"/>
      <c r="X50" s="5"/>
      <c r="Y50" s="5"/>
      <c r="Z50" s="5"/>
    </row>
    <row r="51">
      <c r="A51" s="5" t="str">
        <f>IFERROR(__xludf.DUMMYFUNCTION("""COMPUTED_VALUE"""),"หมึกบั้งa-แพ็ค-1kg-1")</f>
        <v>หมึกบั้งa-แพ็ค-1kg-1</v>
      </c>
      <c r="B51" s="5">
        <f>IFERROR(__xludf.DUMMYFUNCTION("""COMPUTED_VALUE"""),10121.0)</f>
        <v>10121</v>
      </c>
      <c r="C51" s="5" t="str">
        <f>IFERROR(__xludf.DUMMYFUNCTION("""COMPUTED_VALUE"""),"(S) หมึกบั้งA  แพ็ค 1Kg")</f>
        <v>(S) หมึกบั้งA  แพ็ค 1Kg</v>
      </c>
      <c r="D51" s="5" t="str">
        <f>IFERROR(__xludf.DUMMYFUNCTION("""COMPUTED_VALUE"""),"**ลัง มหาชัย")</f>
        <v>**ลัง มหาชัย</v>
      </c>
      <c r="E51" s="5" t="str">
        <f>IFERROR(__xludf.DUMMYFUNCTION("""COMPUTED_VALUE"""),"&lt;p&gt;1&lt;/p&gt;")</f>
        <v>&lt;p&gt;1&lt;/p&gt;</v>
      </c>
      <c r="F51" s="5" t="str">
        <f>IFERROR(__xludf.DUMMYFUNCTION("""COMPUTED_VALUE"""),"N")</f>
        <v>N</v>
      </c>
      <c r="G51" s="5"/>
      <c r="H51" s="5"/>
      <c r="I51" s="5"/>
      <c r="J51" s="5"/>
      <c r="K51" s="5"/>
      <c r="L51" s="5"/>
      <c r="M51" s="5">
        <f>IFERROR(__xludf.DUMMYFUNCTION("""COMPUTED_VALUE"""),37.95)</f>
        <v>37.95</v>
      </c>
      <c r="N51" s="5">
        <f>IFERROR(__xludf.DUMMYFUNCTION("""COMPUTED_VALUE"""),10121.0)</f>
        <v>10121</v>
      </c>
      <c r="O51" s="5"/>
      <c r="P51" s="5"/>
      <c r="Q51" s="5" t="str">
        <f>IFERROR(__xludf.DUMMYFUNCTION("""COMPUTED_VALUE"""),"Y")</f>
        <v>Y</v>
      </c>
      <c r="R51" s="5"/>
      <c r="S51" s="5" t="str">
        <f>IFERROR(__xludf.DUMMYFUNCTION("""COMPUTED_VALUE"""),"ขึ้นของมหาชัย")</f>
        <v>ขึ้นของมหาชัย</v>
      </c>
      <c r="T51" s="5">
        <f>IFERROR(__xludf.DUMMYFUNCTION("""COMPUTED_VALUE"""),37.0)</f>
        <v>37</v>
      </c>
      <c r="U51" s="5" t="str">
        <f>IFERROR(__xludf.DUMMYFUNCTION("""COMPUTED_VALUE"""),"Y")</f>
        <v>Y</v>
      </c>
      <c r="V51" s="5">
        <f>IFERROR(__xludf.DUMMYFUNCTION("""COMPUTED_VALUE"""),68.0)</f>
        <v>68</v>
      </c>
      <c r="W51" s="5">
        <f>IFERROR(__xludf.DUMMYFUNCTION("""COMPUTED_VALUE"""),221.0)</f>
        <v>221</v>
      </c>
      <c r="X51" s="5">
        <f>IFERROR(__xludf.DUMMYFUNCTION("""COMPUTED_VALUE"""),50.0)</f>
        <v>50</v>
      </c>
      <c r="Y51" s="5">
        <f>IFERROR(__xludf.DUMMYFUNCTION("""COMPUTED_VALUE"""),100.0)</f>
        <v>100</v>
      </c>
      <c r="Z51" s="5"/>
    </row>
    <row r="52">
      <c r="A52" s="5" t="str">
        <f>IFERROR(__xludf.DUMMYFUNCTION("""COMPUTED_VALUE"""),"10305")</f>
        <v>10305</v>
      </c>
      <c r="B52" s="5">
        <f>IFERROR(__xludf.DUMMYFUNCTION("""COMPUTED_VALUE"""),10305.0)</f>
        <v>10305</v>
      </c>
      <c r="C52" s="5" t="str">
        <f>IFERROR(__xludf.DUMMYFUNCTION("""COMPUTED_VALUE"""),"(S) หมึกบั้งมะเฟือง 1 Kg")</f>
        <v>(S) หมึกบั้งมะเฟือง 1 Kg</v>
      </c>
      <c r="D52" s="5" t="str">
        <f>IFERROR(__xludf.DUMMYFUNCTION("""COMPUTED_VALUE"""),"**ลัง มหาชัย")</f>
        <v>**ลัง มหาชัย</v>
      </c>
      <c r="E52" s="5" t="str">
        <f>IFERROR(__xludf.DUMMYFUNCTION("""COMPUTED_VALUE"""),"&lt;p&gt;1&lt;/p&gt;")</f>
        <v>&lt;p&gt;1&lt;/p&gt;</v>
      </c>
      <c r="F52" s="5" t="str">
        <f>IFERROR(__xludf.DUMMYFUNCTION("""COMPUTED_VALUE"""),"N")</f>
        <v>N</v>
      </c>
      <c r="G52" s="5"/>
      <c r="H52" s="5"/>
      <c r="I52" s="5"/>
      <c r="J52" s="5"/>
      <c r="K52" s="5"/>
      <c r="L52" s="5"/>
      <c r="M52" s="5">
        <f>IFERROR(__xludf.DUMMYFUNCTION("""COMPUTED_VALUE"""),56.19)</f>
        <v>56.19</v>
      </c>
      <c r="N52" s="5">
        <f>IFERROR(__xludf.DUMMYFUNCTION("""COMPUTED_VALUE"""),10305.0)</f>
        <v>10305</v>
      </c>
      <c r="O52" s="5"/>
      <c r="P52" s="5"/>
      <c r="Q52" s="5" t="str">
        <f>IFERROR(__xludf.DUMMYFUNCTION("""COMPUTED_VALUE"""),"Y")</f>
        <v>Y</v>
      </c>
      <c r="R52" s="5"/>
      <c r="S52" s="5" t="str">
        <f>IFERROR(__xludf.DUMMYFUNCTION("""COMPUTED_VALUE"""),"ขึ้นของมหาชัย")</f>
        <v>ขึ้นของมหาชัย</v>
      </c>
      <c r="T52" s="5">
        <f>IFERROR(__xludf.DUMMYFUNCTION("""COMPUTED_VALUE"""),55.0)</f>
        <v>55</v>
      </c>
      <c r="U52" s="5" t="str">
        <f>IFERROR(__xludf.DUMMYFUNCTION("""COMPUTED_VALUE"""),"Y")</f>
        <v>Y</v>
      </c>
      <c r="V52" s="5">
        <f>IFERROR(__xludf.DUMMYFUNCTION("""COMPUTED_VALUE"""),70.0)</f>
        <v>70</v>
      </c>
      <c r="W52" s="5">
        <f>IFERROR(__xludf.DUMMYFUNCTION("""COMPUTED_VALUE"""),45.0)</f>
        <v>45</v>
      </c>
      <c r="X52" s="5">
        <f>IFERROR(__xludf.DUMMYFUNCTION("""COMPUTED_VALUE"""),10.0)</f>
        <v>10</v>
      </c>
      <c r="Y52" s="5">
        <f>IFERROR(__xludf.DUMMYFUNCTION("""COMPUTED_VALUE"""),60.0)</f>
        <v>60</v>
      </c>
      <c r="Z52" s="5"/>
    </row>
    <row r="53">
      <c r="A53" s="5" t="str">
        <f>IFERROR(__xludf.DUMMYFUNCTION("""COMPUTED_VALUE"""),"หมึกวง-ลังขาวแดง-1กก")</f>
        <v>หมึกวง-ลังขาวแดง-1กก</v>
      </c>
      <c r="B53" s="5">
        <f>IFERROR(__xludf.DUMMYFUNCTION("""COMPUTED_VALUE"""),11357.0)</f>
        <v>11357</v>
      </c>
      <c r="C53" s="5" t="str">
        <f>IFERROR(__xludf.DUMMYFUNCTION("""COMPUTED_VALUE"""),"(S) หมึกวง แพ็ค  1kg(65)")</f>
        <v>(S) หมึกวง แพ็ค  1kg(65)</v>
      </c>
      <c r="D53" s="5" t="str">
        <f>IFERROR(__xludf.DUMMYFUNCTION("""COMPUTED_VALUE"""),"**ลัง มหาชัย")</f>
        <v>**ลัง มหาชัย</v>
      </c>
      <c r="E53" s="5" t="str">
        <f>IFERROR(__xludf.DUMMYFUNCTION("""COMPUTED_VALUE"""),"&lt;p&gt;1&lt;/p&gt;")</f>
        <v>&lt;p&gt;1&lt;/p&gt;</v>
      </c>
      <c r="F53" s="5" t="str">
        <f>IFERROR(__xludf.DUMMYFUNCTION("""COMPUTED_VALUE"""),"N")</f>
        <v>N</v>
      </c>
      <c r="G53" s="5"/>
      <c r="H53" s="5"/>
      <c r="I53" s="5"/>
      <c r="J53" s="5"/>
      <c r="K53" s="5"/>
      <c r="L53" s="5"/>
      <c r="M53" s="5">
        <f>IFERROR(__xludf.DUMMYFUNCTION("""COMPUTED_VALUE"""),48.55)</f>
        <v>48.55</v>
      </c>
      <c r="N53" s="5">
        <f>IFERROR(__xludf.DUMMYFUNCTION("""COMPUTED_VALUE"""),11357.0)</f>
        <v>11357</v>
      </c>
      <c r="O53" s="5"/>
      <c r="P53" s="5"/>
      <c r="Q53" s="5" t="str">
        <f>IFERROR(__xludf.DUMMYFUNCTION("""COMPUTED_VALUE"""),"Y")</f>
        <v>Y</v>
      </c>
      <c r="R53" s="5"/>
      <c r="S53" s="5" t="str">
        <f>IFERROR(__xludf.DUMMYFUNCTION("""COMPUTED_VALUE"""),"ขึ้นของมหาชัย")</f>
        <v>ขึ้นของมหาชัย</v>
      </c>
      <c r="T53" s="5">
        <f>IFERROR(__xludf.DUMMYFUNCTION("""COMPUTED_VALUE"""),47.0)</f>
        <v>47</v>
      </c>
      <c r="U53" s="5" t="str">
        <f>IFERROR(__xludf.DUMMYFUNCTION("""COMPUTED_VALUE"""),"Y")</f>
        <v>Y</v>
      </c>
      <c r="V53" s="5">
        <f>IFERROR(__xludf.DUMMYFUNCTION("""COMPUTED_VALUE"""),65.0)</f>
        <v>65</v>
      </c>
      <c r="W53" s="5">
        <f>IFERROR(__xludf.DUMMYFUNCTION("""COMPUTED_VALUE"""),236.0)</f>
        <v>236</v>
      </c>
      <c r="X53" s="5">
        <f>IFERROR(__xludf.DUMMYFUNCTION("""COMPUTED_VALUE"""),40.0)</f>
        <v>40</v>
      </c>
      <c r="Y53" s="5">
        <f>IFERROR(__xludf.DUMMYFUNCTION("""COMPUTED_VALUE"""),140.0)</f>
        <v>140</v>
      </c>
      <c r="Z53" s="5"/>
    </row>
    <row r="54">
      <c r="A54" s="5" t="str">
        <f>IFERROR(__xludf.DUMMYFUNCTION("""COMPUTED_VALUE"""),"หมึกวงติดปีก-1kg-1")</f>
        <v>หมึกวงติดปีก-1kg-1</v>
      </c>
      <c r="B54" s="5">
        <f>IFERROR(__xludf.DUMMYFUNCTION("""COMPUTED_VALUE"""),10200.0)</f>
        <v>10200</v>
      </c>
      <c r="C54" s="5" t="str">
        <f>IFERROR(__xludf.DUMMYFUNCTION("""COMPUTED_VALUE"""),"(S) หมึกวงติดปีก ถุง1 กก(60)")</f>
        <v>(S) หมึกวงติดปีก ถุง1 กก(60)</v>
      </c>
      <c r="D54" s="5" t="str">
        <f>IFERROR(__xludf.DUMMYFUNCTION("""COMPUTED_VALUE"""),"**ลัง มหาชัย")</f>
        <v>**ลัง มหาชัย</v>
      </c>
      <c r="E54" s="5" t="str">
        <f>IFERROR(__xludf.DUMMYFUNCTION("""COMPUTED_VALUE"""),"&lt;p&gt;1&lt;/p&gt;")</f>
        <v>&lt;p&gt;1&lt;/p&gt;</v>
      </c>
      <c r="F54" s="5" t="str">
        <f>IFERROR(__xludf.DUMMYFUNCTION("""COMPUTED_VALUE"""),"N")</f>
        <v>N</v>
      </c>
      <c r="G54" s="5"/>
      <c r="H54" s="5"/>
      <c r="I54" s="5"/>
      <c r="J54" s="5"/>
      <c r="K54" s="5"/>
      <c r="L54" s="5"/>
      <c r="M54" s="5">
        <f>IFERROR(__xludf.DUMMYFUNCTION("""COMPUTED_VALUE"""),48.02)</f>
        <v>48.02</v>
      </c>
      <c r="N54" s="5">
        <f>IFERROR(__xludf.DUMMYFUNCTION("""COMPUTED_VALUE"""),10200.0)</f>
        <v>10200</v>
      </c>
      <c r="O54" s="5"/>
      <c r="P54" s="5"/>
      <c r="Q54" s="5" t="str">
        <f>IFERROR(__xludf.DUMMYFUNCTION("""COMPUTED_VALUE"""),"Y")</f>
        <v>Y</v>
      </c>
      <c r="R54" s="5"/>
      <c r="S54" s="5" t="str">
        <f>IFERROR(__xludf.DUMMYFUNCTION("""COMPUTED_VALUE"""),"ขึ้นของมหาชัย")</f>
        <v>ขึ้นของมหาชัย</v>
      </c>
      <c r="T54" s="5">
        <f>IFERROR(__xludf.DUMMYFUNCTION("""COMPUTED_VALUE"""),47.0)</f>
        <v>47</v>
      </c>
      <c r="U54" s="5" t="str">
        <f>IFERROR(__xludf.DUMMYFUNCTION("""COMPUTED_VALUE"""),"Y")</f>
        <v>Y</v>
      </c>
      <c r="V54" s="5">
        <f>IFERROR(__xludf.DUMMYFUNCTION("""COMPUTED_VALUE"""),60.0)</f>
        <v>60</v>
      </c>
      <c r="W54" s="5">
        <f>IFERROR(__xludf.DUMMYFUNCTION("""COMPUTED_VALUE"""),101.0)</f>
        <v>101</v>
      </c>
      <c r="X54" s="5">
        <f>IFERROR(__xludf.DUMMYFUNCTION("""COMPUTED_VALUE"""),30.0)</f>
        <v>30</v>
      </c>
      <c r="Y54" s="5">
        <f>IFERROR(__xludf.DUMMYFUNCTION("""COMPUTED_VALUE"""),130.0)</f>
        <v>130</v>
      </c>
      <c r="Z54" s="5"/>
    </row>
    <row r="55">
      <c r="A55" s="5" t="str">
        <f>IFERROR(__xludf.DUMMYFUNCTION("""COMPUTED_VALUE"""),"(s)-หมูชาบู-(หอม)-119")</f>
        <v>(s)-หมูชาบู-(หอม)-119</v>
      </c>
      <c r="B55" s="5">
        <f>IFERROR(__xludf.DUMMYFUNCTION("""COMPUTED_VALUE"""),10186.0)</f>
        <v>10186</v>
      </c>
      <c r="C55" s="5" t="str">
        <f>IFERROR(__xludf.DUMMYFUNCTION("""COMPUTED_VALUE"""),"(S) หมูชาบู (หอม)-119")</f>
        <v>(S) หมูชาบู (หอม)-119</v>
      </c>
      <c r="D55" s="5"/>
      <c r="E55" s="5"/>
      <c r="F55" s="5" t="str">
        <f>IFERROR(__xludf.DUMMYFUNCTION("""COMPUTED_VALUE"""),"N")</f>
        <v>N</v>
      </c>
      <c r="G55" s="5"/>
      <c r="H55" s="5"/>
      <c r="I55" s="5"/>
      <c r="J55" s="5"/>
      <c r="K55" s="5"/>
      <c r="L55" s="5"/>
      <c r="M55" s="5"/>
      <c r="N55" s="5"/>
      <c r="O55" s="5">
        <f>IFERROR(__xludf.DUMMYFUNCTION("""COMPUTED_VALUE"""),10416.0)</f>
        <v>10416</v>
      </c>
      <c r="P55" s="5">
        <f>IFERROR(__xludf.DUMMYFUNCTION("""COMPUTED_VALUE"""),0.1)</f>
        <v>0.1</v>
      </c>
      <c r="Q55" s="5" t="str">
        <f>IFERROR(__xludf.DUMMYFUNCTION("""COMPUTED_VALUE"""),"N")</f>
        <v>N</v>
      </c>
      <c r="R55" s="5" t="str">
        <f>IFERROR(__xludf.DUMMYFUNCTION("""COMPUTED_VALUE"""),"N")</f>
        <v>N</v>
      </c>
      <c r="S55" s="5"/>
      <c r="T55" s="5"/>
      <c r="U55" s="5" t="str">
        <f>IFERROR(__xludf.DUMMYFUNCTION("""COMPUTED_VALUE"""),"Y")</f>
        <v>Y</v>
      </c>
      <c r="V55" s="5">
        <f>IFERROR(__xludf.DUMMYFUNCTION("""COMPUTED_VALUE"""),119.0)</f>
        <v>119</v>
      </c>
      <c r="W55" s="5"/>
      <c r="X55" s="5"/>
      <c r="Y55" s="5"/>
      <c r="Z55" s="5"/>
    </row>
    <row r="56">
      <c r="A56" s="5" t="str">
        <f>IFERROR(__xludf.DUMMYFUNCTION("""COMPUTED_VALUE"""),"หมูนุ่มเบทาโกร-1-kg-1")</f>
        <v>หมูนุ่มเบทาโกร-1-kg-1</v>
      </c>
      <c r="B56" s="5">
        <f>IFERROR(__xludf.DUMMYFUNCTION("""COMPUTED_VALUE"""),10272.0)</f>
        <v>10272</v>
      </c>
      <c r="C56" s="5" t="str">
        <f>IFERROR(__xludf.DUMMYFUNCTION("""COMPUTED_VALUE"""),"(S) หมูนุ่มเบทาโกร 1 Kg")</f>
        <v>(S) หมูนุ่มเบทาโกร 1 Kg</v>
      </c>
      <c r="D56" s="5" t="str">
        <f>IFERROR(__xludf.DUMMYFUNCTION("""COMPUTED_VALUE"""),"**ลัง ร้อยเอ็ด")</f>
        <v>**ลัง ร้อยเอ็ด</v>
      </c>
      <c r="E56" s="5" t="str">
        <f>IFERROR(__xludf.DUMMYFUNCTION("""COMPUTED_VALUE"""),"&lt;p&gt;X&lt;/p&gt;")</f>
        <v>&lt;p&gt;X&lt;/p&gt;</v>
      </c>
      <c r="F56" s="5" t="str">
        <f>IFERROR(__xludf.DUMMYFUNCTION("""COMPUTED_VALUE"""),"N")</f>
        <v>N</v>
      </c>
      <c r="G56" s="5"/>
      <c r="H56" s="5"/>
      <c r="I56" s="5"/>
      <c r="J56" s="5"/>
      <c r="K56" s="5"/>
      <c r="L56" s="5"/>
      <c r="M56" s="5">
        <f>IFERROR(__xludf.DUMMYFUNCTION("""COMPUTED_VALUE"""),80.0)</f>
        <v>80</v>
      </c>
      <c r="N56" s="5">
        <f>IFERROR(__xludf.DUMMYFUNCTION("""COMPUTED_VALUE"""),10272.0)</f>
        <v>10272</v>
      </c>
      <c r="O56" s="5"/>
      <c r="P56" s="5"/>
      <c r="Q56" s="5" t="str">
        <f>IFERROR(__xludf.DUMMYFUNCTION("""COMPUTED_VALUE"""),"Y")</f>
        <v>Y</v>
      </c>
      <c r="R56" s="5"/>
      <c r="S56" s="5" t="str">
        <f>IFERROR(__xludf.DUMMYFUNCTION("""COMPUTED_VALUE"""),"เบทาโกร")</f>
        <v>เบทาโกร</v>
      </c>
      <c r="T56" s="5">
        <f>IFERROR(__xludf.DUMMYFUNCTION("""COMPUTED_VALUE"""),85.0)</f>
        <v>85</v>
      </c>
      <c r="U56" s="5" t="str">
        <f>IFERROR(__xludf.DUMMYFUNCTION("""COMPUTED_VALUE"""),"Y")</f>
        <v>Y</v>
      </c>
      <c r="V56" s="5">
        <f>IFERROR(__xludf.DUMMYFUNCTION("""COMPUTED_VALUE"""),110.0)</f>
        <v>110</v>
      </c>
      <c r="W56" s="5">
        <f>IFERROR(__xludf.DUMMYFUNCTION("""COMPUTED_VALUE"""),40.0)</f>
        <v>40</v>
      </c>
      <c r="X56" s="5">
        <f>IFERROR(__xludf.DUMMYFUNCTION("""COMPUTED_VALUE"""),20.0)</f>
        <v>20</v>
      </c>
      <c r="Y56" s="5">
        <f>IFERROR(__xludf.DUMMYFUNCTION("""COMPUTED_VALUE"""),50.0)</f>
        <v>50</v>
      </c>
      <c r="Z56" s="5"/>
    </row>
    <row r="57">
      <c r="A57" s="5" t="str">
        <f>IFERROR(__xludf.DUMMYFUNCTION("""COMPUTED_VALUE"""),"หลอดอนามัย-แพ็ค38g")</f>
        <v>หลอดอนามัย-แพ็ค38g</v>
      </c>
      <c r="B57" s="5">
        <f>IFERROR(__xludf.DUMMYFUNCTION("""COMPUTED_VALUE"""),10540.0)</f>
        <v>10540</v>
      </c>
      <c r="C57" s="5" t="str">
        <f>IFERROR(__xludf.DUMMYFUNCTION("""COMPUTED_VALUE"""),"(S) หลอดอนามัย แพ็ค38g")</f>
        <v>(S) หลอดอนามัย แพ็ค38g</v>
      </c>
      <c r="D57" s="5" t="str">
        <f>IFERROR(__xludf.DUMMYFUNCTION("""COMPUTED_VALUE"""),"**ของหิ้ว ร้อยเอ็ด")</f>
        <v>**ของหิ้ว ร้อยเอ็ด</v>
      </c>
      <c r="E57" s="5" t="str">
        <f>IFERROR(__xludf.DUMMYFUNCTION("""COMPUTED_VALUE"""),"X")</f>
        <v>X</v>
      </c>
      <c r="F57" s="5" t="str">
        <f>IFERROR(__xludf.DUMMYFUNCTION("""COMPUTED_VALUE"""),"N")</f>
        <v>N</v>
      </c>
      <c r="G57" s="5"/>
      <c r="H57" s="5"/>
      <c r="I57" s="5"/>
      <c r="J57" s="5"/>
      <c r="K57" s="5"/>
      <c r="L57" s="5"/>
      <c r="M57" s="5">
        <f>IFERROR(__xludf.DUMMYFUNCTION("""COMPUTED_VALUE"""),9.5)</f>
        <v>9.5</v>
      </c>
      <c r="N57" s="5">
        <f>IFERROR(__xludf.DUMMYFUNCTION("""COMPUTED_VALUE"""),8.858817013605E12)</f>
        <v>8858817013605</v>
      </c>
      <c r="O57" s="5"/>
      <c r="P57" s="5"/>
      <c r="Q57" s="5" t="str">
        <f>IFERROR(__xludf.DUMMYFUNCTION("""COMPUTED_VALUE"""),"Y")</f>
        <v>Y</v>
      </c>
      <c r="R57" s="5"/>
      <c r="S57" s="5"/>
      <c r="T57" s="5">
        <f>IFERROR(__xludf.DUMMYFUNCTION("""COMPUTED_VALUE"""),0.0)</f>
        <v>0</v>
      </c>
      <c r="U57" s="5" t="str">
        <f>IFERROR(__xludf.DUMMYFUNCTION("""COMPUTED_VALUE"""),"Y")</f>
        <v>Y</v>
      </c>
      <c r="V57" s="5">
        <f>IFERROR(__xludf.DUMMYFUNCTION("""COMPUTED_VALUE"""),10.0)</f>
        <v>10</v>
      </c>
      <c r="W57" s="5">
        <f>IFERROR(__xludf.DUMMYFUNCTION("""COMPUTED_VALUE"""),30.0)</f>
        <v>30</v>
      </c>
      <c r="X57" s="5">
        <f>IFERROR(__xludf.DUMMYFUNCTION("""COMPUTED_VALUE"""),10.0)</f>
        <v>10</v>
      </c>
      <c r="Y57" s="5"/>
      <c r="Z57" s="5"/>
    </row>
    <row r="58">
      <c r="A58" s="5" t="str">
        <f>IFERROR(__xludf.DUMMYFUNCTION("""COMPUTED_VALUE"""),"หอยดอง-ขวดกลาง")</f>
        <v>หอยดอง-ขวดกลาง</v>
      </c>
      <c r="B58" s="5">
        <f>IFERROR(__xludf.DUMMYFUNCTION("""COMPUTED_VALUE"""),10469.0)</f>
        <v>10469</v>
      </c>
      <c r="C58" s="5" t="str">
        <f>IFERROR(__xludf.DUMMYFUNCTION("""COMPUTED_VALUE"""),"(S) หอยดอง ใหญ่ (ขวด)-50")</f>
        <v>(S) หอยดอง ใหญ่ (ขวด)-50</v>
      </c>
      <c r="D58" s="5" t="str">
        <f>IFERROR(__xludf.DUMMYFUNCTION("""COMPUTED_VALUE"""),"**ของหิ้ว มหาชัย")</f>
        <v>**ของหิ้ว มหาชัย</v>
      </c>
      <c r="E58" s="5" t="str">
        <f>IFERROR(__xludf.DUMMYFUNCTION("""COMPUTED_VALUE"""),"&lt;p&gt;1&lt;/p&gt;")</f>
        <v>&lt;p&gt;1&lt;/p&gt;</v>
      </c>
      <c r="F58" s="5" t="str">
        <f>IFERROR(__xludf.DUMMYFUNCTION("""COMPUTED_VALUE"""),"N")</f>
        <v>N</v>
      </c>
      <c r="G58" s="5"/>
      <c r="H58" s="5"/>
      <c r="I58" s="5"/>
      <c r="J58" s="5"/>
      <c r="K58" s="5"/>
      <c r="L58" s="5"/>
      <c r="M58" s="5">
        <f>IFERROR(__xludf.DUMMYFUNCTION("""COMPUTED_VALUE"""),30.75)</f>
        <v>30.75</v>
      </c>
      <c r="N58" s="5">
        <f>IFERROR(__xludf.DUMMYFUNCTION("""COMPUTED_VALUE"""),10469.0)</f>
        <v>10469</v>
      </c>
      <c r="O58" s="5"/>
      <c r="P58" s="5"/>
      <c r="Q58" s="5" t="str">
        <f>IFERROR(__xludf.DUMMYFUNCTION("""COMPUTED_VALUE"""),"Y")</f>
        <v>Y</v>
      </c>
      <c r="R58" s="5"/>
      <c r="S58" s="5" t="str">
        <f>IFERROR(__xludf.DUMMYFUNCTION("""COMPUTED_VALUE"""),"ขึ้นของมหาชัย")</f>
        <v>ขึ้นของมหาชัย</v>
      </c>
      <c r="T58" s="5">
        <f>IFERROR(__xludf.DUMMYFUNCTION("""COMPUTED_VALUE"""),30.0)</f>
        <v>30</v>
      </c>
      <c r="U58" s="5" t="str">
        <f>IFERROR(__xludf.DUMMYFUNCTION("""COMPUTED_VALUE"""),"Y")</f>
        <v>Y</v>
      </c>
      <c r="V58" s="5">
        <f>IFERROR(__xludf.DUMMYFUNCTION("""COMPUTED_VALUE"""),50.0)</f>
        <v>50</v>
      </c>
      <c r="W58" s="5">
        <f>IFERROR(__xludf.DUMMYFUNCTION("""COMPUTED_VALUE"""),180.0)</f>
        <v>180</v>
      </c>
      <c r="X58" s="5">
        <f>IFERROR(__xludf.DUMMYFUNCTION("""COMPUTED_VALUE"""),24.0)</f>
        <v>24</v>
      </c>
      <c r="Y58" s="5">
        <f>IFERROR(__xludf.DUMMYFUNCTION("""COMPUTED_VALUE"""),144.0)</f>
        <v>144</v>
      </c>
      <c r="Z58" s="5"/>
    </row>
    <row r="59">
      <c r="A59" s="5" t="str">
        <f>IFERROR(__xludf.DUMMYFUNCTION("""COMPUTED_VALUE"""),"หอยดองเล็ก-20-ขวด-(หิ้ว)")</f>
        <v>หอยดองเล็ก-20-ขวด-(หิ้ว)</v>
      </c>
      <c r="B59" s="5">
        <f>IFERROR(__xludf.DUMMYFUNCTION("""COMPUTED_VALUE"""),10809.0)</f>
        <v>10809</v>
      </c>
      <c r="C59" s="5" t="str">
        <f>IFERROR(__xludf.DUMMYFUNCTION("""COMPUTED_VALUE"""),"(S) หอยดองเล็ก  (ขวด)-25")</f>
        <v>(S) หอยดองเล็ก  (ขวด)-25</v>
      </c>
      <c r="D59" s="5" t="str">
        <f>IFERROR(__xludf.DUMMYFUNCTION("""COMPUTED_VALUE"""),"**ของหิ้ว มหาชัย")</f>
        <v>**ของหิ้ว มหาชัย</v>
      </c>
      <c r="E59" s="5"/>
      <c r="F59" s="5" t="str">
        <f>IFERROR(__xludf.DUMMYFUNCTION("""COMPUTED_VALUE"""),"N")</f>
        <v>N</v>
      </c>
      <c r="G59" s="5"/>
      <c r="H59" s="5"/>
      <c r="I59" s="5"/>
      <c r="J59" s="5"/>
      <c r="K59" s="5"/>
      <c r="L59" s="5"/>
      <c r="M59" s="5">
        <f>IFERROR(__xludf.DUMMYFUNCTION("""COMPUTED_VALUE"""),15.52)</f>
        <v>15.52</v>
      </c>
      <c r="N59" s="5"/>
      <c r="O59" s="5"/>
      <c r="P59" s="5"/>
      <c r="Q59" s="5" t="str">
        <f>IFERROR(__xludf.DUMMYFUNCTION("""COMPUTED_VALUE"""),"Y")</f>
        <v>Y</v>
      </c>
      <c r="R59" s="5"/>
      <c r="S59" s="5" t="str">
        <f>IFERROR(__xludf.DUMMYFUNCTION("""COMPUTED_VALUE"""),"ขึ้นของมหาชัย")</f>
        <v>ขึ้นของมหาชัย</v>
      </c>
      <c r="T59" s="5">
        <f>IFERROR(__xludf.DUMMYFUNCTION("""COMPUTED_VALUE"""),15.0)</f>
        <v>15</v>
      </c>
      <c r="U59" s="5" t="str">
        <f>IFERROR(__xludf.DUMMYFUNCTION("""COMPUTED_VALUE"""),"N")</f>
        <v>N</v>
      </c>
      <c r="V59" s="5">
        <f>IFERROR(__xludf.DUMMYFUNCTION("""COMPUTED_VALUE"""),25.0)</f>
        <v>25</v>
      </c>
      <c r="W59" s="5">
        <f>IFERROR(__xludf.DUMMYFUNCTION("""COMPUTED_VALUE"""),40.0)</f>
        <v>40</v>
      </c>
      <c r="X59" s="5"/>
      <c r="Y59" s="5"/>
      <c r="Z59" s="5"/>
    </row>
    <row r="60">
      <c r="A60" s="5" t="str">
        <f>IFERROR(__xludf.DUMMYFUNCTION("""COMPUTED_VALUE"""),"หอยแมลงภู่ชิลี-l-1kg-1")</f>
        <v>หอยแมลงภู่ชิลี-l-1kg-1</v>
      </c>
      <c r="B60" s="5">
        <f>IFERROR(__xludf.DUMMYFUNCTION("""COMPUTED_VALUE"""),10030.0)</f>
        <v>10030</v>
      </c>
      <c r="C60" s="5" t="str">
        <f>IFERROR(__xludf.DUMMYFUNCTION("""COMPUTED_VALUE"""),"(S) หอยภู่ชิลี L  ฝาเดียว 1Kg")</f>
        <v>(S) หอยภู่ชิลี L  ฝาเดียว 1Kg</v>
      </c>
      <c r="D60" s="5"/>
      <c r="E60" s="5" t="str">
        <f>IFERROR(__xludf.DUMMYFUNCTION("""COMPUTED_VALUE"""),"&lt;p&gt;X&lt;/p&gt;")</f>
        <v>&lt;p&gt;X&lt;/p&gt;</v>
      </c>
      <c r="F60" s="5" t="str">
        <f>IFERROR(__xludf.DUMMYFUNCTION("""COMPUTED_VALUE"""),"N")</f>
        <v>N</v>
      </c>
      <c r="G60" s="5"/>
      <c r="H60" s="5"/>
      <c r="I60" s="5"/>
      <c r="J60" s="5"/>
      <c r="K60" s="5"/>
      <c r="L60" s="5"/>
      <c r="M60" s="5"/>
      <c r="N60" s="5">
        <f>IFERROR(__xludf.DUMMYFUNCTION("""COMPUTED_VALUE"""),10030.0)</f>
        <v>10030</v>
      </c>
      <c r="O60" s="5">
        <f>IFERROR(__xludf.DUMMYFUNCTION("""COMPUTED_VALUE"""),10295.0)</f>
        <v>10295</v>
      </c>
      <c r="P60" s="5">
        <f>IFERROR(__xludf.DUMMYFUNCTION("""COMPUTED_VALUE"""),0.1)</f>
        <v>0.1</v>
      </c>
      <c r="Q60" s="5" t="str">
        <f>IFERROR(__xludf.DUMMYFUNCTION("""COMPUTED_VALUE"""),"N")</f>
        <v>N</v>
      </c>
      <c r="R60" s="5" t="str">
        <f>IFERROR(__xludf.DUMMYFUNCTION("""COMPUTED_VALUE"""),"N")</f>
        <v>N</v>
      </c>
      <c r="S60" s="5"/>
      <c r="T60" s="5"/>
      <c r="U60" s="5" t="str">
        <f>IFERROR(__xludf.DUMMYFUNCTION("""COMPUTED_VALUE"""),"Y")</f>
        <v>Y</v>
      </c>
      <c r="V60" s="5">
        <f>IFERROR(__xludf.DUMMYFUNCTION("""COMPUTED_VALUE"""),85.0)</f>
        <v>85</v>
      </c>
      <c r="W60" s="5"/>
      <c r="X60" s="5"/>
      <c r="Y60" s="5"/>
      <c r="Z60" s="5"/>
    </row>
    <row r="61">
      <c r="A61" s="5" t="str">
        <f>IFERROR(__xludf.DUMMYFUNCTION("""COMPUTED_VALUE"""),"เครื่อพะโล้")</f>
        <v>เครื่อพะโล้</v>
      </c>
      <c r="B61" s="5">
        <f>IFERROR(__xludf.DUMMYFUNCTION("""COMPUTED_VALUE"""),10852.0)</f>
        <v>10852</v>
      </c>
      <c r="C61" s="5" t="str">
        <f>IFERROR(__xludf.DUMMYFUNCTION("""COMPUTED_VALUE"""),"(S) เครื่อพะโล้")</f>
        <v>(S) เครื่อพะโล้</v>
      </c>
      <c r="D61" s="5"/>
      <c r="E61" s="5" t="str">
        <f>IFERROR(__xludf.DUMMYFUNCTION("""COMPUTED_VALUE"""),"X")</f>
        <v>X</v>
      </c>
      <c r="F61" s="5" t="str">
        <f>IFERROR(__xludf.DUMMYFUNCTION("""COMPUTED_VALUE"""),"N")</f>
        <v>N</v>
      </c>
      <c r="G61" s="5"/>
      <c r="H61" s="5"/>
      <c r="I61" s="5"/>
      <c r="J61" s="5"/>
      <c r="K61" s="5"/>
      <c r="L61" s="5"/>
      <c r="M61" s="5">
        <f>IFERROR(__xludf.DUMMYFUNCTION("""COMPUTED_VALUE"""),9.0)</f>
        <v>9</v>
      </c>
      <c r="N61" s="5"/>
      <c r="O61" s="5"/>
      <c r="P61" s="5"/>
      <c r="Q61" s="5" t="str">
        <f>IFERROR(__xludf.DUMMYFUNCTION("""COMPUTED_VALUE"""),"N")</f>
        <v>N</v>
      </c>
      <c r="R61" s="5"/>
      <c r="S61" s="5"/>
      <c r="T61" s="5"/>
      <c r="U61" s="5" t="str">
        <f>IFERROR(__xludf.DUMMYFUNCTION("""COMPUTED_VALUE"""),"Y")</f>
        <v>Y</v>
      </c>
      <c r="V61" s="5">
        <f>IFERROR(__xludf.DUMMYFUNCTION("""COMPUTED_VALUE"""),10.0)</f>
        <v>10</v>
      </c>
      <c r="W61" s="5"/>
      <c r="X61" s="5"/>
      <c r="Y61" s="5"/>
      <c r="Z61" s="5"/>
    </row>
    <row r="62">
      <c r="A62" s="5" t="str">
        <f>IFERROR(__xludf.DUMMYFUNCTION("""COMPUTED_VALUE"""),"(s)-เต้าหู้ปลา-แพนด้าฟ้า(30)-500g")</f>
        <v>(s)-เต้าหู้ปลา-แพนด้าฟ้า(30)-500g</v>
      </c>
      <c r="B62" s="5">
        <f>IFERROR(__xludf.DUMMYFUNCTION("""COMPUTED_VALUE"""),31075.0)</f>
        <v>31075</v>
      </c>
      <c r="C62" s="5" t="str">
        <f>IFERROR(__xludf.DUMMYFUNCTION("""COMPUTED_VALUE"""),"(s) เต้าหู้ปลา แพนด้าฟ้า500g")</f>
        <v>(s) เต้าหู้ปลา แพนด้าฟ้า500g</v>
      </c>
      <c r="D62" s="5"/>
      <c r="E62" s="5" t="str">
        <f>IFERROR(__xludf.DUMMYFUNCTION("""COMPUTED_VALUE"""),"&lt;p&gt;X&lt;/p&gt;")</f>
        <v>&lt;p&gt;X&lt;/p&gt;</v>
      </c>
      <c r="F62" s="5" t="str">
        <f>IFERROR(__xludf.DUMMYFUNCTION("""COMPUTED_VALUE"""),"N")</f>
        <v>N</v>
      </c>
      <c r="G62" s="5"/>
      <c r="H62" s="5"/>
      <c r="I62" s="5"/>
      <c r="J62" s="5"/>
      <c r="K62" s="5"/>
      <c r="L62" s="5"/>
      <c r="M62" s="5"/>
      <c r="N62" s="5">
        <f>IFERROR(__xludf.DUMMYFUNCTION("""COMPUTED_VALUE"""),10753.0)</f>
        <v>10753</v>
      </c>
      <c r="O62" s="5">
        <f>IFERROR(__xludf.DUMMYFUNCTION("""COMPUTED_VALUE"""),1075.0)</f>
        <v>1075</v>
      </c>
      <c r="P62" s="5">
        <f>IFERROR(__xludf.DUMMYFUNCTION("""COMPUTED_VALUE"""),1.0)</f>
        <v>1</v>
      </c>
      <c r="Q62" s="5" t="str">
        <f>IFERROR(__xludf.DUMMYFUNCTION("""COMPUTED_VALUE"""),"N")</f>
        <v>N</v>
      </c>
      <c r="R62" s="5" t="str">
        <f>IFERROR(__xludf.DUMMYFUNCTION("""COMPUTED_VALUE"""),"N")</f>
        <v>N</v>
      </c>
      <c r="S62" s="5"/>
      <c r="T62" s="5"/>
      <c r="U62" s="5" t="str">
        <f>IFERROR(__xludf.DUMMYFUNCTION("""COMPUTED_VALUE"""),"Y")</f>
        <v>Y</v>
      </c>
      <c r="V62" s="5">
        <f>IFERROR(__xludf.DUMMYFUNCTION("""COMPUTED_VALUE"""),50.0)</f>
        <v>50</v>
      </c>
      <c r="W62" s="5"/>
      <c r="X62" s="5"/>
      <c r="Y62" s="5"/>
      <c r="Z62" s="5"/>
    </row>
    <row r="63">
      <c r="A63" s="5" t="str">
        <f>IFERROR(__xludf.DUMMYFUNCTION("""COMPUTED_VALUE"""),"(s)-เต้าหู้ปลาลูกเต๋าpfp-500กรัม")</f>
        <v>(s)-เต้าหู้ปลาลูกเต๋าpfp-500กรัม</v>
      </c>
      <c r="B63" s="5">
        <f>IFERROR(__xludf.DUMMYFUNCTION("""COMPUTED_VALUE"""),31535.0)</f>
        <v>31535</v>
      </c>
      <c r="C63" s="5" t="str">
        <f>IFERROR(__xludf.DUMMYFUNCTION("""COMPUTED_VALUE"""),"(s) เต้าหู้ปลาลูกเต๋าpfp 500กรัม")</f>
        <v>(s) เต้าหู้ปลาลูกเต๋าpfp 500กรัม</v>
      </c>
      <c r="D63" s="5"/>
      <c r="E63" s="5" t="str">
        <f>IFERROR(__xludf.DUMMYFUNCTION("""COMPUTED_VALUE"""),"X")</f>
        <v>X</v>
      </c>
      <c r="F63" s="5" t="str">
        <f>IFERROR(__xludf.DUMMYFUNCTION("""COMPUTED_VALUE"""),"N")</f>
        <v>N</v>
      </c>
      <c r="G63" s="5"/>
      <c r="H63" s="5"/>
      <c r="I63" s="5"/>
      <c r="J63" s="5"/>
      <c r="K63" s="5"/>
      <c r="L63" s="5"/>
      <c r="M63" s="5"/>
      <c r="N63" s="5"/>
      <c r="O63" s="5">
        <f>IFERROR(__xludf.DUMMYFUNCTION("""COMPUTED_VALUE"""),11535.0)</f>
        <v>11535</v>
      </c>
      <c r="P63" s="5">
        <f>IFERROR(__xludf.DUMMYFUNCTION("""COMPUTED_VALUE"""),1.0)</f>
        <v>1</v>
      </c>
      <c r="Q63" s="5" t="str">
        <f>IFERROR(__xludf.DUMMYFUNCTION("""COMPUTED_VALUE"""),"N")</f>
        <v>N</v>
      </c>
      <c r="R63" s="5" t="str">
        <f>IFERROR(__xludf.DUMMYFUNCTION("""COMPUTED_VALUE"""),"N")</f>
        <v>N</v>
      </c>
      <c r="S63" s="5"/>
      <c r="T63" s="5"/>
      <c r="U63" s="5" t="str">
        <f>IFERROR(__xludf.DUMMYFUNCTION("""COMPUTED_VALUE"""),"Y")</f>
        <v>Y</v>
      </c>
      <c r="V63" s="5">
        <f>IFERROR(__xludf.DUMMYFUNCTION("""COMPUTED_VALUE"""),65.0)</f>
        <v>65</v>
      </c>
      <c r="W63" s="5"/>
      <c r="X63" s="5"/>
      <c r="Y63" s="5"/>
      <c r="Z63" s="5"/>
    </row>
    <row r="64">
      <c r="A64" s="5" t="str">
        <f>IFERROR(__xludf.DUMMYFUNCTION("""COMPUTED_VALUE"""),"เต้าหู้ไข่-1-หลอด")</f>
        <v>เต้าหู้ไข่-1-หลอด</v>
      </c>
      <c r="B64" s="5">
        <f>IFERROR(__xludf.DUMMYFUNCTION("""COMPUTED_VALUE"""),10511.0)</f>
        <v>10511</v>
      </c>
      <c r="C64" s="5" t="str">
        <f>IFERROR(__xludf.DUMMYFUNCTION("""COMPUTED_VALUE"""),"(S) เต้าหู้ไข่ 1 หลอด")</f>
        <v>(S) เต้าหู้ไข่ 1 หลอด</v>
      </c>
      <c r="D64" s="5" t="str">
        <f>IFERROR(__xludf.DUMMYFUNCTION("""COMPUTED_VALUE"""),"**เครื่องดื่ม")</f>
        <v>**เครื่องดื่ม</v>
      </c>
      <c r="E64" s="5" t="str">
        <f>IFERROR(__xludf.DUMMYFUNCTION("""COMPUTED_VALUE"""),"&lt;p&gt;B&lt;/p&gt;")</f>
        <v>&lt;p&gt;B&lt;/p&gt;</v>
      </c>
      <c r="F64" s="5" t="str">
        <f>IFERROR(__xludf.DUMMYFUNCTION("""COMPUTED_VALUE"""),"N")</f>
        <v>N</v>
      </c>
      <c r="G64" s="5"/>
      <c r="H64" s="5"/>
      <c r="I64" s="5"/>
      <c r="J64" s="5"/>
      <c r="K64" s="5"/>
      <c r="L64" s="5"/>
      <c r="M64" s="5">
        <f>IFERROR(__xludf.DUMMYFUNCTION("""COMPUTED_VALUE"""),5.5)</f>
        <v>5.5</v>
      </c>
      <c r="N64" s="5">
        <f>IFERROR(__xludf.DUMMYFUNCTION("""COMPUTED_VALUE"""),8.852043003485E12)</f>
        <v>8852043003485</v>
      </c>
      <c r="O64" s="5"/>
      <c r="P64" s="5"/>
      <c r="Q64" s="5" t="str">
        <f>IFERROR(__xludf.DUMMYFUNCTION("""COMPUTED_VALUE"""),"Y")</f>
        <v>Y</v>
      </c>
      <c r="R64" s="5"/>
      <c r="S64" s="5" t="str">
        <f>IFERROR(__xludf.DUMMYFUNCTION("""COMPUTED_VALUE"""),"เบทาโกร")</f>
        <v>เบทาโกร</v>
      </c>
      <c r="T64" s="5">
        <f>IFERROR(__xludf.DUMMYFUNCTION("""COMPUTED_VALUE"""),5.5)</f>
        <v>5.5</v>
      </c>
      <c r="U64" s="5" t="str">
        <f>IFERROR(__xludf.DUMMYFUNCTION("""COMPUTED_VALUE"""),"Y")</f>
        <v>Y</v>
      </c>
      <c r="V64" s="5">
        <f>IFERROR(__xludf.DUMMYFUNCTION("""COMPUTED_VALUE"""),10.0)</f>
        <v>10</v>
      </c>
      <c r="W64" s="5">
        <f>IFERROR(__xludf.DUMMYFUNCTION("""COMPUTED_VALUE"""),130.0)</f>
        <v>130</v>
      </c>
      <c r="X64" s="5">
        <f>IFERROR(__xludf.DUMMYFUNCTION("""COMPUTED_VALUE"""),85.0)</f>
        <v>85</v>
      </c>
      <c r="Y64" s="5">
        <f>IFERROR(__xludf.DUMMYFUNCTION("""COMPUTED_VALUE"""),142.0)</f>
        <v>142</v>
      </c>
      <c r="Z64" s="5"/>
    </row>
    <row r="65">
      <c r="A65" s="5" t="str">
        <f>IFERROR(__xludf.DUMMYFUNCTION("""COMPUTED_VALUE"""),"(s)-เนื้อหอยชิลี-ถุง-1kg")</f>
        <v>(s)-เนื้อหอยชิลี-ถุง-1kg</v>
      </c>
      <c r="B65" s="5">
        <f>IFERROR(__xludf.DUMMYFUNCTION("""COMPUTED_VALUE"""),30197.0)</f>
        <v>30197</v>
      </c>
      <c r="C65" s="5" t="str">
        <f>IFERROR(__xludf.DUMMYFUNCTION("""COMPUTED_VALUE"""),"(S) เนื้อหอยชิลี ถุง 1Kg")</f>
        <v>(S) เนื้อหอยชิลี ถุง 1Kg</v>
      </c>
      <c r="D65" s="5"/>
      <c r="E65" s="5"/>
      <c r="F65" s="5" t="str">
        <f>IFERROR(__xludf.DUMMYFUNCTION("""COMPUTED_VALUE"""),"N")</f>
        <v>N</v>
      </c>
      <c r="G65" s="5"/>
      <c r="H65" s="5"/>
      <c r="I65" s="5"/>
      <c r="J65" s="5"/>
      <c r="K65" s="5"/>
      <c r="L65" s="5"/>
      <c r="M65" s="5"/>
      <c r="N65" s="5"/>
      <c r="O65" s="5">
        <f>IFERROR(__xludf.DUMMYFUNCTION("""COMPUTED_VALUE"""),10039.0)</f>
        <v>10039</v>
      </c>
      <c r="P65" s="5">
        <f>IFERROR(__xludf.DUMMYFUNCTION("""COMPUTED_VALUE"""),0.1)</f>
        <v>0.1</v>
      </c>
      <c r="Q65" s="5" t="str">
        <f>IFERROR(__xludf.DUMMYFUNCTION("""COMPUTED_VALUE"""),"N")</f>
        <v>N</v>
      </c>
      <c r="R65" s="5" t="str">
        <f>IFERROR(__xludf.DUMMYFUNCTION("""COMPUTED_VALUE"""),"N")</f>
        <v>N</v>
      </c>
      <c r="S65" s="5"/>
      <c r="T65" s="5"/>
      <c r="U65" s="5" t="str">
        <f>IFERROR(__xludf.DUMMYFUNCTION("""COMPUTED_VALUE"""),"Y")</f>
        <v>Y</v>
      </c>
      <c r="V65" s="5">
        <f>IFERROR(__xludf.DUMMYFUNCTION("""COMPUTED_VALUE"""),100.0)</f>
        <v>100</v>
      </c>
      <c r="W65" s="5"/>
      <c r="X65" s="5"/>
      <c r="Y65" s="5"/>
      <c r="Z65" s="5"/>
    </row>
    <row r="66">
      <c r="A66" s="5" t="str">
        <f>IFERROR(__xludf.DUMMYFUNCTION("""COMPUTED_VALUE"""),"(s)-เมล็ดข้าวโพดหวาน-1กก")</f>
        <v>(s)-เมล็ดข้าวโพดหวาน-1กก</v>
      </c>
      <c r="B66" s="5">
        <f>IFERROR(__xludf.DUMMYFUNCTION("""COMPUTED_VALUE"""),31363.0)</f>
        <v>31363</v>
      </c>
      <c r="C66" s="5" t="str">
        <f>IFERROR(__xludf.DUMMYFUNCTION("""COMPUTED_VALUE"""),"(S) เมล็ดข้าวโพดหวาน 1กก")</f>
        <v>(S) เมล็ดข้าวโพดหวาน 1กก</v>
      </c>
      <c r="D66" s="5" t="str">
        <f>IFERROR(__xludf.DUMMYFUNCTION("""COMPUTED_VALUE"""),"TMP")</f>
        <v>TMP</v>
      </c>
      <c r="E66" s="5" t="str">
        <f>IFERROR(__xludf.DUMMYFUNCTION("""COMPUTED_VALUE"""),"&lt;p&gt;X&lt;/p&gt;")</f>
        <v>&lt;p&gt;X&lt;/p&gt;</v>
      </c>
      <c r="F66" s="5" t="str">
        <f>IFERROR(__xludf.DUMMYFUNCTION("""COMPUTED_VALUE"""),"N")</f>
        <v>N</v>
      </c>
      <c r="G66" s="5"/>
      <c r="H66" s="5"/>
      <c r="I66" s="5"/>
      <c r="J66" s="5"/>
      <c r="K66" s="5"/>
      <c r="L66" s="5"/>
      <c r="M66" s="5"/>
      <c r="N66" s="5">
        <f>IFERROR(__xludf.DUMMYFUNCTION("""COMPUTED_VALUE"""),8.856024009916E12)</f>
        <v>8856024009916</v>
      </c>
      <c r="O66" s="5">
        <f>IFERROR(__xludf.DUMMYFUNCTION("""COMPUTED_VALUE"""),11604.0)</f>
        <v>11604</v>
      </c>
      <c r="P66" s="5">
        <f>IFERROR(__xludf.DUMMYFUNCTION("""COMPUTED_VALUE"""),0.1)</f>
        <v>0.1</v>
      </c>
      <c r="Q66" s="5" t="str">
        <f>IFERROR(__xludf.DUMMYFUNCTION("""COMPUTED_VALUE"""),"N")</f>
        <v>N</v>
      </c>
      <c r="R66" s="5" t="str">
        <f>IFERROR(__xludf.DUMMYFUNCTION("""COMPUTED_VALUE"""),"N")</f>
        <v>N</v>
      </c>
      <c r="S66" s="5"/>
      <c r="T66" s="5"/>
      <c r="U66" s="5" t="str">
        <f>IFERROR(__xludf.DUMMYFUNCTION("""COMPUTED_VALUE"""),"Y")</f>
        <v>Y</v>
      </c>
      <c r="V66" s="5">
        <f>IFERROR(__xludf.DUMMYFUNCTION("""COMPUTED_VALUE"""),85.0)</f>
        <v>85</v>
      </c>
      <c r="W66" s="5"/>
      <c r="X66" s="5"/>
      <c r="Y66" s="5"/>
      <c r="Z66" s="5"/>
    </row>
    <row r="67">
      <c r="A67" s="5" t="str">
        <f>IFERROR(__xludf.DUMMYFUNCTION("""COMPUTED_VALUE"""),"(s)-เส้นก๋วยเตี๋ยวสาเกตsw")</f>
        <v>(s)-เส้นก๋วยเตี๋ยวสาเกตsw</v>
      </c>
      <c r="B67" s="5">
        <f>IFERROR(__xludf.DUMMYFUNCTION("""COMPUTED_VALUE"""),30688.0)</f>
        <v>30688</v>
      </c>
      <c r="C67" s="5" t="str">
        <f>IFERROR(__xludf.DUMMYFUNCTION("""COMPUTED_VALUE"""),"(s) เส้นปลาทวีวงษ์500กรัม")</f>
        <v>(s) เส้นปลาทวีวงษ์500กรัม</v>
      </c>
      <c r="D67" s="5"/>
      <c r="E67" s="5" t="str">
        <f>IFERROR(__xludf.DUMMYFUNCTION("""COMPUTED_VALUE"""),"&lt;p&gt;X&lt;/p&gt;")</f>
        <v>&lt;p&gt;X&lt;/p&gt;</v>
      </c>
      <c r="F67" s="5" t="str">
        <f>IFERROR(__xludf.DUMMYFUNCTION("""COMPUTED_VALUE"""),"N")</f>
        <v>N</v>
      </c>
      <c r="G67" s="5"/>
      <c r="H67" s="5"/>
      <c r="I67" s="5"/>
      <c r="J67" s="5"/>
      <c r="K67" s="5"/>
      <c r="L67" s="5"/>
      <c r="M67" s="5"/>
      <c r="N67" s="5">
        <f>IFERROR(__xludf.DUMMYFUNCTION("""COMPUTED_VALUE"""),8.850016075439E12)</f>
        <v>8850016075439</v>
      </c>
      <c r="O67" s="5">
        <f>IFERROR(__xludf.DUMMYFUNCTION("""COMPUTED_VALUE"""),10045.0)</f>
        <v>10045</v>
      </c>
      <c r="P67" s="5">
        <f>IFERROR(__xludf.DUMMYFUNCTION("""COMPUTED_VALUE"""),0.05)</f>
        <v>0.05</v>
      </c>
      <c r="Q67" s="5" t="str">
        <f>IFERROR(__xludf.DUMMYFUNCTION("""COMPUTED_VALUE"""),"N")</f>
        <v>N</v>
      </c>
      <c r="R67" s="5" t="str">
        <f>IFERROR(__xludf.DUMMYFUNCTION("""COMPUTED_VALUE"""),"N")</f>
        <v>N</v>
      </c>
      <c r="S67" s="5"/>
      <c r="T67" s="5"/>
      <c r="U67" s="5" t="str">
        <f>IFERROR(__xludf.DUMMYFUNCTION("""COMPUTED_VALUE"""),"Y")</f>
        <v>Y</v>
      </c>
      <c r="V67" s="5">
        <f>IFERROR(__xludf.DUMMYFUNCTION("""COMPUTED_VALUE"""),78.0)</f>
        <v>78</v>
      </c>
      <c r="W67" s="5"/>
      <c r="X67" s="5"/>
      <c r="Y67" s="5"/>
      <c r="Z67" s="5"/>
    </row>
    <row r="68">
      <c r="A68" s="5" t="str">
        <f>IFERROR(__xludf.DUMMYFUNCTION("""COMPUTED_VALUE"""),"เส้นมาม่า.-เกาหลี")</f>
        <v>เส้นมาม่า.-เกาหลี</v>
      </c>
      <c r="B68" s="5">
        <f>IFERROR(__xludf.DUMMYFUNCTION("""COMPUTED_VALUE"""),11221.0)</f>
        <v>11221</v>
      </c>
      <c r="C68" s="5" t="str">
        <f>IFERROR(__xludf.DUMMYFUNCTION("""COMPUTED_VALUE"""),"(S) เส้นมาม่า. เกาหลี")</f>
        <v>(S) เส้นมาม่า. เกาหลี</v>
      </c>
      <c r="D68" s="5"/>
      <c r="E68" s="5" t="str">
        <f>IFERROR(__xludf.DUMMYFUNCTION("""COMPUTED_VALUE"""),"X")</f>
        <v>X</v>
      </c>
      <c r="F68" s="5" t="str">
        <f>IFERROR(__xludf.DUMMYFUNCTION("""COMPUTED_VALUE"""),"N")</f>
        <v>N</v>
      </c>
      <c r="G68" s="5"/>
      <c r="H68" s="5"/>
      <c r="I68" s="5"/>
      <c r="J68" s="5"/>
      <c r="K68" s="5"/>
      <c r="L68" s="5"/>
      <c r="M68" s="5">
        <f>IFERROR(__xludf.DUMMYFUNCTION("""COMPUTED_VALUE"""),6.0)</f>
        <v>6</v>
      </c>
      <c r="N68" s="5"/>
      <c r="O68" s="5"/>
      <c r="P68" s="5"/>
      <c r="Q68" s="5" t="str">
        <f>IFERROR(__xludf.DUMMYFUNCTION("""COMPUTED_VALUE"""),"N")</f>
        <v>N</v>
      </c>
      <c r="R68" s="5"/>
      <c r="S68" s="5"/>
      <c r="T68" s="5"/>
      <c r="U68" s="5" t="str">
        <f>IFERROR(__xludf.DUMMYFUNCTION("""COMPUTED_VALUE"""),"Y")</f>
        <v>Y</v>
      </c>
      <c r="V68" s="5">
        <f>IFERROR(__xludf.DUMMYFUNCTION("""COMPUTED_VALUE"""),8.0)</f>
        <v>8</v>
      </c>
      <c r="W68" s="5"/>
      <c r="X68" s="5"/>
      <c r="Y68" s="5"/>
      <c r="Z68" s="5"/>
    </row>
    <row r="69">
      <c r="A69" s="5" t="str">
        <f>IFERROR(__xludf.DUMMYFUNCTION("""COMPUTED_VALUE"""),"(s)-เห็ดโปร-(แพ็ค-1กก)")</f>
        <v>(s)-เห็ดโปร-(แพ็ค-1กก)</v>
      </c>
      <c r="B69" s="5">
        <f>IFERROR(__xludf.DUMMYFUNCTION("""COMPUTED_VALUE"""),31258.0)</f>
        <v>31258</v>
      </c>
      <c r="C69" s="5" t="str">
        <f>IFERROR(__xludf.DUMMYFUNCTION("""COMPUTED_VALUE"""),"(S) เห็ดเข็มโปร (แพ็ค 1กก)")</f>
        <v>(S) เห็ดเข็มโปร (แพ็ค 1กก)</v>
      </c>
      <c r="D69" s="5"/>
      <c r="E69" s="5" t="str">
        <f>IFERROR(__xludf.DUMMYFUNCTION("""COMPUTED_VALUE"""),"&lt;p&gt;X&lt;/p&gt;")</f>
        <v>&lt;p&gt;X&lt;/p&gt;</v>
      </c>
      <c r="F69" s="5" t="str">
        <f>IFERROR(__xludf.DUMMYFUNCTION("""COMPUTED_VALUE"""),"N")</f>
        <v>N</v>
      </c>
      <c r="G69" s="5"/>
      <c r="H69" s="5"/>
      <c r="I69" s="5"/>
      <c r="J69" s="5"/>
      <c r="K69" s="5"/>
      <c r="L69" s="5"/>
      <c r="M69" s="5"/>
      <c r="N69" s="5"/>
      <c r="O69" s="5">
        <f>IFERROR(__xludf.DUMMYFUNCTION("""COMPUTED_VALUE"""),11261.0)</f>
        <v>11261</v>
      </c>
      <c r="P69" s="5">
        <f>IFERROR(__xludf.DUMMYFUNCTION("""COMPUTED_VALUE"""),0.1)</f>
        <v>0.1</v>
      </c>
      <c r="Q69" s="5" t="str">
        <f>IFERROR(__xludf.DUMMYFUNCTION("""COMPUTED_VALUE"""),"N")</f>
        <v>N</v>
      </c>
      <c r="R69" s="5" t="str">
        <f>IFERROR(__xludf.DUMMYFUNCTION("""COMPUTED_VALUE"""),"N")</f>
        <v>N</v>
      </c>
      <c r="S69" s="5"/>
      <c r="T69" s="5"/>
      <c r="U69" s="5" t="str">
        <f>IFERROR(__xludf.DUMMYFUNCTION("""COMPUTED_VALUE"""),"Y")</f>
        <v>Y</v>
      </c>
      <c r="V69" s="5">
        <f>IFERROR(__xludf.DUMMYFUNCTION("""COMPUTED_VALUE"""),65.0)</f>
        <v>65</v>
      </c>
      <c r="W69" s="5"/>
      <c r="X69" s="5"/>
      <c r="Y69" s="5"/>
      <c r="Z69" s="5"/>
    </row>
    <row r="70">
      <c r="A70" s="5" t="str">
        <f>IFERROR(__xludf.DUMMYFUNCTION("""COMPUTED_VALUE"""),"(s)-แซลม่อน-มินิ")</f>
        <v>(s)-แซลม่อน-มินิ</v>
      </c>
      <c r="B70" s="5">
        <f>IFERROR(__xludf.DUMMYFUNCTION("""COMPUTED_VALUE"""),30933.0)</f>
        <v>30933</v>
      </c>
      <c r="C70" s="5" t="str">
        <f>IFERROR(__xludf.DUMMYFUNCTION("""COMPUTED_VALUE"""),"(S) แซลม่อนหั่นชิ้น (คิริมิ)")</f>
        <v>(S) แซลม่อนหั่นชิ้น (คิริมิ)</v>
      </c>
      <c r="D70" s="5"/>
      <c r="E70" s="5" t="str">
        <f>IFERROR(__xludf.DUMMYFUNCTION("""COMPUTED_VALUE"""),"&lt;p&gt;X&lt;/p&gt;")</f>
        <v>&lt;p&gt;X&lt;/p&gt;</v>
      </c>
      <c r="F70" s="5" t="str">
        <f>IFERROR(__xludf.DUMMYFUNCTION("""COMPUTED_VALUE"""),"N")</f>
        <v>N</v>
      </c>
      <c r="G70" s="5"/>
      <c r="H70" s="5"/>
      <c r="I70" s="5"/>
      <c r="J70" s="5"/>
      <c r="K70" s="5"/>
      <c r="L70" s="5"/>
      <c r="M70" s="5"/>
      <c r="N70" s="5"/>
      <c r="O70" s="5">
        <f>IFERROR(__xludf.DUMMYFUNCTION("""COMPUTED_VALUE"""),10192.0)</f>
        <v>10192</v>
      </c>
      <c r="P70" s="5">
        <f>IFERROR(__xludf.DUMMYFUNCTION("""COMPUTED_VALUE"""),0.1)</f>
        <v>0.1</v>
      </c>
      <c r="Q70" s="5" t="str">
        <f>IFERROR(__xludf.DUMMYFUNCTION("""COMPUTED_VALUE"""),"N")</f>
        <v>N</v>
      </c>
      <c r="R70" s="5" t="str">
        <f>IFERROR(__xludf.DUMMYFUNCTION("""COMPUTED_VALUE"""),"N")</f>
        <v>N</v>
      </c>
      <c r="S70" s="5"/>
      <c r="T70" s="5"/>
      <c r="U70" s="5" t="str">
        <f>IFERROR(__xludf.DUMMYFUNCTION("""COMPUTED_VALUE"""),"Y")</f>
        <v>Y</v>
      </c>
      <c r="V70" s="5">
        <f>IFERROR(__xludf.DUMMYFUNCTION("""COMPUTED_VALUE"""),130.0)</f>
        <v>130</v>
      </c>
      <c r="W70" s="5"/>
      <c r="X70" s="5"/>
      <c r="Y70" s="5"/>
      <c r="Z70" s="5"/>
    </row>
    <row r="71">
      <c r="A71" s="5" t="str">
        <f>IFERROR(__xludf.DUMMYFUNCTION("""COMPUTED_VALUE"""),"แฟนต้า-น้ำแดง")</f>
        <v>แฟนต้า-น้ำแดง</v>
      </c>
      <c r="B71" s="5">
        <f>IFERROR(__xludf.DUMMYFUNCTION("""COMPUTED_VALUE"""),10173.0)</f>
        <v>10173</v>
      </c>
      <c r="C71" s="5" t="str">
        <f>IFERROR(__xludf.DUMMYFUNCTION("""COMPUTED_VALUE"""),"(S) แฟนต้า น้ำแดง")</f>
        <v>(S) แฟนต้า น้ำแดง</v>
      </c>
      <c r="D71" s="5"/>
      <c r="E71" s="5"/>
      <c r="F71" s="5" t="str">
        <f>IFERROR(__xludf.DUMMYFUNCTION("""COMPUTED_VALUE"""),"N")</f>
        <v>N</v>
      </c>
      <c r="G71" s="5"/>
      <c r="H71" s="5"/>
      <c r="I71" s="5"/>
      <c r="J71" s="5"/>
      <c r="K71" s="5"/>
      <c r="L71" s="5"/>
      <c r="M71" s="5">
        <f>IFERROR(__xludf.DUMMYFUNCTION("""COMPUTED_VALUE"""),25.0)</f>
        <v>25</v>
      </c>
      <c r="N71" s="5"/>
      <c r="O71" s="5"/>
      <c r="P71" s="5"/>
      <c r="Q71" s="5" t="str">
        <f>IFERROR(__xludf.DUMMYFUNCTION("""COMPUTED_VALUE"""),"N")</f>
        <v>N</v>
      </c>
      <c r="R71" s="5"/>
      <c r="S71" s="5"/>
      <c r="T71" s="5"/>
      <c r="U71" s="5" t="str">
        <f>IFERROR(__xludf.DUMMYFUNCTION("""COMPUTED_VALUE"""),"Y")</f>
        <v>Y</v>
      </c>
      <c r="V71" s="5">
        <f>IFERROR(__xludf.DUMMYFUNCTION("""COMPUTED_VALUE"""),30.0)</f>
        <v>30</v>
      </c>
      <c r="W71" s="5"/>
      <c r="X71" s="5"/>
      <c r="Y71" s="5"/>
      <c r="Z71" s="5"/>
    </row>
    <row r="72">
      <c r="A72" s="5" t="str">
        <f>IFERROR(__xludf.DUMMYFUNCTION("""COMPUTED_VALUE"""),"แฮมกลม-1-กก.")</f>
        <v>แฮมกลม-1-กก.</v>
      </c>
      <c r="B72" s="5">
        <f>IFERROR(__xludf.DUMMYFUNCTION("""COMPUTED_VALUE"""),11573.0)</f>
        <v>11573</v>
      </c>
      <c r="C72" s="5" t="str">
        <f>IFERROR(__xludf.DUMMYFUNCTION("""COMPUTED_VALUE"""),"(S) แฮมกลม 1 กก.")</f>
        <v>(S) แฮมกลม 1 กก.</v>
      </c>
      <c r="D72" s="5" t="str">
        <f>IFERROR(__xludf.DUMMYFUNCTION("""COMPUTED_VALUE"""),"**ของหิ้ว มหาชัย")</f>
        <v>**ของหิ้ว มหาชัย</v>
      </c>
      <c r="E72" s="5" t="str">
        <f>IFERROR(__xludf.DUMMYFUNCTION("""COMPUTED_VALUE"""),"1")</f>
        <v>1</v>
      </c>
      <c r="F72" s="5" t="str">
        <f>IFERROR(__xludf.DUMMYFUNCTION("""COMPUTED_VALUE"""),"N")</f>
        <v>N</v>
      </c>
      <c r="G72" s="5"/>
      <c r="H72" s="5"/>
      <c r="I72" s="5"/>
      <c r="J72" s="5"/>
      <c r="K72" s="5"/>
      <c r="L72" s="5"/>
      <c r="M72" s="5">
        <f>IFERROR(__xludf.DUMMYFUNCTION("""COMPUTED_VALUE"""),60.35)</f>
        <v>60.35</v>
      </c>
      <c r="N72" s="5">
        <f>IFERROR(__xludf.DUMMYFUNCTION("""COMPUTED_VALUE"""),11573.0)</f>
        <v>11573</v>
      </c>
      <c r="O72" s="5"/>
      <c r="P72" s="5"/>
      <c r="Q72" s="5" t="str">
        <f>IFERROR(__xludf.DUMMYFUNCTION("""COMPUTED_VALUE"""),"Y")</f>
        <v>Y</v>
      </c>
      <c r="R72" s="5"/>
      <c r="S72" s="5" t="str">
        <f>IFERROR(__xludf.DUMMYFUNCTION("""COMPUTED_VALUE"""),"ขึ้นของมหาชัย")</f>
        <v>ขึ้นของมหาชัย</v>
      </c>
      <c r="T72" s="5">
        <f>IFERROR(__xludf.DUMMYFUNCTION("""COMPUTED_VALUE"""),55.0)</f>
        <v>55</v>
      </c>
      <c r="U72" s="5" t="str">
        <f>IFERROR(__xludf.DUMMYFUNCTION("""COMPUTED_VALUE"""),"Y")</f>
        <v>Y</v>
      </c>
      <c r="V72" s="5">
        <f>IFERROR(__xludf.DUMMYFUNCTION("""COMPUTED_VALUE"""),85.0)</f>
        <v>85</v>
      </c>
      <c r="W72" s="5">
        <f>IFERROR(__xludf.DUMMYFUNCTION("""COMPUTED_VALUE"""),25.0)</f>
        <v>25</v>
      </c>
      <c r="X72" s="5">
        <f>IFERROR(__xludf.DUMMYFUNCTION("""COMPUTED_VALUE"""),5.0)</f>
        <v>5</v>
      </c>
      <c r="Y72" s="5">
        <f>IFERROR(__xludf.DUMMYFUNCTION("""COMPUTED_VALUE"""),55.0)</f>
        <v>55</v>
      </c>
      <c r="Z72" s="5"/>
    </row>
    <row r="73">
      <c r="A73" s="5" t="str">
        <f>IFERROR(__xludf.DUMMYFUNCTION("""COMPUTED_VALUE"""),"ไม้เสียบ-พรรณัฎฎา-3*9-1ห่อ-1")</f>
        <v>ไม้เสียบ-พรรณัฎฎา-3*9-1ห่อ-1</v>
      </c>
      <c r="B73" s="5">
        <f>IFERROR(__xludf.DUMMYFUNCTION("""COMPUTED_VALUE"""),10136.0)</f>
        <v>10136</v>
      </c>
      <c r="C73" s="5" t="str">
        <f>IFERROR(__xludf.DUMMYFUNCTION("""COMPUTED_VALUE"""),"(S) ไม้เสียบ  3*9(ห่อ)")</f>
        <v>(S) ไม้เสียบ  3*9(ห่อ)</v>
      </c>
      <c r="D73" s="5" t="str">
        <f>IFERROR(__xludf.DUMMYFUNCTION("""COMPUTED_VALUE"""),"**ของแห้ง")</f>
        <v>**ของแห้ง</v>
      </c>
      <c r="E73" s="5" t="str">
        <f>IFERROR(__xludf.DUMMYFUNCTION("""COMPUTED_VALUE"""),"&lt;p&gt;X&lt;/p&gt;")</f>
        <v>&lt;p&gt;X&lt;/p&gt;</v>
      </c>
      <c r="F73" s="5" t="str">
        <f>IFERROR(__xludf.DUMMYFUNCTION("""COMPUTED_VALUE"""),"N")</f>
        <v>N</v>
      </c>
      <c r="G73" s="5"/>
      <c r="H73" s="5"/>
      <c r="I73" s="5"/>
      <c r="J73" s="5"/>
      <c r="K73" s="5"/>
      <c r="L73" s="5"/>
      <c r="M73" s="5">
        <f>IFERROR(__xludf.DUMMYFUNCTION("""COMPUTED_VALUE"""),9.5)</f>
        <v>9.5</v>
      </c>
      <c r="N73" s="5">
        <f>IFERROR(__xludf.DUMMYFUNCTION("""COMPUTED_VALUE"""),8.857126595055E12)</f>
        <v>8857126595055</v>
      </c>
      <c r="O73" s="5"/>
      <c r="P73" s="5"/>
      <c r="Q73" s="5" t="str">
        <f>IFERROR(__xludf.DUMMYFUNCTION("""COMPUTED_VALUE"""),"Y")</f>
        <v>Y</v>
      </c>
      <c r="R73" s="5"/>
      <c r="S73" s="5"/>
      <c r="T73" s="5">
        <f>IFERROR(__xludf.DUMMYFUNCTION("""COMPUTED_VALUE"""),9.5)</f>
        <v>9.5</v>
      </c>
      <c r="U73" s="5" t="str">
        <f>IFERROR(__xludf.DUMMYFUNCTION("""COMPUTED_VALUE"""),"Y")</f>
        <v>Y</v>
      </c>
      <c r="V73" s="5">
        <f>IFERROR(__xludf.DUMMYFUNCTION("""COMPUTED_VALUE"""),15.0)</f>
        <v>15</v>
      </c>
      <c r="W73" s="5">
        <f>IFERROR(__xludf.DUMMYFUNCTION("""COMPUTED_VALUE"""),41.0)</f>
        <v>41</v>
      </c>
      <c r="X73" s="5">
        <f>IFERROR(__xludf.DUMMYFUNCTION("""COMPUTED_VALUE"""),20.0)</f>
        <v>20</v>
      </c>
      <c r="Y73" s="5"/>
      <c r="Z73" s="5"/>
    </row>
    <row r="74">
      <c r="A74" s="5" t="str">
        <f>IFERROR(__xludf.DUMMYFUNCTION("""COMPUTED_VALUE"""),"ไม้เสียบ-พรรณัฎฎา-4*10-1ห่อ-1")</f>
        <v>ไม้เสียบ-พรรณัฎฎา-4*10-1ห่อ-1</v>
      </c>
      <c r="B74" s="5">
        <f>IFERROR(__xludf.DUMMYFUNCTION("""COMPUTED_VALUE"""),10138.0)</f>
        <v>10138</v>
      </c>
      <c r="C74" s="5" t="str">
        <f>IFERROR(__xludf.DUMMYFUNCTION("""COMPUTED_VALUE"""),"(S) ไม้เสียบ  4*10(ห่อ)")</f>
        <v>(S) ไม้เสียบ  4*10(ห่อ)</v>
      </c>
      <c r="D74" s="5" t="str">
        <f>IFERROR(__xludf.DUMMYFUNCTION("""COMPUTED_VALUE"""),"**ของแห้ง")</f>
        <v>**ของแห้ง</v>
      </c>
      <c r="E74" s="5" t="str">
        <f>IFERROR(__xludf.DUMMYFUNCTION("""COMPUTED_VALUE"""),"&lt;p&gt;X&lt;/p&gt;")</f>
        <v>&lt;p&gt;X&lt;/p&gt;</v>
      </c>
      <c r="F74" s="5" t="str">
        <f>IFERROR(__xludf.DUMMYFUNCTION("""COMPUTED_VALUE"""),"N")</f>
        <v>N</v>
      </c>
      <c r="G74" s="5"/>
      <c r="H74" s="5"/>
      <c r="I74" s="5"/>
      <c r="J74" s="5"/>
      <c r="K74" s="5"/>
      <c r="L74" s="5"/>
      <c r="M74" s="5">
        <f>IFERROR(__xludf.DUMMYFUNCTION("""COMPUTED_VALUE"""),9.5)</f>
        <v>9.5</v>
      </c>
      <c r="N74" s="5">
        <f>IFERROR(__xludf.DUMMYFUNCTION("""COMPUTED_VALUE"""),8.857126595079E12)</f>
        <v>8857126595079</v>
      </c>
      <c r="O74" s="5"/>
      <c r="P74" s="5"/>
      <c r="Q74" s="5" t="str">
        <f>IFERROR(__xludf.DUMMYFUNCTION("""COMPUTED_VALUE"""),"Y")</f>
        <v>Y</v>
      </c>
      <c r="R74" s="5"/>
      <c r="S74" s="5"/>
      <c r="T74" s="5">
        <f>IFERROR(__xludf.DUMMYFUNCTION("""COMPUTED_VALUE"""),9.5)</f>
        <v>9.5</v>
      </c>
      <c r="U74" s="5" t="str">
        <f>IFERROR(__xludf.DUMMYFUNCTION("""COMPUTED_VALUE"""),"Y")</f>
        <v>Y</v>
      </c>
      <c r="V74" s="5">
        <f>IFERROR(__xludf.DUMMYFUNCTION("""COMPUTED_VALUE"""),15.0)</f>
        <v>15</v>
      </c>
      <c r="W74" s="5">
        <f>IFERROR(__xludf.DUMMYFUNCTION("""COMPUTED_VALUE"""),69.0)</f>
        <v>69</v>
      </c>
      <c r="X74" s="5">
        <f>IFERROR(__xludf.DUMMYFUNCTION("""COMPUTED_VALUE"""),20.0)</f>
        <v>20</v>
      </c>
      <c r="Y74" s="5"/>
      <c r="Z74" s="5"/>
    </row>
    <row r="75">
      <c r="A75" s="5" t="str">
        <f>IFERROR(__xludf.DUMMYFUNCTION("""COMPUTED_VALUE"""),"ไม้เสียบ-3*8-1ห่อ")</f>
        <v>ไม้เสียบ-3*8-1ห่อ</v>
      </c>
      <c r="B75" s="5">
        <f>IFERROR(__xludf.DUMMYFUNCTION("""COMPUTED_VALUE"""),10966.0)</f>
        <v>10966</v>
      </c>
      <c r="C75" s="5" t="str">
        <f>IFERROR(__xludf.DUMMYFUNCTION("""COMPUTED_VALUE"""),"(S) ไม้เสียบ 3*8(ห่อ)")</f>
        <v>(S) ไม้เสียบ 3*8(ห่อ)</v>
      </c>
      <c r="D75" s="5" t="str">
        <f>IFERROR(__xludf.DUMMYFUNCTION("""COMPUTED_VALUE"""),"**ของแห้ง")</f>
        <v>**ของแห้ง</v>
      </c>
      <c r="E75" s="5" t="str">
        <f>IFERROR(__xludf.DUMMYFUNCTION("""COMPUTED_VALUE"""),"&lt;p&gt;X&lt;/p&gt;")</f>
        <v>&lt;p&gt;X&lt;/p&gt;</v>
      </c>
      <c r="F75" s="5" t="str">
        <f>IFERROR(__xludf.DUMMYFUNCTION("""COMPUTED_VALUE"""),"N")</f>
        <v>N</v>
      </c>
      <c r="G75" s="5"/>
      <c r="H75" s="5"/>
      <c r="I75" s="5"/>
      <c r="J75" s="5"/>
      <c r="K75" s="5"/>
      <c r="L75" s="5"/>
      <c r="M75" s="5">
        <f>IFERROR(__xludf.DUMMYFUNCTION("""COMPUTED_VALUE"""),9.5)</f>
        <v>9.5</v>
      </c>
      <c r="N75" s="5">
        <f>IFERROR(__xludf.DUMMYFUNCTION("""COMPUTED_VALUE"""),8.857126595048E12)</f>
        <v>8857126595048</v>
      </c>
      <c r="O75" s="5"/>
      <c r="P75" s="5"/>
      <c r="Q75" s="5" t="str">
        <f>IFERROR(__xludf.DUMMYFUNCTION("""COMPUTED_VALUE"""),"Y")</f>
        <v>Y</v>
      </c>
      <c r="R75" s="5"/>
      <c r="S75" s="5"/>
      <c r="T75" s="5">
        <f>IFERROR(__xludf.DUMMYFUNCTION("""COMPUTED_VALUE"""),9.5)</f>
        <v>9.5</v>
      </c>
      <c r="U75" s="5" t="str">
        <f>IFERROR(__xludf.DUMMYFUNCTION("""COMPUTED_VALUE"""),"Y")</f>
        <v>Y</v>
      </c>
      <c r="V75" s="5">
        <f>IFERROR(__xludf.DUMMYFUNCTION("""COMPUTED_VALUE"""),15.0)</f>
        <v>15</v>
      </c>
      <c r="W75" s="5">
        <f>IFERROR(__xludf.DUMMYFUNCTION("""COMPUTED_VALUE"""),0.0)</f>
        <v>0</v>
      </c>
      <c r="X75" s="5"/>
      <c r="Y75" s="5"/>
      <c r="Z75" s="5"/>
    </row>
    <row r="76">
      <c r="A76" s="5" t="str">
        <f>IFERROR(__xludf.DUMMYFUNCTION("""COMPUTED_VALUE"""),"ไม้เสียบ4*12")</f>
        <v>ไม้เสียบ4*12</v>
      </c>
      <c r="B76" s="5">
        <f>IFERROR(__xludf.DUMMYFUNCTION("""COMPUTED_VALUE"""),10686.0)</f>
        <v>10686</v>
      </c>
      <c r="C76" s="5" t="str">
        <f>IFERROR(__xludf.DUMMYFUNCTION("""COMPUTED_VALUE"""),"(S) ไม้เสียบ4*12(ห่อ)")</f>
        <v>(S) ไม้เสียบ4*12(ห่อ)</v>
      </c>
      <c r="D76" s="5" t="str">
        <f>IFERROR(__xludf.DUMMYFUNCTION("""COMPUTED_VALUE"""),"**ของแห้ง")</f>
        <v>**ของแห้ง</v>
      </c>
      <c r="E76" s="5" t="str">
        <f>IFERROR(__xludf.DUMMYFUNCTION("""COMPUTED_VALUE"""),"&lt;p&gt;X&lt;/p&gt;")</f>
        <v>&lt;p&gt;X&lt;/p&gt;</v>
      </c>
      <c r="F76" s="5" t="str">
        <f>IFERROR(__xludf.DUMMYFUNCTION("""COMPUTED_VALUE"""),"N")</f>
        <v>N</v>
      </c>
      <c r="G76" s="5"/>
      <c r="H76" s="5"/>
      <c r="I76" s="5"/>
      <c r="J76" s="5"/>
      <c r="K76" s="5"/>
      <c r="L76" s="5"/>
      <c r="M76" s="5">
        <f>IFERROR(__xludf.DUMMYFUNCTION("""COMPUTED_VALUE"""),9.5)</f>
        <v>9.5</v>
      </c>
      <c r="N76" s="5">
        <f>IFERROR(__xludf.DUMMYFUNCTION("""COMPUTED_VALUE"""),8.857126595086E12)</f>
        <v>8857126595086</v>
      </c>
      <c r="O76" s="5"/>
      <c r="P76" s="5"/>
      <c r="Q76" s="5" t="str">
        <f>IFERROR(__xludf.DUMMYFUNCTION("""COMPUTED_VALUE"""),"Y")</f>
        <v>Y</v>
      </c>
      <c r="R76" s="5"/>
      <c r="S76" s="5"/>
      <c r="T76" s="5">
        <f>IFERROR(__xludf.DUMMYFUNCTION("""COMPUTED_VALUE"""),9.5)</f>
        <v>9.5</v>
      </c>
      <c r="U76" s="5" t="str">
        <f>IFERROR(__xludf.DUMMYFUNCTION("""COMPUTED_VALUE"""),"Y")</f>
        <v>Y</v>
      </c>
      <c r="V76" s="5">
        <f>IFERROR(__xludf.DUMMYFUNCTION("""COMPUTED_VALUE"""),15.0)</f>
        <v>15</v>
      </c>
      <c r="W76" s="5">
        <f>IFERROR(__xludf.DUMMYFUNCTION("""COMPUTED_VALUE"""),20.0)</f>
        <v>20</v>
      </c>
      <c r="X76" s="5"/>
      <c r="Y76" s="5"/>
      <c r="Z76" s="5"/>
    </row>
    <row r="77">
      <c r="A77" s="5" t="str">
        <f>IFERROR(__xludf.DUMMYFUNCTION("""COMPUTED_VALUE"""),"(s)-ไส้กรอกอีกสาน-พวง500g--ust")</f>
        <v>(s)-ไส้กรอกอีกสาน-พวง500g--ust</v>
      </c>
      <c r="B77" s="5">
        <f>IFERROR(__xludf.DUMMYFUNCTION("""COMPUTED_VALUE"""),30386.0)</f>
        <v>30386</v>
      </c>
      <c r="C77" s="5" t="str">
        <f>IFERROR(__xludf.DUMMYFUNCTION("""COMPUTED_VALUE"""),"(s) ไส้กรอกอีกสาน พวง500g  UST")</f>
        <v>(s) ไส้กรอกอีกสาน พวง500g  UST</v>
      </c>
      <c r="D77" s="5"/>
      <c r="E77" s="5"/>
      <c r="F77" s="5" t="str">
        <f>IFERROR(__xludf.DUMMYFUNCTION("""COMPUTED_VALUE"""),"N")</f>
        <v>N</v>
      </c>
      <c r="G77" s="5"/>
      <c r="H77" s="5"/>
      <c r="I77" s="5"/>
      <c r="J77" s="5"/>
      <c r="K77" s="5"/>
      <c r="L77" s="5"/>
      <c r="M77" s="5"/>
      <c r="N77" s="5"/>
      <c r="O77" s="5">
        <f>IFERROR(__xludf.DUMMYFUNCTION("""COMPUTED_VALUE"""),10386.0)</f>
        <v>10386</v>
      </c>
      <c r="P77" s="5">
        <f>IFERROR(__xludf.DUMMYFUNCTION("""COMPUTED_VALUE"""),1.0)</f>
        <v>1</v>
      </c>
      <c r="Q77" s="5" t="str">
        <f>IFERROR(__xludf.DUMMYFUNCTION("""COMPUTED_VALUE"""),"N")</f>
        <v>N</v>
      </c>
      <c r="R77" s="5" t="str">
        <f>IFERROR(__xludf.DUMMYFUNCTION("""COMPUTED_VALUE"""),"N")</f>
        <v>N</v>
      </c>
      <c r="S77" s="5"/>
      <c r="T77" s="5"/>
      <c r="U77" s="5" t="str">
        <f>IFERROR(__xludf.DUMMYFUNCTION("""COMPUTED_VALUE"""),"Y")</f>
        <v>Y</v>
      </c>
      <c r="V77" s="5">
        <f>IFERROR(__xludf.DUMMYFUNCTION("""COMPUTED_VALUE"""),55.0)</f>
        <v>55</v>
      </c>
      <c r="W77" s="5"/>
      <c r="X77" s="5"/>
      <c r="Y77" s="5"/>
      <c r="Z77" s="5"/>
    </row>
    <row r="78">
      <c r="A78" s="5" t="str">
        <f>IFERROR(__xludf.DUMMYFUNCTION("""COMPUTED_VALUE"""),"dd-สามชั้นกระทะ-2-แถว-ลัง-10kg")</f>
        <v>dd-สามชั้นกระทะ-2-แถว-ลัง-10kg</v>
      </c>
      <c r="B78" s="5">
        <f>IFERROR(__xludf.DUMMYFUNCTION("""COMPUTED_VALUE"""),10822.0)</f>
        <v>10822</v>
      </c>
      <c r="C78" s="5" t="str">
        <f>IFERROR(__xludf.DUMMYFUNCTION("""COMPUTED_VALUE"""),"DD สามชั้นสไลด์ชาบู  10Kg (ลัง)")</f>
        <v>DD สามชั้นสไลด์ชาบู  10Kg (ลัง)</v>
      </c>
      <c r="D78" s="5"/>
      <c r="E78" s="5" t="str">
        <f>IFERROR(__xludf.DUMMYFUNCTION("""COMPUTED_VALUE"""),"&lt;p&gt;ส&lt;/p&gt;")</f>
        <v>&lt;p&gt;ส&lt;/p&gt;</v>
      </c>
      <c r="F78" s="5" t="str">
        <f>IFERROR(__xludf.DUMMYFUNCTION("""COMPUTED_VALUE"""),"N")</f>
        <v>N</v>
      </c>
      <c r="G78" s="5"/>
      <c r="H78" s="5"/>
      <c r="I78" s="5"/>
      <c r="J78" s="5"/>
      <c r="K78" s="5"/>
      <c r="L78" s="5"/>
      <c r="M78" s="5"/>
      <c r="N78" s="5">
        <f>IFERROR(__xludf.DUMMYFUNCTION("""COMPUTED_VALUE"""),10822.0)</f>
        <v>10822</v>
      </c>
      <c r="O78" s="5">
        <f>IFERROR(__xludf.DUMMYFUNCTION("""COMPUTED_VALUE"""),10821.0)</f>
        <v>10821</v>
      </c>
      <c r="P78" s="5">
        <f>IFERROR(__xludf.DUMMYFUNCTION("""COMPUTED_VALUE"""),10.0)</f>
        <v>10</v>
      </c>
      <c r="Q78" s="5" t="str">
        <f>IFERROR(__xludf.DUMMYFUNCTION("""COMPUTED_VALUE"""),"N")</f>
        <v>N</v>
      </c>
      <c r="R78" s="5" t="str">
        <f>IFERROR(__xludf.DUMMYFUNCTION("""COMPUTED_VALUE"""),"N")</f>
        <v>N</v>
      </c>
      <c r="S78" s="5"/>
      <c r="T78" s="5"/>
      <c r="U78" s="5" t="str">
        <f>IFERROR(__xludf.DUMMYFUNCTION("""COMPUTED_VALUE"""),"Y")</f>
        <v>Y</v>
      </c>
      <c r="V78" s="5">
        <f>IFERROR(__xludf.DUMMYFUNCTION("""COMPUTED_VALUE"""),1580.0)</f>
        <v>1580</v>
      </c>
      <c r="W78" s="5"/>
      <c r="X78" s="5"/>
      <c r="Y78" s="5"/>
      <c r="Z78" s="5"/>
    </row>
    <row r="79">
      <c r="A79" s="5" t="str">
        <f>IFERROR(__xludf.DUMMYFUNCTION("""COMPUTED_VALUE"""),"สามชั้นชาบู500-กรัม-ถุง-1")</f>
        <v>สามชั้นชาบู500-กรัม-ถุง-1</v>
      </c>
      <c r="B79" s="5">
        <f>IFERROR(__xludf.DUMMYFUNCTION("""COMPUTED_VALUE"""),10071.0)</f>
        <v>10071</v>
      </c>
      <c r="C79" s="5" t="str">
        <f>IFERROR(__xludf.DUMMYFUNCTION("""COMPUTED_VALUE"""),"DDสามชั้นชาบู500 กรัม")</f>
        <v>DDสามชั้นชาบู500 กรัม</v>
      </c>
      <c r="D79" s="5" t="str">
        <f>IFERROR(__xludf.DUMMYFUNCTION("""COMPUTED_VALUE"""),"**ลัง มหาชัย")</f>
        <v>**ลัง มหาชัย</v>
      </c>
      <c r="E79" s="5" t="str">
        <f>IFERROR(__xludf.DUMMYFUNCTION("""COMPUTED_VALUE"""),"0.5")</f>
        <v>0.5</v>
      </c>
      <c r="F79" s="5" t="str">
        <f>IFERROR(__xludf.DUMMYFUNCTION("""COMPUTED_VALUE"""),"N")</f>
        <v>N</v>
      </c>
      <c r="G79" s="5"/>
      <c r="H79" s="5"/>
      <c r="I79" s="5"/>
      <c r="J79" s="5"/>
      <c r="K79" s="5"/>
      <c r="L79" s="5"/>
      <c r="M79" s="5">
        <f>IFERROR(__xludf.DUMMYFUNCTION("""COMPUTED_VALUE"""),83.47)</f>
        <v>83.47</v>
      </c>
      <c r="N79" s="5">
        <f>IFERROR(__xludf.DUMMYFUNCTION("""COMPUTED_VALUE"""),10071.0)</f>
        <v>10071</v>
      </c>
      <c r="O79" s="5"/>
      <c r="P79" s="5"/>
      <c r="Q79" s="5" t="str">
        <f>IFERROR(__xludf.DUMMYFUNCTION("""COMPUTED_VALUE"""),"Y")</f>
        <v>Y</v>
      </c>
      <c r="R79" s="5"/>
      <c r="S79" s="5" t="str">
        <f>IFERROR(__xludf.DUMMYFUNCTION("""COMPUTED_VALUE"""),"ขึ้นของมหาชัย")</f>
        <v>ขึ้นของมหาชัย</v>
      </c>
      <c r="T79" s="5">
        <f>IFERROR(__xludf.DUMMYFUNCTION("""COMPUTED_VALUE"""),82.5)</f>
        <v>82.5</v>
      </c>
      <c r="U79" s="5" t="str">
        <f>IFERROR(__xludf.DUMMYFUNCTION("""COMPUTED_VALUE"""),"Y")</f>
        <v>Y</v>
      </c>
      <c r="V79" s="5">
        <f>IFERROR(__xludf.DUMMYFUNCTION("""COMPUTED_VALUE"""),95.0)</f>
        <v>95</v>
      </c>
      <c r="W79" s="5">
        <f>IFERROR(__xludf.DUMMYFUNCTION("""COMPUTED_VALUE"""),15.0)</f>
        <v>15</v>
      </c>
      <c r="X79" s="5">
        <f>IFERROR(__xludf.DUMMYFUNCTION("""COMPUTED_VALUE"""),20.0)</f>
        <v>20</v>
      </c>
      <c r="Y79" s="5">
        <f>IFERROR(__xludf.DUMMYFUNCTION("""COMPUTED_VALUE"""),120.0)</f>
        <v>120</v>
      </c>
      <c r="Z79" s="5"/>
    </row>
    <row r="80">
      <c r="A80" s="5" t="str">
        <f>IFERROR(__xludf.DUMMYFUNCTION("""COMPUTED_VALUE"""),"สามชั้นชาบู500-กรัม-ลัง-12.5kg-1")</f>
        <v>สามชั้นชาบู500-กรัม-ลัง-12.5kg-1</v>
      </c>
      <c r="B80" s="5">
        <f>IFERROR(__xludf.DUMMYFUNCTION("""COMPUTED_VALUE"""),10072.0)</f>
        <v>10072</v>
      </c>
      <c r="C80" s="5" t="str">
        <f>IFERROR(__xludf.DUMMYFUNCTION("""COMPUTED_VALUE"""),"DDสามชั้นชาบู500 กรัม ลัง 10Kg(20แพ็ค)")</f>
        <v>DDสามชั้นชาบู500 กรัม ลัง 10Kg(20แพ็ค)</v>
      </c>
      <c r="D80" s="5"/>
      <c r="E80" s="5" t="str">
        <f>IFERROR(__xludf.DUMMYFUNCTION("""COMPUTED_VALUE"""),"&lt;p&gt;S&lt;/p&gt;")</f>
        <v>&lt;p&gt;S&lt;/p&gt;</v>
      </c>
      <c r="F80" s="5" t="str">
        <f>IFERROR(__xludf.DUMMYFUNCTION("""COMPUTED_VALUE"""),"N")</f>
        <v>N</v>
      </c>
      <c r="G80" s="5"/>
      <c r="H80" s="5"/>
      <c r="I80" s="5"/>
      <c r="J80" s="5"/>
      <c r="K80" s="5"/>
      <c r="L80" s="5"/>
      <c r="M80" s="5"/>
      <c r="N80" s="5">
        <f>IFERROR(__xludf.DUMMYFUNCTION("""COMPUTED_VALUE"""),10072.0)</f>
        <v>10072</v>
      </c>
      <c r="O80" s="5">
        <f>IFERROR(__xludf.DUMMYFUNCTION("""COMPUTED_VALUE"""),10071.0)</f>
        <v>10071</v>
      </c>
      <c r="P80" s="5">
        <f>IFERROR(__xludf.DUMMYFUNCTION("""COMPUTED_VALUE"""),20.0)</f>
        <v>20</v>
      </c>
      <c r="Q80" s="5" t="str">
        <f>IFERROR(__xludf.DUMMYFUNCTION("""COMPUTED_VALUE"""),"N")</f>
        <v>N</v>
      </c>
      <c r="R80" s="5" t="str">
        <f>IFERROR(__xludf.DUMMYFUNCTION("""COMPUTED_VALUE"""),"N")</f>
        <v>N</v>
      </c>
      <c r="S80" s="5"/>
      <c r="T80" s="5"/>
      <c r="U80" s="5" t="str">
        <f>IFERROR(__xludf.DUMMYFUNCTION("""COMPUTED_VALUE"""),"Y")</f>
        <v>Y</v>
      </c>
      <c r="V80" s="5">
        <f>IFERROR(__xludf.DUMMYFUNCTION("""COMPUTED_VALUE"""),1900.0)</f>
        <v>1900</v>
      </c>
      <c r="W80" s="5"/>
      <c r="X80" s="5"/>
      <c r="Y80" s="5"/>
      <c r="Z80" s="5"/>
    </row>
    <row r="81">
      <c r="A81" s="5" t="str">
        <f>IFERROR(__xludf.DUMMYFUNCTION("""COMPUTED_VALUE"""),"nk-หมูนุ่ม-(สมชาย)-75")</f>
        <v>nk-หมูนุ่ม-(สมชาย)-75</v>
      </c>
      <c r="B81" s="5">
        <f>IFERROR(__xludf.DUMMYFUNCTION("""COMPUTED_VALUE"""),10073.0)</f>
        <v>10073</v>
      </c>
      <c r="C81" s="5" t="str">
        <f>IFERROR(__xludf.DUMMYFUNCTION("""COMPUTED_VALUE"""),"Nk หมูนุ่ม (สมชาย)-75")</f>
        <v>Nk หมูนุ่ม (สมชาย)-75</v>
      </c>
      <c r="D81" s="5" t="str">
        <f>IFERROR(__xludf.DUMMYFUNCTION("""COMPUTED_VALUE"""),"**ร้านค้า ราคาพิเศษ")</f>
        <v>**ร้านค้า ราคาพิเศษ</v>
      </c>
      <c r="E81" s="5"/>
      <c r="F81" s="5" t="str">
        <f>IFERROR(__xludf.DUMMYFUNCTION("""COMPUTED_VALUE"""),"N")</f>
        <v>N</v>
      </c>
      <c r="G81" s="5"/>
      <c r="H81" s="5"/>
      <c r="I81" s="5"/>
      <c r="J81" s="5"/>
      <c r="K81" s="5"/>
      <c r="L81" s="5"/>
      <c r="M81" s="5"/>
      <c r="N81" s="5"/>
      <c r="O81" s="5">
        <f>IFERROR(__xludf.DUMMYFUNCTION("""COMPUTED_VALUE"""),10159.0)</f>
        <v>10159</v>
      </c>
      <c r="P81" s="5">
        <f>IFERROR(__xludf.DUMMYFUNCTION("""COMPUTED_VALUE"""),1.0)</f>
        <v>1</v>
      </c>
      <c r="Q81" s="5" t="str">
        <f>IFERROR(__xludf.DUMMYFUNCTION("""COMPUTED_VALUE"""),"N")</f>
        <v>N</v>
      </c>
      <c r="R81" s="5" t="str">
        <f>IFERROR(__xludf.DUMMYFUNCTION("""COMPUTED_VALUE"""),"N")</f>
        <v>N</v>
      </c>
      <c r="S81" s="5"/>
      <c r="T81" s="5"/>
      <c r="U81" s="5" t="str">
        <f>IFERROR(__xludf.DUMMYFUNCTION("""COMPUTED_VALUE"""),"Y")</f>
        <v>Y</v>
      </c>
      <c r="V81" s="5">
        <f>IFERROR(__xludf.DUMMYFUNCTION("""COMPUTED_VALUE"""),375.0)</f>
        <v>375</v>
      </c>
      <c r="W81" s="5"/>
      <c r="X81" s="5"/>
      <c r="Y81" s="5"/>
      <c r="Z81" s="5"/>
    </row>
    <row r="82">
      <c r="A82" s="5" t="str">
        <f>IFERROR(__xludf.DUMMYFUNCTION("""COMPUTED_VALUE"""),"t-เบคอน10*500กรัม-หิ้ว5-kg")</f>
        <v>t-เบคอน10*500กรัม-หิ้ว5-kg</v>
      </c>
      <c r="B82" s="5">
        <f>IFERROR(__xludf.DUMMYFUNCTION("""COMPUTED_VALUE"""),11395.0)</f>
        <v>11395</v>
      </c>
      <c r="C82" s="5" t="str">
        <f>IFERROR(__xludf.DUMMYFUNCTION("""COMPUTED_VALUE"""),"T เบคอน 10*500 กรัม (หิ้ว)")</f>
        <v>T เบคอน 10*500 กรัม (หิ้ว)</v>
      </c>
      <c r="D82" s="5"/>
      <c r="E82" s="5" t="str">
        <f>IFERROR(__xludf.DUMMYFUNCTION("""COMPUTED_VALUE"""),"&lt;p&gt;S&lt;/p&gt;")</f>
        <v>&lt;p&gt;S&lt;/p&gt;</v>
      </c>
      <c r="F82" s="5" t="str">
        <f>IFERROR(__xludf.DUMMYFUNCTION("""COMPUTED_VALUE"""),"N")</f>
        <v>N</v>
      </c>
      <c r="G82" s="5"/>
      <c r="H82" s="5"/>
      <c r="I82" s="5"/>
      <c r="J82" s="5"/>
      <c r="K82" s="5"/>
      <c r="L82" s="5"/>
      <c r="M82" s="5"/>
      <c r="N82" s="5">
        <f>IFERROR(__xludf.DUMMYFUNCTION("""COMPUTED_VALUE"""),11395.0)</f>
        <v>11395</v>
      </c>
      <c r="O82" s="5">
        <f>IFERROR(__xludf.DUMMYFUNCTION("""COMPUTED_VALUE"""),11225.0)</f>
        <v>11225</v>
      </c>
      <c r="P82" s="5">
        <f>IFERROR(__xludf.DUMMYFUNCTION("""COMPUTED_VALUE"""),10.0)</f>
        <v>10</v>
      </c>
      <c r="Q82" s="5" t="str">
        <f>IFERROR(__xludf.DUMMYFUNCTION("""COMPUTED_VALUE"""),"N")</f>
        <v>N</v>
      </c>
      <c r="R82" s="5" t="str">
        <f>IFERROR(__xludf.DUMMYFUNCTION("""COMPUTED_VALUE"""),"N")</f>
        <v>N</v>
      </c>
      <c r="S82" s="5"/>
      <c r="T82" s="5"/>
      <c r="U82" s="5" t="str">
        <f>IFERROR(__xludf.DUMMYFUNCTION("""COMPUTED_VALUE"""),"Y")</f>
        <v>Y</v>
      </c>
      <c r="V82" s="5">
        <f>IFERROR(__xludf.DUMMYFUNCTION("""COMPUTED_VALUE"""),775.0)</f>
        <v>775</v>
      </c>
      <c r="W82" s="5"/>
      <c r="X82" s="5"/>
      <c r="Y82" s="5"/>
      <c r="Z82" s="5"/>
    </row>
    <row r="83">
      <c r="A83" s="5" t="str">
        <f>IFERROR(__xludf.DUMMYFUNCTION("""COMPUTED_VALUE"""),"เบคอน-500-g")</f>
        <v>เบคอน-500-g</v>
      </c>
      <c r="B83" s="5">
        <f>IFERROR(__xludf.DUMMYFUNCTION("""COMPUTED_VALUE"""),11225.0)</f>
        <v>11225</v>
      </c>
      <c r="C83" s="5" t="str">
        <f>IFERROR(__xludf.DUMMYFUNCTION("""COMPUTED_VALUE"""),"T เบคอน แพ็ค 500 g")</f>
        <v>T เบคอน แพ็ค 500 g</v>
      </c>
      <c r="D83" s="5" t="str">
        <f>IFERROR(__xludf.DUMMYFUNCTION("""COMPUTED_VALUE"""),"**ของหิ้ว มหาชัย")</f>
        <v>**ของหิ้ว มหาชัย</v>
      </c>
      <c r="E83" s="5" t="str">
        <f>IFERROR(__xludf.DUMMYFUNCTION("""COMPUTED_VALUE"""),"0.5")</f>
        <v>0.5</v>
      </c>
      <c r="F83" s="5" t="str">
        <f>IFERROR(__xludf.DUMMYFUNCTION("""COMPUTED_VALUE"""),"N")</f>
        <v>N</v>
      </c>
      <c r="G83" s="5"/>
      <c r="H83" s="5"/>
      <c r="I83" s="5"/>
      <c r="J83" s="5"/>
      <c r="K83" s="5"/>
      <c r="L83" s="5"/>
      <c r="M83" s="5">
        <f>IFERROR(__xludf.DUMMYFUNCTION("""COMPUTED_VALUE"""),74.5)</f>
        <v>74.5</v>
      </c>
      <c r="N83" s="5">
        <f>IFERROR(__xludf.DUMMYFUNCTION("""COMPUTED_VALUE"""),11225.0)</f>
        <v>11225</v>
      </c>
      <c r="O83" s="5"/>
      <c r="P83" s="5"/>
      <c r="Q83" s="5" t="str">
        <f>IFERROR(__xludf.DUMMYFUNCTION("""COMPUTED_VALUE"""),"Y")</f>
        <v>Y</v>
      </c>
      <c r="R83" s="5"/>
      <c r="S83" s="5" t="str">
        <f>IFERROR(__xludf.DUMMYFUNCTION("""COMPUTED_VALUE"""),"ขึ้นของมหาชัย")</f>
        <v>ขึ้นของมหาชัย</v>
      </c>
      <c r="T83" s="5">
        <f>IFERROR(__xludf.DUMMYFUNCTION("""COMPUTED_VALUE"""),72.5)</f>
        <v>72.5</v>
      </c>
      <c r="U83" s="5" t="str">
        <f>IFERROR(__xludf.DUMMYFUNCTION("""COMPUTED_VALUE"""),"Y")</f>
        <v>Y</v>
      </c>
      <c r="V83" s="5">
        <f>IFERROR(__xludf.DUMMYFUNCTION("""COMPUTED_VALUE"""),85.0)</f>
        <v>85</v>
      </c>
      <c r="W83" s="5">
        <f>IFERROR(__xludf.DUMMYFUNCTION("""COMPUTED_VALUE"""),77.0)</f>
        <v>77</v>
      </c>
      <c r="X83" s="5">
        <f>IFERROR(__xludf.DUMMYFUNCTION("""COMPUTED_VALUE"""),50.0)</f>
        <v>50</v>
      </c>
      <c r="Y83" s="5">
        <f>IFERROR(__xludf.DUMMYFUNCTION("""COMPUTED_VALUE"""),250.0)</f>
        <v>250</v>
      </c>
      <c r="Z83" s="5"/>
    </row>
    <row r="84">
      <c r="A84" s="5" t="str">
        <f>IFERROR(__xludf.DUMMYFUNCTION("""COMPUTED_VALUE"""),"กระดูกซุปหั่นชิ้น-5-กก.")</f>
        <v>กระดูกซุปหั่นชิ้น-5-กก.</v>
      </c>
      <c r="B84" s="5">
        <f>IFERROR(__xludf.DUMMYFUNCTION("""COMPUTED_VALUE"""),10019.0)</f>
        <v>10019</v>
      </c>
      <c r="C84" s="5" t="str">
        <f>IFERROR(__xludf.DUMMYFUNCTION("""COMPUTED_VALUE"""),"กระดูกซุปหั่นชิ้น 5 กก.")</f>
        <v>กระดูกซุปหั่นชิ้น 5 กก.</v>
      </c>
      <c r="D84" s="5"/>
      <c r="E84" s="5"/>
      <c r="F84" s="5" t="str">
        <f>IFERROR(__xludf.DUMMYFUNCTION("""COMPUTED_VALUE"""),"N")</f>
        <v>N</v>
      </c>
      <c r="G84" s="5"/>
      <c r="H84" s="5"/>
      <c r="I84" s="5"/>
      <c r="J84" s="5"/>
      <c r="K84" s="5"/>
      <c r="L84" s="5"/>
      <c r="M84" s="5">
        <f>IFERROR(__xludf.DUMMYFUNCTION("""COMPUTED_VALUE"""),245.0)</f>
        <v>245</v>
      </c>
      <c r="N84" s="5"/>
      <c r="O84" s="5"/>
      <c r="P84" s="5"/>
      <c r="Q84" s="5" t="str">
        <f>IFERROR(__xludf.DUMMYFUNCTION("""COMPUTED_VALUE"""),"Y")</f>
        <v>Y</v>
      </c>
      <c r="R84" s="5"/>
      <c r="S84" s="5"/>
      <c r="T84" s="5">
        <f>IFERROR(__xludf.DUMMYFUNCTION("""COMPUTED_VALUE"""),245.0)</f>
        <v>245</v>
      </c>
      <c r="U84" s="5" t="str">
        <f>IFERROR(__xludf.DUMMYFUNCTION("""COMPUTED_VALUE"""),"Y")</f>
        <v>Y</v>
      </c>
      <c r="V84" s="5">
        <f>IFERROR(__xludf.DUMMYFUNCTION("""COMPUTED_VALUE"""),275.0)</f>
        <v>275</v>
      </c>
      <c r="W84" s="5">
        <f>IFERROR(__xludf.DUMMYFUNCTION("""COMPUTED_VALUE"""),0.0)</f>
        <v>0</v>
      </c>
      <c r="X84" s="5"/>
      <c r="Y84" s="5"/>
      <c r="Z84" s="5"/>
    </row>
    <row r="85">
      <c r="A85" s="5" t="str">
        <f>IFERROR(__xludf.DUMMYFUNCTION("""COMPUTED_VALUE"""),"กระพรุนผ่า-(พิเศษ)-980")</f>
        <v>กระพรุนผ่า-(พิเศษ)-980</v>
      </c>
      <c r="B85" s="5">
        <f>IFERROR(__xludf.DUMMYFUNCTION("""COMPUTED_VALUE"""),10453.0)</f>
        <v>10453</v>
      </c>
      <c r="C85" s="5" t="str">
        <f>IFERROR(__xludf.DUMMYFUNCTION("""COMPUTED_VALUE"""),"กระพรุน ผ่า (พิเศษ) 690")</f>
        <v>กระพรุน ผ่า (พิเศษ) 690</v>
      </c>
      <c r="D85" s="5" t="str">
        <f>IFERROR(__xludf.DUMMYFUNCTION("""COMPUTED_VALUE"""),"**ร้านค้า ราคาพิเศษ")</f>
        <v>**ร้านค้า ราคาพิเศษ</v>
      </c>
      <c r="E85" s="5"/>
      <c r="F85" s="5" t="str">
        <f>IFERROR(__xludf.DUMMYFUNCTION("""COMPUTED_VALUE"""),"N")</f>
        <v>N</v>
      </c>
      <c r="G85" s="5"/>
      <c r="H85" s="5"/>
      <c r="I85" s="5"/>
      <c r="J85" s="5"/>
      <c r="K85" s="5"/>
      <c r="L85" s="5"/>
      <c r="M85" s="5"/>
      <c r="N85" s="5"/>
      <c r="O85" s="5">
        <f>IFERROR(__xludf.DUMMYFUNCTION("""COMPUTED_VALUE"""),10126.0)</f>
        <v>10126</v>
      </c>
      <c r="P85" s="5">
        <f>IFERROR(__xludf.DUMMYFUNCTION("""COMPUTED_VALUE"""),1.0)</f>
        <v>1</v>
      </c>
      <c r="Q85" s="5" t="str">
        <f>IFERROR(__xludf.DUMMYFUNCTION("""COMPUTED_VALUE"""),"N")</f>
        <v>N</v>
      </c>
      <c r="R85" s="5" t="str">
        <f>IFERROR(__xludf.DUMMYFUNCTION("""COMPUTED_VALUE"""),"N")</f>
        <v>N</v>
      </c>
      <c r="S85" s="5"/>
      <c r="T85" s="5"/>
      <c r="U85" s="5" t="str">
        <f>IFERROR(__xludf.DUMMYFUNCTION("""COMPUTED_VALUE"""),"Y")</f>
        <v>Y</v>
      </c>
      <c r="V85" s="5">
        <f>IFERROR(__xludf.DUMMYFUNCTION("""COMPUTED_VALUE"""),690.0)</f>
        <v>690</v>
      </c>
      <c r="W85" s="5"/>
      <c r="X85" s="5"/>
      <c r="Y85" s="5"/>
      <c r="Z85" s="5"/>
    </row>
    <row r="86">
      <c r="A86" s="5" t="str">
        <f>IFERROR(__xludf.DUMMYFUNCTION("""COMPUTED_VALUE"""),"กระพรุน-b-ถัง-20-kg-1")</f>
        <v>กระพรุน-b-ถัง-20-kg-1</v>
      </c>
      <c r="B86" s="5">
        <f>IFERROR(__xludf.DUMMYFUNCTION("""COMPUTED_VALUE"""),10126.0)</f>
        <v>10126</v>
      </c>
      <c r="C86" s="5" t="str">
        <f>IFERROR(__xludf.DUMMYFUNCTION("""COMPUTED_VALUE"""),"กระพรุน ผ่า ถัง - 730")</f>
        <v>กระพรุน ผ่า ถัง - 730</v>
      </c>
      <c r="D86" s="5" t="str">
        <f>IFERROR(__xludf.DUMMYFUNCTION("""COMPUTED_VALUE"""),"**ของหิ้ว มหาชัย")</f>
        <v>**ของหิ้ว มหาชัย</v>
      </c>
      <c r="E86" s="5" t="str">
        <f>IFERROR(__xludf.DUMMYFUNCTION("""COMPUTED_VALUE"""),"&lt;p&gt;A&lt;/p&gt;")</f>
        <v>&lt;p&gt;A&lt;/p&gt;</v>
      </c>
      <c r="F86" s="5" t="str">
        <f>IFERROR(__xludf.DUMMYFUNCTION("""COMPUTED_VALUE"""),"N")</f>
        <v>N</v>
      </c>
      <c r="G86" s="5"/>
      <c r="H86" s="5"/>
      <c r="I86" s="5"/>
      <c r="J86" s="5"/>
      <c r="K86" s="5"/>
      <c r="L86" s="5"/>
      <c r="M86" s="5">
        <f>IFERROR(__xludf.DUMMYFUNCTION("""COMPUTED_VALUE"""),571.27)</f>
        <v>571.27</v>
      </c>
      <c r="N86" s="5">
        <f>IFERROR(__xludf.DUMMYFUNCTION("""COMPUTED_VALUE"""),10126.0)</f>
        <v>10126</v>
      </c>
      <c r="O86" s="5"/>
      <c r="P86" s="5"/>
      <c r="Q86" s="5" t="str">
        <f>IFERROR(__xludf.DUMMYFUNCTION("""COMPUTED_VALUE"""),"Y")</f>
        <v>Y</v>
      </c>
      <c r="R86" s="5"/>
      <c r="S86" s="5" t="str">
        <f>IFERROR(__xludf.DUMMYFUNCTION("""COMPUTED_VALUE"""),"ขึ้นของมหาชัย")</f>
        <v>ขึ้นของมหาชัย</v>
      </c>
      <c r="T86" s="5">
        <f>IFERROR(__xludf.DUMMYFUNCTION("""COMPUTED_VALUE"""),625.0)</f>
        <v>625</v>
      </c>
      <c r="U86" s="5" t="str">
        <f>IFERROR(__xludf.DUMMYFUNCTION("""COMPUTED_VALUE"""),"Y")</f>
        <v>Y</v>
      </c>
      <c r="V86" s="5">
        <f>IFERROR(__xludf.DUMMYFUNCTION("""COMPUTED_VALUE"""),730.0)</f>
        <v>730</v>
      </c>
      <c r="W86" s="5">
        <f>IFERROR(__xludf.DUMMYFUNCTION("""COMPUTED_VALUE"""),210.0)</f>
        <v>210</v>
      </c>
      <c r="X86" s="5">
        <f>IFERROR(__xludf.DUMMYFUNCTION("""COMPUTED_VALUE"""),17.0)</f>
        <v>17</v>
      </c>
      <c r="Y86" s="5">
        <f>IFERROR(__xludf.DUMMYFUNCTION("""COMPUTED_VALUE"""),29.0)</f>
        <v>29</v>
      </c>
      <c r="Z86" s="5"/>
    </row>
    <row r="87">
      <c r="A87" s="5" t="str">
        <f>IFERROR(__xludf.DUMMYFUNCTION("""COMPUTED_VALUE"""),"กระพรุน-ผ่า4-r100(640)")</f>
        <v>กระพรุน-ผ่า4-r100(640)</v>
      </c>
      <c r="B87" s="5">
        <f>IFERROR(__xludf.DUMMYFUNCTION("""COMPUTED_VALUE"""),10689.0)</f>
        <v>10689</v>
      </c>
      <c r="C87" s="5" t="str">
        <f>IFERROR(__xludf.DUMMYFUNCTION("""COMPUTED_VALUE"""),"กระพรุน ผ่า4 R100(670)")</f>
        <v>กระพรุน ผ่า4 R100(670)</v>
      </c>
      <c r="D87" s="5" t="str">
        <f>IFERROR(__xludf.DUMMYFUNCTION("""COMPUTED_VALUE"""),"**ร้านค้า ราคาพิเศษ")</f>
        <v>**ร้านค้า ราคาพิเศษ</v>
      </c>
      <c r="E87" s="5"/>
      <c r="F87" s="5" t="str">
        <f>IFERROR(__xludf.DUMMYFUNCTION("""COMPUTED_VALUE"""),"N")</f>
        <v>N</v>
      </c>
      <c r="G87" s="5"/>
      <c r="H87" s="5"/>
      <c r="I87" s="5"/>
      <c r="J87" s="5"/>
      <c r="K87" s="5"/>
      <c r="L87" s="5"/>
      <c r="M87" s="5"/>
      <c r="N87" s="5"/>
      <c r="O87" s="5">
        <f>IFERROR(__xludf.DUMMYFUNCTION("""COMPUTED_VALUE"""),10126.0)</f>
        <v>10126</v>
      </c>
      <c r="P87" s="5">
        <f>IFERROR(__xludf.DUMMYFUNCTION("""COMPUTED_VALUE"""),1.0)</f>
        <v>1</v>
      </c>
      <c r="Q87" s="5" t="str">
        <f>IFERROR(__xludf.DUMMYFUNCTION("""COMPUTED_VALUE"""),"N")</f>
        <v>N</v>
      </c>
      <c r="R87" s="5" t="str">
        <f>IFERROR(__xludf.DUMMYFUNCTION("""COMPUTED_VALUE"""),"N")</f>
        <v>N</v>
      </c>
      <c r="S87" s="5"/>
      <c r="T87" s="5"/>
      <c r="U87" s="5" t="str">
        <f>IFERROR(__xludf.DUMMYFUNCTION("""COMPUTED_VALUE"""),"N")</f>
        <v>N</v>
      </c>
      <c r="V87" s="5">
        <f>IFERROR(__xludf.DUMMYFUNCTION("""COMPUTED_VALUE"""),670.0)</f>
        <v>670</v>
      </c>
      <c r="W87" s="5"/>
      <c r="X87" s="5"/>
      <c r="Y87" s="5"/>
      <c r="Z87" s="5"/>
    </row>
    <row r="88">
      <c r="A88" s="5" t="str">
        <f>IFERROR(__xludf.DUMMYFUNCTION("""COMPUTED_VALUE"""),"กระพรุนขาล้วน--*ถัง*")</f>
        <v>กระพรุนขาล้วน--*ถัง*</v>
      </c>
      <c r="B88" s="5">
        <f>IFERROR(__xludf.DUMMYFUNCTION("""COMPUTED_VALUE"""),10084.0)</f>
        <v>10084</v>
      </c>
      <c r="C88" s="5" t="str">
        <f>IFERROR(__xludf.DUMMYFUNCTION("""COMPUTED_VALUE"""),"กระพรุนขาล้วน  *ถัง*")</f>
        <v>กระพรุนขาล้วน  *ถัง*</v>
      </c>
      <c r="D88" s="5" t="str">
        <f>IFERROR(__xludf.DUMMYFUNCTION("""COMPUTED_VALUE"""),"**ของหิ้ว มหาชัย")</f>
        <v>**ของหิ้ว มหาชัย</v>
      </c>
      <c r="E88" s="5"/>
      <c r="F88" s="5" t="str">
        <f>IFERROR(__xludf.DUMMYFUNCTION("""COMPUTED_VALUE"""),"N")</f>
        <v>N</v>
      </c>
      <c r="G88" s="5"/>
      <c r="H88" s="5"/>
      <c r="I88" s="5"/>
      <c r="J88" s="5"/>
      <c r="K88" s="5"/>
      <c r="L88" s="5"/>
      <c r="M88" s="5">
        <f>IFERROR(__xludf.DUMMYFUNCTION("""COMPUTED_VALUE"""),646.84)</f>
        <v>646.84</v>
      </c>
      <c r="N88" s="5"/>
      <c r="O88" s="5"/>
      <c r="P88" s="5"/>
      <c r="Q88" s="5" t="str">
        <f>IFERROR(__xludf.DUMMYFUNCTION("""COMPUTED_VALUE"""),"Y")</f>
        <v>Y</v>
      </c>
      <c r="R88" s="5"/>
      <c r="S88" s="5"/>
      <c r="T88" s="5">
        <f>IFERROR(__xludf.DUMMYFUNCTION("""COMPUTED_VALUE"""),580.0)</f>
        <v>580</v>
      </c>
      <c r="U88" s="5" t="str">
        <f>IFERROR(__xludf.DUMMYFUNCTION("""COMPUTED_VALUE"""),"Y")</f>
        <v>Y</v>
      </c>
      <c r="V88" s="5">
        <f>IFERROR(__xludf.DUMMYFUNCTION("""COMPUTED_VALUE"""),850.0)</f>
        <v>850</v>
      </c>
      <c r="W88" s="5">
        <f>IFERROR(__xludf.DUMMYFUNCTION("""COMPUTED_VALUE"""),0.0)</f>
        <v>0</v>
      </c>
      <c r="X88" s="5"/>
      <c r="Y88" s="5"/>
      <c r="Z88" s="5"/>
    </row>
    <row r="89">
      <c r="A89" s="5" t="str">
        <f>IFERROR(__xludf.DUMMYFUNCTION("""COMPUTED_VALUE"""),"กระพรุนจืด-1-kg")</f>
        <v>กระพรุนจืด-1-kg</v>
      </c>
      <c r="B89" s="5">
        <f>IFERROR(__xludf.DUMMYFUNCTION("""COMPUTED_VALUE"""),10379.0)</f>
        <v>10379</v>
      </c>
      <c r="C89" s="5" t="str">
        <f>IFERROR(__xludf.DUMMYFUNCTION("""COMPUTED_VALUE"""),"กระพรุนจืด ชั่งน้ำหนัก (100)")</f>
        <v>กระพรุนจืด ชั่งน้ำหนัก (100)</v>
      </c>
      <c r="D89" s="5" t="str">
        <f>IFERROR(__xludf.DUMMYFUNCTION("""COMPUTED_VALUE"""),"**ของสด-ทำใหม่")</f>
        <v>**ของสด-ทำใหม่</v>
      </c>
      <c r="E89" s="5" t="str">
        <f>IFERROR(__xludf.DUMMYFUNCTION("""COMPUTED_VALUE"""),"&lt;p&gt;X&lt;/p&gt;")</f>
        <v>&lt;p&gt;X&lt;/p&gt;</v>
      </c>
      <c r="F89" s="5" t="str">
        <f>IFERROR(__xludf.DUMMYFUNCTION("""COMPUTED_VALUE"""),"Y")</f>
        <v>Y</v>
      </c>
      <c r="G89" s="5"/>
      <c r="H89" s="5"/>
      <c r="I89" s="5"/>
      <c r="J89" s="5"/>
      <c r="K89" s="5"/>
      <c r="L89" s="5"/>
      <c r="M89" s="5">
        <f>IFERROR(__xludf.DUMMYFUNCTION("""COMPUTED_VALUE"""),50.0)</f>
        <v>50</v>
      </c>
      <c r="N89" s="5">
        <f>IFERROR(__xludf.DUMMYFUNCTION("""COMPUTED_VALUE"""),10379.0)</f>
        <v>10379</v>
      </c>
      <c r="O89" s="5"/>
      <c r="P89" s="5"/>
      <c r="Q89" s="5" t="str">
        <f>IFERROR(__xludf.DUMMYFUNCTION("""COMPUTED_VALUE"""),"Y")</f>
        <v>Y</v>
      </c>
      <c r="R89" s="5"/>
      <c r="S89" s="5"/>
      <c r="T89" s="5">
        <f>IFERROR(__xludf.DUMMYFUNCTION("""COMPUTED_VALUE"""),50.0)</f>
        <v>50</v>
      </c>
      <c r="U89" s="5" t="str">
        <f>IFERROR(__xludf.DUMMYFUNCTION("""COMPUTED_VALUE"""),"Y")</f>
        <v>Y</v>
      </c>
      <c r="V89" s="5">
        <f>IFERROR(__xludf.DUMMYFUNCTION("""COMPUTED_VALUE"""),100.0)</f>
        <v>100</v>
      </c>
      <c r="W89" s="5">
        <f>IFERROR(__xludf.DUMMYFUNCTION("""COMPUTED_VALUE"""),173.565)</f>
        <v>173.565</v>
      </c>
      <c r="X89" s="5"/>
      <c r="Y89" s="5"/>
      <c r="Z89" s="5"/>
    </row>
    <row r="90">
      <c r="A90" s="5" t="str">
        <f>IFERROR(__xludf.DUMMYFUNCTION("""COMPUTED_VALUE"""),"กล่องใส่อาหาร--1-ลัง")</f>
        <v>กล่องใส่อาหาร--1-ลัง</v>
      </c>
      <c r="B90" s="5">
        <f>IFERROR(__xludf.DUMMYFUNCTION("""COMPUTED_VALUE"""),10868.0)</f>
        <v>10868</v>
      </c>
      <c r="C90" s="5" t="str">
        <f>IFERROR(__xludf.DUMMYFUNCTION("""COMPUTED_VALUE"""),"กล่องใส่อาหาร  1 ลัง")</f>
        <v>กล่องใส่อาหาร  1 ลัง</v>
      </c>
      <c r="D90" s="5"/>
      <c r="E90" s="5"/>
      <c r="F90" s="5" t="str">
        <f>IFERROR(__xludf.DUMMYFUNCTION("""COMPUTED_VALUE"""),"N")</f>
        <v>N</v>
      </c>
      <c r="G90" s="5"/>
      <c r="H90" s="5"/>
      <c r="I90" s="5"/>
      <c r="J90" s="5"/>
      <c r="K90" s="5"/>
      <c r="L90" s="5"/>
      <c r="M90" s="5">
        <f>IFERROR(__xludf.DUMMYFUNCTION("""COMPUTED_VALUE"""),595.0)</f>
        <v>595</v>
      </c>
      <c r="N90" s="5"/>
      <c r="O90" s="5"/>
      <c r="P90" s="5"/>
      <c r="Q90" s="5" t="str">
        <f>IFERROR(__xludf.DUMMYFUNCTION("""COMPUTED_VALUE"""),"Y")</f>
        <v>Y</v>
      </c>
      <c r="R90" s="5"/>
      <c r="S90" s="5"/>
      <c r="T90" s="5">
        <f>IFERROR(__xludf.DUMMYFUNCTION("""COMPUTED_VALUE"""),0.0)</f>
        <v>0</v>
      </c>
      <c r="U90" s="5" t="str">
        <f>IFERROR(__xludf.DUMMYFUNCTION("""COMPUTED_VALUE"""),"Y")</f>
        <v>Y</v>
      </c>
      <c r="V90" s="5">
        <f>IFERROR(__xludf.DUMMYFUNCTION("""COMPUTED_VALUE"""),700.0)</f>
        <v>700</v>
      </c>
      <c r="W90" s="5">
        <f>IFERROR(__xludf.DUMMYFUNCTION("""COMPUTED_VALUE"""),0.0)</f>
        <v>0</v>
      </c>
      <c r="X90" s="5"/>
      <c r="Y90" s="5"/>
      <c r="Z90" s="5"/>
    </row>
    <row r="91">
      <c r="A91" s="5" t="str">
        <f>IFERROR(__xludf.DUMMYFUNCTION("""COMPUTED_VALUE"""),"กะหล่่ำ")</f>
        <v>กะหล่่ำ</v>
      </c>
      <c r="B91" s="5">
        <f>IFERROR(__xludf.DUMMYFUNCTION("""COMPUTED_VALUE"""),10833.0)</f>
        <v>10833</v>
      </c>
      <c r="C91" s="5" t="str">
        <f>IFERROR(__xludf.DUMMYFUNCTION("""COMPUTED_VALUE"""),"กะหล่่ำ")</f>
        <v>กะหล่่ำ</v>
      </c>
      <c r="D91" s="5"/>
      <c r="E91" s="5"/>
      <c r="F91" s="5" t="str">
        <f>IFERROR(__xludf.DUMMYFUNCTION("""COMPUTED_VALUE"""),"N")</f>
        <v>N</v>
      </c>
      <c r="G91" s="5"/>
      <c r="H91" s="5"/>
      <c r="I91" s="5"/>
      <c r="J91" s="5"/>
      <c r="K91" s="5"/>
      <c r="L91" s="5"/>
      <c r="M91" s="5">
        <f>IFERROR(__xludf.DUMMYFUNCTION("""COMPUTED_VALUE"""),0.0)</f>
        <v>0</v>
      </c>
      <c r="N91" s="5">
        <f>IFERROR(__xludf.DUMMYFUNCTION("""COMPUTED_VALUE"""),8.850016155179E12)</f>
        <v>8850016155179</v>
      </c>
      <c r="O91" s="5"/>
      <c r="P91" s="5"/>
      <c r="Q91" s="5" t="str">
        <f>IFERROR(__xludf.DUMMYFUNCTION("""COMPUTED_VALUE"""),"N")</f>
        <v>N</v>
      </c>
      <c r="R91" s="5"/>
      <c r="S91" s="5"/>
      <c r="T91" s="5"/>
      <c r="U91" s="5" t="str">
        <f>IFERROR(__xludf.DUMMYFUNCTION("""COMPUTED_VALUE"""),"Y")</f>
        <v>Y</v>
      </c>
      <c r="V91" s="5"/>
      <c r="W91" s="5"/>
      <c r="X91" s="5"/>
      <c r="Y91" s="5"/>
      <c r="Z91" s="5"/>
    </row>
    <row r="92">
      <c r="A92" s="5" t="str">
        <f>IFERROR(__xludf.DUMMYFUNCTION("""COMPUTED_VALUE"""),"ก้ามมหาชัย-500-g-ถุง-1")</f>
        <v>ก้ามมหาชัย-500-g-ถุง-1</v>
      </c>
      <c r="B92" s="5">
        <f>IFERROR(__xludf.DUMMYFUNCTION("""COMPUTED_VALUE"""),10141.0)</f>
        <v>10141</v>
      </c>
      <c r="C92" s="5" t="str">
        <f>IFERROR(__xludf.DUMMYFUNCTION("""COMPUTED_VALUE"""),"ก้ามมหาชัย 500 g ถุง")</f>
        <v>ก้ามมหาชัย 500 g ถุง</v>
      </c>
      <c r="D92" s="5" t="str">
        <f>IFERROR(__xludf.DUMMYFUNCTION("""COMPUTED_VALUE"""),"ทวีวงษ์-PFP")</f>
        <v>ทวีวงษ์-PFP</v>
      </c>
      <c r="E92" s="5" t="str">
        <f>IFERROR(__xludf.DUMMYFUNCTION("""COMPUTED_VALUE"""),"&lt;p&gt;X&lt;/p&gt;")</f>
        <v>&lt;p&gt;X&lt;/p&gt;</v>
      </c>
      <c r="F92" s="5" t="str">
        <f>IFERROR(__xludf.DUMMYFUNCTION("""COMPUTED_VALUE"""),"N")</f>
        <v>N</v>
      </c>
      <c r="G92" s="5"/>
      <c r="H92" s="5"/>
      <c r="I92" s="5"/>
      <c r="J92" s="5"/>
      <c r="K92" s="5"/>
      <c r="L92" s="5"/>
      <c r="M92" s="5">
        <f>IFERROR(__xludf.DUMMYFUNCTION("""COMPUTED_VALUE"""),51.0)</f>
        <v>51</v>
      </c>
      <c r="N92" s="5">
        <f>IFERROR(__xludf.DUMMYFUNCTION("""COMPUTED_VALUE"""),10141.0)</f>
        <v>10141</v>
      </c>
      <c r="O92" s="5"/>
      <c r="P92" s="5"/>
      <c r="Q92" s="5" t="str">
        <f>IFERROR(__xludf.DUMMYFUNCTION("""COMPUTED_VALUE"""),"Y")</f>
        <v>Y</v>
      </c>
      <c r="R92" s="5"/>
      <c r="S92" s="5" t="str">
        <f>IFERROR(__xludf.DUMMYFUNCTION("""COMPUTED_VALUE"""),"ทวีวงษ์")</f>
        <v>ทวีวงษ์</v>
      </c>
      <c r="T92" s="5">
        <f>IFERROR(__xludf.DUMMYFUNCTION("""COMPUTED_VALUE"""),50.5)</f>
        <v>50.5</v>
      </c>
      <c r="U92" s="5" t="str">
        <f>IFERROR(__xludf.DUMMYFUNCTION("""COMPUTED_VALUE"""),"Y")</f>
        <v>Y</v>
      </c>
      <c r="V92" s="5">
        <f>IFERROR(__xludf.DUMMYFUNCTION("""COMPUTED_VALUE"""),60.0)</f>
        <v>60</v>
      </c>
      <c r="W92" s="5">
        <f>IFERROR(__xludf.DUMMYFUNCTION("""COMPUTED_VALUE"""),40.0)</f>
        <v>40</v>
      </c>
      <c r="X92" s="5">
        <f>IFERROR(__xludf.DUMMYFUNCTION("""COMPUTED_VALUE"""),20.0)</f>
        <v>20</v>
      </c>
      <c r="Y92" s="5">
        <f>IFERROR(__xludf.DUMMYFUNCTION("""COMPUTED_VALUE"""),60.0)</f>
        <v>60</v>
      </c>
      <c r="Z92" s="5"/>
    </row>
    <row r="93">
      <c r="A93" s="5" t="str">
        <f>IFERROR(__xludf.DUMMYFUNCTION("""COMPUTED_VALUE"""),"ก้ามมหาชัย500g-1ลัง-10kg-(20แพ็ค)-1")</f>
        <v>ก้ามมหาชัย500g-1ลัง-10kg-(20แพ็ค)-1</v>
      </c>
      <c r="B93" s="5">
        <f>IFERROR(__xludf.DUMMYFUNCTION("""COMPUTED_VALUE"""),10230.0)</f>
        <v>10230</v>
      </c>
      <c r="C93" s="5" t="str">
        <f>IFERROR(__xludf.DUMMYFUNCTION("""COMPUTED_VALUE"""),"ก้ามมหาชัย 500 กรัม (ลัง)")</f>
        <v>ก้ามมหาชัย 500 กรัม (ลัง)</v>
      </c>
      <c r="D93" s="5"/>
      <c r="E93" s="5" t="str">
        <f>IFERROR(__xludf.DUMMYFUNCTION("""COMPUTED_VALUE"""),"&lt;p&gt;S&lt;/p&gt;")</f>
        <v>&lt;p&gt;S&lt;/p&gt;</v>
      </c>
      <c r="F93" s="5" t="str">
        <f>IFERROR(__xludf.DUMMYFUNCTION("""COMPUTED_VALUE"""),"N")</f>
        <v>N</v>
      </c>
      <c r="G93" s="5"/>
      <c r="H93" s="5"/>
      <c r="I93" s="5"/>
      <c r="J93" s="5"/>
      <c r="K93" s="5"/>
      <c r="L93" s="5"/>
      <c r="M93" s="5"/>
      <c r="N93" s="5">
        <f>IFERROR(__xludf.DUMMYFUNCTION("""COMPUTED_VALUE"""),10230.0)</f>
        <v>10230</v>
      </c>
      <c r="O93" s="5">
        <f>IFERROR(__xludf.DUMMYFUNCTION("""COMPUTED_VALUE"""),10141.0)</f>
        <v>10141</v>
      </c>
      <c r="P93" s="5">
        <f>IFERROR(__xludf.DUMMYFUNCTION("""COMPUTED_VALUE"""),20.0)</f>
        <v>20</v>
      </c>
      <c r="Q93" s="5" t="str">
        <f>IFERROR(__xludf.DUMMYFUNCTION("""COMPUTED_VALUE"""),"N")</f>
        <v>N</v>
      </c>
      <c r="R93" s="5" t="str">
        <f>IFERROR(__xludf.DUMMYFUNCTION("""COMPUTED_VALUE"""),"N")</f>
        <v>N</v>
      </c>
      <c r="S93" s="5"/>
      <c r="T93" s="5"/>
      <c r="U93" s="5" t="str">
        <f>IFERROR(__xludf.DUMMYFUNCTION("""COMPUTED_VALUE"""),"Y")</f>
        <v>Y</v>
      </c>
      <c r="V93" s="5">
        <f>IFERROR(__xludf.DUMMYFUNCTION("""COMPUTED_VALUE"""),1120.0)</f>
        <v>1120</v>
      </c>
      <c r="W93" s="5"/>
      <c r="X93" s="5"/>
      <c r="Y93" s="5"/>
      <c r="Z93" s="5"/>
    </row>
    <row r="94">
      <c r="A94" s="5" t="str">
        <f>IFERROR(__xludf.DUMMYFUNCTION("""COMPUTED_VALUE"""),"ก้ามโอเชี่ยน-600-g-ถุง-1")</f>
        <v>ก้ามโอเชี่ยน-600-g-ถุง-1</v>
      </c>
      <c r="B94" s="5">
        <f>IFERROR(__xludf.DUMMYFUNCTION("""COMPUTED_VALUE"""),10139.0)</f>
        <v>10139</v>
      </c>
      <c r="C94" s="5" t="str">
        <f>IFERROR(__xludf.DUMMYFUNCTION("""COMPUTED_VALUE"""),"ก้ามโอเชี่ยน 600 g ถุง")</f>
        <v>ก้ามโอเชี่ยน 600 g ถุง</v>
      </c>
      <c r="D94" s="5" t="str">
        <f>IFERROR(__xludf.DUMMYFUNCTION("""COMPUTED_VALUE"""),"ทวีวงษ์-PFP")</f>
        <v>ทวีวงษ์-PFP</v>
      </c>
      <c r="E94" s="5" t="str">
        <f>IFERROR(__xludf.DUMMYFUNCTION("""COMPUTED_VALUE"""),"&lt;p&gt;X&lt;/p&gt;")</f>
        <v>&lt;p&gt;X&lt;/p&gt;</v>
      </c>
      <c r="F94" s="5" t="str">
        <f>IFERROR(__xludf.DUMMYFUNCTION("""COMPUTED_VALUE"""),"N")</f>
        <v>N</v>
      </c>
      <c r="G94" s="5"/>
      <c r="H94" s="5"/>
      <c r="I94" s="5"/>
      <c r="J94" s="5"/>
      <c r="K94" s="5"/>
      <c r="L94" s="5"/>
      <c r="M94" s="5">
        <f>IFERROR(__xludf.DUMMYFUNCTION("""COMPUTED_VALUE"""),58.0)</f>
        <v>58</v>
      </c>
      <c r="N94" s="5">
        <f>IFERROR(__xludf.DUMMYFUNCTION("""COMPUTED_VALUE"""),10139.0)</f>
        <v>10139</v>
      </c>
      <c r="O94" s="5"/>
      <c r="P94" s="5"/>
      <c r="Q94" s="5" t="str">
        <f>IFERROR(__xludf.DUMMYFUNCTION("""COMPUTED_VALUE"""),"Y")</f>
        <v>Y</v>
      </c>
      <c r="R94" s="5"/>
      <c r="S94" s="5" t="str">
        <f>IFERROR(__xludf.DUMMYFUNCTION("""COMPUTED_VALUE"""),"ทวีวงษ์")</f>
        <v>ทวีวงษ์</v>
      </c>
      <c r="T94" s="5">
        <f>IFERROR(__xludf.DUMMYFUNCTION("""COMPUTED_VALUE"""),58.0)</f>
        <v>58</v>
      </c>
      <c r="U94" s="5" t="str">
        <f>IFERROR(__xludf.DUMMYFUNCTION("""COMPUTED_VALUE"""),"Y")</f>
        <v>Y</v>
      </c>
      <c r="V94" s="5">
        <f>IFERROR(__xludf.DUMMYFUNCTION("""COMPUTED_VALUE"""),73.0)</f>
        <v>73</v>
      </c>
      <c r="W94" s="5">
        <f>IFERROR(__xludf.DUMMYFUNCTION("""COMPUTED_VALUE"""),5.0)</f>
        <v>5</v>
      </c>
      <c r="X94" s="5">
        <f>IFERROR(__xludf.DUMMYFUNCTION("""COMPUTED_VALUE"""),20.0)</f>
        <v>20</v>
      </c>
      <c r="Y94" s="5">
        <f>IFERROR(__xludf.DUMMYFUNCTION("""COMPUTED_VALUE"""),40.0)</f>
        <v>40</v>
      </c>
      <c r="Z94" s="5"/>
    </row>
    <row r="95">
      <c r="A95" s="5" t="str">
        <f>IFERROR(__xludf.DUMMYFUNCTION("""COMPUTED_VALUE"""),"ก้ามโอเชี่ยนแซ่บ-20*500-กรัม-(ลัง)")</f>
        <v>ก้ามโอเชี่ยนแซ่บ-20*500-กรัม-(ลัง)</v>
      </c>
      <c r="B95" s="5">
        <f>IFERROR(__xludf.DUMMYFUNCTION("""COMPUTED_VALUE"""),10092.0)</f>
        <v>10092</v>
      </c>
      <c r="C95" s="5" t="str">
        <f>IFERROR(__xludf.DUMMYFUNCTION("""COMPUTED_VALUE"""),"ก้ามโอเชี่ยนแซ่บ 20*500 กรัม (ลัง)")</f>
        <v>ก้ามโอเชี่ยนแซ่บ 20*500 กรัม (ลัง)</v>
      </c>
      <c r="D95" s="5"/>
      <c r="E95" s="5"/>
      <c r="F95" s="5" t="str">
        <f>IFERROR(__xludf.DUMMYFUNCTION("""COMPUTED_VALUE"""),"N")</f>
        <v>N</v>
      </c>
      <c r="G95" s="5"/>
      <c r="H95" s="5"/>
      <c r="I95" s="5"/>
      <c r="J95" s="5"/>
      <c r="K95" s="5"/>
      <c r="L95" s="5"/>
      <c r="M95" s="5">
        <f>IFERROR(__xludf.DUMMYFUNCTION("""COMPUTED_VALUE"""),900.0)</f>
        <v>900</v>
      </c>
      <c r="N95" s="5"/>
      <c r="O95" s="5"/>
      <c r="P95" s="5"/>
      <c r="Q95" s="5" t="str">
        <f>IFERROR(__xludf.DUMMYFUNCTION("""COMPUTED_VALUE"""),"Y")</f>
        <v>Y</v>
      </c>
      <c r="R95" s="5"/>
      <c r="S95" s="5" t="str">
        <f>IFERROR(__xludf.DUMMYFUNCTION("""COMPUTED_VALUE"""),"ทวีวงษ์")</f>
        <v>ทวีวงษ์</v>
      </c>
      <c r="T95" s="5">
        <f>IFERROR(__xludf.DUMMYFUNCTION("""COMPUTED_VALUE"""),900.0)</f>
        <v>900</v>
      </c>
      <c r="U95" s="5" t="str">
        <f>IFERROR(__xludf.DUMMYFUNCTION("""COMPUTED_VALUE"""),"Y")</f>
        <v>Y</v>
      </c>
      <c r="V95" s="5">
        <f>IFERROR(__xludf.DUMMYFUNCTION("""COMPUTED_VALUE"""),980.0)</f>
        <v>980</v>
      </c>
      <c r="W95" s="5">
        <f>IFERROR(__xludf.DUMMYFUNCTION("""COMPUTED_VALUE"""),0.0)</f>
        <v>0</v>
      </c>
      <c r="X95" s="5"/>
      <c r="Y95" s="5"/>
      <c r="Z95" s="5"/>
    </row>
    <row r="96">
      <c r="A96" s="5" t="str">
        <f>IFERROR(__xludf.DUMMYFUNCTION("""COMPUTED_VALUE"""),"ก้ามโอเซี่ยน600g-1ลัง-12kg-(20แพ็ค)-1")</f>
        <v>ก้ามโอเซี่ยน600g-1ลัง-12kg-(20แพ็ค)-1</v>
      </c>
      <c r="B96" s="5">
        <f>IFERROR(__xludf.DUMMYFUNCTION("""COMPUTED_VALUE"""),10229.0)</f>
        <v>10229</v>
      </c>
      <c r="C96" s="5" t="str">
        <f>IFERROR(__xludf.DUMMYFUNCTION("""COMPUTED_VALUE"""),"ก้ามโอเซี่ยน600g1*20แพ็ค (ลัง)")</f>
        <v>ก้ามโอเซี่ยน600g1*20แพ็ค (ลัง)</v>
      </c>
      <c r="D96" s="5"/>
      <c r="E96" s="5" t="str">
        <f>IFERROR(__xludf.DUMMYFUNCTION("""COMPUTED_VALUE"""),"&lt;p&gt;S&lt;/p&gt;")</f>
        <v>&lt;p&gt;S&lt;/p&gt;</v>
      </c>
      <c r="F96" s="5" t="str">
        <f>IFERROR(__xludf.DUMMYFUNCTION("""COMPUTED_VALUE"""),"N")</f>
        <v>N</v>
      </c>
      <c r="G96" s="5"/>
      <c r="H96" s="5"/>
      <c r="I96" s="5"/>
      <c r="J96" s="5"/>
      <c r="K96" s="5"/>
      <c r="L96" s="5"/>
      <c r="M96" s="5"/>
      <c r="N96" s="5">
        <f>IFERROR(__xludf.DUMMYFUNCTION("""COMPUTED_VALUE"""),10229.0)</f>
        <v>10229</v>
      </c>
      <c r="O96" s="5">
        <f>IFERROR(__xludf.DUMMYFUNCTION("""COMPUTED_VALUE"""),10139.0)</f>
        <v>10139</v>
      </c>
      <c r="P96" s="5">
        <f>IFERROR(__xludf.DUMMYFUNCTION("""COMPUTED_VALUE"""),20.0)</f>
        <v>20</v>
      </c>
      <c r="Q96" s="5" t="str">
        <f>IFERROR(__xludf.DUMMYFUNCTION("""COMPUTED_VALUE"""),"N")</f>
        <v>N</v>
      </c>
      <c r="R96" s="5" t="str">
        <f>IFERROR(__xludf.DUMMYFUNCTION("""COMPUTED_VALUE"""),"N")</f>
        <v>N</v>
      </c>
      <c r="S96" s="5"/>
      <c r="T96" s="5"/>
      <c r="U96" s="5" t="str">
        <f>IFERROR(__xludf.DUMMYFUNCTION("""COMPUTED_VALUE"""),"Y")</f>
        <v>Y</v>
      </c>
      <c r="V96" s="5">
        <f>IFERROR(__xludf.DUMMYFUNCTION("""COMPUTED_VALUE"""),1240.0)</f>
        <v>1240</v>
      </c>
      <c r="W96" s="5"/>
      <c r="X96" s="5"/>
      <c r="Y96" s="5"/>
      <c r="Z96" s="5"/>
    </row>
    <row r="97">
      <c r="A97" s="5" t="str">
        <f>IFERROR(__xludf.DUMMYFUNCTION("""COMPUTED_VALUE"""),"กุ้งกุลา-เบอร์-1(10กก)")</f>
        <v>กุ้งกุลา-เบอร์-1(10กก)</v>
      </c>
      <c r="B97" s="5">
        <f>IFERROR(__xludf.DUMMYFUNCTION("""COMPUTED_VALUE"""),11552.0)</f>
        <v>11552</v>
      </c>
      <c r="C97" s="5" t="str">
        <f>IFERROR(__xludf.DUMMYFUNCTION("""COMPUTED_VALUE"""),"กุ้งกุลา เบอร์ 1(10กก)")</f>
        <v>กุ้งกุลา เบอร์ 1(10กก)</v>
      </c>
      <c r="D97" s="5"/>
      <c r="E97" s="5" t="str">
        <f>IFERROR(__xludf.DUMMYFUNCTION("""COMPUTED_VALUE"""),"&lt;p&gt;X&lt;/p&gt;")</f>
        <v>&lt;p&gt;X&lt;/p&gt;</v>
      </c>
      <c r="F97" s="5" t="str">
        <f>IFERROR(__xludf.DUMMYFUNCTION("""COMPUTED_VALUE"""),"N")</f>
        <v>N</v>
      </c>
      <c r="G97" s="5"/>
      <c r="H97" s="5"/>
      <c r="I97" s="5"/>
      <c r="J97" s="5"/>
      <c r="K97" s="5"/>
      <c r="L97" s="5"/>
      <c r="M97" s="5">
        <f>IFERROR(__xludf.DUMMYFUNCTION("""COMPUTED_VALUE"""),1400.0)</f>
        <v>1400</v>
      </c>
      <c r="N97" s="5">
        <f>IFERROR(__xludf.DUMMYFUNCTION("""COMPUTED_VALUE"""),11552.0)</f>
        <v>11552</v>
      </c>
      <c r="O97" s="5"/>
      <c r="P97" s="5"/>
      <c r="Q97" s="5" t="str">
        <f>IFERROR(__xludf.DUMMYFUNCTION("""COMPUTED_VALUE"""),"N")</f>
        <v>N</v>
      </c>
      <c r="R97" s="5"/>
      <c r="S97" s="5"/>
      <c r="T97" s="5"/>
      <c r="U97" s="5" t="str">
        <f>IFERROR(__xludf.DUMMYFUNCTION("""COMPUTED_VALUE"""),"Y")</f>
        <v>Y</v>
      </c>
      <c r="V97" s="5">
        <f>IFERROR(__xludf.DUMMYFUNCTION("""COMPUTED_VALUE"""),2100.0)</f>
        <v>2100</v>
      </c>
      <c r="W97" s="5"/>
      <c r="X97" s="5"/>
      <c r="Y97" s="5"/>
      <c r="Z97" s="5"/>
    </row>
    <row r="98">
      <c r="A98" s="5" t="str">
        <f>IFERROR(__xludf.DUMMYFUNCTION("""COMPUTED_VALUE"""),"กุ้งขาว-30-35-ตัว-/10-กก-(240)")</f>
        <v>กุ้งขาว-30-35-ตัว-/10-กก-(240)</v>
      </c>
      <c r="B98" s="5">
        <f>IFERROR(__xludf.DUMMYFUNCTION("""COMPUTED_VALUE"""),10309.0)</f>
        <v>10309</v>
      </c>
      <c r="C98" s="5" t="str">
        <f>IFERROR(__xludf.DUMMYFUNCTION("""COMPUTED_VALUE"""),"กุ้งขาว 30-35 ตัว /10 กก (240)")</f>
        <v>กุ้งขาว 30-35 ตัว /10 กก (240)</v>
      </c>
      <c r="D98" s="5"/>
      <c r="E98" s="5"/>
      <c r="F98" s="5" t="str">
        <f>IFERROR(__xludf.DUMMYFUNCTION("""COMPUTED_VALUE"""),"N")</f>
        <v>N</v>
      </c>
      <c r="G98" s="5"/>
      <c r="H98" s="5"/>
      <c r="I98" s="5"/>
      <c r="J98" s="5"/>
      <c r="K98" s="5"/>
      <c r="L98" s="5"/>
      <c r="M98" s="5">
        <f>IFERROR(__xludf.DUMMYFUNCTION("""COMPUTED_VALUE"""),2185.01)</f>
        <v>2185.01</v>
      </c>
      <c r="N98" s="5"/>
      <c r="O98" s="5"/>
      <c r="P98" s="5"/>
      <c r="Q98" s="5" t="str">
        <f>IFERROR(__xludf.DUMMYFUNCTION("""COMPUTED_VALUE"""),"Y")</f>
        <v>Y</v>
      </c>
      <c r="R98" s="5"/>
      <c r="S98" s="5"/>
      <c r="T98" s="5"/>
      <c r="U98" s="5" t="str">
        <f>IFERROR(__xludf.DUMMYFUNCTION("""COMPUTED_VALUE"""),"Y")</f>
        <v>Y</v>
      </c>
      <c r="V98" s="5">
        <f>IFERROR(__xludf.DUMMYFUNCTION("""COMPUTED_VALUE"""),2400.0)</f>
        <v>2400</v>
      </c>
      <c r="W98" s="5">
        <f>IFERROR(__xludf.DUMMYFUNCTION("""COMPUTED_VALUE"""),0.0)</f>
        <v>0</v>
      </c>
      <c r="X98" s="5"/>
      <c r="Y98" s="5"/>
      <c r="Z98" s="5"/>
    </row>
    <row r="99">
      <c r="A99" s="5" t="str">
        <f>IFERROR(__xludf.DUMMYFUNCTION("""COMPUTED_VALUE"""),"10352")</f>
        <v>10352</v>
      </c>
      <c r="B99" s="5">
        <f>IFERROR(__xludf.DUMMYFUNCTION("""COMPUTED_VALUE"""),10352.0)</f>
        <v>10352</v>
      </c>
      <c r="C99" s="5" t="str">
        <f>IFERROR(__xludf.DUMMYFUNCTION("""COMPUTED_VALUE"""),"กุ้งขาว ฟรีส แพ็ค (60)")</f>
        <v>กุ้งขาว ฟรีส แพ็ค (60)</v>
      </c>
      <c r="D99" s="5" t="str">
        <f>IFERROR(__xludf.DUMMYFUNCTION("""COMPUTED_VALUE"""),"**ของสด-ทำใหม่")</f>
        <v>**ของสด-ทำใหม่</v>
      </c>
      <c r="E99" s="5" t="str">
        <f>IFERROR(__xludf.DUMMYFUNCTION("""COMPUTED_VALUE"""),"&lt;p&gt;X&lt;/p&gt;")</f>
        <v>&lt;p&gt;X&lt;/p&gt;</v>
      </c>
      <c r="F99" s="5" t="str">
        <f>IFERROR(__xludf.DUMMYFUNCTION("""COMPUTED_VALUE"""),"N")</f>
        <v>N</v>
      </c>
      <c r="G99" s="5"/>
      <c r="H99" s="5"/>
      <c r="I99" s="5"/>
      <c r="J99" s="5"/>
      <c r="K99" s="5"/>
      <c r="L99" s="5"/>
      <c r="M99" s="5">
        <f>IFERROR(__xludf.DUMMYFUNCTION("""COMPUTED_VALUE"""),55.0)</f>
        <v>55</v>
      </c>
      <c r="N99" s="5">
        <f>IFERROR(__xludf.DUMMYFUNCTION("""COMPUTED_VALUE"""),10352.0)</f>
        <v>10352</v>
      </c>
      <c r="O99" s="5"/>
      <c r="P99" s="5"/>
      <c r="Q99" s="5" t="str">
        <f>IFERROR(__xludf.DUMMYFUNCTION("""COMPUTED_VALUE"""),"Y")</f>
        <v>Y</v>
      </c>
      <c r="R99" s="5"/>
      <c r="S99" s="5"/>
      <c r="T99" s="5">
        <f>IFERROR(__xludf.DUMMYFUNCTION("""COMPUTED_VALUE"""),40.0)</f>
        <v>40</v>
      </c>
      <c r="U99" s="5" t="str">
        <f>IFERROR(__xludf.DUMMYFUNCTION("""COMPUTED_VALUE"""),"Y")</f>
        <v>Y</v>
      </c>
      <c r="V99" s="5">
        <f>IFERROR(__xludf.DUMMYFUNCTION("""COMPUTED_VALUE"""),60.0)</f>
        <v>60</v>
      </c>
      <c r="W99" s="5">
        <f>IFERROR(__xludf.DUMMYFUNCTION("""COMPUTED_VALUE"""),0.0)</f>
        <v>0</v>
      </c>
      <c r="X99" s="5">
        <f>IFERROR(__xludf.DUMMYFUNCTION("""COMPUTED_VALUE"""),1.0)</f>
        <v>1</v>
      </c>
      <c r="Y99" s="5"/>
      <c r="Z99" s="5"/>
    </row>
    <row r="100">
      <c r="A100" s="5" t="str">
        <f>IFERROR(__xludf.DUMMYFUNCTION("""COMPUTED_VALUE"""),"กุ้งพันสาหร่าย-15*400g-(หิ้ว)")</f>
        <v>กุ้งพันสาหร่าย-15*400g-(หิ้ว)</v>
      </c>
      <c r="B100" s="5">
        <f>IFERROR(__xludf.DUMMYFUNCTION("""COMPUTED_VALUE"""),11300.0)</f>
        <v>11300</v>
      </c>
      <c r="C100" s="5" t="str">
        <f>IFERROR(__xludf.DUMMYFUNCTION("""COMPUTED_VALUE"""),"กุ้งพันสาหร่าย 15*400g (หิ้ว)")</f>
        <v>กุ้งพันสาหร่าย 15*400g (หิ้ว)</v>
      </c>
      <c r="D100" s="5"/>
      <c r="E100" s="5" t="str">
        <f>IFERROR(__xludf.DUMMYFUNCTION("""COMPUTED_VALUE"""),"&lt;p&gt;S&lt;/p&gt;")</f>
        <v>&lt;p&gt;S&lt;/p&gt;</v>
      </c>
      <c r="F100" s="5" t="str">
        <f>IFERROR(__xludf.DUMMYFUNCTION("""COMPUTED_VALUE"""),"N")</f>
        <v>N</v>
      </c>
      <c r="G100" s="5"/>
      <c r="H100" s="5"/>
      <c r="I100" s="5"/>
      <c r="J100" s="5"/>
      <c r="K100" s="5"/>
      <c r="L100" s="5"/>
      <c r="M100" s="5"/>
      <c r="N100" s="5">
        <f>IFERROR(__xludf.DUMMYFUNCTION("""COMPUTED_VALUE"""),8.85882150032E12)</f>
        <v>8858821500320</v>
      </c>
      <c r="O100" s="5">
        <f>IFERROR(__xludf.DUMMYFUNCTION("""COMPUTED_VALUE"""),10728.0)</f>
        <v>10728</v>
      </c>
      <c r="P100" s="5">
        <f>IFERROR(__xludf.DUMMYFUNCTION("""COMPUTED_VALUE"""),15.0)</f>
        <v>15</v>
      </c>
      <c r="Q100" s="5" t="str">
        <f>IFERROR(__xludf.DUMMYFUNCTION("""COMPUTED_VALUE"""),"N")</f>
        <v>N</v>
      </c>
      <c r="R100" s="5" t="str">
        <f>IFERROR(__xludf.DUMMYFUNCTION("""COMPUTED_VALUE"""),"N")</f>
        <v>N</v>
      </c>
      <c r="S100" s="5"/>
      <c r="T100" s="5"/>
      <c r="U100" s="5" t="str">
        <f>IFERROR(__xludf.DUMMYFUNCTION("""COMPUTED_VALUE"""),"Y")</f>
        <v>Y</v>
      </c>
      <c r="V100" s="5">
        <f>IFERROR(__xludf.DUMMYFUNCTION("""COMPUTED_VALUE"""),600.0)</f>
        <v>600</v>
      </c>
      <c r="W100" s="5"/>
      <c r="X100" s="5"/>
      <c r="Y100" s="5"/>
      <c r="Z100" s="5"/>
    </row>
    <row r="101">
      <c r="A101" s="5" t="str">
        <f>IFERROR(__xludf.DUMMYFUNCTION("""COMPUTED_VALUE"""),"กุ้งพันสาหร่าย-(แพ็ค)")</f>
        <v>กุ้งพันสาหร่าย-(แพ็ค)</v>
      </c>
      <c r="B101" s="5">
        <f>IFERROR(__xludf.DUMMYFUNCTION("""COMPUTED_VALUE"""),10728.0)</f>
        <v>10728</v>
      </c>
      <c r="C101" s="5" t="str">
        <f>IFERROR(__xludf.DUMMYFUNCTION("""COMPUTED_VALUE"""),"กุ้งพันสาหร่าย 400g (แพ็ค)")</f>
        <v>กุ้งพันสาหร่าย 400g (แพ็ค)</v>
      </c>
      <c r="D101" s="5" t="str">
        <f>IFERROR(__xludf.DUMMYFUNCTION("""COMPUTED_VALUE"""),"**ของหิ้ว ร้อยเอ็ด")</f>
        <v>**ของหิ้ว ร้อยเอ็ด</v>
      </c>
      <c r="E101" s="5" t="str">
        <f>IFERROR(__xludf.DUMMYFUNCTION("""COMPUTED_VALUE"""),"&lt;p&gt;X&lt;/p&gt;")</f>
        <v>&lt;p&gt;X&lt;/p&gt;</v>
      </c>
      <c r="F101" s="5" t="str">
        <f>IFERROR(__xludf.DUMMYFUNCTION("""COMPUTED_VALUE"""),"N")</f>
        <v>N</v>
      </c>
      <c r="G101" s="5"/>
      <c r="H101" s="5"/>
      <c r="I101" s="5"/>
      <c r="J101" s="5"/>
      <c r="K101" s="5"/>
      <c r="L101" s="5"/>
      <c r="M101" s="5">
        <f>IFERROR(__xludf.DUMMYFUNCTION("""COMPUTED_VALUE"""),36.0)</f>
        <v>36</v>
      </c>
      <c r="N101" s="5">
        <f>IFERROR(__xludf.DUMMYFUNCTION("""COMPUTED_VALUE"""),8.859793200133E12)</f>
        <v>8859793200133</v>
      </c>
      <c r="O101" s="5"/>
      <c r="P101" s="5"/>
      <c r="Q101" s="5" t="str">
        <f>IFERROR(__xludf.DUMMYFUNCTION("""COMPUTED_VALUE"""),"Y")</f>
        <v>Y</v>
      </c>
      <c r="R101" s="5"/>
      <c r="S101" s="5"/>
      <c r="T101" s="5">
        <f>IFERROR(__xludf.DUMMYFUNCTION("""COMPUTED_VALUE"""),36.0)</f>
        <v>36</v>
      </c>
      <c r="U101" s="5" t="str">
        <f>IFERROR(__xludf.DUMMYFUNCTION("""COMPUTED_VALUE"""),"Y")</f>
        <v>Y</v>
      </c>
      <c r="V101" s="5">
        <f>IFERROR(__xludf.DUMMYFUNCTION("""COMPUTED_VALUE"""),40.0)</f>
        <v>40</v>
      </c>
      <c r="W101" s="5">
        <f>IFERROR(__xludf.DUMMYFUNCTION("""COMPUTED_VALUE"""),87.0)</f>
        <v>87</v>
      </c>
      <c r="X101" s="5">
        <f>IFERROR(__xludf.DUMMYFUNCTION("""COMPUTED_VALUE"""),15.0)</f>
        <v>15</v>
      </c>
      <c r="Y101" s="5"/>
      <c r="Z101" s="5"/>
    </row>
    <row r="102">
      <c r="A102" s="5" t="str">
        <f>IFERROR(__xludf.DUMMYFUNCTION("""COMPUTED_VALUE"""),"กุ้งพันสาหร่าย-แครปโตะแร๊ฟ-10*500g")</f>
        <v>กุ้งพันสาหร่าย-แครปโตะแร๊ฟ-10*500g</v>
      </c>
      <c r="B102" s="5">
        <f>IFERROR(__xludf.DUMMYFUNCTION("""COMPUTED_VALUE"""),11317.0)</f>
        <v>11317</v>
      </c>
      <c r="C102" s="5" t="str">
        <f>IFERROR(__xludf.DUMMYFUNCTION("""COMPUTED_VALUE"""),"กุ้งพันสาหร่าย แครปโตะ 500 กรัม (ลัง)")</f>
        <v>กุ้งพันสาหร่าย แครปโตะ 500 กรัม (ลัง)</v>
      </c>
      <c r="D102" s="5"/>
      <c r="E102" s="5" t="str">
        <f>IFERROR(__xludf.DUMMYFUNCTION("""COMPUTED_VALUE"""),"&lt;p&gt;S&lt;/p&gt;")</f>
        <v>&lt;p&gt;S&lt;/p&gt;</v>
      </c>
      <c r="F102" s="5" t="str">
        <f>IFERROR(__xludf.DUMMYFUNCTION("""COMPUTED_VALUE"""),"N")</f>
        <v>N</v>
      </c>
      <c r="G102" s="5"/>
      <c r="H102" s="5"/>
      <c r="I102" s="5"/>
      <c r="J102" s="5"/>
      <c r="K102" s="5"/>
      <c r="L102" s="5"/>
      <c r="M102" s="5"/>
      <c r="N102" s="5">
        <f>IFERROR(__xludf.DUMMYFUNCTION("""COMPUTED_VALUE"""),11317.0)</f>
        <v>11317</v>
      </c>
      <c r="O102" s="5">
        <f>IFERROR(__xludf.DUMMYFUNCTION("""COMPUTED_VALUE"""),11316.0)</f>
        <v>11316</v>
      </c>
      <c r="P102" s="5">
        <f>IFERROR(__xludf.DUMMYFUNCTION("""COMPUTED_VALUE"""),10.0)</f>
        <v>10</v>
      </c>
      <c r="Q102" s="5" t="str">
        <f>IFERROR(__xludf.DUMMYFUNCTION("""COMPUTED_VALUE"""),"N")</f>
        <v>N</v>
      </c>
      <c r="R102" s="5" t="str">
        <f>IFERROR(__xludf.DUMMYFUNCTION("""COMPUTED_VALUE"""),"N")</f>
        <v>N</v>
      </c>
      <c r="S102" s="5"/>
      <c r="T102" s="5"/>
      <c r="U102" s="5" t="str">
        <f>IFERROR(__xludf.DUMMYFUNCTION("""COMPUTED_VALUE"""),"Y")</f>
        <v>Y</v>
      </c>
      <c r="V102" s="5">
        <f>IFERROR(__xludf.DUMMYFUNCTION("""COMPUTED_VALUE"""),590.0)</f>
        <v>590</v>
      </c>
      <c r="W102" s="5"/>
      <c r="X102" s="5"/>
      <c r="Y102" s="5"/>
      <c r="Z102" s="5"/>
    </row>
    <row r="103">
      <c r="A103" s="5" t="str">
        <f>IFERROR(__xludf.DUMMYFUNCTION("""COMPUTED_VALUE"""),"กุ้งพันสาหร่าย-แครปโตะแร๊ฟ")</f>
        <v>กุ้งพันสาหร่าย-แครปโตะแร๊ฟ</v>
      </c>
      <c r="B103" s="5">
        <f>IFERROR(__xludf.DUMMYFUNCTION("""COMPUTED_VALUE"""),11316.0)</f>
        <v>11316</v>
      </c>
      <c r="C103" s="5" t="str">
        <f>IFERROR(__xludf.DUMMYFUNCTION("""COMPUTED_VALUE"""),"กุ้งพันสาหร่าย แครปโตะ500g /แพ็ค")</f>
        <v>กุ้งพันสาหร่าย แครปโตะ500g /แพ็ค</v>
      </c>
      <c r="D103" s="5" t="str">
        <f>IFERROR(__xludf.DUMMYFUNCTION("""COMPUTED_VALUE"""),"**ลัง ร้อยเอ็ด")</f>
        <v>**ลัง ร้อยเอ็ด</v>
      </c>
      <c r="E103" s="5" t="str">
        <f>IFERROR(__xludf.DUMMYFUNCTION("""COMPUTED_VALUE"""),"&lt;p&gt;Trk&amp;nbsp; พุธ เสาร์&lt;/p&gt;")</f>
        <v>&lt;p&gt;Trk&amp;nbsp; พุธ เสาร์&lt;/p&gt;</v>
      </c>
      <c r="F103" s="5" t="str">
        <f>IFERROR(__xludf.DUMMYFUNCTION("""COMPUTED_VALUE"""),"N")</f>
        <v>N</v>
      </c>
      <c r="G103" s="5"/>
      <c r="H103" s="5"/>
      <c r="I103" s="5"/>
      <c r="J103" s="5"/>
      <c r="K103" s="5"/>
      <c r="L103" s="5"/>
      <c r="M103" s="5">
        <f>IFERROR(__xludf.DUMMYFUNCTION("""COMPUTED_VALUE"""),50.0)</f>
        <v>50</v>
      </c>
      <c r="N103" s="5">
        <f>IFERROR(__xludf.DUMMYFUNCTION("""COMPUTED_VALUE"""),11316.0)</f>
        <v>11316</v>
      </c>
      <c r="O103" s="5"/>
      <c r="P103" s="5"/>
      <c r="Q103" s="5" t="str">
        <f>IFERROR(__xludf.DUMMYFUNCTION("""COMPUTED_VALUE"""),"Y")</f>
        <v>Y</v>
      </c>
      <c r="R103" s="5"/>
      <c r="S103" s="5"/>
      <c r="T103" s="5">
        <f>IFERROR(__xludf.DUMMYFUNCTION("""COMPUTED_VALUE"""),50.0)</f>
        <v>50</v>
      </c>
      <c r="U103" s="5" t="str">
        <f>IFERROR(__xludf.DUMMYFUNCTION("""COMPUTED_VALUE"""),"Y")</f>
        <v>Y</v>
      </c>
      <c r="V103" s="5">
        <f>IFERROR(__xludf.DUMMYFUNCTION("""COMPUTED_VALUE"""),65.0)</f>
        <v>65</v>
      </c>
      <c r="W103" s="5">
        <f>IFERROR(__xludf.DUMMYFUNCTION("""COMPUTED_VALUE"""),30.0)</f>
        <v>30</v>
      </c>
      <c r="X103" s="5"/>
      <c r="Y103" s="5"/>
      <c r="Z103" s="5"/>
    </row>
    <row r="104">
      <c r="A104" s="5" t="str">
        <f>IFERROR(__xludf.DUMMYFUNCTION("""COMPUTED_VALUE"""),"กุ้งหิมะ-ทวีวงษ์-ลัง")</f>
        <v>กุ้งหิมะ-ทวีวงษ์-ลัง</v>
      </c>
      <c r="B104" s="5">
        <f>IFERROR(__xludf.DUMMYFUNCTION("""COMPUTED_VALUE"""),10276.0)</f>
        <v>10276</v>
      </c>
      <c r="C104" s="5" t="str">
        <f>IFERROR(__xludf.DUMMYFUNCTION("""COMPUTED_VALUE"""),"กุ้งหิมะ ทวีวงษ์ ลัง")</f>
        <v>กุ้งหิมะ ทวีวงษ์ ลัง</v>
      </c>
      <c r="D104" s="5"/>
      <c r="E104" s="5"/>
      <c r="F104" s="5" t="str">
        <f>IFERROR(__xludf.DUMMYFUNCTION("""COMPUTED_VALUE"""),"N")</f>
        <v>N</v>
      </c>
      <c r="G104" s="5"/>
      <c r="H104" s="5"/>
      <c r="I104" s="5"/>
      <c r="J104" s="5"/>
      <c r="K104" s="5"/>
      <c r="L104" s="5"/>
      <c r="M104" s="5"/>
      <c r="N104" s="5">
        <f>IFERROR(__xludf.DUMMYFUNCTION("""COMPUTED_VALUE"""),8.850016634544E12)</f>
        <v>8850016634544</v>
      </c>
      <c r="O104" s="5">
        <f>IFERROR(__xludf.DUMMYFUNCTION("""COMPUTED_VALUE"""),10274.0)</f>
        <v>10274</v>
      </c>
      <c r="P104" s="5">
        <f>IFERROR(__xludf.DUMMYFUNCTION("""COMPUTED_VALUE"""),20.0)</f>
        <v>20</v>
      </c>
      <c r="Q104" s="5" t="str">
        <f>IFERROR(__xludf.DUMMYFUNCTION("""COMPUTED_VALUE"""),"N")</f>
        <v>N</v>
      </c>
      <c r="R104" s="5" t="str">
        <f>IFERROR(__xludf.DUMMYFUNCTION("""COMPUTED_VALUE"""),"N")</f>
        <v>N</v>
      </c>
      <c r="S104" s="5"/>
      <c r="T104" s="5"/>
      <c r="U104" s="5" t="str">
        <f>IFERROR(__xludf.DUMMYFUNCTION("""COMPUTED_VALUE"""),"Y")</f>
        <v>Y</v>
      </c>
      <c r="V104" s="5">
        <f>IFERROR(__xludf.DUMMYFUNCTION("""COMPUTED_VALUE"""),1220.0)</f>
        <v>1220</v>
      </c>
      <c r="W104" s="5"/>
      <c r="X104" s="5"/>
      <c r="Y104" s="5"/>
      <c r="Z104" s="5"/>
    </row>
    <row r="105">
      <c r="A105" s="5" t="str">
        <f>IFERROR(__xludf.DUMMYFUNCTION("""COMPUTED_VALUE"""),"กุ้งหิมะ-ทวีวงษ์-แพ็ค")</f>
        <v>กุ้งหิมะ-ทวีวงษ์-แพ็ค</v>
      </c>
      <c r="B105" s="5">
        <f>IFERROR(__xludf.DUMMYFUNCTION("""COMPUTED_VALUE"""),10274.0)</f>
        <v>10274</v>
      </c>
      <c r="C105" s="5" t="str">
        <f>IFERROR(__xludf.DUMMYFUNCTION("""COMPUTED_VALUE"""),"กุ้งหิมะ ทวีวงษ์ แพ็ค")</f>
        <v>กุ้งหิมะ ทวีวงษ์ แพ็ค</v>
      </c>
      <c r="D105" s="5" t="str">
        <f>IFERROR(__xludf.DUMMYFUNCTION("""COMPUTED_VALUE"""),"ทวีวงษ์-PFP")</f>
        <v>ทวีวงษ์-PFP</v>
      </c>
      <c r="E105" s="5"/>
      <c r="F105" s="5" t="str">
        <f>IFERROR(__xludf.DUMMYFUNCTION("""COMPUTED_VALUE"""),"N")</f>
        <v>N</v>
      </c>
      <c r="G105" s="5"/>
      <c r="H105" s="5"/>
      <c r="I105" s="5"/>
      <c r="J105" s="5"/>
      <c r="K105" s="5"/>
      <c r="L105" s="5"/>
      <c r="M105" s="5">
        <f>IFERROR(__xludf.DUMMYFUNCTION("""COMPUTED_VALUE"""),57.0)</f>
        <v>57</v>
      </c>
      <c r="N105" s="5">
        <f>IFERROR(__xludf.DUMMYFUNCTION("""COMPUTED_VALUE"""),10274.0)</f>
        <v>10274</v>
      </c>
      <c r="O105" s="5"/>
      <c r="P105" s="5"/>
      <c r="Q105" s="5" t="str">
        <f>IFERROR(__xludf.DUMMYFUNCTION("""COMPUTED_VALUE"""),"Y")</f>
        <v>Y</v>
      </c>
      <c r="R105" s="5"/>
      <c r="S105" s="5" t="str">
        <f>IFERROR(__xludf.DUMMYFUNCTION("""COMPUTED_VALUE"""),"ทวีวงษ์")</f>
        <v>ทวีวงษ์</v>
      </c>
      <c r="T105" s="5">
        <f>IFERROR(__xludf.DUMMYFUNCTION("""COMPUTED_VALUE"""),57.0)</f>
        <v>57</v>
      </c>
      <c r="U105" s="5" t="str">
        <f>IFERROR(__xludf.DUMMYFUNCTION("""COMPUTED_VALUE"""),"Y")</f>
        <v>Y</v>
      </c>
      <c r="V105" s="5">
        <f>IFERROR(__xludf.DUMMYFUNCTION("""COMPUTED_VALUE"""),66.0)</f>
        <v>66</v>
      </c>
      <c r="W105" s="5">
        <f>IFERROR(__xludf.DUMMYFUNCTION("""COMPUTED_VALUE"""),40.0)</f>
        <v>40</v>
      </c>
      <c r="X105" s="5"/>
      <c r="Y105" s="5"/>
      <c r="Z105" s="5"/>
    </row>
    <row r="106">
      <c r="A106" s="5" t="str">
        <f>IFERROR(__xludf.DUMMYFUNCTION("""COMPUTED_VALUE"""),"กุ้งแก้ว-41/50-10*1kg-(ลัง)-1")</f>
        <v>กุ้งแก้ว-41/50-10*1kg-(ลัง)-1</v>
      </c>
      <c r="B106" s="5">
        <f>IFERROR(__xludf.DUMMYFUNCTION("""COMPUTED_VALUE"""),10425.0)</f>
        <v>10425</v>
      </c>
      <c r="C106" s="5" t="str">
        <f>IFERROR(__xludf.DUMMYFUNCTION("""COMPUTED_VALUE"""),"กุ้งแก้ว 41/50 10*1Kg (ลัง)")</f>
        <v>กุ้งแก้ว 41/50 10*1Kg (ลัง)</v>
      </c>
      <c r="D106" s="5" t="str">
        <f>IFERROR(__xludf.DUMMYFUNCTION("""COMPUTED_VALUE"""),"**ลัง มหาชัย")</f>
        <v>**ลัง มหาชัย</v>
      </c>
      <c r="E106" s="5" t="str">
        <f>IFERROR(__xludf.DUMMYFUNCTION("""COMPUTED_VALUE"""),"&lt;p&gt;10&lt;/p&gt;")</f>
        <v>&lt;p&gt;10&lt;/p&gt;</v>
      </c>
      <c r="F106" s="5" t="str">
        <f>IFERROR(__xludf.DUMMYFUNCTION("""COMPUTED_VALUE"""),"N")</f>
        <v>N</v>
      </c>
      <c r="G106" s="5"/>
      <c r="H106" s="5"/>
      <c r="I106" s="5"/>
      <c r="J106" s="5"/>
      <c r="K106" s="5"/>
      <c r="L106" s="5"/>
      <c r="M106" s="5">
        <f>IFERROR(__xludf.DUMMYFUNCTION("""COMPUTED_VALUE"""),1085.94)</f>
        <v>1085.94</v>
      </c>
      <c r="N106" s="5">
        <f>IFERROR(__xludf.DUMMYFUNCTION("""COMPUTED_VALUE"""),10425.0)</f>
        <v>10425</v>
      </c>
      <c r="O106" s="5"/>
      <c r="P106" s="5"/>
      <c r="Q106" s="5" t="str">
        <f>IFERROR(__xludf.DUMMYFUNCTION("""COMPUTED_VALUE"""),"Y")</f>
        <v>Y</v>
      </c>
      <c r="R106" s="5"/>
      <c r="S106" s="5" t="str">
        <f>IFERROR(__xludf.DUMMYFUNCTION("""COMPUTED_VALUE"""),"ขึ้นของมหาชัย")</f>
        <v>ขึ้นของมหาชัย</v>
      </c>
      <c r="T106" s="5">
        <f>IFERROR(__xludf.DUMMYFUNCTION("""COMPUTED_VALUE"""),1050.0)</f>
        <v>1050</v>
      </c>
      <c r="U106" s="5" t="str">
        <f>IFERROR(__xludf.DUMMYFUNCTION("""COMPUTED_VALUE"""),"Y")</f>
        <v>Y</v>
      </c>
      <c r="V106" s="5">
        <f>IFERROR(__xludf.DUMMYFUNCTION("""COMPUTED_VALUE"""),1150.0)</f>
        <v>1150</v>
      </c>
      <c r="W106" s="5">
        <f>IFERROR(__xludf.DUMMYFUNCTION("""COMPUTED_VALUE"""),3.0)</f>
        <v>3</v>
      </c>
      <c r="X106" s="5">
        <f>IFERROR(__xludf.DUMMYFUNCTION("""COMPUTED_VALUE"""),2.0)</f>
        <v>2</v>
      </c>
      <c r="Y106" s="5">
        <f>IFERROR(__xludf.DUMMYFUNCTION("""COMPUTED_VALUE"""),7.0)</f>
        <v>7</v>
      </c>
      <c r="Z106" s="5"/>
    </row>
    <row r="107">
      <c r="A107" s="5" t="str">
        <f>IFERROR(__xludf.DUMMYFUNCTION("""COMPUTED_VALUE"""),"กุ้งแก้ว-51/60--10*-1kg--(ลัง)")</f>
        <v>กุ้งแก้ว-51/60--10*-1kg--(ลัง)</v>
      </c>
      <c r="B107" s="5">
        <f>IFERROR(__xludf.DUMMYFUNCTION("""COMPUTED_VALUE"""),10000.0)</f>
        <v>10000</v>
      </c>
      <c r="C107" s="5" t="str">
        <f>IFERROR(__xludf.DUMMYFUNCTION("""COMPUTED_VALUE"""),"กุ้งแก้ว 51/60  10* 1Kg  (ลัง)")</f>
        <v>กุ้งแก้ว 51/60  10* 1Kg  (ลัง)</v>
      </c>
      <c r="D107" s="5" t="str">
        <f>IFERROR(__xludf.DUMMYFUNCTION("""COMPUTED_VALUE"""),"**ลัง มหาชัย")</f>
        <v>**ลัง มหาชัย</v>
      </c>
      <c r="E107" s="5" t="str">
        <f>IFERROR(__xludf.DUMMYFUNCTION("""COMPUTED_VALUE"""),"&lt;p&gt;10&lt;/p&gt;")</f>
        <v>&lt;p&gt;10&lt;/p&gt;</v>
      </c>
      <c r="F107" s="5" t="str">
        <f>IFERROR(__xludf.DUMMYFUNCTION("""COMPUTED_VALUE"""),"N")</f>
        <v>N</v>
      </c>
      <c r="G107" s="5"/>
      <c r="H107" s="5"/>
      <c r="I107" s="5"/>
      <c r="J107" s="5"/>
      <c r="K107" s="5"/>
      <c r="L107" s="5"/>
      <c r="M107" s="5">
        <f>IFERROR(__xludf.DUMMYFUNCTION("""COMPUTED_VALUE"""),1021.65)</f>
        <v>1021.65</v>
      </c>
      <c r="N107" s="5"/>
      <c r="O107" s="5"/>
      <c r="P107" s="5"/>
      <c r="Q107" s="5" t="str">
        <f>IFERROR(__xludf.DUMMYFUNCTION("""COMPUTED_VALUE"""),"Y")</f>
        <v>Y</v>
      </c>
      <c r="R107" s="5"/>
      <c r="S107" s="5" t="str">
        <f>IFERROR(__xludf.DUMMYFUNCTION("""COMPUTED_VALUE"""),"ขึ้นของมหาชัย")</f>
        <v>ขึ้นของมหาชัย</v>
      </c>
      <c r="T107" s="5">
        <f>IFERROR(__xludf.DUMMYFUNCTION("""COMPUTED_VALUE"""),1000.0)</f>
        <v>1000</v>
      </c>
      <c r="U107" s="5" t="str">
        <f>IFERROR(__xludf.DUMMYFUNCTION("""COMPUTED_VALUE"""),"Y")</f>
        <v>Y</v>
      </c>
      <c r="V107" s="5">
        <f>IFERROR(__xludf.DUMMYFUNCTION("""COMPUTED_VALUE"""),1100.0)</f>
        <v>1100</v>
      </c>
      <c r="W107" s="5">
        <f>IFERROR(__xludf.DUMMYFUNCTION("""COMPUTED_VALUE"""),18.5)</f>
        <v>18.5</v>
      </c>
      <c r="X107" s="5">
        <f>IFERROR(__xludf.DUMMYFUNCTION("""COMPUTED_VALUE"""),5.0)</f>
        <v>5</v>
      </c>
      <c r="Y107" s="5">
        <f>IFERROR(__xludf.DUMMYFUNCTION("""COMPUTED_VALUE"""),4.0)</f>
        <v>4</v>
      </c>
      <c r="Z107" s="5"/>
    </row>
    <row r="108">
      <c r="A108" s="5" t="str">
        <f>IFERROR(__xludf.DUMMYFUNCTION("""COMPUTED_VALUE"""),"กุ้งแม็คนั่ม-500-g-ถุง-1")</f>
        <v>กุ้งแม็คนั่ม-500-g-ถุง-1</v>
      </c>
      <c r="B108" s="5">
        <f>IFERROR(__xludf.DUMMYFUNCTION("""COMPUTED_VALUE"""),10137.0)</f>
        <v>10137</v>
      </c>
      <c r="C108" s="5" t="str">
        <f>IFERROR(__xludf.DUMMYFUNCTION("""COMPUTED_VALUE"""),"กุ้งแม็กนั่ม 500 g ถุง")</f>
        <v>กุ้งแม็กนั่ม 500 g ถุง</v>
      </c>
      <c r="D108" s="5" t="str">
        <f>IFERROR(__xludf.DUMMYFUNCTION("""COMPUTED_VALUE"""),"ทวีวงษ์-PFP")</f>
        <v>ทวีวงษ์-PFP</v>
      </c>
      <c r="E108" s="5" t="str">
        <f>IFERROR(__xludf.DUMMYFUNCTION("""COMPUTED_VALUE"""),"&lt;p&gt;X&lt;/p&gt;")</f>
        <v>&lt;p&gt;X&lt;/p&gt;</v>
      </c>
      <c r="F108" s="5" t="str">
        <f>IFERROR(__xludf.DUMMYFUNCTION("""COMPUTED_VALUE"""),"N")</f>
        <v>N</v>
      </c>
      <c r="G108" s="5"/>
      <c r="H108" s="5"/>
      <c r="I108" s="5"/>
      <c r="J108" s="5"/>
      <c r="K108" s="5"/>
      <c r="L108" s="5"/>
      <c r="M108" s="5">
        <f>IFERROR(__xludf.DUMMYFUNCTION("""COMPUTED_VALUE"""),51.0)</f>
        <v>51</v>
      </c>
      <c r="N108" s="5">
        <f>IFERROR(__xludf.DUMMYFUNCTION("""COMPUTED_VALUE"""),8.850016075255E12)</f>
        <v>8850016075255</v>
      </c>
      <c r="O108" s="5"/>
      <c r="P108" s="5"/>
      <c r="Q108" s="5" t="str">
        <f>IFERROR(__xludf.DUMMYFUNCTION("""COMPUTED_VALUE"""),"Y")</f>
        <v>Y</v>
      </c>
      <c r="R108" s="5"/>
      <c r="S108" s="5" t="str">
        <f>IFERROR(__xludf.DUMMYFUNCTION("""COMPUTED_VALUE"""),"ทวีวงษ์")</f>
        <v>ทวีวงษ์</v>
      </c>
      <c r="T108" s="5">
        <f>IFERROR(__xludf.DUMMYFUNCTION("""COMPUTED_VALUE"""),51.0)</f>
        <v>51</v>
      </c>
      <c r="U108" s="5" t="str">
        <f>IFERROR(__xludf.DUMMYFUNCTION("""COMPUTED_VALUE"""),"Y")</f>
        <v>Y</v>
      </c>
      <c r="V108" s="5">
        <f>IFERROR(__xludf.DUMMYFUNCTION("""COMPUTED_VALUE"""),60.0)</f>
        <v>60</v>
      </c>
      <c r="W108" s="5">
        <f>IFERROR(__xludf.DUMMYFUNCTION("""COMPUTED_VALUE"""),12.0)</f>
        <v>12</v>
      </c>
      <c r="X108" s="5">
        <f>IFERROR(__xludf.DUMMYFUNCTION("""COMPUTED_VALUE"""),20.0)</f>
        <v>20</v>
      </c>
      <c r="Y108" s="5">
        <f>IFERROR(__xludf.DUMMYFUNCTION("""COMPUTED_VALUE"""),80.0)</f>
        <v>80</v>
      </c>
      <c r="Z108" s="5"/>
    </row>
    <row r="109">
      <c r="A109" s="5" t="str">
        <f>IFERROR(__xludf.DUMMYFUNCTION("""COMPUTED_VALUE"""),"กุ้มแม็กนั่ม500g-1ลัง10kg(20แพ็ค)-1")</f>
        <v>กุ้มแม็กนั่ม500g-1ลัง10kg(20แพ็ค)-1</v>
      </c>
      <c r="B109" s="5">
        <f>IFERROR(__xludf.DUMMYFUNCTION("""COMPUTED_VALUE"""),10228.0)</f>
        <v>10228</v>
      </c>
      <c r="C109" s="5" t="str">
        <f>IFERROR(__xludf.DUMMYFUNCTION("""COMPUTED_VALUE"""),"กุ้งแม็กนั่ม 500 กรัม (ลัง)")</f>
        <v>กุ้งแม็กนั่ม 500 กรัม (ลัง)</v>
      </c>
      <c r="D109" s="5"/>
      <c r="E109" s="5" t="str">
        <f>IFERROR(__xludf.DUMMYFUNCTION("""COMPUTED_VALUE"""),"&lt;p&gt;S&lt;/p&gt;")</f>
        <v>&lt;p&gt;S&lt;/p&gt;</v>
      </c>
      <c r="F109" s="5" t="str">
        <f>IFERROR(__xludf.DUMMYFUNCTION("""COMPUTED_VALUE"""),"N")</f>
        <v>N</v>
      </c>
      <c r="G109" s="5"/>
      <c r="H109" s="5"/>
      <c r="I109" s="5"/>
      <c r="J109" s="5"/>
      <c r="K109" s="5"/>
      <c r="L109" s="5"/>
      <c r="M109" s="5"/>
      <c r="N109" s="5">
        <f>IFERROR(__xludf.DUMMYFUNCTION("""COMPUTED_VALUE"""),10228.0)</f>
        <v>10228</v>
      </c>
      <c r="O109" s="5">
        <f>IFERROR(__xludf.DUMMYFUNCTION("""COMPUTED_VALUE"""),10137.0)</f>
        <v>10137</v>
      </c>
      <c r="P109" s="5">
        <f>IFERROR(__xludf.DUMMYFUNCTION("""COMPUTED_VALUE"""),20.0)</f>
        <v>20</v>
      </c>
      <c r="Q109" s="5" t="str">
        <f>IFERROR(__xludf.DUMMYFUNCTION("""COMPUTED_VALUE"""),"N")</f>
        <v>N</v>
      </c>
      <c r="R109" s="5" t="str">
        <f>IFERROR(__xludf.DUMMYFUNCTION("""COMPUTED_VALUE"""),"N")</f>
        <v>N</v>
      </c>
      <c r="S109" s="5"/>
      <c r="T109" s="5"/>
      <c r="U109" s="5" t="str">
        <f>IFERROR(__xludf.DUMMYFUNCTION("""COMPUTED_VALUE"""),"Y")</f>
        <v>Y</v>
      </c>
      <c r="V109" s="5">
        <f>IFERROR(__xludf.DUMMYFUNCTION("""COMPUTED_VALUE"""),1120.0)</f>
        <v>1120</v>
      </c>
      <c r="W109" s="5"/>
      <c r="X109" s="5"/>
      <c r="Y109" s="5"/>
      <c r="Z109" s="5"/>
    </row>
    <row r="110">
      <c r="A110" s="5" t="str">
        <f>IFERROR(__xludf.DUMMYFUNCTION("""COMPUTED_VALUE"""),"ขนมจีบหมู-20*500g-ลัง")</f>
        <v>ขนมจีบหมู-20*500g-ลัง</v>
      </c>
      <c r="B110" s="5">
        <f>IFERROR(__xludf.DUMMYFUNCTION("""COMPUTED_VALUE"""),10503.0)</f>
        <v>10503</v>
      </c>
      <c r="C110" s="5" t="str">
        <f>IFERROR(__xludf.DUMMYFUNCTION("""COMPUTED_VALUE"""),"ขนมจีบหมู 390 กรัม 10 แพ็ค (ลัง)")</f>
        <v>ขนมจีบหมู 390 กรัม 10 แพ็ค (ลัง)</v>
      </c>
      <c r="D110" s="5"/>
      <c r="E110" s="5" t="str">
        <f>IFERROR(__xludf.DUMMYFUNCTION("""COMPUTED_VALUE"""),"&lt;p&gt;S&lt;/p&gt;")</f>
        <v>&lt;p&gt;S&lt;/p&gt;</v>
      </c>
      <c r="F110" s="5" t="str">
        <f>IFERROR(__xludf.DUMMYFUNCTION("""COMPUTED_VALUE"""),"N")</f>
        <v>N</v>
      </c>
      <c r="G110" s="5"/>
      <c r="H110" s="5"/>
      <c r="I110" s="5"/>
      <c r="J110" s="5"/>
      <c r="K110" s="5"/>
      <c r="L110" s="5"/>
      <c r="M110" s="5"/>
      <c r="N110" s="5">
        <f>IFERROR(__xludf.DUMMYFUNCTION("""COMPUTED_VALUE"""),10503.0)</f>
        <v>10503</v>
      </c>
      <c r="O110" s="5">
        <f>IFERROR(__xludf.DUMMYFUNCTION("""COMPUTED_VALUE"""),10755.0)</f>
        <v>10755</v>
      </c>
      <c r="P110" s="5">
        <f>IFERROR(__xludf.DUMMYFUNCTION("""COMPUTED_VALUE"""),10.0)</f>
        <v>10</v>
      </c>
      <c r="Q110" s="5" t="str">
        <f>IFERROR(__xludf.DUMMYFUNCTION("""COMPUTED_VALUE"""),"N")</f>
        <v>N</v>
      </c>
      <c r="R110" s="5" t="str">
        <f>IFERROR(__xludf.DUMMYFUNCTION("""COMPUTED_VALUE"""),"N")</f>
        <v>N</v>
      </c>
      <c r="S110" s="5"/>
      <c r="T110" s="5"/>
      <c r="U110" s="5" t="str">
        <f>IFERROR(__xludf.DUMMYFUNCTION("""COMPUTED_VALUE"""),"Y")</f>
        <v>Y</v>
      </c>
      <c r="V110" s="5">
        <f>IFERROR(__xludf.DUMMYFUNCTION("""COMPUTED_VALUE"""),630.0)</f>
        <v>630</v>
      </c>
      <c r="W110" s="5"/>
      <c r="X110" s="5"/>
      <c r="Y110" s="5"/>
      <c r="Z110" s="5"/>
    </row>
    <row r="111">
      <c r="A111" s="5" t="str">
        <f>IFERROR(__xludf.DUMMYFUNCTION("""COMPUTED_VALUE"""),"ขนมจีบหมู-แพ็ค(33)500g")</f>
        <v>ขนมจีบหมู-แพ็ค(33)500g</v>
      </c>
      <c r="B111" s="5">
        <f>IFERROR(__xludf.DUMMYFUNCTION("""COMPUTED_VALUE"""),10755.0)</f>
        <v>10755</v>
      </c>
      <c r="C111" s="5" t="str">
        <f>IFERROR(__xludf.DUMMYFUNCTION("""COMPUTED_VALUE"""),"ขนมจีบหมู 390g/แพ็ค")</f>
        <v>ขนมจีบหมู 390g/แพ็ค</v>
      </c>
      <c r="D111" s="5" t="str">
        <f>IFERROR(__xludf.DUMMYFUNCTION("""COMPUTED_VALUE"""),"**ลัง ร้อยเอ็ด")</f>
        <v>**ลัง ร้อยเอ็ด</v>
      </c>
      <c r="E111" s="5" t="str">
        <f>IFERROR(__xludf.DUMMYFUNCTION("""COMPUTED_VALUE"""),"&lt;p&gt;X&lt;/p&gt;")</f>
        <v>&lt;p&gt;X&lt;/p&gt;</v>
      </c>
      <c r="F111" s="5" t="str">
        <f>IFERROR(__xludf.DUMMYFUNCTION("""COMPUTED_VALUE"""),"N")</f>
        <v>N</v>
      </c>
      <c r="G111" s="5"/>
      <c r="H111" s="5"/>
      <c r="I111" s="5"/>
      <c r="J111" s="5"/>
      <c r="K111" s="5"/>
      <c r="L111" s="5"/>
      <c r="M111" s="5">
        <f>IFERROR(__xludf.DUMMYFUNCTION("""COMPUTED_VALUE"""),55.0)</f>
        <v>55</v>
      </c>
      <c r="N111" s="5">
        <f>IFERROR(__xludf.DUMMYFUNCTION("""COMPUTED_VALUE"""),10755.0)</f>
        <v>10755</v>
      </c>
      <c r="O111" s="5"/>
      <c r="P111" s="5"/>
      <c r="Q111" s="5" t="str">
        <f>IFERROR(__xludf.DUMMYFUNCTION("""COMPUTED_VALUE"""),"Y")</f>
        <v>Y</v>
      </c>
      <c r="R111" s="5"/>
      <c r="S111" s="5" t="str">
        <f>IFERROR(__xludf.DUMMYFUNCTION("""COMPUTED_VALUE"""),"M.A.P FOOD")</f>
        <v>M.A.P FOOD</v>
      </c>
      <c r="T111" s="5">
        <f>IFERROR(__xludf.DUMMYFUNCTION("""COMPUTED_VALUE"""),55.0)</f>
        <v>55</v>
      </c>
      <c r="U111" s="5" t="str">
        <f>IFERROR(__xludf.DUMMYFUNCTION("""COMPUTED_VALUE"""),"Y")</f>
        <v>Y</v>
      </c>
      <c r="V111" s="5">
        <f>IFERROR(__xludf.DUMMYFUNCTION("""COMPUTED_VALUE"""),65.0)</f>
        <v>65</v>
      </c>
      <c r="W111" s="5">
        <f>IFERROR(__xludf.DUMMYFUNCTION("""COMPUTED_VALUE"""),19.0)</f>
        <v>19</v>
      </c>
      <c r="X111" s="5"/>
      <c r="Y111" s="5"/>
      <c r="Z111" s="5"/>
    </row>
    <row r="112">
      <c r="A112" s="5" t="str">
        <f>IFERROR(__xludf.DUMMYFUNCTION("""COMPUTED_VALUE"""),"ขนมจีบไส้ทะลัก-(พิเศษ)-10แพ็ค-/(หิ้ว)")</f>
        <v>ขนมจีบไส้ทะลัก-(พิเศษ)-10แพ็ค-/(หิ้ว)</v>
      </c>
      <c r="B112" s="5">
        <f>IFERROR(__xludf.DUMMYFUNCTION("""COMPUTED_VALUE"""),10569.0)</f>
        <v>10569</v>
      </c>
      <c r="C112" s="5" t="str">
        <f>IFERROR(__xludf.DUMMYFUNCTION("""COMPUTED_VALUE"""),"ขนมจีบไส้ทะลัก (พิเศษ) 10แพ็ค /(หิ้ว)")</f>
        <v>ขนมจีบไส้ทะลัก (พิเศษ) 10แพ็ค /(หิ้ว)</v>
      </c>
      <c r="D112" s="5" t="str">
        <f>IFERROR(__xludf.DUMMYFUNCTION("""COMPUTED_VALUE"""),"**ร้านค้า ราคาพิเศษ")</f>
        <v>**ร้านค้า ราคาพิเศษ</v>
      </c>
      <c r="E112" s="5"/>
      <c r="F112" s="5" t="str">
        <f>IFERROR(__xludf.DUMMYFUNCTION("""COMPUTED_VALUE"""),"N")</f>
        <v>N</v>
      </c>
      <c r="G112" s="5"/>
      <c r="H112" s="5"/>
      <c r="I112" s="5"/>
      <c r="J112" s="5"/>
      <c r="K112" s="5"/>
      <c r="L112" s="5"/>
      <c r="M112" s="5"/>
      <c r="N112" s="5"/>
      <c r="O112" s="5">
        <f>IFERROR(__xludf.DUMMYFUNCTION("""COMPUTED_VALUE"""),11581.0)</f>
        <v>11581</v>
      </c>
      <c r="P112" s="5">
        <f>IFERROR(__xludf.DUMMYFUNCTION("""COMPUTED_VALUE"""),10.0)</f>
        <v>10</v>
      </c>
      <c r="Q112" s="5" t="str">
        <f>IFERROR(__xludf.DUMMYFUNCTION("""COMPUTED_VALUE"""),"N")</f>
        <v>N</v>
      </c>
      <c r="R112" s="5" t="str">
        <f>IFERROR(__xludf.DUMMYFUNCTION("""COMPUTED_VALUE"""),"N")</f>
        <v>N</v>
      </c>
      <c r="S112" s="5"/>
      <c r="T112" s="5"/>
      <c r="U112" s="5" t="str">
        <f>IFERROR(__xludf.DUMMYFUNCTION("""COMPUTED_VALUE"""),"Y")</f>
        <v>Y</v>
      </c>
      <c r="V112" s="5">
        <f>IFERROR(__xludf.DUMMYFUNCTION("""COMPUTED_VALUE"""),940.0)</f>
        <v>940</v>
      </c>
      <c r="W112" s="5"/>
      <c r="X112" s="5"/>
      <c r="Y112" s="5"/>
      <c r="Z112" s="5"/>
    </row>
    <row r="113">
      <c r="A113" s="5" t="str">
        <f>IFERROR(__xludf.DUMMYFUNCTION("""COMPUTED_VALUE"""),"ขนมจีบ-ไส้ทะลัก-หิ้ว-12แพ็ค")</f>
        <v>ขนมจีบ-ไส้ทะลัก-หิ้ว-12แพ็ค</v>
      </c>
      <c r="B113" s="5">
        <f>IFERROR(__xludf.DUMMYFUNCTION("""COMPUTED_VALUE"""),10481.0)</f>
        <v>10481</v>
      </c>
      <c r="C113" s="5" t="str">
        <f>IFERROR(__xludf.DUMMYFUNCTION("""COMPUTED_VALUE"""),"ขนมจีบไส้ทะลัก 10 แพ็ค (หิ้ว)")</f>
        <v>ขนมจีบไส้ทะลัก 10 แพ็ค (หิ้ว)</v>
      </c>
      <c r="D113" s="5"/>
      <c r="E113" s="5" t="str">
        <f>IFERROR(__xludf.DUMMYFUNCTION("""COMPUTED_VALUE"""),"&lt;p&gt;S&lt;/p&gt;")</f>
        <v>&lt;p&gt;S&lt;/p&gt;</v>
      </c>
      <c r="F113" s="5" t="str">
        <f>IFERROR(__xludf.DUMMYFUNCTION("""COMPUTED_VALUE"""),"N")</f>
        <v>N</v>
      </c>
      <c r="G113" s="5"/>
      <c r="H113" s="5"/>
      <c r="I113" s="5"/>
      <c r="J113" s="5"/>
      <c r="K113" s="5"/>
      <c r="L113" s="5"/>
      <c r="M113" s="5"/>
      <c r="N113" s="5">
        <f>IFERROR(__xludf.DUMMYFUNCTION("""COMPUTED_VALUE"""),10481.0)</f>
        <v>10481</v>
      </c>
      <c r="O113" s="5">
        <f>IFERROR(__xludf.DUMMYFUNCTION("""COMPUTED_VALUE"""),11581.0)</f>
        <v>11581</v>
      </c>
      <c r="P113" s="5">
        <f>IFERROR(__xludf.DUMMYFUNCTION("""COMPUTED_VALUE"""),10.0)</f>
        <v>10</v>
      </c>
      <c r="Q113" s="5" t="str">
        <f>IFERROR(__xludf.DUMMYFUNCTION("""COMPUTED_VALUE"""),"N")</f>
        <v>N</v>
      </c>
      <c r="R113" s="5" t="str">
        <f>IFERROR(__xludf.DUMMYFUNCTION("""COMPUTED_VALUE"""),"N")</f>
        <v>N</v>
      </c>
      <c r="S113" s="5"/>
      <c r="T113" s="5"/>
      <c r="U113" s="5" t="str">
        <f>IFERROR(__xludf.DUMMYFUNCTION("""COMPUTED_VALUE"""),"Y")</f>
        <v>Y</v>
      </c>
      <c r="V113" s="5">
        <f>IFERROR(__xludf.DUMMYFUNCTION("""COMPUTED_VALUE"""),1000.0)</f>
        <v>1000</v>
      </c>
      <c r="W113" s="5"/>
      <c r="X113" s="5"/>
      <c r="Y113" s="5"/>
      <c r="Z113" s="5"/>
    </row>
    <row r="114">
      <c r="A114" s="5" t="str">
        <f>IFERROR(__xludf.DUMMYFUNCTION("""COMPUTED_VALUE"""),"ขนมจีบ-ไส้ทะลัก-แพ็ค-1กก")</f>
        <v>ขนมจีบ-ไส้ทะลัก-แพ็ค-1กก</v>
      </c>
      <c r="B114" s="5">
        <f>IFERROR(__xludf.DUMMYFUNCTION("""COMPUTED_VALUE"""),11581.0)</f>
        <v>11581</v>
      </c>
      <c r="C114" s="5" t="str">
        <f>IFERROR(__xludf.DUMMYFUNCTION("""COMPUTED_VALUE"""),"ขนมจีบไส้ทะลัก แพ็ค 1กก")</f>
        <v>ขนมจีบไส้ทะลัก แพ็ค 1กก</v>
      </c>
      <c r="D114" s="5" t="str">
        <f>IFERROR(__xludf.DUMMYFUNCTION("""COMPUTED_VALUE"""),"**ของหิ้ว ร้อยเอ็ด")</f>
        <v>**ของหิ้ว ร้อยเอ็ด</v>
      </c>
      <c r="E114" s="5" t="str">
        <f>IFERROR(__xludf.DUMMYFUNCTION("""COMPUTED_VALUE"""),"&lt;p&gt;B&lt;/p&gt;")</f>
        <v>&lt;p&gt;B&lt;/p&gt;</v>
      </c>
      <c r="F114" s="5" t="str">
        <f>IFERROR(__xludf.DUMMYFUNCTION("""COMPUTED_VALUE"""),"N")</f>
        <v>N</v>
      </c>
      <c r="G114" s="5"/>
      <c r="H114" s="5"/>
      <c r="I114" s="5"/>
      <c r="J114" s="5"/>
      <c r="K114" s="5"/>
      <c r="L114" s="5"/>
      <c r="M114" s="5">
        <f>IFERROR(__xludf.DUMMYFUNCTION("""COMPUTED_VALUE"""),90.0)</f>
        <v>90</v>
      </c>
      <c r="N114" s="5">
        <f>IFERROR(__xludf.DUMMYFUNCTION("""COMPUTED_VALUE"""),11581.0)</f>
        <v>11581</v>
      </c>
      <c r="O114" s="5"/>
      <c r="P114" s="5"/>
      <c r="Q114" s="5" t="str">
        <f>IFERROR(__xludf.DUMMYFUNCTION("""COMPUTED_VALUE"""),"Y")</f>
        <v>Y</v>
      </c>
      <c r="R114" s="5"/>
      <c r="S114" s="5" t="str">
        <f>IFERROR(__xludf.DUMMYFUNCTION("""COMPUTED_VALUE"""),"ขนมจีบ")</f>
        <v>ขนมจีบ</v>
      </c>
      <c r="T114" s="5">
        <f>IFERROR(__xludf.DUMMYFUNCTION("""COMPUTED_VALUE"""),90.0)</f>
        <v>90</v>
      </c>
      <c r="U114" s="5" t="str">
        <f>IFERROR(__xludf.DUMMYFUNCTION("""COMPUTED_VALUE"""),"Y")</f>
        <v>Y</v>
      </c>
      <c r="V114" s="5">
        <f>IFERROR(__xludf.DUMMYFUNCTION("""COMPUTED_VALUE"""),105.0)</f>
        <v>105</v>
      </c>
      <c r="W114" s="5">
        <f>IFERROR(__xludf.DUMMYFUNCTION("""COMPUTED_VALUE"""),94.0)</f>
        <v>94</v>
      </c>
      <c r="X114" s="5">
        <f>IFERROR(__xludf.DUMMYFUNCTION("""COMPUTED_VALUE"""),14.0)</f>
        <v>14</v>
      </c>
      <c r="Y114" s="5">
        <f>IFERROR(__xludf.DUMMYFUNCTION("""COMPUTED_VALUE"""),23.0)</f>
        <v>23</v>
      </c>
      <c r="Z114" s="5"/>
    </row>
    <row r="115">
      <c r="A115" s="5" t="str">
        <f>IFERROR(__xludf.DUMMYFUNCTION("""COMPUTED_VALUE"""),"ขายำ-1ถุง-5กก-1")</f>
        <v>ขายำ-1ถุง-5กก-1</v>
      </c>
      <c r="B115" s="5">
        <f>IFERROR(__xludf.DUMMYFUNCTION("""COMPUTED_VALUE"""),10286.0)</f>
        <v>10286</v>
      </c>
      <c r="C115" s="5" t="str">
        <f>IFERROR(__xludf.DUMMYFUNCTION("""COMPUTED_VALUE"""),"ขายำ 5 กก./ถุง - 60")</f>
        <v>ขายำ 5 กก./ถุง - 60</v>
      </c>
      <c r="D115" s="5" t="str">
        <f>IFERROR(__xludf.DUMMYFUNCTION("""COMPUTED_VALUE"""),"**แช่น้ำ")</f>
        <v>**แช่น้ำ</v>
      </c>
      <c r="E115" s="5" t="str">
        <f>IFERROR(__xludf.DUMMYFUNCTION("""COMPUTED_VALUE"""),"&lt;p&gt;A&lt;/p&gt;")</f>
        <v>&lt;p&gt;A&lt;/p&gt;</v>
      </c>
      <c r="F115" s="5" t="str">
        <f>IFERROR(__xludf.DUMMYFUNCTION("""COMPUTED_VALUE"""),"N")</f>
        <v>N</v>
      </c>
      <c r="G115" s="5"/>
      <c r="H115" s="5"/>
      <c r="I115" s="5"/>
      <c r="J115" s="5"/>
      <c r="K115" s="5"/>
      <c r="L115" s="5"/>
      <c r="M115" s="5">
        <f>IFERROR(__xludf.DUMMYFUNCTION("""COMPUTED_VALUE"""),235.0)</f>
        <v>235</v>
      </c>
      <c r="N115" s="5">
        <f>IFERROR(__xludf.DUMMYFUNCTION("""COMPUTED_VALUE"""),10286.0)</f>
        <v>10286</v>
      </c>
      <c r="O115" s="5"/>
      <c r="P115" s="5"/>
      <c r="Q115" s="5" t="str">
        <f>IFERROR(__xludf.DUMMYFUNCTION("""COMPUTED_VALUE"""),"Y")</f>
        <v>Y</v>
      </c>
      <c r="R115" s="5"/>
      <c r="S115" s="5" t="str">
        <f>IFERROR(__xludf.DUMMYFUNCTION("""COMPUTED_VALUE"""),"ขายำ  เจ๊สรวง")</f>
        <v>ขายำ  เจ๊สรวง</v>
      </c>
      <c r="T115" s="5">
        <f>IFERROR(__xludf.DUMMYFUNCTION("""COMPUTED_VALUE"""),225.0)</f>
        <v>225</v>
      </c>
      <c r="U115" s="5" t="str">
        <f>IFERROR(__xludf.DUMMYFUNCTION("""COMPUTED_VALUE"""),"Y")</f>
        <v>Y</v>
      </c>
      <c r="V115" s="5">
        <f>IFERROR(__xludf.DUMMYFUNCTION("""COMPUTED_VALUE"""),300.0)</f>
        <v>300</v>
      </c>
      <c r="W115" s="5">
        <f>IFERROR(__xludf.DUMMYFUNCTION("""COMPUTED_VALUE"""),27.0)</f>
        <v>27</v>
      </c>
      <c r="X115" s="5">
        <f>IFERROR(__xludf.DUMMYFUNCTION("""COMPUTED_VALUE"""),30.0)</f>
        <v>30</v>
      </c>
      <c r="Y115" s="5">
        <f>IFERROR(__xludf.DUMMYFUNCTION("""COMPUTED_VALUE"""),45.0)</f>
        <v>45</v>
      </c>
      <c r="Z115" s="5"/>
    </row>
    <row r="116">
      <c r="A116" s="5" t="str">
        <f>IFERROR(__xludf.DUMMYFUNCTION("""COMPUTED_VALUE"""),"ขายำ-(พิเศษ-85)")</f>
        <v>ขายำ-(พิเศษ-85)</v>
      </c>
      <c r="B116" s="5">
        <f>IFERROR(__xludf.DUMMYFUNCTION("""COMPUTED_VALUE"""),11194.0)</f>
        <v>11194</v>
      </c>
      <c r="C116" s="5" t="str">
        <f>IFERROR(__xludf.DUMMYFUNCTION("""COMPUTED_VALUE"""),"ขายํา (ราคาพิเศษ)56")</f>
        <v>ขายํา (ราคาพิเศษ)56</v>
      </c>
      <c r="D116" s="5" t="str">
        <f>IFERROR(__xludf.DUMMYFUNCTION("""COMPUTED_VALUE"""),"**ร้านค้า ราคาพิเศษ")</f>
        <v>**ร้านค้า ราคาพิเศษ</v>
      </c>
      <c r="E116" s="5" t="str">
        <f>IFERROR(__xludf.DUMMYFUNCTION("""COMPUTED_VALUE"""),"&lt;p&gt;X&lt;/p&gt;")</f>
        <v>&lt;p&gt;X&lt;/p&gt;</v>
      </c>
      <c r="F116" s="5" t="str">
        <f>IFERROR(__xludf.DUMMYFUNCTION("""COMPUTED_VALUE"""),"N")</f>
        <v>N</v>
      </c>
      <c r="G116" s="5"/>
      <c r="H116" s="5"/>
      <c r="I116" s="5"/>
      <c r="J116" s="5"/>
      <c r="K116" s="5"/>
      <c r="L116" s="5"/>
      <c r="M116" s="5"/>
      <c r="N116" s="5">
        <f>IFERROR(__xludf.DUMMYFUNCTION("""COMPUTED_VALUE"""),11194.0)</f>
        <v>11194</v>
      </c>
      <c r="O116" s="5">
        <f>IFERROR(__xludf.DUMMYFUNCTION("""COMPUTED_VALUE"""),10286.0)</f>
        <v>10286</v>
      </c>
      <c r="P116" s="5">
        <f>IFERROR(__xludf.DUMMYFUNCTION("""COMPUTED_VALUE"""),1.0)</f>
        <v>1</v>
      </c>
      <c r="Q116" s="5" t="str">
        <f>IFERROR(__xludf.DUMMYFUNCTION("""COMPUTED_VALUE"""),"N")</f>
        <v>N</v>
      </c>
      <c r="R116" s="5" t="str">
        <f>IFERROR(__xludf.DUMMYFUNCTION("""COMPUTED_VALUE"""),"N")</f>
        <v>N</v>
      </c>
      <c r="S116" s="5"/>
      <c r="T116" s="5"/>
      <c r="U116" s="5" t="str">
        <f>IFERROR(__xludf.DUMMYFUNCTION("""COMPUTED_VALUE"""),"Y")</f>
        <v>Y</v>
      </c>
      <c r="V116" s="5">
        <f>IFERROR(__xludf.DUMMYFUNCTION("""COMPUTED_VALUE"""),285.0)</f>
        <v>285</v>
      </c>
      <c r="W116" s="5"/>
      <c r="X116" s="5"/>
      <c r="Y116" s="5"/>
      <c r="Z116" s="5"/>
    </row>
    <row r="117">
      <c r="A117" s="5" t="str">
        <f>IFERROR(__xludf.DUMMYFUNCTION("""COMPUTED_VALUE"""),"ขายํา-ถุง5kg-r100-(83)-1")</f>
        <v>ขายํา-ถุง5kg-r100-(83)-1</v>
      </c>
      <c r="B117" s="5">
        <f>IFERROR(__xludf.DUMMYFUNCTION("""COMPUTED_VALUE"""),10116.0)</f>
        <v>10116</v>
      </c>
      <c r="C117" s="5" t="str">
        <f>IFERROR(__xludf.DUMMYFUNCTION("""COMPUTED_VALUE"""),"ขายํา ถุง5kg R100 (49)")</f>
        <v>ขายํา ถุง5kg R100 (49)</v>
      </c>
      <c r="D117" s="5" t="str">
        <f>IFERROR(__xludf.DUMMYFUNCTION("""COMPUTED_VALUE"""),"**ร้านค้า ราคาพิเศษ")</f>
        <v>**ร้านค้า ราคาพิเศษ</v>
      </c>
      <c r="E117" s="5"/>
      <c r="F117" s="5" t="str">
        <f>IFERROR(__xludf.DUMMYFUNCTION("""COMPUTED_VALUE"""),"N")</f>
        <v>N</v>
      </c>
      <c r="G117" s="5"/>
      <c r="H117" s="5"/>
      <c r="I117" s="5"/>
      <c r="J117" s="5"/>
      <c r="K117" s="5"/>
      <c r="L117" s="5"/>
      <c r="M117" s="5"/>
      <c r="N117" s="5"/>
      <c r="O117" s="5">
        <f>IFERROR(__xludf.DUMMYFUNCTION("""COMPUTED_VALUE"""),10286.0)</f>
        <v>10286</v>
      </c>
      <c r="P117" s="5">
        <f>IFERROR(__xludf.DUMMYFUNCTION("""COMPUTED_VALUE"""),1.0)</f>
        <v>1</v>
      </c>
      <c r="Q117" s="5" t="str">
        <f>IFERROR(__xludf.DUMMYFUNCTION("""COMPUTED_VALUE"""),"N")</f>
        <v>N</v>
      </c>
      <c r="R117" s="5" t="str">
        <f>IFERROR(__xludf.DUMMYFUNCTION("""COMPUTED_VALUE"""),"N")</f>
        <v>N</v>
      </c>
      <c r="S117" s="5"/>
      <c r="T117" s="5"/>
      <c r="U117" s="5" t="str">
        <f>IFERROR(__xludf.DUMMYFUNCTION("""COMPUTED_VALUE"""),"Y")</f>
        <v>Y</v>
      </c>
      <c r="V117" s="5">
        <f>IFERROR(__xludf.DUMMYFUNCTION("""COMPUTED_VALUE"""),245.0)</f>
        <v>245</v>
      </c>
      <c r="W117" s="5"/>
      <c r="X117" s="5"/>
      <c r="Y117" s="5"/>
      <c r="Z117" s="5"/>
    </row>
    <row r="118">
      <c r="A118" s="5" t="str">
        <f>IFERROR(__xludf.DUMMYFUNCTION("""COMPUTED_VALUE"""),"ข้าวโพดแกะเม็ด-1kg-*10-(ลัง)")</f>
        <v>ข้าวโพดแกะเม็ด-1kg-*10-(ลัง)</v>
      </c>
      <c r="B118" s="5">
        <f>IFERROR(__xludf.DUMMYFUNCTION("""COMPUTED_VALUE"""),11604.0)</f>
        <v>11604</v>
      </c>
      <c r="C118" s="5" t="str">
        <f>IFERROR(__xludf.DUMMYFUNCTION("""COMPUTED_VALUE"""),"ข้าวโพดหวาน 1kg *10 (ลัง)")</f>
        <v>ข้าวโพดหวาน 1kg *10 (ลัง)</v>
      </c>
      <c r="D118" s="5" t="str">
        <f>IFERROR(__xludf.DUMMYFUNCTION("""COMPUTED_VALUE"""),"**ลัง ร้อยเอ็ด")</f>
        <v>**ลัง ร้อยเอ็ด</v>
      </c>
      <c r="E118" s="5" t="str">
        <f>IFERROR(__xludf.DUMMYFUNCTION("""COMPUTED_VALUE"""),"&lt;p&gt;X&lt;/p&gt;")</f>
        <v>&lt;p&gt;X&lt;/p&gt;</v>
      </c>
      <c r="F118" s="5" t="str">
        <f>IFERROR(__xludf.DUMMYFUNCTION("""COMPUTED_VALUE"""),"N")</f>
        <v>N</v>
      </c>
      <c r="G118" s="5"/>
      <c r="H118" s="5"/>
      <c r="I118" s="5"/>
      <c r="J118" s="5"/>
      <c r="K118" s="5"/>
      <c r="L118" s="5"/>
      <c r="M118" s="5">
        <f>IFERROR(__xludf.DUMMYFUNCTION("""COMPUTED_VALUE"""),650.0)</f>
        <v>650</v>
      </c>
      <c r="N118" s="5">
        <f>IFERROR(__xludf.DUMMYFUNCTION("""COMPUTED_VALUE"""),11604.0)</f>
        <v>11604</v>
      </c>
      <c r="O118" s="5"/>
      <c r="P118" s="5"/>
      <c r="Q118" s="5" t="str">
        <f>IFERROR(__xludf.DUMMYFUNCTION("""COMPUTED_VALUE"""),"Y")</f>
        <v>Y</v>
      </c>
      <c r="R118" s="5"/>
      <c r="S118" s="5"/>
      <c r="T118" s="5">
        <f>IFERROR(__xludf.DUMMYFUNCTION("""COMPUTED_VALUE"""),650.0)</f>
        <v>650</v>
      </c>
      <c r="U118" s="5" t="str">
        <f>IFERROR(__xludf.DUMMYFUNCTION("""COMPUTED_VALUE"""),"Y")</f>
        <v>Y</v>
      </c>
      <c r="V118" s="5">
        <f>IFERROR(__xludf.DUMMYFUNCTION("""COMPUTED_VALUE"""),780.0)</f>
        <v>780</v>
      </c>
      <c r="W118" s="5">
        <f>IFERROR(__xludf.DUMMYFUNCTION("""COMPUTED_VALUE"""),0.0)</f>
        <v>0</v>
      </c>
      <c r="X118" s="5"/>
      <c r="Y118" s="5"/>
      <c r="Z118" s="5"/>
    </row>
    <row r="119">
      <c r="A119" s="5" t="str">
        <f>IFERROR(__xludf.DUMMYFUNCTION("""COMPUTED_VALUE"""),"คอมโบฟิชบัน-ลัง")</f>
        <v>คอมโบฟิชบัน-ลัง</v>
      </c>
      <c r="B119" s="5">
        <f>IFERROR(__xludf.DUMMYFUNCTION("""COMPUTED_VALUE"""),10899.0)</f>
        <v>10899</v>
      </c>
      <c r="C119" s="5" t="str">
        <f>IFERROR(__xludf.DUMMYFUNCTION("""COMPUTED_VALUE"""),"คอมโบฟิชบัน 500 กรัม (ลัง)")</f>
        <v>คอมโบฟิชบัน 500 กรัม (ลัง)</v>
      </c>
      <c r="D119" s="5"/>
      <c r="E119" s="5" t="str">
        <f>IFERROR(__xludf.DUMMYFUNCTION("""COMPUTED_VALUE"""),"&lt;p&gt;X&lt;/p&gt;")</f>
        <v>&lt;p&gt;X&lt;/p&gt;</v>
      </c>
      <c r="F119" s="5" t="str">
        <f>IFERROR(__xludf.DUMMYFUNCTION("""COMPUTED_VALUE"""),"N")</f>
        <v>N</v>
      </c>
      <c r="G119" s="5"/>
      <c r="H119" s="5"/>
      <c r="I119" s="5"/>
      <c r="J119" s="5"/>
      <c r="K119" s="5"/>
      <c r="L119" s="5"/>
      <c r="M119" s="5"/>
      <c r="N119" s="5">
        <f>IFERROR(__xludf.DUMMYFUNCTION("""COMPUTED_VALUE"""),10899.0)</f>
        <v>10899</v>
      </c>
      <c r="O119" s="5">
        <f>IFERROR(__xludf.DUMMYFUNCTION("""COMPUTED_VALUE"""),10673.0)</f>
        <v>10673</v>
      </c>
      <c r="P119" s="5">
        <f>IFERROR(__xludf.DUMMYFUNCTION("""COMPUTED_VALUE"""),20.0)</f>
        <v>20</v>
      </c>
      <c r="Q119" s="5" t="str">
        <f>IFERROR(__xludf.DUMMYFUNCTION("""COMPUTED_VALUE"""),"N")</f>
        <v>N</v>
      </c>
      <c r="R119" s="5" t="str">
        <f>IFERROR(__xludf.DUMMYFUNCTION("""COMPUTED_VALUE"""),"N")</f>
        <v>N</v>
      </c>
      <c r="S119" s="5"/>
      <c r="T119" s="5"/>
      <c r="U119" s="5" t="str">
        <f>IFERROR(__xludf.DUMMYFUNCTION("""COMPUTED_VALUE"""),"Y")</f>
        <v>Y</v>
      </c>
      <c r="V119" s="5">
        <f>IFERROR(__xludf.DUMMYFUNCTION("""COMPUTED_VALUE"""),1550.0)</f>
        <v>1550</v>
      </c>
      <c r="W119" s="5"/>
      <c r="X119" s="5"/>
      <c r="Y119" s="5"/>
      <c r="Z119" s="5"/>
    </row>
    <row r="120">
      <c r="A120" s="5" t="str">
        <f>IFERROR(__xludf.DUMMYFUNCTION("""COMPUTED_VALUE"""),"คอมโบฟิชบัน-ลัง-(พิเศษ)")</f>
        <v>คอมโบฟิชบัน-ลัง-(พิเศษ)</v>
      </c>
      <c r="B120" s="5">
        <f>IFERROR(__xludf.DUMMYFUNCTION("""COMPUTED_VALUE"""),11322.0)</f>
        <v>11322</v>
      </c>
      <c r="C120" s="5" t="str">
        <f>IFERROR(__xludf.DUMMYFUNCTION("""COMPUTED_VALUE"""),"คอมโบฟิชบัน ลัง (พิเศษ) 1550")</f>
        <v>คอมโบฟิชบัน ลัง (พิเศษ) 1550</v>
      </c>
      <c r="D120" s="5" t="str">
        <f>IFERROR(__xludf.DUMMYFUNCTION("""COMPUTED_VALUE"""),"**ร้านค้า ราคาพิเศษ")</f>
        <v>**ร้านค้า ราคาพิเศษ</v>
      </c>
      <c r="E120" s="5" t="str">
        <f>IFERROR(__xludf.DUMMYFUNCTION("""COMPUTED_VALUE"""),"X")</f>
        <v>X</v>
      </c>
      <c r="F120" s="5" t="str">
        <f>IFERROR(__xludf.DUMMYFUNCTION("""COMPUTED_VALUE"""),"N")</f>
        <v>N</v>
      </c>
      <c r="G120" s="5"/>
      <c r="H120" s="5"/>
      <c r="I120" s="5"/>
      <c r="J120" s="5"/>
      <c r="K120" s="5"/>
      <c r="L120" s="5"/>
      <c r="M120" s="5"/>
      <c r="N120" s="5">
        <f>IFERROR(__xludf.DUMMYFUNCTION("""COMPUTED_VALUE"""),8.850016635169E12)</f>
        <v>8850016635169</v>
      </c>
      <c r="O120" s="5">
        <f>IFERROR(__xludf.DUMMYFUNCTION("""COMPUTED_VALUE"""),10673.0)</f>
        <v>10673</v>
      </c>
      <c r="P120" s="5">
        <f>IFERROR(__xludf.DUMMYFUNCTION("""COMPUTED_VALUE"""),20.0)</f>
        <v>20</v>
      </c>
      <c r="Q120" s="5" t="str">
        <f>IFERROR(__xludf.DUMMYFUNCTION("""COMPUTED_VALUE"""),"N")</f>
        <v>N</v>
      </c>
      <c r="R120" s="5" t="str">
        <f>IFERROR(__xludf.DUMMYFUNCTION("""COMPUTED_VALUE"""),"N")</f>
        <v>N</v>
      </c>
      <c r="S120" s="5"/>
      <c r="T120" s="5"/>
      <c r="U120" s="5" t="str">
        <f>IFERROR(__xludf.DUMMYFUNCTION("""COMPUTED_VALUE"""),"Y")</f>
        <v>Y</v>
      </c>
      <c r="V120" s="5">
        <f>IFERROR(__xludf.DUMMYFUNCTION("""COMPUTED_VALUE"""),1550.0)</f>
        <v>1550</v>
      </c>
      <c r="W120" s="5"/>
      <c r="X120" s="5"/>
      <c r="Y120" s="5"/>
      <c r="Z120" s="5"/>
    </row>
    <row r="121">
      <c r="A121" s="5" t="str">
        <f>IFERROR(__xludf.DUMMYFUNCTION("""COMPUTED_VALUE"""),"คอมโบฟิชบัน-แพ็ค-500-g")</f>
        <v>คอมโบฟิชบัน-แพ็ค-500-g</v>
      </c>
      <c r="B121" s="5">
        <f>IFERROR(__xludf.DUMMYFUNCTION("""COMPUTED_VALUE"""),10673.0)</f>
        <v>10673</v>
      </c>
      <c r="C121" s="5" t="str">
        <f>IFERROR(__xludf.DUMMYFUNCTION("""COMPUTED_VALUE"""),"คอมโบฟิชบัน แพ็ค 500 g")</f>
        <v>คอมโบฟิชบัน แพ็ค 500 g</v>
      </c>
      <c r="D121" s="5" t="str">
        <f>IFERROR(__xludf.DUMMYFUNCTION("""COMPUTED_VALUE"""),"ทวีวงษ์-PFP")</f>
        <v>ทวีวงษ์-PFP</v>
      </c>
      <c r="E121" s="5" t="str">
        <f>IFERROR(__xludf.DUMMYFUNCTION("""COMPUTED_VALUE"""),"B")</f>
        <v>B</v>
      </c>
      <c r="F121" s="5" t="str">
        <f>IFERROR(__xludf.DUMMYFUNCTION("""COMPUTED_VALUE"""),"N")</f>
        <v>N</v>
      </c>
      <c r="G121" s="5"/>
      <c r="H121" s="5"/>
      <c r="I121" s="5"/>
      <c r="J121" s="5"/>
      <c r="K121" s="5"/>
      <c r="L121" s="5"/>
      <c r="M121" s="5">
        <f>IFERROR(__xludf.DUMMYFUNCTION("""COMPUTED_VALUE"""),72.5)</f>
        <v>72.5</v>
      </c>
      <c r="N121" s="5">
        <f>IFERROR(__xludf.DUMMYFUNCTION("""COMPUTED_VALUE"""),10673.0)</f>
        <v>10673</v>
      </c>
      <c r="O121" s="5"/>
      <c r="P121" s="5"/>
      <c r="Q121" s="5" t="str">
        <f>IFERROR(__xludf.DUMMYFUNCTION("""COMPUTED_VALUE"""),"Y")</f>
        <v>Y</v>
      </c>
      <c r="R121" s="5"/>
      <c r="S121" s="5" t="str">
        <f>IFERROR(__xludf.DUMMYFUNCTION("""COMPUTED_VALUE"""),"ทวีวงษ์")</f>
        <v>ทวีวงษ์</v>
      </c>
      <c r="T121" s="5">
        <f>IFERROR(__xludf.DUMMYFUNCTION("""COMPUTED_VALUE"""),72.5)</f>
        <v>72.5</v>
      </c>
      <c r="U121" s="5" t="str">
        <f>IFERROR(__xludf.DUMMYFUNCTION("""COMPUTED_VALUE"""),"Y")</f>
        <v>Y</v>
      </c>
      <c r="V121" s="5">
        <f>IFERROR(__xludf.DUMMYFUNCTION("""COMPUTED_VALUE"""),89.0)</f>
        <v>89</v>
      </c>
      <c r="W121" s="5">
        <f>IFERROR(__xludf.DUMMYFUNCTION("""COMPUTED_VALUE"""),131.0)</f>
        <v>131</v>
      </c>
      <c r="X121" s="5">
        <f>IFERROR(__xludf.DUMMYFUNCTION("""COMPUTED_VALUE"""),17.0)</f>
        <v>17</v>
      </c>
      <c r="Y121" s="5">
        <f>IFERROR(__xludf.DUMMYFUNCTION("""COMPUTED_VALUE"""),28.0)</f>
        <v>28</v>
      </c>
      <c r="Z121" s="5"/>
    </row>
    <row r="122">
      <c r="A122" s="5" t="str">
        <f>IFERROR(__xludf.DUMMYFUNCTION("""COMPUTED_VALUE"""),"คอเปรู100/300-(พิเศษ)-ก้อน7.5กก-85")</f>
        <v>คอเปรู100/300-(พิเศษ)-ก้อน7.5กก-85</v>
      </c>
      <c r="B122" s="5">
        <f>IFERROR(__xludf.DUMMYFUNCTION("""COMPUTED_VALUE"""),10320.0)</f>
        <v>10320</v>
      </c>
      <c r="C122" s="5" t="str">
        <f>IFERROR(__xludf.DUMMYFUNCTION("""COMPUTED_VALUE"""),"คอเปรู 100/300 (พิเศษ) ก้อน10กก(75)")</f>
        <v>คอเปรู 100/300 (พิเศษ) ก้อน10กก(75)</v>
      </c>
      <c r="D122" s="5" t="str">
        <f>IFERROR(__xludf.DUMMYFUNCTION("""COMPUTED_VALUE"""),"**ร้านค้า ราคาพิเศษ")</f>
        <v>**ร้านค้า ราคาพิเศษ</v>
      </c>
      <c r="E122" s="5"/>
      <c r="F122" s="5" t="str">
        <f>IFERROR(__xludf.DUMMYFUNCTION("""COMPUTED_VALUE"""),"N")</f>
        <v>N</v>
      </c>
      <c r="G122" s="5"/>
      <c r="H122" s="5"/>
      <c r="I122" s="5"/>
      <c r="J122" s="5"/>
      <c r="K122" s="5"/>
      <c r="L122" s="5"/>
      <c r="M122" s="5"/>
      <c r="N122" s="5"/>
      <c r="O122" s="5">
        <f>IFERROR(__xludf.DUMMYFUNCTION("""COMPUTED_VALUE"""),10428.0)</f>
        <v>10428</v>
      </c>
      <c r="P122" s="5">
        <f>IFERROR(__xludf.DUMMYFUNCTION("""COMPUTED_VALUE"""),0.5)</f>
        <v>0.5</v>
      </c>
      <c r="Q122" s="5" t="str">
        <f>IFERROR(__xludf.DUMMYFUNCTION("""COMPUTED_VALUE"""),"N")</f>
        <v>N</v>
      </c>
      <c r="R122" s="5" t="str">
        <f>IFERROR(__xludf.DUMMYFUNCTION("""COMPUTED_VALUE"""),"N")</f>
        <v>N</v>
      </c>
      <c r="S122" s="5"/>
      <c r="T122" s="5"/>
      <c r="U122" s="5" t="str">
        <f>IFERROR(__xludf.DUMMYFUNCTION("""COMPUTED_VALUE"""),"N")</f>
        <v>N</v>
      </c>
      <c r="V122" s="5">
        <f>IFERROR(__xludf.DUMMYFUNCTION("""COMPUTED_VALUE"""),750.0)</f>
        <v>750</v>
      </c>
      <c r="W122" s="5"/>
      <c r="X122" s="5"/>
      <c r="Y122" s="5"/>
      <c r="Z122" s="5"/>
    </row>
    <row r="123">
      <c r="A123" s="5" t="str">
        <f>IFERROR(__xludf.DUMMYFUNCTION("""COMPUTED_VALUE"""),"คอเปรู-100/300-ก้อน-10kg-(80)-1")</f>
        <v>คอเปรู-100/300-ก้อน-10kg-(80)-1</v>
      </c>
      <c r="B123" s="5">
        <f>IFERROR(__xludf.DUMMYFUNCTION("""COMPUTED_VALUE"""),11611.0)</f>
        <v>11611</v>
      </c>
      <c r="C123" s="5" t="str">
        <f>IFERROR(__xludf.DUMMYFUNCTION("""COMPUTED_VALUE"""),"คอเปรู 100/300 10kg/ก้อน(59)")</f>
        <v>คอเปรู 100/300 10kg/ก้อน(59)</v>
      </c>
      <c r="D123" s="5"/>
      <c r="E123" s="5" t="str">
        <f>IFERROR(__xludf.DUMMYFUNCTION("""COMPUTED_VALUE"""),"&lt;p&gt;X&lt;/p&gt;")</f>
        <v>&lt;p&gt;X&lt;/p&gt;</v>
      </c>
      <c r="F123" s="5" t="str">
        <f>IFERROR(__xludf.DUMMYFUNCTION("""COMPUTED_VALUE"""),"N")</f>
        <v>N</v>
      </c>
      <c r="G123" s="5"/>
      <c r="H123" s="5"/>
      <c r="I123" s="5"/>
      <c r="J123" s="5"/>
      <c r="K123" s="5"/>
      <c r="L123" s="5"/>
      <c r="M123" s="5"/>
      <c r="N123" s="5">
        <f>IFERROR(__xludf.DUMMYFUNCTION("""COMPUTED_VALUE"""),11611.0)</f>
        <v>11611</v>
      </c>
      <c r="O123" s="5">
        <f>IFERROR(__xludf.DUMMYFUNCTION("""COMPUTED_VALUE"""),10428.0)</f>
        <v>10428</v>
      </c>
      <c r="P123" s="5">
        <f>IFERROR(__xludf.DUMMYFUNCTION("""COMPUTED_VALUE"""),0.5)</f>
        <v>0.5</v>
      </c>
      <c r="Q123" s="5" t="str">
        <f>IFERROR(__xludf.DUMMYFUNCTION("""COMPUTED_VALUE"""),"N")</f>
        <v>N</v>
      </c>
      <c r="R123" s="5" t="str">
        <f>IFERROR(__xludf.DUMMYFUNCTION("""COMPUTED_VALUE"""),"N")</f>
        <v>N</v>
      </c>
      <c r="S123" s="5"/>
      <c r="T123" s="5"/>
      <c r="U123" s="5" t="str">
        <f>IFERROR(__xludf.DUMMYFUNCTION("""COMPUTED_VALUE"""),"Y")</f>
        <v>Y</v>
      </c>
      <c r="V123" s="5">
        <f>IFERROR(__xludf.DUMMYFUNCTION("""COMPUTED_VALUE"""),590.0)</f>
        <v>590</v>
      </c>
      <c r="W123" s="5"/>
      <c r="X123" s="5"/>
      <c r="Y123" s="5"/>
      <c r="Z123" s="5"/>
    </row>
    <row r="124">
      <c r="A124" s="5" t="str">
        <f>IFERROR(__xludf.DUMMYFUNCTION("""COMPUTED_VALUE"""),"คอเปรูฟรีสจีน-1000-up-กระสอบ-20โล")</f>
        <v>คอเปรูฟรีสจีน-1000-up-กระสอบ-20โล</v>
      </c>
      <c r="B124" s="5">
        <f>IFERROR(__xludf.DUMMYFUNCTION("""COMPUTED_VALUE"""),10428.0)</f>
        <v>10428</v>
      </c>
      <c r="C124" s="5" t="str">
        <f>IFERROR(__xludf.DUMMYFUNCTION("""COMPUTED_VALUE"""),"คอเปรู 100/300 20kg/สอบ(59)")</f>
        <v>คอเปรู 100/300 20kg/สอบ(59)</v>
      </c>
      <c r="D124" s="5" t="str">
        <f>IFERROR(__xludf.DUMMYFUNCTION("""COMPUTED_VALUE"""),"**ทะเลสด มหาชัย")</f>
        <v>**ทะเลสด มหาชัย</v>
      </c>
      <c r="E124" s="5" t="str">
        <f>IFERROR(__xludf.DUMMYFUNCTION("""COMPUTED_VALUE"""),"&lt;p&gt;20&lt;/p&gt;")</f>
        <v>&lt;p&gt;20&lt;/p&gt;</v>
      </c>
      <c r="F124" s="5" t="str">
        <f>IFERROR(__xludf.DUMMYFUNCTION("""COMPUTED_VALUE"""),"N")</f>
        <v>N</v>
      </c>
      <c r="G124" s="5"/>
      <c r="H124" s="5"/>
      <c r="I124" s="5"/>
      <c r="J124" s="5"/>
      <c r="K124" s="5"/>
      <c r="L124" s="5"/>
      <c r="M124" s="5">
        <f>IFERROR(__xludf.DUMMYFUNCTION("""COMPUTED_VALUE"""),853.12)</f>
        <v>853.12</v>
      </c>
      <c r="N124" s="5">
        <f>IFERROR(__xludf.DUMMYFUNCTION("""COMPUTED_VALUE"""),10428.0)</f>
        <v>10428</v>
      </c>
      <c r="O124" s="5"/>
      <c r="P124" s="5"/>
      <c r="Q124" s="5" t="str">
        <f>IFERROR(__xludf.DUMMYFUNCTION("""COMPUTED_VALUE"""),"Y")</f>
        <v>Y</v>
      </c>
      <c r="R124" s="5"/>
      <c r="S124" s="5" t="str">
        <f>IFERROR(__xludf.DUMMYFUNCTION("""COMPUTED_VALUE"""),"ขึ้นของมหาชัย")</f>
        <v>ขึ้นของมหาชัย</v>
      </c>
      <c r="T124" s="5">
        <f>IFERROR(__xludf.DUMMYFUNCTION("""COMPUTED_VALUE"""),840.0)</f>
        <v>840</v>
      </c>
      <c r="U124" s="5" t="str">
        <f>IFERROR(__xludf.DUMMYFUNCTION("""COMPUTED_VALUE"""),"Y")</f>
        <v>Y</v>
      </c>
      <c r="V124" s="5">
        <f>IFERROR(__xludf.DUMMYFUNCTION("""COMPUTED_VALUE"""),1180.0)</f>
        <v>1180</v>
      </c>
      <c r="W124" s="5">
        <f>IFERROR(__xludf.DUMMYFUNCTION("""COMPUTED_VALUE"""),3.0)</f>
        <v>3</v>
      </c>
      <c r="X124" s="5">
        <f>IFERROR(__xludf.DUMMYFUNCTION("""COMPUTED_VALUE"""),4.0)</f>
        <v>4</v>
      </c>
      <c r="Y124" s="5">
        <f>IFERROR(__xludf.DUMMYFUNCTION("""COMPUTED_VALUE"""),14.0)</f>
        <v>14</v>
      </c>
      <c r="Z124" s="5"/>
    </row>
    <row r="125">
      <c r="A125" s="5" t="str">
        <f>IFERROR(__xludf.DUMMYFUNCTION("""COMPUTED_VALUE"""),"คอเปรู-100/300-ก้อน7.5กก")</f>
        <v>คอเปรู-100/300-ก้อน7.5กก</v>
      </c>
      <c r="B125" s="5">
        <f>IFERROR(__xludf.DUMMYFUNCTION("""COMPUTED_VALUE"""),10020.0)</f>
        <v>10020</v>
      </c>
      <c r="C125" s="5" t="str">
        <f>IFERROR(__xludf.DUMMYFUNCTION("""COMPUTED_VALUE"""),"คอเปรู 100/300 ก้อน7กก-59")</f>
        <v>คอเปรู 100/300 ก้อน7กก-59</v>
      </c>
      <c r="D125" s="5" t="str">
        <f>IFERROR(__xludf.DUMMYFUNCTION("""COMPUTED_VALUE"""),"**ทะเลสด มหาชัย")</f>
        <v>**ทะเลสด มหาชัย</v>
      </c>
      <c r="E125" s="5"/>
      <c r="F125" s="5" t="str">
        <f>IFERROR(__xludf.DUMMYFUNCTION("""COMPUTED_VALUE"""),"N")</f>
        <v>N</v>
      </c>
      <c r="G125" s="5"/>
      <c r="H125" s="5"/>
      <c r="I125" s="5"/>
      <c r="J125" s="5"/>
      <c r="K125" s="5"/>
      <c r="L125" s="5"/>
      <c r="M125" s="5">
        <f>IFERROR(__xludf.DUMMYFUNCTION("""COMPUTED_VALUE"""),322.0)</f>
        <v>322</v>
      </c>
      <c r="N125" s="5"/>
      <c r="O125" s="5"/>
      <c r="P125" s="5"/>
      <c r="Q125" s="5" t="str">
        <f>IFERROR(__xludf.DUMMYFUNCTION("""COMPUTED_VALUE"""),"Y")</f>
        <v>Y</v>
      </c>
      <c r="R125" s="5"/>
      <c r="S125" s="5" t="str">
        <f>IFERROR(__xludf.DUMMYFUNCTION("""COMPUTED_VALUE"""),"ขึ้นของมหาชัย")</f>
        <v>ขึ้นของมหาชัย</v>
      </c>
      <c r="T125" s="5">
        <f>IFERROR(__xludf.DUMMYFUNCTION("""COMPUTED_VALUE"""),322.0)</f>
        <v>322</v>
      </c>
      <c r="U125" s="5" t="str">
        <f>IFERROR(__xludf.DUMMYFUNCTION("""COMPUTED_VALUE"""),"N")</f>
        <v>N</v>
      </c>
      <c r="V125" s="5">
        <f>IFERROR(__xludf.DUMMYFUNCTION("""COMPUTED_VALUE"""),413.0)</f>
        <v>413</v>
      </c>
      <c r="W125" s="5">
        <f>IFERROR(__xludf.DUMMYFUNCTION("""COMPUTED_VALUE"""),0.0)</f>
        <v>0</v>
      </c>
      <c r="X125" s="5"/>
      <c r="Y125" s="5"/>
      <c r="Z125" s="5"/>
    </row>
    <row r="126">
      <c r="A126" s="5" t="str">
        <f>IFERROR(__xludf.DUMMYFUNCTION("""COMPUTED_VALUE"""),"คอเปรู-100/300-ก้อน-7.5โล-(70)")</f>
        <v>คอเปรู-100/300-ก้อน-7.5โล-(70)</v>
      </c>
      <c r="B126" s="5">
        <f>IFERROR(__xludf.DUMMYFUNCTION("""COMPUTED_VALUE"""),11388.0)</f>
        <v>11388</v>
      </c>
      <c r="C126" s="5" t="str">
        <f>IFERROR(__xludf.DUMMYFUNCTION("""COMPUTED_VALUE"""),"คอเปรู 100/300 สอบ14กก(59)")</f>
        <v>คอเปรู 100/300 สอบ14กก(59)</v>
      </c>
      <c r="D126" s="5"/>
      <c r="E126" s="5" t="str">
        <f>IFERROR(__xludf.DUMMYFUNCTION("""COMPUTED_VALUE"""),"&lt;p&gt;X&lt;/p&gt;")</f>
        <v>&lt;p&gt;X&lt;/p&gt;</v>
      </c>
      <c r="F126" s="5" t="str">
        <f>IFERROR(__xludf.DUMMYFUNCTION("""COMPUTED_VALUE"""),"N")</f>
        <v>N</v>
      </c>
      <c r="G126" s="5"/>
      <c r="H126" s="5"/>
      <c r="I126" s="5"/>
      <c r="J126" s="5"/>
      <c r="K126" s="5"/>
      <c r="L126" s="5"/>
      <c r="M126" s="5"/>
      <c r="N126" s="5">
        <f>IFERROR(__xludf.DUMMYFUNCTION("""COMPUTED_VALUE"""),11388.0)</f>
        <v>11388</v>
      </c>
      <c r="O126" s="5">
        <f>IFERROR(__xludf.DUMMYFUNCTION("""COMPUTED_VALUE"""),10020.0)</f>
        <v>10020</v>
      </c>
      <c r="P126" s="5">
        <f>IFERROR(__xludf.DUMMYFUNCTION("""COMPUTED_VALUE"""),2.0)</f>
        <v>2</v>
      </c>
      <c r="Q126" s="5" t="str">
        <f>IFERROR(__xludf.DUMMYFUNCTION("""COMPUTED_VALUE"""),"N")</f>
        <v>N</v>
      </c>
      <c r="R126" s="5" t="str">
        <f>IFERROR(__xludf.DUMMYFUNCTION("""COMPUTED_VALUE"""),"N")</f>
        <v>N</v>
      </c>
      <c r="S126" s="5"/>
      <c r="T126" s="5"/>
      <c r="U126" s="5" t="str">
        <f>IFERROR(__xludf.DUMMYFUNCTION("""COMPUTED_VALUE"""),"N")</f>
        <v>N</v>
      </c>
      <c r="V126" s="5">
        <f>IFERROR(__xludf.DUMMYFUNCTION("""COMPUTED_VALUE"""),826.0)</f>
        <v>826</v>
      </c>
      <c r="W126" s="5"/>
      <c r="X126" s="5"/>
      <c r="Y126" s="5"/>
      <c r="Z126" s="5"/>
    </row>
    <row r="127">
      <c r="A127" s="5" t="str">
        <f>IFERROR(__xludf.DUMMYFUNCTION("""COMPUTED_VALUE"""),"คอเปรู-300/500--10-กก./ก้อน-(65)")</f>
        <v>คอเปรู-300/500--10-กก./ก้อน-(65)</v>
      </c>
      <c r="B127" s="5">
        <f>IFERROR(__xludf.DUMMYFUNCTION("""COMPUTED_VALUE"""),10047.0)</f>
        <v>10047</v>
      </c>
      <c r="C127" s="5" t="str">
        <f>IFERROR(__xludf.DUMMYFUNCTION("""COMPUTED_VALUE"""),"คอเปรู 300/500  10 กก./ก้อน (65)")</f>
        <v>คอเปรู 300/500  10 กก./ก้อน (65)</v>
      </c>
      <c r="D127" s="5"/>
      <c r="E127" s="5"/>
      <c r="F127" s="5" t="str">
        <f>IFERROR(__xludf.DUMMYFUNCTION("""COMPUTED_VALUE"""),"N")</f>
        <v>N</v>
      </c>
      <c r="G127" s="5"/>
      <c r="H127" s="5"/>
      <c r="I127" s="5"/>
      <c r="J127" s="5"/>
      <c r="K127" s="5"/>
      <c r="L127" s="5"/>
      <c r="M127" s="5"/>
      <c r="N127" s="5"/>
      <c r="O127" s="5">
        <f>IFERROR(__xludf.DUMMYFUNCTION("""COMPUTED_VALUE"""),10042.0)</f>
        <v>10042</v>
      </c>
      <c r="P127" s="5">
        <f>IFERROR(__xludf.DUMMYFUNCTION("""COMPUTED_VALUE"""),0.5)</f>
        <v>0.5</v>
      </c>
      <c r="Q127" s="5" t="str">
        <f>IFERROR(__xludf.DUMMYFUNCTION("""COMPUTED_VALUE"""),"N")</f>
        <v>N</v>
      </c>
      <c r="R127" s="5" t="str">
        <f>IFERROR(__xludf.DUMMYFUNCTION("""COMPUTED_VALUE"""),"N")</f>
        <v>N</v>
      </c>
      <c r="S127" s="5"/>
      <c r="T127" s="5"/>
      <c r="U127" s="5" t="str">
        <f>IFERROR(__xludf.DUMMYFUNCTION("""COMPUTED_VALUE"""),"Y")</f>
        <v>Y</v>
      </c>
      <c r="V127" s="5">
        <f>IFERROR(__xludf.DUMMYFUNCTION("""COMPUTED_VALUE"""),650.0)</f>
        <v>650</v>
      </c>
      <c r="W127" s="5"/>
      <c r="X127" s="5"/>
      <c r="Y127" s="5"/>
      <c r="Z127" s="5"/>
    </row>
    <row r="128">
      <c r="A128" s="5" t="str">
        <f>IFERROR(__xludf.DUMMYFUNCTION("""COMPUTED_VALUE"""),"คอเปรู-300/500--20-กก./สอบ-(65)")</f>
        <v>คอเปรู-300/500--20-กก./สอบ-(65)</v>
      </c>
      <c r="B128" s="5">
        <f>IFERROR(__xludf.DUMMYFUNCTION("""COMPUTED_VALUE"""),10042.0)</f>
        <v>10042</v>
      </c>
      <c r="C128" s="5" t="str">
        <f>IFERROR(__xludf.DUMMYFUNCTION("""COMPUTED_VALUE"""),"คอเปรู 300/500  20 กก./สอบ (65)")</f>
        <v>คอเปรู 300/500  20 กก./สอบ (65)</v>
      </c>
      <c r="D128" s="5" t="str">
        <f>IFERROR(__xludf.DUMMYFUNCTION("""COMPUTED_VALUE"""),"**ทะเลสด มหาชัย")</f>
        <v>**ทะเลสด มหาชัย</v>
      </c>
      <c r="E128" s="5"/>
      <c r="F128" s="5" t="str">
        <f>IFERROR(__xludf.DUMMYFUNCTION("""COMPUTED_VALUE"""),"N")</f>
        <v>N</v>
      </c>
      <c r="G128" s="5"/>
      <c r="H128" s="5"/>
      <c r="I128" s="5"/>
      <c r="J128" s="5"/>
      <c r="K128" s="5"/>
      <c r="L128" s="5"/>
      <c r="M128" s="5">
        <f>IFERROR(__xludf.DUMMYFUNCTION("""COMPUTED_VALUE"""),929.91)</f>
        <v>929.91</v>
      </c>
      <c r="N128" s="5"/>
      <c r="O128" s="5"/>
      <c r="P128" s="5"/>
      <c r="Q128" s="5" t="str">
        <f>IFERROR(__xludf.DUMMYFUNCTION("""COMPUTED_VALUE"""),"Y")</f>
        <v>Y</v>
      </c>
      <c r="R128" s="5"/>
      <c r="S128" s="5" t="str">
        <f>IFERROR(__xludf.DUMMYFUNCTION("""COMPUTED_VALUE"""),"ขึ้นของมหาชัย")</f>
        <v>ขึ้นของมหาชัย</v>
      </c>
      <c r="T128" s="5">
        <f>IFERROR(__xludf.DUMMYFUNCTION("""COMPUTED_VALUE"""),900.0)</f>
        <v>900</v>
      </c>
      <c r="U128" s="5" t="str">
        <f>IFERROR(__xludf.DUMMYFUNCTION("""COMPUTED_VALUE"""),"Y")</f>
        <v>Y</v>
      </c>
      <c r="V128" s="5">
        <f>IFERROR(__xludf.DUMMYFUNCTION("""COMPUTED_VALUE"""),1300.0)</f>
        <v>1300</v>
      </c>
      <c r="W128" s="5">
        <f>IFERROR(__xludf.DUMMYFUNCTION("""COMPUTED_VALUE"""),8.0)</f>
        <v>8</v>
      </c>
      <c r="X128" s="5"/>
      <c r="Y128" s="5"/>
      <c r="Z128" s="5"/>
    </row>
    <row r="129">
      <c r="A129" s="5" t="str">
        <f>IFERROR(__xludf.DUMMYFUNCTION("""COMPUTED_VALUE"""),"คอเปรู-500-อัพ--20-กก.(สอบ)--59")</f>
        <v>คอเปรู-500-อัพ--20-กก.(สอบ)--59</v>
      </c>
      <c r="B129" s="5">
        <f>IFERROR(__xludf.DUMMYFUNCTION("""COMPUTED_VALUE"""),10065.0)</f>
        <v>10065</v>
      </c>
      <c r="C129" s="5" t="str">
        <f>IFERROR(__xludf.DUMMYFUNCTION("""COMPUTED_VALUE"""),"คอเปรู 500 อัพ 10กก. -59")</f>
        <v>คอเปรู 500 อัพ 10กก. -59</v>
      </c>
      <c r="D129" s="5" t="str">
        <f>IFERROR(__xludf.DUMMYFUNCTION("""COMPUTED_VALUE"""),"**ทะเลสด มหาชัย")</f>
        <v>**ทะเลสด มหาชัย</v>
      </c>
      <c r="E129" s="5"/>
      <c r="F129" s="5" t="str">
        <f>IFERROR(__xludf.DUMMYFUNCTION("""COMPUTED_VALUE"""),"N")</f>
        <v>N</v>
      </c>
      <c r="G129" s="5"/>
      <c r="H129" s="5"/>
      <c r="I129" s="5"/>
      <c r="J129" s="5"/>
      <c r="K129" s="5"/>
      <c r="L129" s="5"/>
      <c r="M129" s="5">
        <f>IFERROR(__xludf.DUMMYFUNCTION("""COMPUTED_VALUE"""),500.61)</f>
        <v>500.61</v>
      </c>
      <c r="N129" s="5"/>
      <c r="O129" s="5"/>
      <c r="P129" s="5"/>
      <c r="Q129" s="5" t="str">
        <f>IFERROR(__xludf.DUMMYFUNCTION("""COMPUTED_VALUE"""),"Y")</f>
        <v>Y</v>
      </c>
      <c r="R129" s="5"/>
      <c r="S129" s="5" t="str">
        <f>IFERROR(__xludf.DUMMYFUNCTION("""COMPUTED_VALUE"""),"ขึ้นของมหาชัย")</f>
        <v>ขึ้นของมหาชัย</v>
      </c>
      <c r="T129" s="5">
        <f>IFERROR(__xludf.DUMMYFUNCTION("""COMPUTED_VALUE"""),490.0)</f>
        <v>490</v>
      </c>
      <c r="U129" s="5" t="str">
        <f>IFERROR(__xludf.DUMMYFUNCTION("""COMPUTED_VALUE"""),"Y")</f>
        <v>Y</v>
      </c>
      <c r="V129" s="5">
        <f>IFERROR(__xludf.DUMMYFUNCTION("""COMPUTED_VALUE"""),590.0)</f>
        <v>590</v>
      </c>
      <c r="W129" s="5">
        <f>IFERROR(__xludf.DUMMYFUNCTION("""COMPUTED_VALUE"""),0.0)</f>
        <v>0</v>
      </c>
      <c r="X129" s="5">
        <f>IFERROR(__xludf.DUMMYFUNCTION("""COMPUTED_VALUE"""),0.0)</f>
        <v>0</v>
      </c>
      <c r="Y129" s="5"/>
      <c r="Z129" s="5"/>
    </row>
    <row r="130">
      <c r="A130" s="5" t="str">
        <f>IFERROR(__xludf.DUMMYFUNCTION("""COMPUTED_VALUE"""),"คอเปรู-500-อัพ-20-กก-(สอบ).--59")</f>
        <v>คอเปรู-500-อัพ-20-กก-(สอบ).--59</v>
      </c>
      <c r="B130" s="5">
        <f>IFERROR(__xludf.DUMMYFUNCTION("""COMPUTED_VALUE"""),10070.0)</f>
        <v>10070</v>
      </c>
      <c r="C130" s="5" t="str">
        <f>IFERROR(__xludf.DUMMYFUNCTION("""COMPUTED_VALUE"""),"คอเปรู 500 อัพ 20 กก (สอบ). -59")</f>
        <v>คอเปรู 500 อัพ 20 กก (สอบ). -59</v>
      </c>
      <c r="D130" s="5"/>
      <c r="E130" s="5"/>
      <c r="F130" s="5" t="str">
        <f>IFERROR(__xludf.DUMMYFUNCTION("""COMPUTED_VALUE"""),"N")</f>
        <v>N</v>
      </c>
      <c r="G130" s="5"/>
      <c r="H130" s="5"/>
      <c r="I130" s="5"/>
      <c r="J130" s="5"/>
      <c r="K130" s="5"/>
      <c r="L130" s="5"/>
      <c r="M130" s="5"/>
      <c r="N130" s="5"/>
      <c r="O130" s="5">
        <f>IFERROR(__xludf.DUMMYFUNCTION("""COMPUTED_VALUE"""),10065.0)</f>
        <v>10065</v>
      </c>
      <c r="P130" s="5">
        <f>IFERROR(__xludf.DUMMYFUNCTION("""COMPUTED_VALUE"""),2.0)</f>
        <v>2</v>
      </c>
      <c r="Q130" s="5" t="str">
        <f>IFERROR(__xludf.DUMMYFUNCTION("""COMPUTED_VALUE"""),"N")</f>
        <v>N</v>
      </c>
      <c r="R130" s="5" t="str">
        <f>IFERROR(__xludf.DUMMYFUNCTION("""COMPUTED_VALUE"""),"N")</f>
        <v>N</v>
      </c>
      <c r="S130" s="5"/>
      <c r="T130" s="5"/>
      <c r="U130" s="5" t="str">
        <f>IFERROR(__xludf.DUMMYFUNCTION("""COMPUTED_VALUE"""),"Y")</f>
        <v>Y</v>
      </c>
      <c r="V130" s="5">
        <f>IFERROR(__xludf.DUMMYFUNCTION("""COMPUTED_VALUE"""),1180.0)</f>
        <v>1180</v>
      </c>
      <c r="W130" s="5"/>
      <c r="X130" s="5"/>
      <c r="Y130" s="5"/>
      <c r="Z130" s="5"/>
    </row>
    <row r="131">
      <c r="A131" s="5" t="str">
        <f>IFERROR(__xludf.DUMMYFUNCTION("""COMPUTED_VALUE"""),"คอเปรู-500up-(สอบ22.5)-105")</f>
        <v>คอเปรู-500up-(สอบ22.5)-105</v>
      </c>
      <c r="B131" s="5">
        <f>IFERROR(__xludf.DUMMYFUNCTION("""COMPUTED_VALUE"""),10730.0)</f>
        <v>10730</v>
      </c>
      <c r="C131" s="5" t="str">
        <f>IFERROR(__xludf.DUMMYFUNCTION("""COMPUTED_VALUE"""),"คอเปรู 500up (สอบ22.5)-59")</f>
        <v>คอเปรู 500up (สอบ22.5)-59</v>
      </c>
      <c r="D131" s="5"/>
      <c r="E131" s="5"/>
      <c r="F131" s="5" t="str">
        <f>IFERROR(__xludf.DUMMYFUNCTION("""COMPUTED_VALUE"""),"N")</f>
        <v>N</v>
      </c>
      <c r="G131" s="5"/>
      <c r="H131" s="5"/>
      <c r="I131" s="5"/>
      <c r="J131" s="5"/>
      <c r="K131" s="5"/>
      <c r="L131" s="5"/>
      <c r="M131" s="5"/>
      <c r="N131" s="5"/>
      <c r="O131" s="5">
        <f>IFERROR(__xludf.DUMMYFUNCTION("""COMPUTED_VALUE"""),10025.0)</f>
        <v>10025</v>
      </c>
      <c r="P131" s="5">
        <f>IFERROR(__xludf.DUMMYFUNCTION("""COMPUTED_VALUE"""),3.0)</f>
        <v>3</v>
      </c>
      <c r="Q131" s="5" t="str">
        <f>IFERROR(__xludf.DUMMYFUNCTION("""COMPUTED_VALUE"""),"N")</f>
        <v>N</v>
      </c>
      <c r="R131" s="5" t="str">
        <f>IFERROR(__xludf.DUMMYFUNCTION("""COMPUTED_VALUE"""),"N")</f>
        <v>N</v>
      </c>
      <c r="S131" s="5"/>
      <c r="T131" s="5"/>
      <c r="U131" s="5" t="str">
        <f>IFERROR(__xludf.DUMMYFUNCTION("""COMPUTED_VALUE"""),"Y")</f>
        <v>Y</v>
      </c>
      <c r="V131" s="5">
        <f>IFERROR(__xludf.DUMMYFUNCTION("""COMPUTED_VALUE"""),1328.0)</f>
        <v>1328</v>
      </c>
      <c r="W131" s="5"/>
      <c r="X131" s="5"/>
      <c r="Y131" s="5"/>
      <c r="Z131" s="5"/>
    </row>
    <row r="132">
      <c r="A132" s="5" t="str">
        <f>IFERROR(__xludf.DUMMYFUNCTION("""COMPUTED_VALUE"""),"คอเปรู-500up-(สอบ22.5)r100--62")</f>
        <v>คอเปรู-500up-(สอบ22.5)r100--62</v>
      </c>
      <c r="B132" s="5">
        <f>IFERROR(__xludf.DUMMYFUNCTION("""COMPUTED_VALUE"""),10853.0)</f>
        <v>10853</v>
      </c>
      <c r="C132" s="5" t="str">
        <f>IFERROR(__xludf.DUMMYFUNCTION("""COMPUTED_VALUE"""),"คอเปรู 500up (สอบ22.5)R100 -55")</f>
        <v>คอเปรู 500up (สอบ22.5)R100 -55</v>
      </c>
      <c r="D132" s="5" t="str">
        <f>IFERROR(__xludf.DUMMYFUNCTION("""COMPUTED_VALUE"""),"**ร้านค้า ราคาพิเศษ")</f>
        <v>**ร้านค้า ราคาพิเศษ</v>
      </c>
      <c r="E132" s="5"/>
      <c r="F132" s="5" t="str">
        <f>IFERROR(__xludf.DUMMYFUNCTION("""COMPUTED_VALUE"""),"N")</f>
        <v>N</v>
      </c>
      <c r="G132" s="5"/>
      <c r="H132" s="5"/>
      <c r="I132" s="5"/>
      <c r="J132" s="5"/>
      <c r="K132" s="5"/>
      <c r="L132" s="5"/>
      <c r="M132" s="5"/>
      <c r="N132" s="5"/>
      <c r="O132" s="5">
        <f>IFERROR(__xludf.DUMMYFUNCTION("""COMPUTED_VALUE"""),10025.0)</f>
        <v>10025</v>
      </c>
      <c r="P132" s="5">
        <f>IFERROR(__xludf.DUMMYFUNCTION("""COMPUTED_VALUE"""),3.0)</f>
        <v>3</v>
      </c>
      <c r="Q132" s="5" t="str">
        <f>IFERROR(__xludf.DUMMYFUNCTION("""COMPUTED_VALUE"""),"N")</f>
        <v>N</v>
      </c>
      <c r="R132" s="5" t="str">
        <f>IFERROR(__xludf.DUMMYFUNCTION("""COMPUTED_VALUE"""),"N")</f>
        <v>N</v>
      </c>
      <c r="S132" s="5"/>
      <c r="T132" s="5"/>
      <c r="U132" s="5" t="str">
        <f>IFERROR(__xludf.DUMMYFUNCTION("""COMPUTED_VALUE"""),"N")</f>
        <v>N</v>
      </c>
      <c r="V132" s="5">
        <f>IFERROR(__xludf.DUMMYFUNCTION("""COMPUTED_VALUE"""),1237.5)</f>
        <v>1237.5</v>
      </c>
      <c r="W132" s="5"/>
      <c r="X132" s="5"/>
      <c r="Y132" s="5"/>
      <c r="Z132" s="5"/>
    </row>
    <row r="133">
      <c r="A133" s="5" t="str">
        <f>IFERROR(__xludf.DUMMYFUNCTION("""COMPUTED_VALUE"""),"คอเปรู-500up-21กก(สอบ)-59")</f>
        <v>คอเปรู-500up-21กก(สอบ)-59</v>
      </c>
      <c r="B133" s="5">
        <f>IFERROR(__xludf.DUMMYFUNCTION("""COMPUTED_VALUE"""),10658.0)</f>
        <v>10658</v>
      </c>
      <c r="C133" s="5" t="str">
        <f>IFERROR(__xludf.DUMMYFUNCTION("""COMPUTED_VALUE"""),"คอเปรู 500up 21กก(สอบ)-59")</f>
        <v>คอเปรู 500up 21กก(สอบ)-59</v>
      </c>
      <c r="D133" s="5"/>
      <c r="E133" s="5"/>
      <c r="F133" s="5" t="str">
        <f>IFERROR(__xludf.DUMMYFUNCTION("""COMPUTED_VALUE"""),"N")</f>
        <v>N</v>
      </c>
      <c r="G133" s="5"/>
      <c r="H133" s="5"/>
      <c r="I133" s="5"/>
      <c r="J133" s="5"/>
      <c r="K133" s="5"/>
      <c r="L133" s="5"/>
      <c r="M133" s="5"/>
      <c r="N133" s="5"/>
      <c r="O133" s="5">
        <f>IFERROR(__xludf.DUMMYFUNCTION("""COMPUTED_VALUE"""),10696.0)</f>
        <v>10696</v>
      </c>
      <c r="P133" s="5">
        <f>IFERROR(__xludf.DUMMYFUNCTION("""COMPUTED_VALUE"""),3.0)</f>
        <v>3</v>
      </c>
      <c r="Q133" s="5" t="str">
        <f>IFERROR(__xludf.DUMMYFUNCTION("""COMPUTED_VALUE"""),"N")</f>
        <v>N</v>
      </c>
      <c r="R133" s="5" t="str">
        <f>IFERROR(__xludf.DUMMYFUNCTION("""COMPUTED_VALUE"""),"N")</f>
        <v>N</v>
      </c>
      <c r="S133" s="5"/>
      <c r="T133" s="5"/>
      <c r="U133" s="5" t="str">
        <f>IFERROR(__xludf.DUMMYFUNCTION("""COMPUTED_VALUE"""),"N")</f>
        <v>N</v>
      </c>
      <c r="V133" s="5">
        <f>IFERROR(__xludf.DUMMYFUNCTION("""COMPUTED_VALUE"""),1239.0)</f>
        <v>1239</v>
      </c>
      <c r="W133" s="5"/>
      <c r="X133" s="5"/>
      <c r="Y133" s="5"/>
      <c r="Z133" s="5"/>
    </row>
    <row r="134">
      <c r="A134" s="5" t="str">
        <f>IFERROR(__xludf.DUMMYFUNCTION("""COMPUTED_VALUE"""),"คอเปรู-500up-ก้อน-7.5kg--(59)")</f>
        <v>คอเปรู-500up-ก้อน-7.5kg--(59)</v>
      </c>
      <c r="B134" s="5">
        <f>IFERROR(__xludf.DUMMYFUNCTION("""COMPUTED_VALUE"""),10025.0)</f>
        <v>10025</v>
      </c>
      <c r="C134" s="5" t="str">
        <f>IFERROR(__xludf.DUMMYFUNCTION("""COMPUTED_VALUE"""),"คอเปรู 500up ก้อน 7.5 kg  (59)")</f>
        <v>คอเปรู 500up ก้อน 7.5 kg  (59)</v>
      </c>
      <c r="D134" s="5" t="str">
        <f>IFERROR(__xludf.DUMMYFUNCTION("""COMPUTED_VALUE"""),"**ทะเลสด มหาชัย")</f>
        <v>**ทะเลสด มหาชัย</v>
      </c>
      <c r="E134" s="5"/>
      <c r="F134" s="5" t="str">
        <f>IFERROR(__xludf.DUMMYFUNCTION("""COMPUTED_VALUE"""),"N")</f>
        <v>N</v>
      </c>
      <c r="G134" s="5"/>
      <c r="H134" s="5"/>
      <c r="I134" s="5"/>
      <c r="J134" s="5"/>
      <c r="K134" s="5"/>
      <c r="L134" s="5"/>
      <c r="M134" s="5">
        <f>IFERROR(__xludf.DUMMYFUNCTION("""COMPUTED_VALUE"""),385.27)</f>
        <v>385.27</v>
      </c>
      <c r="N134" s="5"/>
      <c r="O134" s="5"/>
      <c r="P134" s="5"/>
      <c r="Q134" s="5" t="str">
        <f>IFERROR(__xludf.DUMMYFUNCTION("""COMPUTED_VALUE"""),"Y")</f>
        <v>Y</v>
      </c>
      <c r="R134" s="5"/>
      <c r="S134" s="5" t="str">
        <f>IFERROR(__xludf.DUMMYFUNCTION("""COMPUTED_VALUE"""),"ขึ้นของมหาชัย")</f>
        <v>ขึ้นของมหาชัย</v>
      </c>
      <c r="T134" s="5">
        <f>IFERROR(__xludf.DUMMYFUNCTION("""COMPUTED_VALUE"""),367.5)</f>
        <v>367.5</v>
      </c>
      <c r="U134" s="5" t="str">
        <f>IFERROR(__xludf.DUMMYFUNCTION("""COMPUTED_VALUE"""),"Y")</f>
        <v>Y</v>
      </c>
      <c r="V134" s="5">
        <f>IFERROR(__xludf.DUMMYFUNCTION("""COMPUTED_VALUE"""),443.0)</f>
        <v>443</v>
      </c>
      <c r="W134" s="5">
        <f>IFERROR(__xludf.DUMMYFUNCTION("""COMPUTED_VALUE"""),24.0)</f>
        <v>24</v>
      </c>
      <c r="X134" s="5"/>
      <c r="Y134" s="5"/>
      <c r="Z134" s="5"/>
    </row>
    <row r="135">
      <c r="A135" s="5" t="str">
        <f>IFERROR(__xludf.DUMMYFUNCTION("""COMPUTED_VALUE"""),"คอเปรู-500-(ก้อน-)7-กก-78")</f>
        <v>คอเปรู-500-(ก้อน-)7-กก-78</v>
      </c>
      <c r="B135" s="5">
        <f>IFERROR(__xludf.DUMMYFUNCTION("""COMPUTED_VALUE"""),10696.0)</f>
        <v>10696</v>
      </c>
      <c r="C135" s="5" t="str">
        <f>IFERROR(__xludf.DUMMYFUNCTION("""COMPUTED_VALUE"""),"คอเปรู 500up ก้อน 7kg  (59)")</f>
        <v>คอเปรู 500up ก้อน 7kg  (59)</v>
      </c>
      <c r="D135" s="5" t="str">
        <f>IFERROR(__xludf.DUMMYFUNCTION("""COMPUTED_VALUE"""),"**ทะเลสด มหาชัย")</f>
        <v>**ทะเลสด มหาชัย</v>
      </c>
      <c r="E135" s="5"/>
      <c r="F135" s="5" t="str">
        <f>IFERROR(__xludf.DUMMYFUNCTION("""COMPUTED_VALUE"""),"N")</f>
        <v>N</v>
      </c>
      <c r="G135" s="5"/>
      <c r="H135" s="5"/>
      <c r="I135" s="5"/>
      <c r="J135" s="5"/>
      <c r="K135" s="5"/>
      <c r="L135" s="5"/>
      <c r="M135" s="5">
        <f>IFERROR(__xludf.DUMMYFUNCTION("""COMPUTED_VALUE"""),361.35)</f>
        <v>361.35</v>
      </c>
      <c r="N135" s="5"/>
      <c r="O135" s="5"/>
      <c r="P135" s="5"/>
      <c r="Q135" s="5" t="str">
        <f>IFERROR(__xludf.DUMMYFUNCTION("""COMPUTED_VALUE"""),"Y")</f>
        <v>Y</v>
      </c>
      <c r="R135" s="5"/>
      <c r="S135" s="5" t="str">
        <f>IFERROR(__xludf.DUMMYFUNCTION("""COMPUTED_VALUE"""),"ขึ้นของมหาชัย")</f>
        <v>ขึ้นของมหาชัย</v>
      </c>
      <c r="T135" s="5">
        <f>IFERROR(__xludf.DUMMYFUNCTION("""COMPUTED_VALUE"""),364.0)</f>
        <v>364</v>
      </c>
      <c r="U135" s="5" t="str">
        <f>IFERROR(__xludf.DUMMYFUNCTION("""COMPUTED_VALUE"""),"Y")</f>
        <v>Y</v>
      </c>
      <c r="V135" s="5">
        <f>IFERROR(__xludf.DUMMYFUNCTION("""COMPUTED_VALUE"""),413.0)</f>
        <v>413</v>
      </c>
      <c r="W135" s="5">
        <f>IFERROR(__xludf.DUMMYFUNCTION("""COMPUTED_VALUE"""),0.0)</f>
        <v>0</v>
      </c>
      <c r="X135" s="5"/>
      <c r="Y135" s="5"/>
      <c r="Z135" s="5"/>
    </row>
    <row r="136">
      <c r="A136" s="5" t="str">
        <f>IFERROR(__xludf.DUMMYFUNCTION("""COMPUTED_VALUE"""),"คอเอ็นแก้ว-บล็อค-10-กก")</f>
        <v>คอเอ็นแก้ว-บล็อค-10-กก</v>
      </c>
      <c r="B136" s="5">
        <f>IFERROR(__xludf.DUMMYFUNCTION("""COMPUTED_VALUE"""),10041.0)</f>
        <v>10041</v>
      </c>
      <c r="C136" s="5" t="str">
        <f>IFERROR(__xludf.DUMMYFUNCTION("""COMPUTED_VALUE"""),"คอเอ็นแก้ว บล็อค 10 กก")</f>
        <v>คอเอ็นแก้ว บล็อค 10 กก</v>
      </c>
      <c r="D136" s="5" t="str">
        <f>IFERROR(__xludf.DUMMYFUNCTION("""COMPUTED_VALUE"""),"**ลัง มหาชัย")</f>
        <v>**ลัง มหาชัย</v>
      </c>
      <c r="E136" s="5"/>
      <c r="F136" s="5" t="str">
        <f>IFERROR(__xludf.DUMMYFUNCTION("""COMPUTED_VALUE"""),"N")</f>
        <v>N</v>
      </c>
      <c r="G136" s="5"/>
      <c r="H136" s="5"/>
      <c r="I136" s="5"/>
      <c r="J136" s="5"/>
      <c r="K136" s="5"/>
      <c r="L136" s="5"/>
      <c r="M136" s="5">
        <f>IFERROR(__xludf.DUMMYFUNCTION("""COMPUTED_VALUE"""),378.01)</f>
        <v>378.01</v>
      </c>
      <c r="N136" s="5"/>
      <c r="O136" s="5"/>
      <c r="P136" s="5"/>
      <c r="Q136" s="5" t="str">
        <f>IFERROR(__xludf.DUMMYFUNCTION("""COMPUTED_VALUE"""),"Y")</f>
        <v>Y</v>
      </c>
      <c r="R136" s="5"/>
      <c r="S136" s="5"/>
      <c r="T136" s="5">
        <f>IFERROR(__xludf.DUMMYFUNCTION("""COMPUTED_VALUE"""),370.0)</f>
        <v>370</v>
      </c>
      <c r="U136" s="5" t="str">
        <f>IFERROR(__xludf.DUMMYFUNCTION("""COMPUTED_VALUE"""),"Y")</f>
        <v>Y</v>
      </c>
      <c r="V136" s="5">
        <f>IFERROR(__xludf.DUMMYFUNCTION("""COMPUTED_VALUE"""),490.0)</f>
        <v>490</v>
      </c>
      <c r="W136" s="5">
        <f>IFERROR(__xludf.DUMMYFUNCTION("""COMPUTED_VALUE"""),9.0)</f>
        <v>9</v>
      </c>
      <c r="X136" s="5"/>
      <c r="Y136" s="5"/>
      <c r="Z136" s="5"/>
    </row>
    <row r="137">
      <c r="A137" s="5" t="str">
        <f>IFERROR(__xludf.DUMMYFUNCTION("""COMPUTED_VALUE"""),"คอเอ็นแก้ว-ลัง-10กก")</f>
        <v>คอเอ็นแก้ว-ลัง-10กก</v>
      </c>
      <c r="B137" s="5">
        <f>IFERROR(__xludf.DUMMYFUNCTION("""COMPUTED_VALUE"""),10944.0)</f>
        <v>10944</v>
      </c>
      <c r="C137" s="5" t="str">
        <f>IFERROR(__xludf.DUMMYFUNCTION("""COMPUTED_VALUE"""),"คอเอ็นแก้ว1*10  (ลัง)")</f>
        <v>คอเอ็นแก้ว1*10  (ลัง)</v>
      </c>
      <c r="D137" s="5"/>
      <c r="E137" s="5" t="str">
        <f>IFERROR(__xludf.DUMMYFUNCTION("""COMPUTED_VALUE"""),"&lt;p&gt;S&lt;/p&gt;")</f>
        <v>&lt;p&gt;S&lt;/p&gt;</v>
      </c>
      <c r="F137" s="5" t="str">
        <f>IFERROR(__xludf.DUMMYFUNCTION("""COMPUTED_VALUE"""),"N")</f>
        <v>N</v>
      </c>
      <c r="G137" s="5"/>
      <c r="H137" s="5"/>
      <c r="I137" s="5"/>
      <c r="J137" s="5"/>
      <c r="K137" s="5"/>
      <c r="L137" s="5"/>
      <c r="M137" s="5"/>
      <c r="N137" s="5">
        <f>IFERROR(__xludf.DUMMYFUNCTION("""COMPUTED_VALUE"""),10944.0)</f>
        <v>10944</v>
      </c>
      <c r="O137" s="5">
        <f>IFERROR(__xludf.DUMMYFUNCTION("""COMPUTED_VALUE"""),10943.0)</f>
        <v>10943</v>
      </c>
      <c r="P137" s="5">
        <f>IFERROR(__xludf.DUMMYFUNCTION("""COMPUTED_VALUE"""),10.0)</f>
        <v>10</v>
      </c>
      <c r="Q137" s="5" t="str">
        <f>IFERROR(__xludf.DUMMYFUNCTION("""COMPUTED_VALUE"""),"N")</f>
        <v>N</v>
      </c>
      <c r="R137" s="5" t="str">
        <f>IFERROR(__xludf.DUMMYFUNCTION("""COMPUTED_VALUE"""),"N")</f>
        <v>N</v>
      </c>
      <c r="S137" s="5"/>
      <c r="T137" s="5"/>
      <c r="U137" s="5" t="str">
        <f>IFERROR(__xludf.DUMMYFUNCTION("""COMPUTED_VALUE"""),"Y")</f>
        <v>Y</v>
      </c>
      <c r="V137" s="5">
        <f>IFERROR(__xludf.DUMMYFUNCTION("""COMPUTED_VALUE"""),390.0)</f>
        <v>390</v>
      </c>
      <c r="W137" s="5"/>
      <c r="X137" s="5"/>
      <c r="Y137" s="5"/>
      <c r="Z137" s="5"/>
    </row>
    <row r="138">
      <c r="A138" s="5" t="str">
        <f>IFERROR(__xludf.DUMMYFUNCTION("""COMPUTED_VALUE"""),"คานิจัง-250g-ลัง")</f>
        <v>คานิจัง-250g-ลัง</v>
      </c>
      <c r="B138" s="5">
        <f>IFERROR(__xludf.DUMMYFUNCTION("""COMPUTED_VALUE"""),11454.0)</f>
        <v>11454</v>
      </c>
      <c r="C138" s="5" t="str">
        <f>IFERROR(__xludf.DUMMYFUNCTION("""COMPUTED_VALUE"""),"คานิจัง 40* 250g ลัง")</f>
        <v>คานิจัง 40* 250g ลัง</v>
      </c>
      <c r="D138" s="5" t="str">
        <f>IFERROR(__xludf.DUMMYFUNCTION("""COMPUTED_VALUE"""),"ทวีวงษ์-PFP")</f>
        <v>ทวีวงษ์-PFP</v>
      </c>
      <c r="E138" s="5" t="str">
        <f>IFERROR(__xludf.DUMMYFUNCTION("""COMPUTED_VALUE"""),"&lt;p&gt;S&lt;/p&gt;")</f>
        <v>&lt;p&gt;S&lt;/p&gt;</v>
      </c>
      <c r="F138" s="5" t="str">
        <f>IFERROR(__xludf.DUMMYFUNCTION("""COMPUTED_VALUE"""),"N")</f>
        <v>N</v>
      </c>
      <c r="G138" s="5"/>
      <c r="H138" s="5"/>
      <c r="I138" s="5"/>
      <c r="J138" s="5"/>
      <c r="K138" s="5"/>
      <c r="L138" s="5"/>
      <c r="M138" s="5">
        <f>IFERROR(__xludf.DUMMYFUNCTION("""COMPUTED_VALUE"""),910.0)</f>
        <v>910</v>
      </c>
      <c r="N138" s="5">
        <f>IFERROR(__xludf.DUMMYFUNCTION("""COMPUTED_VALUE"""),8.850016070052E12)</f>
        <v>8850016070052</v>
      </c>
      <c r="O138" s="5"/>
      <c r="P138" s="5"/>
      <c r="Q138" s="5" t="str">
        <f>IFERROR(__xludf.DUMMYFUNCTION("""COMPUTED_VALUE"""),"Y")</f>
        <v>Y</v>
      </c>
      <c r="R138" s="5"/>
      <c r="S138" s="5" t="str">
        <f>IFERROR(__xludf.DUMMYFUNCTION("""COMPUTED_VALUE"""),"ทวีวงษ์")</f>
        <v>ทวีวงษ์</v>
      </c>
      <c r="T138" s="5">
        <f>IFERROR(__xludf.DUMMYFUNCTION("""COMPUTED_VALUE"""),910.0)</f>
        <v>910</v>
      </c>
      <c r="U138" s="5" t="str">
        <f>IFERROR(__xludf.DUMMYFUNCTION("""COMPUTED_VALUE"""),"Y")</f>
        <v>Y</v>
      </c>
      <c r="V138" s="5">
        <f>IFERROR(__xludf.DUMMYFUNCTION("""COMPUTED_VALUE"""),970.0)</f>
        <v>970</v>
      </c>
      <c r="W138" s="5">
        <f>IFERROR(__xludf.DUMMYFUNCTION("""COMPUTED_VALUE"""),1.0)</f>
        <v>1</v>
      </c>
      <c r="X138" s="5">
        <f>IFERROR(__xludf.DUMMYFUNCTION("""COMPUTED_VALUE"""),1.0)</f>
        <v>1</v>
      </c>
      <c r="Y138" s="5">
        <f>IFERROR(__xludf.DUMMYFUNCTION("""COMPUTED_VALUE"""),3.0)</f>
        <v>3</v>
      </c>
      <c r="Z138" s="5"/>
    </row>
    <row r="139">
      <c r="A139" s="5" t="str">
        <f>IFERROR(__xludf.DUMMYFUNCTION("""COMPUTED_VALUE"""),"คานิจัง-500g--ลัง")</f>
        <v>คานิจัง-500g--ลัง</v>
      </c>
      <c r="B139" s="5">
        <f>IFERROR(__xludf.DUMMYFUNCTION("""COMPUTED_VALUE"""),10845.0)</f>
        <v>10845</v>
      </c>
      <c r="C139" s="5" t="str">
        <f>IFERROR(__xludf.DUMMYFUNCTION("""COMPUTED_VALUE"""),"คานิจัง 500 กรัม (ลัง)")</f>
        <v>คานิจัง 500 กรัม (ลัง)</v>
      </c>
      <c r="D139" s="5"/>
      <c r="E139" s="5" t="str">
        <f>IFERROR(__xludf.DUMMYFUNCTION("""COMPUTED_VALUE"""),"&lt;p&gt;S&lt;/p&gt;")</f>
        <v>&lt;p&gt;S&lt;/p&gt;</v>
      </c>
      <c r="F139" s="5" t="str">
        <f>IFERROR(__xludf.DUMMYFUNCTION("""COMPUTED_VALUE"""),"N")</f>
        <v>N</v>
      </c>
      <c r="G139" s="5"/>
      <c r="H139" s="5"/>
      <c r="I139" s="5"/>
      <c r="J139" s="5"/>
      <c r="K139" s="5"/>
      <c r="L139" s="5"/>
      <c r="M139" s="5"/>
      <c r="N139" s="5">
        <f>IFERROR(__xludf.DUMMYFUNCTION("""COMPUTED_VALUE"""),10845.0)</f>
        <v>10845</v>
      </c>
      <c r="O139" s="5">
        <f>IFERROR(__xludf.DUMMYFUNCTION("""COMPUTED_VALUE"""),10844.0)</f>
        <v>10844</v>
      </c>
      <c r="P139" s="5">
        <f>IFERROR(__xludf.DUMMYFUNCTION("""COMPUTED_VALUE"""),20.0)</f>
        <v>20</v>
      </c>
      <c r="Q139" s="5" t="str">
        <f>IFERROR(__xludf.DUMMYFUNCTION("""COMPUTED_VALUE"""),"N")</f>
        <v>N</v>
      </c>
      <c r="R139" s="5" t="str">
        <f>IFERROR(__xludf.DUMMYFUNCTION("""COMPUTED_VALUE"""),"N")</f>
        <v>N</v>
      </c>
      <c r="S139" s="5"/>
      <c r="T139" s="5"/>
      <c r="U139" s="5" t="str">
        <f>IFERROR(__xludf.DUMMYFUNCTION("""COMPUTED_VALUE"""),"Y")</f>
        <v>Y</v>
      </c>
      <c r="V139" s="5">
        <f>IFERROR(__xludf.DUMMYFUNCTION("""COMPUTED_VALUE"""),1000.0)</f>
        <v>1000</v>
      </c>
      <c r="W139" s="5"/>
      <c r="X139" s="5"/>
      <c r="Y139" s="5"/>
      <c r="Z139" s="5"/>
    </row>
    <row r="140">
      <c r="A140" s="5" t="str">
        <f>IFERROR(__xludf.DUMMYFUNCTION("""COMPUTED_VALUE"""),"คานิจัง-500g")</f>
        <v>คานิจัง-500g</v>
      </c>
      <c r="B140" s="5">
        <f>IFERROR(__xludf.DUMMYFUNCTION("""COMPUTED_VALUE"""),10844.0)</f>
        <v>10844</v>
      </c>
      <c r="C140" s="5" t="str">
        <f>IFERROR(__xludf.DUMMYFUNCTION("""COMPUTED_VALUE"""),"คานิจัง 500g")</f>
        <v>คานิจัง 500g</v>
      </c>
      <c r="D140" s="5" t="str">
        <f>IFERROR(__xludf.DUMMYFUNCTION("""COMPUTED_VALUE"""),"ทวีวงษ์-PFP")</f>
        <v>ทวีวงษ์-PFP</v>
      </c>
      <c r="E140" s="5" t="str">
        <f>IFERROR(__xludf.DUMMYFUNCTION("""COMPUTED_VALUE"""),"B")</f>
        <v>B</v>
      </c>
      <c r="F140" s="5" t="str">
        <f>IFERROR(__xludf.DUMMYFUNCTION("""COMPUTED_VALUE"""),"N")</f>
        <v>N</v>
      </c>
      <c r="G140" s="5"/>
      <c r="H140" s="5"/>
      <c r="I140" s="5"/>
      <c r="J140" s="5"/>
      <c r="K140" s="5"/>
      <c r="L140" s="5"/>
      <c r="M140" s="5">
        <f>IFERROR(__xludf.DUMMYFUNCTION("""COMPUTED_VALUE"""),44.0)</f>
        <v>44</v>
      </c>
      <c r="N140" s="5">
        <f>IFERROR(__xludf.DUMMYFUNCTION("""COMPUTED_VALUE"""),10844.0)</f>
        <v>10844</v>
      </c>
      <c r="O140" s="5"/>
      <c r="P140" s="5"/>
      <c r="Q140" s="5" t="str">
        <f>IFERROR(__xludf.DUMMYFUNCTION("""COMPUTED_VALUE"""),"Y")</f>
        <v>Y</v>
      </c>
      <c r="R140" s="5"/>
      <c r="S140" s="5" t="str">
        <f>IFERROR(__xludf.DUMMYFUNCTION("""COMPUTED_VALUE"""),"ทวีวงษ์")</f>
        <v>ทวีวงษ์</v>
      </c>
      <c r="T140" s="5">
        <f>IFERROR(__xludf.DUMMYFUNCTION("""COMPUTED_VALUE"""),44.0)</f>
        <v>44</v>
      </c>
      <c r="U140" s="5" t="str">
        <f>IFERROR(__xludf.DUMMYFUNCTION("""COMPUTED_VALUE"""),"Y")</f>
        <v>Y</v>
      </c>
      <c r="V140" s="5">
        <f>IFERROR(__xludf.DUMMYFUNCTION("""COMPUTED_VALUE"""),53.0)</f>
        <v>53</v>
      </c>
      <c r="W140" s="5">
        <f>IFERROR(__xludf.DUMMYFUNCTION("""COMPUTED_VALUE"""),37.0)</f>
        <v>37</v>
      </c>
      <c r="X140" s="5">
        <f>IFERROR(__xludf.DUMMYFUNCTION("""COMPUTED_VALUE"""),13.0)</f>
        <v>13</v>
      </c>
      <c r="Y140" s="5">
        <f>IFERROR(__xludf.DUMMYFUNCTION("""COMPUTED_VALUE"""),22.0)</f>
        <v>22</v>
      </c>
      <c r="Z140" s="5"/>
    </row>
    <row r="141">
      <c r="A141" s="5" t="str">
        <f>IFERROR(__xludf.DUMMYFUNCTION("""COMPUTED_VALUE"""),"คานิจัง-ยาว500g")</f>
        <v>คานิจัง-ยาว500g</v>
      </c>
      <c r="B141" s="5">
        <f>IFERROR(__xludf.DUMMYFUNCTION("""COMPUTED_VALUE"""),11226.0)</f>
        <v>11226</v>
      </c>
      <c r="C141" s="5" t="str">
        <f>IFERROR(__xludf.DUMMYFUNCTION("""COMPUTED_VALUE"""),"คานิจัง(ยาว) 500g20แพ็ค(ลัง)")</f>
        <v>คานิจัง(ยาว) 500g20แพ็ค(ลัง)</v>
      </c>
      <c r="D141" s="5" t="str">
        <f>IFERROR(__xludf.DUMMYFUNCTION("""COMPUTED_VALUE"""),"ทวีวงษ์-PFP")</f>
        <v>ทวีวงษ์-PFP</v>
      </c>
      <c r="E141" s="5" t="str">
        <f>IFERROR(__xludf.DUMMYFUNCTION("""COMPUTED_VALUE"""),"&lt;p&gt;X&lt;/p&gt;")</f>
        <v>&lt;p&gt;X&lt;/p&gt;</v>
      </c>
      <c r="F141" s="5" t="str">
        <f>IFERROR(__xludf.DUMMYFUNCTION("""COMPUTED_VALUE"""),"N")</f>
        <v>N</v>
      </c>
      <c r="G141" s="5"/>
      <c r="H141" s="5"/>
      <c r="I141" s="5"/>
      <c r="J141" s="5"/>
      <c r="K141" s="5"/>
      <c r="L141" s="5"/>
      <c r="M141" s="5">
        <f>IFERROR(__xludf.DUMMYFUNCTION("""COMPUTED_VALUE"""),880.0)</f>
        <v>880</v>
      </c>
      <c r="N141" s="5">
        <f>IFERROR(__xludf.DUMMYFUNCTION("""COMPUTED_VALUE"""),11226.0)</f>
        <v>11226</v>
      </c>
      <c r="O141" s="5"/>
      <c r="P141" s="5"/>
      <c r="Q141" s="5" t="str">
        <f>IFERROR(__xludf.DUMMYFUNCTION("""COMPUTED_VALUE"""),"Y")</f>
        <v>Y</v>
      </c>
      <c r="R141" s="5"/>
      <c r="S141" s="5" t="str">
        <f>IFERROR(__xludf.DUMMYFUNCTION("""COMPUTED_VALUE"""),"ทวีวงษ์")</f>
        <v>ทวีวงษ์</v>
      </c>
      <c r="T141" s="5">
        <f>IFERROR(__xludf.DUMMYFUNCTION("""COMPUTED_VALUE"""),880.0)</f>
        <v>880</v>
      </c>
      <c r="U141" s="5" t="str">
        <f>IFERROR(__xludf.DUMMYFUNCTION("""COMPUTED_VALUE"""),"Y")</f>
        <v>Y</v>
      </c>
      <c r="V141" s="5">
        <f>IFERROR(__xludf.DUMMYFUNCTION("""COMPUTED_VALUE"""),1000.0)</f>
        <v>1000</v>
      </c>
      <c r="W141" s="5">
        <f>IFERROR(__xludf.DUMMYFUNCTION("""COMPUTED_VALUE"""),0.0)</f>
        <v>0</v>
      </c>
      <c r="X141" s="5">
        <f>IFERROR(__xludf.DUMMYFUNCTION("""COMPUTED_VALUE"""),2.0)</f>
        <v>2</v>
      </c>
      <c r="Y141" s="5">
        <f>IFERROR(__xludf.DUMMYFUNCTION("""COMPUTED_VALUE"""),40.0)</f>
        <v>40</v>
      </c>
      <c r="Z141" s="5"/>
    </row>
    <row r="142">
      <c r="A142" s="5" t="str">
        <f>IFERROR(__xludf.DUMMYFUNCTION("""COMPUTED_VALUE"""),"หมูคุโรบุตะ-หิ้ว-5*1กก")</f>
        <v>หมูคุโรบุตะ-หิ้ว-5*1กก</v>
      </c>
      <c r="B142" s="5">
        <f>IFERROR(__xludf.DUMMYFUNCTION("""COMPUTED_VALUE"""),10132.0)</f>
        <v>10132</v>
      </c>
      <c r="C142" s="5" t="str">
        <f>IFERROR(__xludf.DUMMYFUNCTION("""COMPUTED_VALUE"""),"คุโรบุตะ (สมชาย) 5 กก. (หิ้ว) -130")</f>
        <v>คุโรบุตะ (สมชาย) 5 กก. (หิ้ว) -130</v>
      </c>
      <c r="D142" s="5" t="str">
        <f>IFERROR(__xludf.DUMMYFUNCTION("""COMPUTED_VALUE"""),"สมชาย")</f>
        <v>สมชาย</v>
      </c>
      <c r="E142" s="5" t="str">
        <f>IFERROR(__xludf.DUMMYFUNCTION("""COMPUTED_VALUE"""),"&lt;p&gt;A&lt;/p&gt;")</f>
        <v>&lt;p&gt;A&lt;/p&gt;</v>
      </c>
      <c r="F142" s="5" t="str">
        <f>IFERROR(__xludf.DUMMYFUNCTION("""COMPUTED_VALUE"""),"N")</f>
        <v>N</v>
      </c>
      <c r="G142" s="5"/>
      <c r="H142" s="5"/>
      <c r="I142" s="5"/>
      <c r="J142" s="5"/>
      <c r="K142" s="5"/>
      <c r="L142" s="5"/>
      <c r="M142" s="5">
        <f>IFERROR(__xludf.DUMMYFUNCTION("""COMPUTED_VALUE"""),575.0)</f>
        <v>575</v>
      </c>
      <c r="N142" s="5">
        <f>IFERROR(__xludf.DUMMYFUNCTION("""COMPUTED_VALUE"""),10132.0)</f>
        <v>10132</v>
      </c>
      <c r="O142" s="5"/>
      <c r="P142" s="5"/>
      <c r="Q142" s="5" t="str">
        <f>IFERROR(__xludf.DUMMYFUNCTION("""COMPUTED_VALUE"""),"Y")</f>
        <v>Y</v>
      </c>
      <c r="R142" s="5"/>
      <c r="S142" s="5" t="str">
        <f>IFERROR(__xludf.DUMMYFUNCTION("""COMPUTED_VALUE"""),"สมชายซีฟู้ดส์")</f>
        <v>สมชายซีฟู้ดส์</v>
      </c>
      <c r="T142" s="5">
        <f>IFERROR(__xludf.DUMMYFUNCTION("""COMPUTED_VALUE"""),575.0)</f>
        <v>575</v>
      </c>
      <c r="U142" s="5" t="str">
        <f>IFERROR(__xludf.DUMMYFUNCTION("""COMPUTED_VALUE"""),"Y")</f>
        <v>Y</v>
      </c>
      <c r="V142" s="5">
        <f>IFERROR(__xludf.DUMMYFUNCTION("""COMPUTED_VALUE"""),650.0)</f>
        <v>650</v>
      </c>
      <c r="W142" s="5">
        <f>IFERROR(__xludf.DUMMYFUNCTION("""COMPUTED_VALUE"""),16.0)</f>
        <v>16</v>
      </c>
      <c r="X142" s="5">
        <f>IFERROR(__xludf.DUMMYFUNCTION("""COMPUTED_VALUE"""),6.0)</f>
        <v>6</v>
      </c>
      <c r="Y142" s="5">
        <f>IFERROR(__xludf.DUMMYFUNCTION("""COMPUTED_VALUE"""),9.0)</f>
        <v>9</v>
      </c>
      <c r="Z142" s="5"/>
    </row>
    <row r="143">
      <c r="A143" s="5" t="str">
        <f>IFERROR(__xludf.DUMMYFUNCTION("""COMPUTED_VALUE"""),"คุโรบุตะ-3-แถว-(หิ้ว)-105")</f>
        <v>คุโรบุตะ-3-แถว-(หิ้ว)-105</v>
      </c>
      <c r="B143" s="5">
        <f>IFERROR(__xludf.DUMMYFUNCTION("""COMPUTED_VALUE"""),10080.0)</f>
        <v>10080</v>
      </c>
      <c r="C143" s="5" t="str">
        <f>IFERROR(__xludf.DUMMYFUNCTION("""COMPUTED_VALUE"""),"คุโรบุตะ 3 แถว (หิ้ว)-105")</f>
        <v>คุโรบุตะ 3 แถว (หิ้ว)-105</v>
      </c>
      <c r="D143" s="5" t="str">
        <f>IFERROR(__xludf.DUMMYFUNCTION("""COMPUTED_VALUE"""),"**ของหิ้ว มหาชัย")</f>
        <v>**ของหิ้ว มหาชัย</v>
      </c>
      <c r="E143" s="5"/>
      <c r="F143" s="5" t="str">
        <f>IFERROR(__xludf.DUMMYFUNCTION("""COMPUTED_VALUE"""),"N")</f>
        <v>N</v>
      </c>
      <c r="G143" s="5"/>
      <c r="H143" s="5"/>
      <c r="I143" s="5"/>
      <c r="J143" s="5"/>
      <c r="K143" s="5"/>
      <c r="L143" s="5"/>
      <c r="M143" s="5">
        <f>IFERROR(__xludf.DUMMYFUNCTION("""COMPUTED_VALUE"""),466.16)</f>
        <v>466.16</v>
      </c>
      <c r="N143" s="5"/>
      <c r="O143" s="5"/>
      <c r="P143" s="5"/>
      <c r="Q143" s="5" t="str">
        <f>IFERROR(__xludf.DUMMYFUNCTION("""COMPUTED_VALUE"""),"Y")</f>
        <v>Y</v>
      </c>
      <c r="R143" s="5"/>
      <c r="S143" s="5"/>
      <c r="T143" s="5">
        <f>IFERROR(__xludf.DUMMYFUNCTION("""COMPUTED_VALUE"""),440.0)</f>
        <v>440</v>
      </c>
      <c r="U143" s="5" t="str">
        <f>IFERROR(__xludf.DUMMYFUNCTION("""COMPUTED_VALUE"""),"Y")</f>
        <v>Y</v>
      </c>
      <c r="V143" s="5">
        <f>IFERROR(__xludf.DUMMYFUNCTION("""COMPUTED_VALUE"""),525.0)</f>
        <v>525</v>
      </c>
      <c r="W143" s="5">
        <f>IFERROR(__xludf.DUMMYFUNCTION("""COMPUTED_VALUE"""),0.0)</f>
        <v>0</v>
      </c>
      <c r="X143" s="5"/>
      <c r="Y143" s="5"/>
      <c r="Z143" s="5"/>
    </row>
    <row r="144">
      <c r="A144" s="5" t="str">
        <f>IFERROR(__xludf.DUMMYFUNCTION("""COMPUTED_VALUE"""),"คุโรบุตะ-3แถว-mfood-(r100.-)-80")</f>
        <v>คุโรบุตะ-3แถว-mfood-(r100.-)-80</v>
      </c>
      <c r="B144" s="5">
        <f>IFERROR(__xludf.DUMMYFUNCTION("""COMPUTED_VALUE"""),10854.0)</f>
        <v>10854</v>
      </c>
      <c r="C144" s="5" t="str">
        <f>IFERROR(__xludf.DUMMYFUNCTION("""COMPUTED_VALUE"""),"คุโรบุตะ ถุงใส (R100) 96")</f>
        <v>คุโรบุตะ ถุงใส (R100) 96</v>
      </c>
      <c r="D144" s="5" t="str">
        <f>IFERROR(__xludf.DUMMYFUNCTION("""COMPUTED_VALUE"""),"**ร้านค้า ราคาพิเศษ")</f>
        <v>**ร้านค้า ราคาพิเศษ</v>
      </c>
      <c r="E144" s="5"/>
      <c r="F144" s="5" t="str">
        <f>IFERROR(__xludf.DUMMYFUNCTION("""COMPUTED_VALUE"""),"N")</f>
        <v>N</v>
      </c>
      <c r="G144" s="5"/>
      <c r="H144" s="5"/>
      <c r="I144" s="5"/>
      <c r="J144" s="5"/>
      <c r="K144" s="5"/>
      <c r="L144" s="5"/>
      <c r="M144" s="5"/>
      <c r="N144" s="5"/>
      <c r="O144" s="5">
        <f>IFERROR(__xludf.DUMMYFUNCTION("""COMPUTED_VALUE"""),10313.0)</f>
        <v>10313</v>
      </c>
      <c r="P144" s="5">
        <f>IFERROR(__xludf.DUMMYFUNCTION("""COMPUTED_VALUE"""),1.0)</f>
        <v>1</v>
      </c>
      <c r="Q144" s="5" t="str">
        <f>IFERROR(__xludf.DUMMYFUNCTION("""COMPUTED_VALUE"""),"N")</f>
        <v>N</v>
      </c>
      <c r="R144" s="5" t="str">
        <f>IFERROR(__xludf.DUMMYFUNCTION("""COMPUTED_VALUE"""),"N")</f>
        <v>N</v>
      </c>
      <c r="S144" s="5"/>
      <c r="T144" s="5"/>
      <c r="U144" s="5" t="str">
        <f>IFERROR(__xludf.DUMMYFUNCTION("""COMPUTED_VALUE"""),"N")</f>
        <v>N</v>
      </c>
      <c r="V144" s="5">
        <f>IFERROR(__xludf.DUMMYFUNCTION("""COMPUTED_VALUE"""),480.0)</f>
        <v>480</v>
      </c>
      <c r="W144" s="5"/>
      <c r="X144" s="5"/>
      <c r="Y144" s="5"/>
      <c r="Z144" s="5"/>
    </row>
    <row r="145">
      <c r="A145" s="5" t="str">
        <f>IFERROR(__xludf.DUMMYFUNCTION("""COMPUTED_VALUE"""),"หมูกลม-(ติดมัน)5กก/หิ้ว")</f>
        <v>หมูกลม-(ติดมัน)5กก/หิ้ว</v>
      </c>
      <c r="B145" s="5">
        <f>IFERROR(__xludf.DUMMYFUNCTION("""COMPUTED_VALUE"""),10313.0)</f>
        <v>10313</v>
      </c>
      <c r="C145" s="5" t="str">
        <f>IFERROR(__xludf.DUMMYFUNCTION("""COMPUTED_VALUE"""),"คุโรบุตะ ถุงใส 5 กก. (หิ้ว) -105")</f>
        <v>คุโรบุตะ ถุงใส 5 กก. (หิ้ว) -105</v>
      </c>
      <c r="D145" s="5" t="str">
        <f>IFERROR(__xludf.DUMMYFUNCTION("""COMPUTED_VALUE"""),"**ของหิ้ว มหาชัย")</f>
        <v>**ของหิ้ว มหาชัย</v>
      </c>
      <c r="E145" s="5" t="str">
        <f>IFERROR(__xludf.DUMMYFUNCTION("""COMPUTED_VALUE"""),"&lt;p&gt;5&lt;/p&gt;")</f>
        <v>&lt;p&gt;5&lt;/p&gt;</v>
      </c>
      <c r="F145" s="5" t="str">
        <f>IFERROR(__xludf.DUMMYFUNCTION("""COMPUTED_VALUE"""),"N")</f>
        <v>N</v>
      </c>
      <c r="G145" s="5"/>
      <c r="H145" s="5"/>
      <c r="I145" s="5"/>
      <c r="J145" s="5"/>
      <c r="K145" s="5"/>
      <c r="L145" s="5"/>
      <c r="M145" s="5">
        <f>IFERROR(__xludf.DUMMYFUNCTION("""COMPUTED_VALUE"""),460.0)</f>
        <v>460</v>
      </c>
      <c r="N145" s="5"/>
      <c r="O145" s="5"/>
      <c r="P145" s="5"/>
      <c r="Q145" s="5" t="str">
        <f>IFERROR(__xludf.DUMMYFUNCTION("""COMPUTED_VALUE"""),"Y")</f>
        <v>Y</v>
      </c>
      <c r="R145" s="5"/>
      <c r="S145" s="5" t="str">
        <f>IFERROR(__xludf.DUMMYFUNCTION("""COMPUTED_VALUE"""),"บอม 108")</f>
        <v>บอม 108</v>
      </c>
      <c r="T145" s="5">
        <f>IFERROR(__xludf.DUMMYFUNCTION("""COMPUTED_VALUE"""),490.0)</f>
        <v>490</v>
      </c>
      <c r="U145" s="5" t="str">
        <f>IFERROR(__xludf.DUMMYFUNCTION("""COMPUTED_VALUE"""),"Y")</f>
        <v>Y</v>
      </c>
      <c r="V145" s="5">
        <f>IFERROR(__xludf.DUMMYFUNCTION("""COMPUTED_VALUE"""),525.0)</f>
        <v>525</v>
      </c>
      <c r="W145" s="5">
        <f>IFERROR(__xludf.DUMMYFUNCTION("""COMPUTED_VALUE"""),6.0)</f>
        <v>6</v>
      </c>
      <c r="X145" s="5">
        <f>IFERROR(__xludf.DUMMYFUNCTION("""COMPUTED_VALUE"""),5.0)</f>
        <v>5</v>
      </c>
      <c r="Y145" s="5">
        <f>IFERROR(__xludf.DUMMYFUNCTION("""COMPUTED_VALUE"""),25.0)</f>
        <v>25</v>
      </c>
      <c r="Z145" s="5"/>
    </row>
    <row r="146">
      <c r="A146" s="5" t="str">
        <f>IFERROR(__xludf.DUMMYFUNCTION("""COMPUTED_VALUE"""),"จี้หมู-ถุง--10-กก.(90)")</f>
        <v>จี้หมู-ถุง--10-กก.(90)</v>
      </c>
      <c r="B146" s="5">
        <f>IFERROR(__xludf.DUMMYFUNCTION("""COMPUTED_VALUE"""),10059.0)</f>
        <v>10059</v>
      </c>
      <c r="C146" s="5" t="str">
        <f>IFERROR(__xludf.DUMMYFUNCTION("""COMPUTED_VALUE"""),"จี้หมู ถุง  10 กก.(90)")</f>
        <v>จี้หมู ถุง  10 กก.(90)</v>
      </c>
      <c r="D146" s="5" t="str">
        <f>IFERROR(__xludf.DUMMYFUNCTION("""COMPUTED_VALUE"""),"**ลัง ร้อยเอ็ด")</f>
        <v>**ลัง ร้อยเอ็ด</v>
      </c>
      <c r="E146" s="5"/>
      <c r="F146" s="5" t="str">
        <f>IFERROR(__xludf.DUMMYFUNCTION("""COMPUTED_VALUE"""),"N")</f>
        <v>N</v>
      </c>
      <c r="G146" s="5"/>
      <c r="H146" s="5"/>
      <c r="I146" s="5"/>
      <c r="J146" s="5"/>
      <c r="K146" s="5"/>
      <c r="L146" s="5"/>
      <c r="M146" s="5">
        <f>IFERROR(__xludf.DUMMYFUNCTION("""COMPUTED_VALUE"""),600.0)</f>
        <v>600</v>
      </c>
      <c r="N146" s="5"/>
      <c r="O146" s="5"/>
      <c r="P146" s="5"/>
      <c r="Q146" s="5" t="str">
        <f>IFERROR(__xludf.DUMMYFUNCTION("""COMPUTED_VALUE"""),"Y")</f>
        <v>Y</v>
      </c>
      <c r="R146" s="5"/>
      <c r="S146" s="5"/>
      <c r="T146" s="5">
        <f>IFERROR(__xludf.DUMMYFUNCTION("""COMPUTED_VALUE"""),500.0)</f>
        <v>500</v>
      </c>
      <c r="U146" s="5" t="str">
        <f>IFERROR(__xludf.DUMMYFUNCTION("""COMPUTED_VALUE"""),"Y")</f>
        <v>Y</v>
      </c>
      <c r="V146" s="5">
        <f>IFERROR(__xludf.DUMMYFUNCTION("""COMPUTED_VALUE"""),900.0)</f>
        <v>900</v>
      </c>
      <c r="W146" s="5">
        <f>IFERROR(__xludf.DUMMYFUNCTION("""COMPUTED_VALUE"""),0.0)</f>
        <v>0</v>
      </c>
      <c r="X146" s="5"/>
      <c r="Y146" s="5"/>
      <c r="Z146" s="5"/>
    </row>
    <row r="147">
      <c r="A147" s="5" t="str">
        <f>IFERROR(__xludf.DUMMYFUNCTION("""COMPUTED_VALUE"""),"จี้-เบทาโกร1กก.")</f>
        <v>จี้-เบทาโกร1กก.</v>
      </c>
      <c r="B147" s="5">
        <f>IFERROR(__xludf.DUMMYFUNCTION("""COMPUTED_VALUE"""),10017.0)</f>
        <v>10017</v>
      </c>
      <c r="C147" s="5" t="str">
        <f>IFERROR(__xludf.DUMMYFUNCTION("""COMPUTED_VALUE"""),"จี้หมู ถุง 1กก.")</f>
        <v>จี้หมู ถุง 1กก.</v>
      </c>
      <c r="D147" s="5" t="str">
        <f>IFERROR(__xludf.DUMMYFUNCTION("""COMPUTED_VALUE"""),"**ลัง ร้อยเอ็ด")</f>
        <v>**ลัง ร้อยเอ็ด</v>
      </c>
      <c r="E147" s="5" t="str">
        <f>IFERROR(__xludf.DUMMYFUNCTION("""COMPUTED_VALUE"""),"&lt;p&gt;B&lt;/p&gt;")</f>
        <v>&lt;p&gt;B&lt;/p&gt;</v>
      </c>
      <c r="F147" s="5" t="str">
        <f>IFERROR(__xludf.DUMMYFUNCTION("""COMPUTED_VALUE"""),"N")</f>
        <v>N</v>
      </c>
      <c r="G147" s="5"/>
      <c r="H147" s="5"/>
      <c r="I147" s="5"/>
      <c r="J147" s="5"/>
      <c r="K147" s="5"/>
      <c r="L147" s="5"/>
      <c r="M147" s="5">
        <f>IFERROR(__xludf.DUMMYFUNCTION("""COMPUTED_VALUE"""),51.14)</f>
        <v>51.14</v>
      </c>
      <c r="N147" s="5">
        <f>IFERROR(__xludf.DUMMYFUNCTION("""COMPUTED_VALUE"""),10017.0)</f>
        <v>10017</v>
      </c>
      <c r="O147" s="5"/>
      <c r="P147" s="5"/>
      <c r="Q147" s="5" t="str">
        <f>IFERROR(__xludf.DUMMYFUNCTION("""COMPUTED_VALUE"""),"Y")</f>
        <v>Y</v>
      </c>
      <c r="R147" s="5"/>
      <c r="S147" s="5" t="str">
        <f>IFERROR(__xludf.DUMMYFUNCTION("""COMPUTED_VALUE"""),"เบทาโกร")</f>
        <v>เบทาโกร</v>
      </c>
      <c r="T147" s="5">
        <f>IFERROR(__xludf.DUMMYFUNCTION("""COMPUTED_VALUE"""),50.0)</f>
        <v>50</v>
      </c>
      <c r="U147" s="5" t="str">
        <f>IFERROR(__xludf.DUMMYFUNCTION("""COMPUTED_VALUE"""),"Y")</f>
        <v>Y</v>
      </c>
      <c r="V147" s="5">
        <f>IFERROR(__xludf.DUMMYFUNCTION("""COMPUTED_VALUE"""),90.0)</f>
        <v>90</v>
      </c>
      <c r="W147" s="5">
        <f>IFERROR(__xludf.DUMMYFUNCTION("""COMPUTED_VALUE"""),252.0)</f>
        <v>252</v>
      </c>
      <c r="X147" s="5">
        <f>IFERROR(__xludf.DUMMYFUNCTION("""COMPUTED_VALUE"""),19.0)</f>
        <v>19</v>
      </c>
      <c r="Y147" s="5">
        <f>IFERROR(__xludf.DUMMYFUNCTION("""COMPUTED_VALUE"""),32.0)</f>
        <v>32</v>
      </c>
      <c r="Z147" s="5"/>
    </row>
    <row r="148">
      <c r="A148" s="5" t="str">
        <f>IFERROR(__xludf.DUMMYFUNCTION("""COMPUTED_VALUE"""),"จี้หมู-ถุง-5-กก-90")</f>
        <v>จี้หมู-ถุง-5-กก-90</v>
      </c>
      <c r="B148" s="5">
        <f>IFERROR(__xludf.DUMMYFUNCTION("""COMPUTED_VALUE"""),10057.0)</f>
        <v>10057</v>
      </c>
      <c r="C148" s="5" t="str">
        <f>IFERROR(__xludf.DUMMYFUNCTION("""COMPUTED_VALUE"""),"จี้หมู ถุง 5 กก-90")</f>
        <v>จี้หมู ถุง 5 กก-90</v>
      </c>
      <c r="D148" s="5" t="str">
        <f>IFERROR(__xludf.DUMMYFUNCTION("""COMPUTED_VALUE"""),"**ของหิ้ว ร้อยเอ็ด")</f>
        <v>**ของหิ้ว ร้อยเอ็ด</v>
      </c>
      <c r="E148" s="5"/>
      <c r="F148" s="5" t="str">
        <f>IFERROR(__xludf.DUMMYFUNCTION("""COMPUTED_VALUE"""),"N")</f>
        <v>N</v>
      </c>
      <c r="G148" s="5"/>
      <c r="H148" s="5"/>
      <c r="I148" s="5"/>
      <c r="J148" s="5"/>
      <c r="K148" s="5"/>
      <c r="L148" s="5"/>
      <c r="M148" s="5">
        <f>IFERROR(__xludf.DUMMYFUNCTION("""COMPUTED_VALUE"""),238.64)</f>
        <v>238.64</v>
      </c>
      <c r="N148" s="5"/>
      <c r="O148" s="5"/>
      <c r="P148" s="5"/>
      <c r="Q148" s="5" t="str">
        <f>IFERROR(__xludf.DUMMYFUNCTION("""COMPUTED_VALUE"""),"Y")</f>
        <v>Y</v>
      </c>
      <c r="R148" s="5"/>
      <c r="S148" s="5"/>
      <c r="T148" s="5">
        <f>IFERROR(__xludf.DUMMYFUNCTION("""COMPUTED_VALUE"""),230.0)</f>
        <v>230</v>
      </c>
      <c r="U148" s="5" t="str">
        <f>IFERROR(__xludf.DUMMYFUNCTION("""COMPUTED_VALUE"""),"Y")</f>
        <v>Y</v>
      </c>
      <c r="V148" s="5">
        <f>IFERROR(__xludf.DUMMYFUNCTION("""COMPUTED_VALUE"""),450.0)</f>
        <v>450</v>
      </c>
      <c r="W148" s="5">
        <f>IFERROR(__xludf.DUMMYFUNCTION("""COMPUTED_VALUE"""),0.0)</f>
        <v>0</v>
      </c>
      <c r="X148" s="5"/>
      <c r="Y148" s="5"/>
      <c r="Z148" s="5"/>
    </row>
    <row r="149">
      <c r="A149" s="5" t="str">
        <f>IFERROR(__xludf.DUMMYFUNCTION("""COMPUTED_VALUE"""),"จี้หมู(เบ)-ถุง1กก--r100")</f>
        <v>จี้หมู(เบ)-ถุง1กก--r100</v>
      </c>
      <c r="B149" s="5">
        <f>IFERROR(__xludf.DUMMYFUNCTION("""COMPUTED_VALUE"""),10454.0)</f>
        <v>10454</v>
      </c>
      <c r="C149" s="5" t="str">
        <f>IFERROR(__xludf.DUMMYFUNCTION("""COMPUTED_VALUE"""),"จี้หมู(เบ) ถุง1กก R100 -80")</f>
        <v>จี้หมู(เบ) ถุง1กก R100 -80</v>
      </c>
      <c r="D149" s="5" t="str">
        <f>IFERROR(__xludf.DUMMYFUNCTION("""COMPUTED_VALUE"""),"**ร้านค้า ราคาพิเศษ")</f>
        <v>**ร้านค้า ราคาพิเศษ</v>
      </c>
      <c r="E149" s="5"/>
      <c r="F149" s="5" t="str">
        <f>IFERROR(__xludf.DUMMYFUNCTION("""COMPUTED_VALUE"""),"N")</f>
        <v>N</v>
      </c>
      <c r="G149" s="5"/>
      <c r="H149" s="5"/>
      <c r="I149" s="5"/>
      <c r="J149" s="5"/>
      <c r="K149" s="5"/>
      <c r="L149" s="5"/>
      <c r="M149" s="5"/>
      <c r="N149" s="5"/>
      <c r="O149" s="5">
        <f>IFERROR(__xludf.DUMMYFUNCTION("""COMPUTED_VALUE"""),10017.0)</f>
        <v>10017</v>
      </c>
      <c r="P149" s="5">
        <f>IFERROR(__xludf.DUMMYFUNCTION("""COMPUTED_VALUE"""),1.0)</f>
        <v>1</v>
      </c>
      <c r="Q149" s="5" t="str">
        <f>IFERROR(__xludf.DUMMYFUNCTION("""COMPUTED_VALUE"""),"N")</f>
        <v>N</v>
      </c>
      <c r="R149" s="5" t="str">
        <f>IFERROR(__xludf.DUMMYFUNCTION("""COMPUTED_VALUE"""),"N")</f>
        <v>N</v>
      </c>
      <c r="S149" s="5"/>
      <c r="T149" s="5"/>
      <c r="U149" s="5" t="str">
        <f>IFERROR(__xludf.DUMMYFUNCTION("""COMPUTED_VALUE"""),"Y")</f>
        <v>Y</v>
      </c>
      <c r="V149" s="5">
        <f>IFERROR(__xludf.DUMMYFUNCTION("""COMPUTED_VALUE"""),80.0)</f>
        <v>80</v>
      </c>
      <c r="W149" s="5"/>
      <c r="X149" s="5"/>
      <c r="Y149" s="5"/>
      <c r="Z149" s="5"/>
    </row>
    <row r="150">
      <c r="A150" s="5" t="str">
        <f>IFERROR(__xludf.DUMMYFUNCTION("""COMPUTED_VALUE"""),"จี้หมูสไลด์แพ็ค-1kg")</f>
        <v>จี้หมูสไลด์แพ็ค-1kg</v>
      </c>
      <c r="B150" s="5">
        <f>IFERROR(__xludf.DUMMYFUNCTION("""COMPUTED_VALUE"""),10332.0)</f>
        <v>10332</v>
      </c>
      <c r="C150" s="5" t="str">
        <f>IFERROR(__xludf.DUMMYFUNCTION("""COMPUTED_VALUE"""),"จี้หมูสไลด์แพ็ค 1Kg")</f>
        <v>จี้หมูสไลด์แพ็ค 1Kg</v>
      </c>
      <c r="D150" s="5" t="str">
        <f>IFERROR(__xludf.DUMMYFUNCTION("""COMPUTED_VALUE"""),"**ของสด-ทำใหม่")</f>
        <v>**ของสด-ทำใหม่</v>
      </c>
      <c r="E150" s="5" t="str">
        <f>IFERROR(__xludf.DUMMYFUNCTION("""COMPUTED_VALUE"""),"&lt;p&gt;X&lt;/p&gt;")</f>
        <v>&lt;p&gt;X&lt;/p&gt;</v>
      </c>
      <c r="F150" s="5" t="str">
        <f>IFERROR(__xludf.DUMMYFUNCTION("""COMPUTED_VALUE"""),"N")</f>
        <v>N</v>
      </c>
      <c r="G150" s="5"/>
      <c r="H150" s="5"/>
      <c r="I150" s="5"/>
      <c r="J150" s="5"/>
      <c r="K150" s="5"/>
      <c r="L150" s="5"/>
      <c r="M150" s="5"/>
      <c r="N150" s="5">
        <f>IFERROR(__xludf.DUMMYFUNCTION("""COMPUTED_VALUE"""),10332.0)</f>
        <v>10332</v>
      </c>
      <c r="O150" s="5">
        <f>IFERROR(__xludf.DUMMYFUNCTION("""COMPUTED_VALUE"""),10017.0)</f>
        <v>10017</v>
      </c>
      <c r="P150" s="5">
        <f>IFERROR(__xludf.DUMMYFUNCTION("""COMPUTED_VALUE"""),1.0)</f>
        <v>1</v>
      </c>
      <c r="Q150" s="5" t="str">
        <f>IFERROR(__xludf.DUMMYFUNCTION("""COMPUTED_VALUE"""),"N")</f>
        <v>N</v>
      </c>
      <c r="R150" s="5" t="str">
        <f>IFERROR(__xludf.DUMMYFUNCTION("""COMPUTED_VALUE"""),"N")</f>
        <v>N</v>
      </c>
      <c r="S150" s="5"/>
      <c r="T150" s="5"/>
      <c r="U150" s="5" t="str">
        <f>IFERROR(__xludf.DUMMYFUNCTION("""COMPUTED_VALUE"""),"Y")</f>
        <v>Y</v>
      </c>
      <c r="V150" s="5">
        <f>IFERROR(__xludf.DUMMYFUNCTION("""COMPUTED_VALUE"""),95.0)</f>
        <v>95</v>
      </c>
      <c r="W150" s="5"/>
      <c r="X150" s="5"/>
      <c r="Y150" s="5"/>
      <c r="Z150" s="5"/>
    </row>
    <row r="151">
      <c r="A151" s="5" t="str">
        <f>IFERROR(__xludf.DUMMYFUNCTION("""COMPUTED_VALUE"""),"ชาบู-c--5-กก./หิ้ว--(75)")</f>
        <v>ชาบู-c--5-กก./หิ้ว--(75)</v>
      </c>
      <c r="B151" s="5">
        <f>IFERROR(__xludf.DUMMYFUNCTION("""COMPUTED_VALUE"""),10006.0)</f>
        <v>10006</v>
      </c>
      <c r="C151" s="5" t="str">
        <f>IFERROR(__xludf.DUMMYFUNCTION("""COMPUTED_VALUE"""),"ชาบู C  5 กก./หิ้ว  (83)")</f>
        <v>ชาบู C  5 กก./หิ้ว  (83)</v>
      </c>
      <c r="D151" s="5" t="str">
        <f>IFERROR(__xludf.DUMMYFUNCTION("""COMPUTED_VALUE"""),"**ของหิ้ว มหาชัย")</f>
        <v>**ของหิ้ว มหาชัย</v>
      </c>
      <c r="E151" s="5"/>
      <c r="F151" s="5" t="str">
        <f>IFERROR(__xludf.DUMMYFUNCTION("""COMPUTED_VALUE"""),"N")</f>
        <v>N</v>
      </c>
      <c r="G151" s="5"/>
      <c r="H151" s="5"/>
      <c r="I151" s="5"/>
      <c r="J151" s="5"/>
      <c r="K151" s="5"/>
      <c r="L151" s="5"/>
      <c r="M151" s="5">
        <f>IFERROR(__xludf.DUMMYFUNCTION("""COMPUTED_VALUE"""),352.79)</f>
        <v>352.79</v>
      </c>
      <c r="N151" s="5"/>
      <c r="O151" s="5"/>
      <c r="P151" s="5"/>
      <c r="Q151" s="5" t="str">
        <f>IFERROR(__xludf.DUMMYFUNCTION("""COMPUTED_VALUE"""),"Y")</f>
        <v>Y</v>
      </c>
      <c r="R151" s="5"/>
      <c r="S151" s="5" t="str">
        <f>IFERROR(__xludf.DUMMYFUNCTION("""COMPUTED_VALUE"""),"ขึ้นของมหาชัย")</f>
        <v>ขึ้นของมหาชัย</v>
      </c>
      <c r="T151" s="5">
        <f>IFERROR(__xludf.DUMMYFUNCTION("""COMPUTED_VALUE"""),320.0)</f>
        <v>320</v>
      </c>
      <c r="U151" s="5" t="str">
        <f>IFERROR(__xludf.DUMMYFUNCTION("""COMPUTED_VALUE"""),"N")</f>
        <v>N</v>
      </c>
      <c r="V151" s="5">
        <f>IFERROR(__xludf.DUMMYFUNCTION("""COMPUTED_VALUE"""),415.0)</f>
        <v>415</v>
      </c>
      <c r="W151" s="5">
        <f>IFERROR(__xludf.DUMMYFUNCTION("""COMPUTED_VALUE"""),0.0)</f>
        <v>0</v>
      </c>
      <c r="X151" s="5"/>
      <c r="Y151" s="5"/>
      <c r="Z151" s="5"/>
    </row>
    <row r="152">
      <c r="A152" s="5" t="str">
        <f>IFERROR(__xludf.DUMMYFUNCTION("""COMPUTED_VALUE"""),"ชาบู-c-นมสด-5-กก./หิ้ว-(75)")</f>
        <v>ชาบู-c-นมสด-5-กก./หิ้ว-(75)</v>
      </c>
      <c r="B152" s="5">
        <f>IFERROR(__xludf.DUMMYFUNCTION("""COMPUTED_VALUE"""),10003.0)</f>
        <v>10003</v>
      </c>
      <c r="C152" s="5" t="str">
        <f>IFERROR(__xludf.DUMMYFUNCTION("""COMPUTED_VALUE"""),"ชาบู C นมสด 5 กก./หิ้ว (83)")</f>
        <v>ชาบู C นมสด 5 กก./หิ้ว (83)</v>
      </c>
      <c r="D152" s="5"/>
      <c r="E152" s="5"/>
      <c r="F152" s="5" t="str">
        <f>IFERROR(__xludf.DUMMYFUNCTION("""COMPUTED_VALUE"""),"N")</f>
        <v>N</v>
      </c>
      <c r="G152" s="5"/>
      <c r="H152" s="5"/>
      <c r="I152" s="5"/>
      <c r="J152" s="5"/>
      <c r="K152" s="5"/>
      <c r="L152" s="5"/>
      <c r="M152" s="5">
        <f>IFERROR(__xludf.DUMMYFUNCTION("""COMPUTED_VALUE"""),328.31)</f>
        <v>328.31</v>
      </c>
      <c r="N152" s="5"/>
      <c r="O152" s="5"/>
      <c r="P152" s="5"/>
      <c r="Q152" s="5" t="str">
        <f>IFERROR(__xludf.DUMMYFUNCTION("""COMPUTED_VALUE"""),"Y")</f>
        <v>Y</v>
      </c>
      <c r="R152" s="5"/>
      <c r="S152" s="5"/>
      <c r="T152" s="5">
        <f>IFERROR(__xludf.DUMMYFUNCTION("""COMPUTED_VALUE"""),320.0)</f>
        <v>320</v>
      </c>
      <c r="U152" s="5" t="str">
        <f>IFERROR(__xludf.DUMMYFUNCTION("""COMPUTED_VALUE"""),"N")</f>
        <v>N</v>
      </c>
      <c r="V152" s="5">
        <f>IFERROR(__xludf.DUMMYFUNCTION("""COMPUTED_VALUE"""),415.0)</f>
        <v>415</v>
      </c>
      <c r="W152" s="5">
        <f>IFERROR(__xludf.DUMMYFUNCTION("""COMPUTED_VALUE"""),0.0)</f>
        <v>0</v>
      </c>
      <c r="X152" s="5"/>
      <c r="Y152" s="5"/>
      <c r="Z152" s="5"/>
    </row>
    <row r="153">
      <c r="A153" s="5" t="str">
        <f>IFERROR(__xludf.DUMMYFUNCTION("""COMPUTED_VALUE"""),"ชาบูกลม-mfood--ข-5กก/หิ้ว-110")</f>
        <v>ชาบูกลม-mfood--ข-5กก/หิ้ว-110</v>
      </c>
      <c r="B153" s="5">
        <f>IFERROR(__xludf.DUMMYFUNCTION("""COMPUTED_VALUE"""),10660.0)</f>
        <v>10660</v>
      </c>
      <c r="C153" s="5" t="str">
        <f>IFERROR(__xludf.DUMMYFUNCTION("""COMPUTED_VALUE"""),"ชาบูกลม Mfood (เขียว) 5 กก.(หิ้ว) - 119")</f>
        <v>ชาบูกลม Mfood (เขียว) 5 กก.(หิ้ว) - 119</v>
      </c>
      <c r="D153" s="5" t="str">
        <f>IFERROR(__xludf.DUMMYFUNCTION("""COMPUTED_VALUE"""),"**ของหิ้ว มหาชัย")</f>
        <v>**ของหิ้ว มหาชัย</v>
      </c>
      <c r="E153" s="5" t="str">
        <f>IFERROR(__xludf.DUMMYFUNCTION("""COMPUTED_VALUE"""),"&lt;p&gt;5&lt;/p&gt;")</f>
        <v>&lt;p&gt;5&lt;/p&gt;</v>
      </c>
      <c r="F153" s="5" t="str">
        <f>IFERROR(__xludf.DUMMYFUNCTION("""COMPUTED_VALUE"""),"N")</f>
        <v>N</v>
      </c>
      <c r="G153" s="5"/>
      <c r="H153" s="5"/>
      <c r="I153" s="5"/>
      <c r="J153" s="5"/>
      <c r="K153" s="5"/>
      <c r="L153" s="5"/>
      <c r="M153" s="5">
        <f>IFERROR(__xludf.DUMMYFUNCTION("""COMPUTED_VALUE"""),543.42)</f>
        <v>543.42</v>
      </c>
      <c r="N153" s="5"/>
      <c r="O153" s="5"/>
      <c r="P153" s="5"/>
      <c r="Q153" s="5" t="str">
        <f>IFERROR(__xludf.DUMMYFUNCTION("""COMPUTED_VALUE"""),"Y")</f>
        <v>Y</v>
      </c>
      <c r="R153" s="5"/>
      <c r="S153" s="5" t="str">
        <f>IFERROR(__xludf.DUMMYFUNCTION("""COMPUTED_VALUE"""),"ขึ้นของมหาชัย")</f>
        <v>ขึ้นของมหาชัย</v>
      </c>
      <c r="T153" s="5">
        <f>IFERROR(__xludf.DUMMYFUNCTION("""COMPUTED_VALUE"""),520.0)</f>
        <v>520</v>
      </c>
      <c r="U153" s="5" t="str">
        <f>IFERROR(__xludf.DUMMYFUNCTION("""COMPUTED_VALUE"""),"Y")</f>
        <v>Y</v>
      </c>
      <c r="V153" s="5">
        <f>IFERROR(__xludf.DUMMYFUNCTION("""COMPUTED_VALUE"""),595.0)</f>
        <v>595</v>
      </c>
      <c r="W153" s="5">
        <f>IFERROR(__xludf.DUMMYFUNCTION("""COMPUTED_VALUE"""),13.0)</f>
        <v>13</v>
      </c>
      <c r="X153" s="5">
        <f>IFERROR(__xludf.DUMMYFUNCTION("""COMPUTED_VALUE"""),5.0)</f>
        <v>5</v>
      </c>
      <c r="Y153" s="5">
        <f>IFERROR(__xludf.DUMMYFUNCTION("""COMPUTED_VALUE"""),15.0)</f>
        <v>15</v>
      </c>
      <c r="Z153" s="5"/>
    </row>
    <row r="154">
      <c r="A154" s="5" t="str">
        <f>IFERROR(__xludf.DUMMYFUNCTION("""COMPUTED_VALUE"""),"ชาบูกลม-ติดหนัง-หิ้้้ว-(105)")</f>
        <v>ชาบูกลม-ติดหนัง-หิ้้้ว-(105)</v>
      </c>
      <c r="B154" s="5">
        <f>IFERROR(__xludf.DUMMYFUNCTION("""COMPUTED_VALUE"""),10684.0)</f>
        <v>10684</v>
      </c>
      <c r="C154" s="5" t="str">
        <f>IFERROR(__xludf.DUMMYFUNCTION("""COMPUTED_VALUE"""),"ชาบูกลม(วินเนอร์) ติดหนัง หิ้ว (105)")</f>
        <v>ชาบูกลม(วินเนอร์) ติดหนัง หิ้ว (105)</v>
      </c>
      <c r="D154" s="5" t="str">
        <f>IFERROR(__xludf.DUMMYFUNCTION("""COMPUTED_VALUE"""),"**ของหิ้ว ร้อยเอ็ด")</f>
        <v>**ของหิ้ว ร้อยเอ็ด</v>
      </c>
      <c r="E154" s="5" t="str">
        <f>IFERROR(__xludf.DUMMYFUNCTION("""COMPUTED_VALUE"""),"&lt;p&gt;A&lt;/p&gt;")</f>
        <v>&lt;p&gt;A&lt;/p&gt;</v>
      </c>
      <c r="F154" s="5" t="str">
        <f>IFERROR(__xludf.DUMMYFUNCTION("""COMPUTED_VALUE"""),"N")</f>
        <v>N</v>
      </c>
      <c r="G154" s="5"/>
      <c r="H154" s="5"/>
      <c r="I154" s="5"/>
      <c r="J154" s="5"/>
      <c r="K154" s="5"/>
      <c r="L154" s="5"/>
      <c r="M154" s="5">
        <f>IFERROR(__xludf.DUMMYFUNCTION("""COMPUTED_VALUE"""),435.43)</f>
        <v>435.43</v>
      </c>
      <c r="N154" s="5"/>
      <c r="O154" s="5"/>
      <c r="P154" s="5"/>
      <c r="Q154" s="5" t="str">
        <f>IFERROR(__xludf.DUMMYFUNCTION("""COMPUTED_VALUE"""),"Y")</f>
        <v>Y</v>
      </c>
      <c r="R154" s="5"/>
      <c r="S154" s="5" t="str">
        <f>IFERROR(__xludf.DUMMYFUNCTION("""COMPUTED_VALUE"""),"หมูอร่อย")</f>
        <v>หมูอร่อย</v>
      </c>
      <c r="T154" s="5">
        <f>IFERROR(__xludf.DUMMYFUNCTION("""COMPUTED_VALUE"""),425.0)</f>
        <v>425</v>
      </c>
      <c r="U154" s="5" t="str">
        <f>IFERROR(__xludf.DUMMYFUNCTION("""COMPUTED_VALUE"""),"Y")</f>
        <v>Y</v>
      </c>
      <c r="V154" s="5">
        <f>IFERROR(__xludf.DUMMYFUNCTION("""COMPUTED_VALUE"""),525.0)</f>
        <v>525</v>
      </c>
      <c r="W154" s="5">
        <f>IFERROR(__xludf.DUMMYFUNCTION("""COMPUTED_VALUE"""),0.0)</f>
        <v>0</v>
      </c>
      <c r="X154" s="5">
        <f>IFERROR(__xludf.DUMMYFUNCTION("""COMPUTED_VALUE"""),7.0)</f>
        <v>7</v>
      </c>
      <c r="Y154" s="5">
        <f>IFERROR(__xludf.DUMMYFUNCTION("""COMPUTED_VALUE"""),10.0)</f>
        <v>10</v>
      </c>
      <c r="Z154" s="5"/>
    </row>
    <row r="155">
      <c r="A155" s="5" t="str">
        <f>IFERROR(__xludf.DUMMYFUNCTION("""COMPUTED_VALUE"""),"สามชั้นสไลด์ชาบู-นมสด-1กก(ถุงชมพู)")</f>
        <v>สามชั้นสไลด์ชาบู-นมสด-1กก(ถุงชมพู)</v>
      </c>
      <c r="B155" s="5">
        <f>IFERROR(__xludf.DUMMYFUNCTION("""COMPUTED_VALUE"""),11060.0)</f>
        <v>11060</v>
      </c>
      <c r="C155" s="5" t="str">
        <f>IFERROR(__xludf.DUMMYFUNCTION("""COMPUTED_VALUE"""),"ชาบูนมสด หมูอร่อย 1Kg")</f>
        <v>ชาบูนมสด หมูอร่อย 1Kg</v>
      </c>
      <c r="D155" s="5" t="str">
        <f>IFERROR(__xludf.DUMMYFUNCTION("""COMPUTED_VALUE"""),"อร่อย")</f>
        <v>อร่อย</v>
      </c>
      <c r="E155" s="5" t="str">
        <f>IFERROR(__xludf.DUMMYFUNCTION("""COMPUTED_VALUE"""),"&lt;p&gt;B&lt;/p&gt;")</f>
        <v>&lt;p&gt;B&lt;/p&gt;</v>
      </c>
      <c r="F155" s="5" t="str">
        <f>IFERROR(__xludf.DUMMYFUNCTION("""COMPUTED_VALUE"""),"N")</f>
        <v>N</v>
      </c>
      <c r="G155" s="5"/>
      <c r="H155" s="5"/>
      <c r="I155" s="5"/>
      <c r="J155" s="5"/>
      <c r="K155" s="5"/>
      <c r="L155" s="5"/>
      <c r="M155" s="5">
        <f>IFERROR(__xludf.DUMMYFUNCTION("""COMPUTED_VALUE"""),94.23)</f>
        <v>94.23</v>
      </c>
      <c r="N155" s="5">
        <f>IFERROR(__xludf.DUMMYFUNCTION("""COMPUTED_VALUE"""),11060.0)</f>
        <v>11060</v>
      </c>
      <c r="O155" s="5"/>
      <c r="P155" s="5"/>
      <c r="Q155" s="5" t="str">
        <f>IFERROR(__xludf.DUMMYFUNCTION("""COMPUTED_VALUE"""),"Y")</f>
        <v>Y</v>
      </c>
      <c r="R155" s="5"/>
      <c r="S155" s="5" t="str">
        <f>IFERROR(__xludf.DUMMYFUNCTION("""COMPUTED_VALUE"""),"หมูอร่อย")</f>
        <v>หมูอร่อย</v>
      </c>
      <c r="T155" s="5">
        <f>IFERROR(__xludf.DUMMYFUNCTION("""COMPUTED_VALUE"""),96.0)</f>
        <v>96</v>
      </c>
      <c r="U155" s="5" t="str">
        <f>IFERROR(__xludf.DUMMYFUNCTION("""COMPUTED_VALUE"""),"Y")</f>
        <v>Y</v>
      </c>
      <c r="V155" s="5">
        <f>IFERROR(__xludf.DUMMYFUNCTION("""COMPUTED_VALUE"""),128.0)</f>
        <v>128</v>
      </c>
      <c r="W155" s="5">
        <f>IFERROR(__xludf.DUMMYFUNCTION("""COMPUTED_VALUE"""),65.0)</f>
        <v>65</v>
      </c>
      <c r="X155" s="5">
        <f>IFERROR(__xludf.DUMMYFUNCTION("""COMPUTED_VALUE"""),16.0)</f>
        <v>16</v>
      </c>
      <c r="Y155" s="5">
        <f>IFERROR(__xludf.DUMMYFUNCTION("""COMPUTED_VALUE"""),24.0)</f>
        <v>24</v>
      </c>
      <c r="Z155" s="5"/>
    </row>
    <row r="156">
      <c r="A156" s="5" t="str">
        <f>IFERROR(__xludf.DUMMYFUNCTION("""COMPUTED_VALUE"""),"หมูสไลด์ชาบู-(หิ้วชมพู)-5กก")</f>
        <v>หมูสไลด์ชาบู-(หิ้วชมพู)-5กก</v>
      </c>
      <c r="B156" s="5">
        <f>IFERROR(__xludf.DUMMYFUNCTION("""COMPUTED_VALUE"""),11059.0)</f>
        <v>11059</v>
      </c>
      <c r="C156" s="5" t="str">
        <f>IFERROR(__xludf.DUMMYFUNCTION("""COMPUTED_VALUE"""),"ชาบูนมสด หมูอร่อย 5 กก./หิ้วชมพู - 110")</f>
        <v>ชาบูนมสด หมูอร่อย 5 กก./หิ้วชมพู - 110</v>
      </c>
      <c r="D156" s="5"/>
      <c r="E156" s="5" t="str">
        <f>IFERROR(__xludf.DUMMYFUNCTION("""COMPUTED_VALUE"""),"&lt;p&gt;S&lt;/p&gt;")</f>
        <v>&lt;p&gt;S&lt;/p&gt;</v>
      </c>
      <c r="F156" s="5" t="str">
        <f>IFERROR(__xludf.DUMMYFUNCTION("""COMPUTED_VALUE"""),"N")</f>
        <v>N</v>
      </c>
      <c r="G156" s="5"/>
      <c r="H156" s="5"/>
      <c r="I156" s="5"/>
      <c r="J156" s="5"/>
      <c r="K156" s="5"/>
      <c r="L156" s="5"/>
      <c r="M156" s="5"/>
      <c r="N156" s="5">
        <f>IFERROR(__xludf.DUMMYFUNCTION("""COMPUTED_VALUE"""),11059.0)</f>
        <v>11059</v>
      </c>
      <c r="O156" s="5">
        <f>IFERROR(__xludf.DUMMYFUNCTION("""COMPUTED_VALUE"""),11060.0)</f>
        <v>11060</v>
      </c>
      <c r="P156" s="5">
        <f>IFERROR(__xludf.DUMMYFUNCTION("""COMPUTED_VALUE"""),5.0)</f>
        <v>5</v>
      </c>
      <c r="Q156" s="5" t="str">
        <f>IFERROR(__xludf.DUMMYFUNCTION("""COMPUTED_VALUE"""),"N")</f>
        <v>N</v>
      </c>
      <c r="R156" s="5" t="str">
        <f>IFERROR(__xludf.DUMMYFUNCTION("""COMPUTED_VALUE"""),"N")</f>
        <v>N</v>
      </c>
      <c r="S156" s="5"/>
      <c r="T156" s="5"/>
      <c r="U156" s="5" t="str">
        <f>IFERROR(__xludf.DUMMYFUNCTION("""COMPUTED_VALUE"""),"Y")</f>
        <v>Y</v>
      </c>
      <c r="V156" s="5">
        <f>IFERROR(__xludf.DUMMYFUNCTION("""COMPUTED_VALUE"""),550.0)</f>
        <v>550</v>
      </c>
      <c r="W156" s="5"/>
      <c r="X156" s="5"/>
      <c r="Y156" s="5"/>
      <c r="Z156" s="5"/>
    </row>
    <row r="157">
      <c r="A157" s="5" t="str">
        <f>IFERROR(__xludf.DUMMYFUNCTION("""COMPUTED_VALUE"""),"ชิคุวะ-(ทวีวงษ์)--ลัง")</f>
        <v>ชิคุวะ-(ทวีวงษ์)--ลัง</v>
      </c>
      <c r="B157" s="5">
        <f>IFERROR(__xludf.DUMMYFUNCTION("""COMPUTED_VALUE"""),10785.0)</f>
        <v>10785</v>
      </c>
      <c r="C157" s="5" t="str">
        <f>IFERROR(__xludf.DUMMYFUNCTION("""COMPUTED_VALUE"""),"ชิคุวะ (ทวีวงษ์)20*500g  (ลัง)")</f>
        <v>ชิคุวะ (ทวีวงษ์)20*500g  (ลัง)</v>
      </c>
      <c r="D157" s="5"/>
      <c r="E157" s="5"/>
      <c r="F157" s="5" t="str">
        <f>IFERROR(__xludf.DUMMYFUNCTION("""COMPUTED_VALUE"""),"N")</f>
        <v>N</v>
      </c>
      <c r="G157" s="5"/>
      <c r="H157" s="5"/>
      <c r="I157" s="5"/>
      <c r="J157" s="5"/>
      <c r="K157" s="5"/>
      <c r="L157" s="5"/>
      <c r="M157" s="5"/>
      <c r="N157" s="5">
        <f>IFERROR(__xludf.DUMMYFUNCTION("""COMPUTED_VALUE"""),8.850016050078E12)</f>
        <v>8850016050078</v>
      </c>
      <c r="O157" s="5">
        <f>IFERROR(__xludf.DUMMYFUNCTION("""COMPUTED_VALUE"""),10525.0)</f>
        <v>10525</v>
      </c>
      <c r="P157" s="5">
        <f>IFERROR(__xludf.DUMMYFUNCTION("""COMPUTED_VALUE"""),20.0)</f>
        <v>20</v>
      </c>
      <c r="Q157" s="5" t="str">
        <f>IFERROR(__xludf.DUMMYFUNCTION("""COMPUTED_VALUE"""),"N")</f>
        <v>N</v>
      </c>
      <c r="R157" s="5" t="str">
        <f>IFERROR(__xludf.DUMMYFUNCTION("""COMPUTED_VALUE"""),"N")</f>
        <v>N</v>
      </c>
      <c r="S157" s="5"/>
      <c r="T157" s="5"/>
      <c r="U157" s="5" t="str">
        <f>IFERROR(__xludf.DUMMYFUNCTION("""COMPUTED_VALUE"""),"Y")</f>
        <v>Y</v>
      </c>
      <c r="V157" s="5">
        <f>IFERROR(__xludf.DUMMYFUNCTION("""COMPUTED_VALUE"""),980.0)</f>
        <v>980</v>
      </c>
      <c r="W157" s="5"/>
      <c r="X157" s="5"/>
      <c r="Y157" s="5"/>
      <c r="Z157" s="5"/>
    </row>
    <row r="158">
      <c r="A158" s="5" t="str">
        <f>IFERROR(__xludf.DUMMYFUNCTION("""COMPUTED_VALUE"""),"ชิคุวะ-500g")</f>
        <v>ชิคุวะ-500g</v>
      </c>
      <c r="B158" s="5">
        <f>IFERROR(__xludf.DUMMYFUNCTION("""COMPUTED_VALUE"""),10525.0)</f>
        <v>10525</v>
      </c>
      <c r="C158" s="5" t="str">
        <f>IFERROR(__xludf.DUMMYFUNCTION("""COMPUTED_VALUE"""),"ชิคุวะ(ทวีวงษ์)  500g")</f>
        <v>ชิคุวะ(ทวีวงษ์)  500g</v>
      </c>
      <c r="D158" s="5" t="str">
        <f>IFERROR(__xludf.DUMMYFUNCTION("""COMPUTED_VALUE"""),"ทวีวงษ์-PFP")</f>
        <v>ทวีวงษ์-PFP</v>
      </c>
      <c r="E158" s="5" t="str">
        <f>IFERROR(__xludf.DUMMYFUNCTION("""COMPUTED_VALUE"""),"&lt;p&gt;X&lt;/p&gt;")</f>
        <v>&lt;p&gt;X&lt;/p&gt;</v>
      </c>
      <c r="F158" s="5" t="str">
        <f>IFERROR(__xludf.DUMMYFUNCTION("""COMPUTED_VALUE"""),"N")</f>
        <v>N</v>
      </c>
      <c r="G158" s="5"/>
      <c r="H158" s="5"/>
      <c r="I158" s="5"/>
      <c r="J158" s="5"/>
      <c r="K158" s="5"/>
      <c r="L158" s="5"/>
      <c r="M158" s="5">
        <f>IFERROR(__xludf.DUMMYFUNCTION("""COMPUTED_VALUE"""),45.41)</f>
        <v>45.41</v>
      </c>
      <c r="N158" s="5">
        <f>IFERROR(__xludf.DUMMYFUNCTION("""COMPUTED_VALUE"""),10525.0)</f>
        <v>10525</v>
      </c>
      <c r="O158" s="5"/>
      <c r="P158" s="5"/>
      <c r="Q158" s="5" t="str">
        <f>IFERROR(__xludf.DUMMYFUNCTION("""COMPUTED_VALUE"""),"Y")</f>
        <v>Y</v>
      </c>
      <c r="R158" s="5"/>
      <c r="S158" s="5" t="str">
        <f>IFERROR(__xludf.DUMMYFUNCTION("""COMPUTED_VALUE"""),"ทวีวงษ์")</f>
        <v>ทวีวงษ์</v>
      </c>
      <c r="T158" s="5">
        <f>IFERROR(__xludf.DUMMYFUNCTION("""COMPUTED_VALUE"""),45.0)</f>
        <v>45</v>
      </c>
      <c r="U158" s="5" t="str">
        <f>IFERROR(__xludf.DUMMYFUNCTION("""COMPUTED_VALUE"""),"Y")</f>
        <v>Y</v>
      </c>
      <c r="V158" s="5">
        <f>IFERROR(__xludf.DUMMYFUNCTION("""COMPUTED_VALUE"""),55.0)</f>
        <v>55</v>
      </c>
      <c r="W158" s="5">
        <f>IFERROR(__xludf.DUMMYFUNCTION("""COMPUTED_VALUE"""),55.0)</f>
        <v>55</v>
      </c>
      <c r="X158" s="5">
        <f>IFERROR(__xludf.DUMMYFUNCTION("""COMPUTED_VALUE"""),20.0)</f>
        <v>20</v>
      </c>
      <c r="Y158" s="5">
        <f>IFERROR(__xludf.DUMMYFUNCTION("""COMPUTED_VALUE"""),60.0)</f>
        <v>60</v>
      </c>
      <c r="Z158" s="5"/>
    </row>
    <row r="159">
      <c r="A159" s="5" t="str">
        <f>IFERROR(__xludf.DUMMYFUNCTION("""COMPUTED_VALUE"""),"ชิลด์ท้อกซ์-กลิ่นตะไคร้")</f>
        <v>ชิลด์ท้อกซ์-กลิ่นตะไคร้</v>
      </c>
      <c r="B159" s="5">
        <f>IFERROR(__xludf.DUMMYFUNCTION("""COMPUTED_VALUE"""),10858.0)</f>
        <v>10858</v>
      </c>
      <c r="C159" s="5" t="str">
        <f>IFERROR(__xludf.DUMMYFUNCTION("""COMPUTED_VALUE"""),"ชิลด์ท้อกซ์ กลิ่นตะไคร้")</f>
        <v>ชิลด์ท้อกซ์ กลิ่นตะไคร้</v>
      </c>
      <c r="D159" s="5"/>
      <c r="E159" s="5"/>
      <c r="F159" s="5" t="str">
        <f>IFERROR(__xludf.DUMMYFUNCTION("""COMPUTED_VALUE"""),"N")</f>
        <v>N</v>
      </c>
      <c r="G159" s="5"/>
      <c r="H159" s="5"/>
      <c r="I159" s="5"/>
      <c r="J159" s="5"/>
      <c r="K159" s="5"/>
      <c r="L159" s="5"/>
      <c r="M159" s="5">
        <f>IFERROR(__xludf.DUMMYFUNCTION("""COMPUTED_VALUE"""),66.33)</f>
        <v>66.33</v>
      </c>
      <c r="N159" s="5"/>
      <c r="O159" s="5"/>
      <c r="P159" s="5"/>
      <c r="Q159" s="5" t="str">
        <f>IFERROR(__xludf.DUMMYFUNCTION("""COMPUTED_VALUE"""),"Y")</f>
        <v>Y</v>
      </c>
      <c r="R159" s="5"/>
      <c r="S159" s="5"/>
      <c r="T159" s="5">
        <f>IFERROR(__xludf.DUMMYFUNCTION("""COMPUTED_VALUE"""),0.0)</f>
        <v>0</v>
      </c>
      <c r="U159" s="5" t="str">
        <f>IFERROR(__xludf.DUMMYFUNCTION("""COMPUTED_VALUE"""),"Y")</f>
        <v>Y</v>
      </c>
      <c r="V159" s="5">
        <f>IFERROR(__xludf.DUMMYFUNCTION("""COMPUTED_VALUE"""),75.0)</f>
        <v>75</v>
      </c>
      <c r="W159" s="5">
        <f>IFERROR(__xludf.DUMMYFUNCTION("""COMPUTED_VALUE"""),0.0)</f>
        <v>0</v>
      </c>
      <c r="X159" s="5"/>
      <c r="Y159" s="5"/>
      <c r="Z159" s="5"/>
    </row>
    <row r="160">
      <c r="A160" s="5" t="str">
        <f>IFERROR(__xludf.DUMMYFUNCTION("""COMPUTED_VALUE"""),"ชีสบอล30-500g")</f>
        <v>ชีสบอล30-500g</v>
      </c>
      <c r="B160" s="5">
        <f>IFERROR(__xludf.DUMMYFUNCTION("""COMPUTED_VALUE"""),10636.0)</f>
        <v>10636</v>
      </c>
      <c r="C160" s="5" t="str">
        <f>IFERROR(__xludf.DUMMYFUNCTION("""COMPUTED_VALUE"""),"ชีสบอล 30ลูก 500g")</f>
        <v>ชีสบอล 30ลูก 500g</v>
      </c>
      <c r="D160" s="5" t="str">
        <f>IFERROR(__xludf.DUMMYFUNCTION("""COMPUTED_VALUE"""),"**ลัง ร้อยเอ็ด")</f>
        <v>**ลัง ร้อยเอ็ด</v>
      </c>
      <c r="E160" s="5" t="str">
        <f>IFERROR(__xludf.DUMMYFUNCTION("""COMPUTED_VALUE"""),"&lt;p&gt;A&lt;/p&gt;")</f>
        <v>&lt;p&gt;A&lt;/p&gt;</v>
      </c>
      <c r="F160" s="5" t="str">
        <f>IFERROR(__xludf.DUMMYFUNCTION("""COMPUTED_VALUE"""),"N")</f>
        <v>N</v>
      </c>
      <c r="G160" s="5"/>
      <c r="H160" s="5"/>
      <c r="I160" s="5"/>
      <c r="J160" s="5"/>
      <c r="K160" s="5"/>
      <c r="L160" s="5"/>
      <c r="M160" s="5">
        <f>IFERROR(__xludf.DUMMYFUNCTION("""COMPUTED_VALUE"""),53.26)</f>
        <v>53.26</v>
      </c>
      <c r="N160" s="5">
        <f>IFERROR(__xludf.DUMMYFUNCTION("""COMPUTED_VALUE"""),10636.0)</f>
        <v>10636</v>
      </c>
      <c r="O160" s="5"/>
      <c r="P160" s="5"/>
      <c r="Q160" s="5" t="str">
        <f>IFERROR(__xludf.DUMMYFUNCTION("""COMPUTED_VALUE"""),"Y")</f>
        <v>Y</v>
      </c>
      <c r="R160" s="5"/>
      <c r="S160" s="5" t="str">
        <f>IFERROR(__xludf.DUMMYFUNCTION("""COMPUTED_VALUE"""),"กันเอง ชีสบอล")</f>
        <v>กันเอง ชีสบอล</v>
      </c>
      <c r="T160" s="5">
        <f>IFERROR(__xludf.DUMMYFUNCTION("""COMPUTED_VALUE"""),55.0)</f>
        <v>55</v>
      </c>
      <c r="U160" s="5" t="str">
        <f>IFERROR(__xludf.DUMMYFUNCTION("""COMPUTED_VALUE"""),"N")</f>
        <v>N</v>
      </c>
      <c r="V160" s="5">
        <f>IFERROR(__xludf.DUMMYFUNCTION("""COMPUTED_VALUE"""),80.0)</f>
        <v>80</v>
      </c>
      <c r="W160" s="5">
        <f>IFERROR(__xludf.DUMMYFUNCTION("""COMPUTED_VALUE"""),0.0)</f>
        <v>0</v>
      </c>
      <c r="X160" s="5">
        <f>IFERROR(__xludf.DUMMYFUNCTION("""COMPUTED_VALUE"""),92.0)</f>
        <v>92</v>
      </c>
      <c r="Y160" s="5">
        <f>IFERROR(__xludf.DUMMYFUNCTION("""COMPUTED_VALUE"""),172.0)</f>
        <v>172</v>
      </c>
      <c r="Z160" s="5"/>
    </row>
    <row r="161">
      <c r="A161" s="5" t="str">
        <f>IFERROR(__xludf.DUMMYFUNCTION("""COMPUTED_VALUE"""),"ชีสบอล30-10*500g-(10-แพ็ค)")</f>
        <v>ชีสบอล30-10*500g-(10-แพ็ค)</v>
      </c>
      <c r="B161" s="5">
        <f>IFERROR(__xludf.DUMMYFUNCTION("""COMPUTED_VALUE"""),10629.0)</f>
        <v>10629</v>
      </c>
      <c r="C161" s="5" t="str">
        <f>IFERROR(__xludf.DUMMYFUNCTION("""COMPUTED_VALUE"""),"ชีสบอล30ลูก 10*500g (ลัง)")</f>
        <v>ชีสบอล30ลูก 10*500g (ลัง)</v>
      </c>
      <c r="D161" s="5"/>
      <c r="E161" s="5" t="str">
        <f>IFERROR(__xludf.DUMMYFUNCTION("""COMPUTED_VALUE"""),"&lt;p&gt;S&lt;/p&gt;")</f>
        <v>&lt;p&gt;S&lt;/p&gt;</v>
      </c>
      <c r="F161" s="5" t="str">
        <f>IFERROR(__xludf.DUMMYFUNCTION("""COMPUTED_VALUE"""),"N")</f>
        <v>N</v>
      </c>
      <c r="G161" s="5"/>
      <c r="H161" s="5"/>
      <c r="I161" s="5"/>
      <c r="J161" s="5"/>
      <c r="K161" s="5"/>
      <c r="L161" s="5"/>
      <c r="M161" s="5"/>
      <c r="N161" s="5">
        <f>IFERROR(__xludf.DUMMYFUNCTION("""COMPUTED_VALUE"""),10629.0)</f>
        <v>10629</v>
      </c>
      <c r="O161" s="5">
        <f>IFERROR(__xludf.DUMMYFUNCTION("""COMPUTED_VALUE"""),10636.0)</f>
        <v>10636</v>
      </c>
      <c r="P161" s="5">
        <f>IFERROR(__xludf.DUMMYFUNCTION("""COMPUTED_VALUE"""),10.0)</f>
        <v>10</v>
      </c>
      <c r="Q161" s="5" t="str">
        <f>IFERROR(__xludf.DUMMYFUNCTION("""COMPUTED_VALUE"""),"N")</f>
        <v>N</v>
      </c>
      <c r="R161" s="5" t="str">
        <f>IFERROR(__xludf.DUMMYFUNCTION("""COMPUTED_VALUE"""),"N")</f>
        <v>N</v>
      </c>
      <c r="S161" s="5"/>
      <c r="T161" s="5"/>
      <c r="U161" s="5" t="str">
        <f>IFERROR(__xludf.DUMMYFUNCTION("""COMPUTED_VALUE"""),"N")</f>
        <v>N</v>
      </c>
      <c r="V161" s="5">
        <f>IFERROR(__xludf.DUMMYFUNCTION("""COMPUTED_VALUE"""),590.0)</f>
        <v>590</v>
      </c>
      <c r="W161" s="5"/>
      <c r="X161" s="5"/>
      <c r="Y161" s="5"/>
      <c r="Z161" s="5"/>
    </row>
    <row r="162">
      <c r="A162" s="5" t="str">
        <f>IFERROR(__xludf.DUMMYFUNCTION("""COMPUTED_VALUE"""),"ชีสยืด-ถุงม่วง-200-กรัม-ลัง-25แพ็ค-1")</f>
        <v>ชีสยืด-ถุงม่วง-200-กรัม-ลัง-25แพ็ค-1</v>
      </c>
      <c r="B162" s="5">
        <f>IFERROR(__xludf.DUMMYFUNCTION("""COMPUTED_VALUE"""),10094.0)</f>
        <v>10094</v>
      </c>
      <c r="C162" s="5" t="str">
        <f>IFERROR(__xludf.DUMMYFUNCTION("""COMPUTED_VALUE"""),"ชีสยืด ถุงม่วง 200 กรัม (ลัง)")</f>
        <v>ชีสยืด ถุงม่วง 200 กรัม (ลัง)</v>
      </c>
      <c r="D162" s="5"/>
      <c r="E162" s="5" t="str">
        <f>IFERROR(__xludf.DUMMYFUNCTION("""COMPUTED_VALUE"""),"&lt;p&gt;S&lt;/p&gt;")</f>
        <v>&lt;p&gt;S&lt;/p&gt;</v>
      </c>
      <c r="F162" s="5" t="str">
        <f>IFERROR(__xludf.DUMMYFUNCTION("""COMPUTED_VALUE"""),"N")</f>
        <v>N</v>
      </c>
      <c r="G162" s="5"/>
      <c r="H162" s="5"/>
      <c r="I162" s="5"/>
      <c r="J162" s="5"/>
      <c r="K162" s="5"/>
      <c r="L162" s="5"/>
      <c r="M162" s="5"/>
      <c r="N162" s="5">
        <f>IFERROR(__xludf.DUMMYFUNCTION("""COMPUTED_VALUE"""),8.850000016101E12)</f>
        <v>8850000016101</v>
      </c>
      <c r="O162" s="5">
        <f>IFERROR(__xludf.DUMMYFUNCTION("""COMPUTED_VALUE"""),10093.0)</f>
        <v>10093</v>
      </c>
      <c r="P162" s="5">
        <f>IFERROR(__xludf.DUMMYFUNCTION("""COMPUTED_VALUE"""),20.0)</f>
        <v>20</v>
      </c>
      <c r="Q162" s="5" t="str">
        <f>IFERROR(__xludf.DUMMYFUNCTION("""COMPUTED_VALUE"""),"N")</f>
        <v>N</v>
      </c>
      <c r="R162" s="5" t="str">
        <f>IFERROR(__xludf.DUMMYFUNCTION("""COMPUTED_VALUE"""),"N")</f>
        <v>N</v>
      </c>
      <c r="S162" s="5"/>
      <c r="T162" s="5"/>
      <c r="U162" s="5" t="str">
        <f>IFERROR(__xludf.DUMMYFUNCTION("""COMPUTED_VALUE"""),"Y")</f>
        <v>Y</v>
      </c>
      <c r="V162" s="5">
        <f>IFERROR(__xludf.DUMMYFUNCTION("""COMPUTED_VALUE"""),1240.0)</f>
        <v>1240</v>
      </c>
      <c r="W162" s="5"/>
      <c r="X162" s="5"/>
      <c r="Y162" s="5"/>
      <c r="Z162" s="5"/>
    </row>
    <row r="163">
      <c r="A163" s="5" t="str">
        <f>IFERROR(__xludf.DUMMYFUNCTION("""COMPUTED_VALUE"""),"ชีสยืด-ถุงม่วง-200-กรัม-1แพ็ค-1")</f>
        <v>ชีสยืด-ถุงม่วง-200-กรัม-1แพ็ค-1</v>
      </c>
      <c r="B163" s="5">
        <f>IFERROR(__xludf.DUMMYFUNCTION("""COMPUTED_VALUE"""),10093.0)</f>
        <v>10093</v>
      </c>
      <c r="C163" s="5" t="str">
        <f>IFERROR(__xludf.DUMMYFUNCTION("""COMPUTED_VALUE"""),"ชีสยืด ถุงม่วง 200 กรัม 1แพ็ค")</f>
        <v>ชีสยืด ถุงม่วง 200 กรัม 1แพ็ค</v>
      </c>
      <c r="D163" s="5" t="str">
        <f>IFERROR(__xludf.DUMMYFUNCTION("""COMPUTED_VALUE"""),"**ลัง มหาชัย")</f>
        <v>**ลัง มหาชัย</v>
      </c>
      <c r="E163" s="5" t="str">
        <f>IFERROR(__xludf.DUMMYFUNCTION("""COMPUTED_VALUE"""),"0.2")</f>
        <v>0.2</v>
      </c>
      <c r="F163" s="5" t="str">
        <f>IFERROR(__xludf.DUMMYFUNCTION("""COMPUTED_VALUE"""),"N")</f>
        <v>N</v>
      </c>
      <c r="G163" s="5"/>
      <c r="H163" s="5"/>
      <c r="I163" s="5"/>
      <c r="J163" s="5"/>
      <c r="K163" s="5"/>
      <c r="L163" s="5"/>
      <c r="M163" s="5">
        <f>IFERROR(__xludf.DUMMYFUNCTION("""COMPUTED_VALUE"""),54.48)</f>
        <v>54.48</v>
      </c>
      <c r="N163" s="5">
        <f>IFERROR(__xludf.DUMMYFUNCTION("""COMPUTED_VALUE"""),10093.0)</f>
        <v>10093</v>
      </c>
      <c r="O163" s="5"/>
      <c r="P163" s="5"/>
      <c r="Q163" s="5" t="str">
        <f>IFERROR(__xludf.DUMMYFUNCTION("""COMPUTED_VALUE"""),"Y")</f>
        <v>Y</v>
      </c>
      <c r="R163" s="5"/>
      <c r="S163" s="5" t="str">
        <f>IFERROR(__xludf.DUMMYFUNCTION("""COMPUTED_VALUE"""),"ขึ้นของมหาชัย")</f>
        <v>ขึ้นของมหาชัย</v>
      </c>
      <c r="T163" s="5">
        <f>IFERROR(__xludf.DUMMYFUNCTION("""COMPUTED_VALUE"""),53.0)</f>
        <v>53</v>
      </c>
      <c r="U163" s="5" t="str">
        <f>IFERROR(__xludf.DUMMYFUNCTION("""COMPUTED_VALUE"""),"Y")</f>
        <v>Y</v>
      </c>
      <c r="V163" s="5">
        <f>IFERROR(__xludf.DUMMYFUNCTION("""COMPUTED_VALUE"""),70.0)</f>
        <v>70</v>
      </c>
      <c r="W163" s="5">
        <f>IFERROR(__xludf.DUMMYFUNCTION("""COMPUTED_VALUE"""),3.0)</f>
        <v>3</v>
      </c>
      <c r="X163" s="5">
        <f>IFERROR(__xludf.DUMMYFUNCTION("""COMPUTED_VALUE"""),25.0)</f>
        <v>25</v>
      </c>
      <c r="Y163" s="5">
        <f>IFERROR(__xludf.DUMMYFUNCTION("""COMPUTED_VALUE"""),100.0)</f>
        <v>100</v>
      </c>
      <c r="Z163" s="5"/>
    </row>
    <row r="164">
      <c r="A164" s="5" t="str">
        <f>IFERROR(__xludf.DUMMYFUNCTION("""COMPUTED_VALUE"""),"ชีสยืด-ถุงม่วง-450-กรัม-ลัง-20แพ็ค-1")</f>
        <v>ชีสยืด-ถุงม่วง-450-กรัม-ลัง-20แพ็ค-1</v>
      </c>
      <c r="B164" s="5">
        <f>IFERROR(__xludf.DUMMYFUNCTION("""COMPUTED_VALUE"""),10096.0)</f>
        <v>10096</v>
      </c>
      <c r="C164" s="5" t="str">
        <f>IFERROR(__xludf.DUMMYFUNCTION("""COMPUTED_VALUE"""),"ชีสยืด ถุงม่วง 400 กรัม (ลัง)")</f>
        <v>ชีสยืด ถุงม่วง 400 กรัม (ลัง)</v>
      </c>
      <c r="D164" s="5"/>
      <c r="E164" s="5" t="str">
        <f>IFERROR(__xludf.DUMMYFUNCTION("""COMPUTED_VALUE"""),"&lt;p&gt;S&lt;/p&gt;")</f>
        <v>&lt;p&gt;S&lt;/p&gt;</v>
      </c>
      <c r="F164" s="5" t="str">
        <f>IFERROR(__xludf.DUMMYFUNCTION("""COMPUTED_VALUE"""),"N")</f>
        <v>N</v>
      </c>
      <c r="G164" s="5"/>
      <c r="H164" s="5"/>
      <c r="I164" s="5"/>
      <c r="J164" s="5"/>
      <c r="K164" s="5"/>
      <c r="L164" s="5"/>
      <c r="M164" s="5"/>
      <c r="N164" s="5">
        <f>IFERROR(__xludf.DUMMYFUNCTION("""COMPUTED_VALUE"""),10096.0)</f>
        <v>10096</v>
      </c>
      <c r="O164" s="5">
        <f>IFERROR(__xludf.DUMMYFUNCTION("""COMPUTED_VALUE"""),10095.0)</f>
        <v>10095</v>
      </c>
      <c r="P164" s="5">
        <f>IFERROR(__xludf.DUMMYFUNCTION("""COMPUTED_VALUE"""),20.0)</f>
        <v>20</v>
      </c>
      <c r="Q164" s="5" t="str">
        <f>IFERROR(__xludf.DUMMYFUNCTION("""COMPUTED_VALUE"""),"N")</f>
        <v>N</v>
      </c>
      <c r="R164" s="5" t="str">
        <f>IFERROR(__xludf.DUMMYFUNCTION("""COMPUTED_VALUE"""),"N")</f>
        <v>N</v>
      </c>
      <c r="S164" s="5"/>
      <c r="T164" s="5"/>
      <c r="U164" s="5" t="str">
        <f>IFERROR(__xludf.DUMMYFUNCTION("""COMPUTED_VALUE"""),"Y")</f>
        <v>Y</v>
      </c>
      <c r="V164" s="5">
        <f>IFERROR(__xludf.DUMMYFUNCTION("""COMPUTED_VALUE"""),2400.0)</f>
        <v>2400</v>
      </c>
      <c r="W164" s="5"/>
      <c r="X164" s="5"/>
      <c r="Y164" s="5"/>
      <c r="Z164" s="5"/>
    </row>
    <row r="165">
      <c r="A165" s="5" t="str">
        <f>IFERROR(__xludf.DUMMYFUNCTION("""COMPUTED_VALUE"""),"ชีสยืด-ถุงม่วง-450-กรัม-1แพ็ค-1")</f>
        <v>ชีสยืด-ถุงม่วง-450-กรัม-1แพ็ค-1</v>
      </c>
      <c r="B165" s="5">
        <f>IFERROR(__xludf.DUMMYFUNCTION("""COMPUTED_VALUE"""),10095.0)</f>
        <v>10095</v>
      </c>
      <c r="C165" s="5" t="str">
        <f>IFERROR(__xludf.DUMMYFUNCTION("""COMPUTED_VALUE"""),"ชีสยืด ถุงม่วง 400 กรัม 1แพ็ค")</f>
        <v>ชีสยืด ถุงม่วง 400 กรัม 1แพ็ค</v>
      </c>
      <c r="D165" s="5" t="str">
        <f>IFERROR(__xludf.DUMMYFUNCTION("""COMPUTED_VALUE"""),"**ลัง มหาชัย")</f>
        <v>**ลัง มหาชัย</v>
      </c>
      <c r="E165" s="5" t="str">
        <f>IFERROR(__xludf.DUMMYFUNCTION("""COMPUTED_VALUE"""),"&lt;p&gt;0.4&lt;/p&gt;")</f>
        <v>&lt;p&gt;0.4&lt;/p&gt;</v>
      </c>
      <c r="F165" s="5" t="str">
        <f>IFERROR(__xludf.DUMMYFUNCTION("""COMPUTED_VALUE"""),"N")</f>
        <v>N</v>
      </c>
      <c r="G165" s="5"/>
      <c r="H165" s="5"/>
      <c r="I165" s="5"/>
      <c r="J165" s="5"/>
      <c r="K165" s="5"/>
      <c r="L165" s="5"/>
      <c r="M165" s="5">
        <f>IFERROR(__xludf.DUMMYFUNCTION("""COMPUTED_VALUE"""),111.88)</f>
        <v>111.88</v>
      </c>
      <c r="N165" s="5">
        <f>IFERROR(__xludf.DUMMYFUNCTION("""COMPUTED_VALUE"""),10095.0)</f>
        <v>10095</v>
      </c>
      <c r="O165" s="5"/>
      <c r="P165" s="5"/>
      <c r="Q165" s="5" t="str">
        <f>IFERROR(__xludf.DUMMYFUNCTION("""COMPUTED_VALUE"""),"Y")</f>
        <v>Y</v>
      </c>
      <c r="R165" s="5"/>
      <c r="S165" s="5" t="str">
        <f>IFERROR(__xludf.DUMMYFUNCTION("""COMPUTED_VALUE"""),"ขึ้นของมหาชัย")</f>
        <v>ขึ้นของมหาชัย</v>
      </c>
      <c r="T165" s="5">
        <f>IFERROR(__xludf.DUMMYFUNCTION("""COMPUTED_VALUE"""),108.0)</f>
        <v>108</v>
      </c>
      <c r="U165" s="5" t="str">
        <f>IFERROR(__xludf.DUMMYFUNCTION("""COMPUTED_VALUE"""),"Y")</f>
        <v>Y</v>
      </c>
      <c r="V165" s="5">
        <f>IFERROR(__xludf.DUMMYFUNCTION("""COMPUTED_VALUE"""),140.0)</f>
        <v>140</v>
      </c>
      <c r="W165" s="5">
        <f>IFERROR(__xludf.DUMMYFUNCTION("""COMPUTED_VALUE"""),128.0)</f>
        <v>128</v>
      </c>
      <c r="X165" s="5">
        <f>IFERROR(__xludf.DUMMYFUNCTION("""COMPUTED_VALUE"""),25.0)</f>
        <v>25</v>
      </c>
      <c r="Y165" s="5">
        <f>IFERROR(__xludf.DUMMYFUNCTION("""COMPUTED_VALUE"""),100.0)</f>
        <v>100</v>
      </c>
      <c r="Z165" s="5"/>
    </row>
    <row r="166">
      <c r="A166" s="5" t="str">
        <f>IFERROR(__xludf.DUMMYFUNCTION("""COMPUTED_VALUE"""),"ชีสสติ๊ก-มานี-500g")</f>
        <v>ชีสสติ๊ก-มานี-500g</v>
      </c>
      <c r="B166" s="5">
        <f>IFERROR(__xludf.DUMMYFUNCTION("""COMPUTED_VALUE"""),11560.0)</f>
        <v>11560</v>
      </c>
      <c r="C166" s="5" t="str">
        <f>IFERROR(__xludf.DUMMYFUNCTION("""COMPUTED_VALUE"""),"ชีสสติก   แพ็ค500g")</f>
        <v>ชีสสติก   แพ็ค500g</v>
      </c>
      <c r="D166" s="5" t="str">
        <f>IFERROR(__xludf.DUMMYFUNCTION("""COMPUTED_VALUE"""),"**ลัง ร้อยเอ็ด")</f>
        <v>**ลัง ร้อยเอ็ด</v>
      </c>
      <c r="E166" s="5" t="str">
        <f>IFERROR(__xludf.DUMMYFUNCTION("""COMPUTED_VALUE"""),"&lt;p&gt;A&lt;/p&gt;")</f>
        <v>&lt;p&gt;A&lt;/p&gt;</v>
      </c>
      <c r="F166" s="5" t="str">
        <f>IFERROR(__xludf.DUMMYFUNCTION("""COMPUTED_VALUE"""),"N")</f>
        <v>N</v>
      </c>
      <c r="G166" s="5"/>
      <c r="H166" s="5"/>
      <c r="I166" s="5"/>
      <c r="J166" s="5"/>
      <c r="K166" s="5"/>
      <c r="L166" s="5"/>
      <c r="M166" s="5">
        <f>IFERROR(__xludf.DUMMYFUNCTION("""COMPUTED_VALUE"""),50.0)</f>
        <v>50</v>
      </c>
      <c r="N166" s="5">
        <f>IFERROR(__xludf.DUMMYFUNCTION("""COMPUTED_VALUE"""),11560.0)</f>
        <v>11560</v>
      </c>
      <c r="O166" s="5"/>
      <c r="P166" s="5"/>
      <c r="Q166" s="5" t="str">
        <f>IFERROR(__xludf.DUMMYFUNCTION("""COMPUTED_VALUE"""),"Y")</f>
        <v>Y</v>
      </c>
      <c r="R166" s="5"/>
      <c r="S166" s="5" t="str">
        <f>IFERROR(__xludf.DUMMYFUNCTION("""COMPUTED_VALUE"""),"กันเอง ชีสบอล")</f>
        <v>กันเอง ชีสบอล</v>
      </c>
      <c r="T166" s="5">
        <f>IFERROR(__xludf.DUMMYFUNCTION("""COMPUTED_VALUE"""),50.0)</f>
        <v>50</v>
      </c>
      <c r="U166" s="5" t="str">
        <f>IFERROR(__xludf.DUMMYFUNCTION("""COMPUTED_VALUE"""),"Y")</f>
        <v>Y</v>
      </c>
      <c r="V166" s="5">
        <f>IFERROR(__xludf.DUMMYFUNCTION("""COMPUTED_VALUE"""),70.0)</f>
        <v>70</v>
      </c>
      <c r="W166" s="5">
        <f>IFERROR(__xludf.DUMMYFUNCTION("""COMPUTED_VALUE"""),50.0)</f>
        <v>50</v>
      </c>
      <c r="X166" s="5">
        <f>IFERROR(__xludf.DUMMYFUNCTION("""COMPUTED_VALUE"""),157.0)</f>
        <v>157</v>
      </c>
      <c r="Y166" s="5">
        <f>IFERROR(__xludf.DUMMYFUNCTION("""COMPUTED_VALUE"""),295.0)</f>
        <v>295</v>
      </c>
      <c r="Z166" s="5"/>
    </row>
    <row r="167">
      <c r="A167" s="5" t="str">
        <f>IFERROR(__xludf.DUMMYFUNCTION("""COMPUTED_VALUE"""),"ชีสสติกล(12)")</f>
        <v>ชีสสติกล(12)</v>
      </c>
      <c r="B167" s="5">
        <f>IFERROR(__xludf.DUMMYFUNCTION("""COMPUTED_VALUE"""),10634.0)</f>
        <v>10634</v>
      </c>
      <c r="C167" s="5" t="str">
        <f>IFERROR(__xludf.DUMMYFUNCTION("""COMPUTED_VALUE"""),"ชีสสติก 1*10แพ็ค  R100")</f>
        <v>ชีสสติก 1*10แพ็ค  R100</v>
      </c>
      <c r="D167" s="5" t="str">
        <f>IFERROR(__xludf.DUMMYFUNCTION("""COMPUTED_VALUE"""),"**ร้านค้า ราคาพิเศษ")</f>
        <v>**ร้านค้า ราคาพิเศษ</v>
      </c>
      <c r="E167" s="5" t="str">
        <f>IFERROR(__xludf.DUMMYFUNCTION("""COMPUTED_VALUE"""),"&lt;p&gt;X&lt;/p&gt;")</f>
        <v>&lt;p&gt;X&lt;/p&gt;</v>
      </c>
      <c r="F167" s="5" t="str">
        <f>IFERROR(__xludf.DUMMYFUNCTION("""COMPUTED_VALUE"""),"N")</f>
        <v>N</v>
      </c>
      <c r="G167" s="5"/>
      <c r="H167" s="5"/>
      <c r="I167" s="5"/>
      <c r="J167" s="5"/>
      <c r="K167" s="5"/>
      <c r="L167" s="5"/>
      <c r="M167" s="5"/>
      <c r="N167" s="5">
        <f>IFERROR(__xludf.DUMMYFUNCTION("""COMPUTED_VALUE"""),10634.0)</f>
        <v>10634</v>
      </c>
      <c r="O167" s="5">
        <f>IFERROR(__xludf.DUMMYFUNCTION("""COMPUTED_VALUE"""),11560.0)</f>
        <v>11560</v>
      </c>
      <c r="P167" s="5">
        <f>IFERROR(__xludf.DUMMYFUNCTION("""COMPUTED_VALUE"""),10.0)</f>
        <v>10</v>
      </c>
      <c r="Q167" s="5" t="str">
        <f>IFERROR(__xludf.DUMMYFUNCTION("""COMPUTED_VALUE"""),"N")</f>
        <v>N</v>
      </c>
      <c r="R167" s="5" t="str">
        <f>IFERROR(__xludf.DUMMYFUNCTION("""COMPUTED_VALUE"""),"N")</f>
        <v>N</v>
      </c>
      <c r="S167" s="5"/>
      <c r="T167" s="5"/>
      <c r="U167" s="5" t="str">
        <f>IFERROR(__xludf.DUMMYFUNCTION("""COMPUTED_VALUE"""),"Y")</f>
        <v>Y</v>
      </c>
      <c r="V167" s="5">
        <f>IFERROR(__xludf.DUMMYFUNCTION("""COMPUTED_VALUE"""),560.0)</f>
        <v>560</v>
      </c>
      <c r="W167" s="5"/>
      <c r="X167" s="5"/>
      <c r="Y167" s="5"/>
      <c r="Z167" s="5"/>
    </row>
    <row r="168">
      <c r="A168" s="5" t="str">
        <f>IFERROR(__xludf.DUMMYFUNCTION("""COMPUTED_VALUE"""),"ชีสสติ๊ก-มานี-ลัง")</f>
        <v>ชีสสติ๊ก-มานี-ลัง</v>
      </c>
      <c r="B168" s="5">
        <f>IFERROR(__xludf.DUMMYFUNCTION("""COMPUTED_VALUE"""),11561.0)</f>
        <v>11561</v>
      </c>
      <c r="C168" s="5" t="str">
        <f>IFERROR(__xludf.DUMMYFUNCTION("""COMPUTED_VALUE"""),"ชีสสติก 1*10แพ็ค (ลัง)")</f>
        <v>ชีสสติก 1*10แพ็ค (ลัง)</v>
      </c>
      <c r="D168" s="5"/>
      <c r="E168" s="5" t="str">
        <f>IFERROR(__xludf.DUMMYFUNCTION("""COMPUTED_VALUE"""),"&lt;p&gt;S&lt;/p&gt;")</f>
        <v>&lt;p&gt;S&lt;/p&gt;</v>
      </c>
      <c r="F168" s="5" t="str">
        <f>IFERROR(__xludf.DUMMYFUNCTION("""COMPUTED_VALUE"""),"N")</f>
        <v>N</v>
      </c>
      <c r="G168" s="5"/>
      <c r="H168" s="5"/>
      <c r="I168" s="5"/>
      <c r="J168" s="5"/>
      <c r="K168" s="5"/>
      <c r="L168" s="5"/>
      <c r="M168" s="5"/>
      <c r="N168" s="5">
        <f>IFERROR(__xludf.DUMMYFUNCTION("""COMPUTED_VALUE"""),11561.0)</f>
        <v>11561</v>
      </c>
      <c r="O168" s="5">
        <f>IFERROR(__xludf.DUMMYFUNCTION("""COMPUTED_VALUE"""),11560.0)</f>
        <v>11560</v>
      </c>
      <c r="P168" s="5">
        <f>IFERROR(__xludf.DUMMYFUNCTION("""COMPUTED_VALUE"""),10.0)</f>
        <v>10</v>
      </c>
      <c r="Q168" s="5" t="str">
        <f>IFERROR(__xludf.DUMMYFUNCTION("""COMPUTED_VALUE"""),"N")</f>
        <v>N</v>
      </c>
      <c r="R168" s="5" t="str">
        <f>IFERROR(__xludf.DUMMYFUNCTION("""COMPUTED_VALUE"""),"N")</f>
        <v>N</v>
      </c>
      <c r="S168" s="5"/>
      <c r="T168" s="5"/>
      <c r="U168" s="5" t="str">
        <f>IFERROR(__xludf.DUMMYFUNCTION("""COMPUTED_VALUE"""),"Y")</f>
        <v>Y</v>
      </c>
      <c r="V168" s="5">
        <f>IFERROR(__xludf.DUMMYFUNCTION("""COMPUTED_VALUE"""),580.0)</f>
        <v>580</v>
      </c>
      <c r="W168" s="5"/>
      <c r="X168" s="5"/>
      <c r="Y168" s="5"/>
      <c r="Z168" s="5"/>
    </row>
    <row r="169">
      <c r="A169" s="5" t="str">
        <f>IFERROR(__xludf.DUMMYFUNCTION("""COMPUTED_VALUE"""),"ชุดของขวัญ-สวัสดีปีใหม่-2569")</f>
        <v>ชุดของขวัญ-สวัสดีปีใหม่-2569</v>
      </c>
      <c r="B169" s="5">
        <f>IFERROR(__xludf.DUMMYFUNCTION("""COMPUTED_VALUE"""),10788.0)</f>
        <v>10788</v>
      </c>
      <c r="C169" s="5" t="str">
        <f>IFERROR(__xludf.DUMMYFUNCTION("""COMPUTED_VALUE"""),"ชุดของขวัญ สวัสดีปีใหม่ 2569")</f>
        <v>ชุดของขวัญ สวัสดีปีใหม่ 2569</v>
      </c>
      <c r="D169" s="5"/>
      <c r="E169" s="5"/>
      <c r="F169" s="5" t="str">
        <f>IFERROR(__xludf.DUMMYFUNCTION("""COMPUTED_VALUE"""),"N")</f>
        <v>N</v>
      </c>
      <c r="G169" s="5"/>
      <c r="H169" s="5"/>
      <c r="I169" s="5"/>
      <c r="J169" s="5"/>
      <c r="K169" s="5"/>
      <c r="L169" s="5"/>
      <c r="M169" s="5">
        <f>IFERROR(__xludf.DUMMYFUNCTION("""COMPUTED_VALUE"""),149.0)</f>
        <v>149</v>
      </c>
      <c r="N169" s="5"/>
      <c r="O169" s="5"/>
      <c r="P169" s="5"/>
      <c r="Q169" s="5" t="str">
        <f>IFERROR(__xludf.DUMMYFUNCTION("""COMPUTED_VALUE"""),"N")</f>
        <v>N</v>
      </c>
      <c r="R169" s="5"/>
      <c r="S169" s="5"/>
      <c r="T169" s="5"/>
      <c r="U169" s="5" t="str">
        <f>IFERROR(__xludf.DUMMYFUNCTION("""COMPUTED_VALUE"""),"Y")</f>
        <v>Y</v>
      </c>
      <c r="V169" s="5">
        <f>IFERROR(__xludf.DUMMYFUNCTION("""COMPUTED_VALUE"""),0.0)</f>
        <v>0</v>
      </c>
      <c r="W169" s="5"/>
      <c r="X169" s="5"/>
      <c r="Y169" s="5"/>
      <c r="Z169" s="5"/>
    </row>
    <row r="170">
      <c r="A170" s="5" t="str">
        <f>IFERROR(__xludf.DUMMYFUNCTION("""COMPUTED_VALUE"""),"ซอสพริกรวมรส-670-กรัม")</f>
        <v>ซอสพริกรวมรส-670-กรัม</v>
      </c>
      <c r="B170" s="5">
        <f>IFERROR(__xludf.DUMMYFUNCTION("""COMPUTED_VALUE"""),10135.0)</f>
        <v>10135</v>
      </c>
      <c r="C170" s="5" t="str">
        <f>IFERROR(__xludf.DUMMYFUNCTION("""COMPUTED_VALUE"""),"ซอสพริกรวมรส 670 กรัม")</f>
        <v>ซอสพริกรวมรส 670 กรัม</v>
      </c>
      <c r="D170" s="5"/>
      <c r="E170" s="5"/>
      <c r="F170" s="5" t="str">
        <f>IFERROR(__xludf.DUMMYFUNCTION("""COMPUTED_VALUE"""),"N")</f>
        <v>N</v>
      </c>
      <c r="G170" s="5"/>
      <c r="H170" s="5"/>
      <c r="I170" s="5"/>
      <c r="J170" s="5"/>
      <c r="K170" s="5"/>
      <c r="L170" s="5"/>
      <c r="M170" s="5">
        <f>IFERROR(__xludf.DUMMYFUNCTION("""COMPUTED_VALUE"""),30.0)</f>
        <v>30</v>
      </c>
      <c r="N170" s="5"/>
      <c r="O170" s="5"/>
      <c r="P170" s="5"/>
      <c r="Q170" s="5" t="str">
        <f>IFERROR(__xludf.DUMMYFUNCTION("""COMPUTED_VALUE"""),"Y")</f>
        <v>Y</v>
      </c>
      <c r="R170" s="5"/>
      <c r="S170" s="5"/>
      <c r="T170" s="5">
        <f>IFERROR(__xludf.DUMMYFUNCTION("""COMPUTED_VALUE"""),30.0)</f>
        <v>30</v>
      </c>
      <c r="U170" s="5" t="str">
        <f>IFERROR(__xludf.DUMMYFUNCTION("""COMPUTED_VALUE"""),"Y")</f>
        <v>Y</v>
      </c>
      <c r="V170" s="5">
        <f>IFERROR(__xludf.DUMMYFUNCTION("""COMPUTED_VALUE"""),35.0)</f>
        <v>35</v>
      </c>
      <c r="W170" s="5">
        <f>IFERROR(__xludf.DUMMYFUNCTION("""COMPUTED_VALUE"""),-1.0)</f>
        <v>-1</v>
      </c>
      <c r="X170" s="5"/>
      <c r="Y170" s="5"/>
      <c r="Z170" s="5"/>
    </row>
    <row r="171">
      <c r="A171" s="5" t="str">
        <f>IFERROR(__xludf.DUMMYFUNCTION("""COMPUTED_VALUE"""),"ซาบะ-15kg--(ลัง)")</f>
        <v>ซาบะ-15kg--(ลัง)</v>
      </c>
      <c r="B171" s="5">
        <f>IFERROR(__xludf.DUMMYFUNCTION("""COMPUTED_VALUE"""),10318.0)</f>
        <v>10318</v>
      </c>
      <c r="C171" s="5" t="str">
        <f>IFERROR(__xludf.DUMMYFUNCTION("""COMPUTED_VALUE"""),"ซาบะ 15kg  (ลัง)")</f>
        <v>ซาบะ 15kg  (ลัง)</v>
      </c>
      <c r="D171" s="5"/>
      <c r="E171" s="5"/>
      <c r="F171" s="5" t="str">
        <f>IFERROR(__xludf.DUMMYFUNCTION("""COMPUTED_VALUE"""),"N")</f>
        <v>N</v>
      </c>
      <c r="G171" s="5"/>
      <c r="H171" s="5"/>
      <c r="I171" s="5"/>
      <c r="J171" s="5"/>
      <c r="K171" s="5"/>
      <c r="L171" s="5"/>
      <c r="M171" s="5">
        <f>IFERROR(__xludf.DUMMYFUNCTION("""COMPUTED_VALUE"""),645.0)</f>
        <v>645</v>
      </c>
      <c r="N171" s="5"/>
      <c r="O171" s="5"/>
      <c r="P171" s="5"/>
      <c r="Q171" s="5" t="str">
        <f>IFERROR(__xludf.DUMMYFUNCTION("""COMPUTED_VALUE"""),"N")</f>
        <v>N</v>
      </c>
      <c r="R171" s="5"/>
      <c r="S171" s="5"/>
      <c r="T171" s="5"/>
      <c r="U171" s="5" t="str">
        <f>IFERROR(__xludf.DUMMYFUNCTION("""COMPUTED_VALUE"""),"N")</f>
        <v>N</v>
      </c>
      <c r="V171" s="5">
        <f>IFERROR(__xludf.DUMMYFUNCTION("""COMPUTED_VALUE"""),780.0)</f>
        <v>780</v>
      </c>
      <c r="W171" s="5"/>
      <c r="X171" s="5"/>
      <c r="Y171" s="5"/>
      <c r="Z171" s="5"/>
    </row>
    <row r="172">
      <c r="A172" s="5" t="str">
        <f>IFERROR(__xludf.DUMMYFUNCTION("""COMPUTED_VALUE"""),"ซาบะ-ลัง-10-กก.")</f>
        <v>ซาบะ-ลัง-10-กก.</v>
      </c>
      <c r="B172" s="5">
        <f>IFERROR(__xludf.DUMMYFUNCTION("""COMPUTED_VALUE"""),10779.0)</f>
        <v>10779</v>
      </c>
      <c r="C172" s="5" t="str">
        <f>IFERROR(__xludf.DUMMYFUNCTION("""COMPUTED_VALUE"""),"ซาบะ ลัง 10 กก(85)")</f>
        <v>ซาบะ ลัง 10 กก(85)</v>
      </c>
      <c r="D172" s="5" t="str">
        <f>IFERROR(__xludf.DUMMYFUNCTION("""COMPUTED_VALUE"""),"**ลัง มหาชัย")</f>
        <v>**ลัง มหาชัย</v>
      </c>
      <c r="E172" s="5" t="str">
        <f>IFERROR(__xludf.DUMMYFUNCTION("""COMPUTED_VALUE"""),"&lt;p&gt;10&lt;/p&gt;")</f>
        <v>&lt;p&gt;10&lt;/p&gt;</v>
      </c>
      <c r="F172" s="5" t="str">
        <f>IFERROR(__xludf.DUMMYFUNCTION("""COMPUTED_VALUE"""),"N")</f>
        <v>N</v>
      </c>
      <c r="G172" s="5"/>
      <c r="H172" s="5"/>
      <c r="I172" s="5"/>
      <c r="J172" s="5"/>
      <c r="K172" s="5"/>
      <c r="L172" s="5"/>
      <c r="M172" s="5">
        <f>IFERROR(__xludf.DUMMYFUNCTION("""COMPUTED_VALUE"""),784.61)</f>
        <v>784.61</v>
      </c>
      <c r="N172" s="5">
        <f>IFERROR(__xludf.DUMMYFUNCTION("""COMPUTED_VALUE"""),10779.0)</f>
        <v>10779</v>
      </c>
      <c r="O172" s="5"/>
      <c r="P172" s="5"/>
      <c r="Q172" s="5" t="str">
        <f>IFERROR(__xludf.DUMMYFUNCTION("""COMPUTED_VALUE"""),"Y")</f>
        <v>Y</v>
      </c>
      <c r="R172" s="5"/>
      <c r="S172" s="5" t="str">
        <f>IFERROR(__xludf.DUMMYFUNCTION("""COMPUTED_VALUE"""),"ขึ้นของมหาชัย")</f>
        <v>ขึ้นของมหาชัย</v>
      </c>
      <c r="T172" s="5">
        <f>IFERROR(__xludf.DUMMYFUNCTION("""COMPUTED_VALUE"""),750.0)</f>
        <v>750</v>
      </c>
      <c r="U172" s="5" t="str">
        <f>IFERROR(__xludf.DUMMYFUNCTION("""COMPUTED_VALUE"""),"Y")</f>
        <v>Y</v>
      </c>
      <c r="V172" s="5">
        <f>IFERROR(__xludf.DUMMYFUNCTION("""COMPUTED_VALUE"""),850.0)</f>
        <v>850</v>
      </c>
      <c r="W172" s="5">
        <f>IFERROR(__xludf.DUMMYFUNCTION("""COMPUTED_VALUE"""),10.0)</f>
        <v>10</v>
      </c>
      <c r="X172" s="5">
        <f>IFERROR(__xludf.DUMMYFUNCTION("""COMPUTED_VALUE"""),0.0)</f>
        <v>0</v>
      </c>
      <c r="Y172" s="5">
        <f>IFERROR(__xludf.DUMMYFUNCTION("""COMPUTED_VALUE"""),5.0)</f>
        <v>5</v>
      </c>
      <c r="Z172" s="5"/>
    </row>
    <row r="173">
      <c r="A173" s="5" t="str">
        <f>IFERROR(__xludf.DUMMYFUNCTION("""COMPUTED_VALUE"""),"ซาลาเปามินิครีม.-20-ลูก--(ลัง)")</f>
        <v>ซาลาเปามินิครีม.-20-ลูก--(ลัง)</v>
      </c>
      <c r="B173" s="5">
        <f>IFERROR(__xludf.DUMMYFUNCTION("""COMPUTED_VALUE"""),11146.0)</f>
        <v>11146</v>
      </c>
      <c r="C173" s="5" t="str">
        <f>IFERROR(__xludf.DUMMYFUNCTION("""COMPUTED_VALUE"""),"ซาลาเปา 20ลูก ไส้ครีม 14 แพ็ค  (ลัง)")</f>
        <v>ซาลาเปา 20ลูก ไส้ครีม 14 แพ็ค  (ลัง)</v>
      </c>
      <c r="D173" s="5"/>
      <c r="E173" s="5" t="str">
        <f>IFERROR(__xludf.DUMMYFUNCTION("""COMPUTED_VALUE"""),"&lt;p&gt;S&lt;/p&gt;")</f>
        <v>&lt;p&gt;S&lt;/p&gt;</v>
      </c>
      <c r="F173" s="5" t="str">
        <f>IFERROR(__xludf.DUMMYFUNCTION("""COMPUTED_VALUE"""),"N")</f>
        <v>N</v>
      </c>
      <c r="G173" s="5"/>
      <c r="H173" s="5"/>
      <c r="I173" s="5"/>
      <c r="J173" s="5"/>
      <c r="K173" s="5"/>
      <c r="L173" s="5"/>
      <c r="M173" s="5"/>
      <c r="N173" s="5">
        <f>IFERROR(__xludf.DUMMYFUNCTION("""COMPUTED_VALUE"""),11146.0)</f>
        <v>11146</v>
      </c>
      <c r="O173" s="5">
        <f>IFERROR(__xludf.DUMMYFUNCTION("""COMPUTED_VALUE"""),10719.0)</f>
        <v>10719</v>
      </c>
      <c r="P173" s="5">
        <f>IFERROR(__xludf.DUMMYFUNCTION("""COMPUTED_VALUE"""),14.0)</f>
        <v>14</v>
      </c>
      <c r="Q173" s="5" t="str">
        <f>IFERROR(__xludf.DUMMYFUNCTION("""COMPUTED_VALUE"""),"N")</f>
        <v>N</v>
      </c>
      <c r="R173" s="5" t="str">
        <f>IFERROR(__xludf.DUMMYFUNCTION("""COMPUTED_VALUE"""),"N")</f>
        <v>N</v>
      </c>
      <c r="S173" s="5"/>
      <c r="T173" s="5"/>
      <c r="U173" s="5" t="str">
        <f>IFERROR(__xludf.DUMMYFUNCTION("""COMPUTED_VALUE"""),"Y")</f>
        <v>Y</v>
      </c>
      <c r="V173" s="5">
        <f>IFERROR(__xludf.DUMMYFUNCTION("""COMPUTED_VALUE"""),1120.0)</f>
        <v>1120</v>
      </c>
      <c r="W173" s="5"/>
      <c r="X173" s="5"/>
      <c r="Y173" s="5"/>
      <c r="Z173" s="5"/>
    </row>
    <row r="174">
      <c r="A174" s="5" t="str">
        <f>IFERROR(__xludf.DUMMYFUNCTION("""COMPUTED_VALUE"""),"ซาลาเปามินิครีม.-20-ลูก")</f>
        <v>ซาลาเปามินิครีม.-20-ลูก</v>
      </c>
      <c r="B174" s="5">
        <f>IFERROR(__xludf.DUMMYFUNCTION("""COMPUTED_VALUE"""),10719.0)</f>
        <v>10719</v>
      </c>
      <c r="C174" s="5" t="str">
        <f>IFERROR(__xludf.DUMMYFUNCTION("""COMPUTED_VALUE"""),"ซาลาเปา20ลูก ไส้ครีม(แพ็ค)")</f>
        <v>ซาลาเปา20ลูก ไส้ครีม(แพ็ค)</v>
      </c>
      <c r="D174" s="5" t="str">
        <f>IFERROR(__xludf.DUMMYFUNCTION("""COMPUTED_VALUE"""),"**ลัง ร้อยเอ็ด")</f>
        <v>**ลัง ร้อยเอ็ด</v>
      </c>
      <c r="E174" s="5" t="str">
        <f>IFERROR(__xludf.DUMMYFUNCTION("""COMPUTED_VALUE"""),"&lt;p&gt;X&lt;/p&gt;")</f>
        <v>&lt;p&gt;X&lt;/p&gt;</v>
      </c>
      <c r="F174" s="5" t="str">
        <f>IFERROR(__xludf.DUMMYFUNCTION("""COMPUTED_VALUE"""),"N")</f>
        <v>N</v>
      </c>
      <c r="G174" s="5"/>
      <c r="H174" s="5"/>
      <c r="I174" s="5"/>
      <c r="J174" s="5"/>
      <c r="K174" s="5"/>
      <c r="L174" s="5"/>
      <c r="M174" s="5">
        <f>IFERROR(__xludf.DUMMYFUNCTION("""COMPUTED_VALUE"""),69.0)</f>
        <v>69</v>
      </c>
      <c r="N174" s="5">
        <f>IFERROR(__xludf.DUMMYFUNCTION("""COMPUTED_VALUE"""),10719.0)</f>
        <v>10719</v>
      </c>
      <c r="O174" s="5"/>
      <c r="P174" s="5"/>
      <c r="Q174" s="5" t="str">
        <f>IFERROR(__xludf.DUMMYFUNCTION("""COMPUTED_VALUE"""),"Y")</f>
        <v>Y</v>
      </c>
      <c r="R174" s="5"/>
      <c r="S174" s="5" t="str">
        <f>IFERROR(__xludf.DUMMYFUNCTION("""COMPUTED_VALUE"""),"M.A.P FOOD")</f>
        <v>M.A.P FOOD</v>
      </c>
      <c r="T174" s="5">
        <f>IFERROR(__xludf.DUMMYFUNCTION("""COMPUTED_VALUE"""),69.0)</f>
        <v>69</v>
      </c>
      <c r="U174" s="5" t="str">
        <f>IFERROR(__xludf.DUMMYFUNCTION("""COMPUTED_VALUE"""),"Y")</f>
        <v>Y</v>
      </c>
      <c r="V174" s="5">
        <f>IFERROR(__xludf.DUMMYFUNCTION("""COMPUTED_VALUE"""),85.0)</f>
        <v>85</v>
      </c>
      <c r="W174" s="5">
        <f>IFERROR(__xludf.DUMMYFUNCTION("""COMPUTED_VALUE"""),33.0)</f>
        <v>33</v>
      </c>
      <c r="X174" s="5">
        <f>IFERROR(__xludf.DUMMYFUNCTION("""COMPUTED_VALUE"""),0.0)</f>
        <v>0</v>
      </c>
      <c r="Y174" s="5"/>
      <c r="Z174" s="5"/>
    </row>
    <row r="175">
      <c r="A175" s="5" t="str">
        <f>IFERROR(__xludf.DUMMYFUNCTION("""COMPUTED_VALUE"""),"ซาลาเปาใส้ครีมชีส-500-g-ถุง-1")</f>
        <v>ซาลาเปาใส้ครีมชีส-500-g-ถุง-1</v>
      </c>
      <c r="B175" s="5">
        <f>IFERROR(__xludf.DUMMYFUNCTION("""COMPUTED_VALUE"""),10143.0)</f>
        <v>10143</v>
      </c>
      <c r="C175" s="5" t="str">
        <f>IFERROR(__xludf.DUMMYFUNCTION("""COMPUTED_VALUE"""),"ซาลาเปาครีมชีส  แพ็ค 500g")</f>
        <v>ซาลาเปาครีมชีส  แพ็ค 500g</v>
      </c>
      <c r="D175" s="5" t="str">
        <f>IFERROR(__xludf.DUMMYFUNCTION("""COMPUTED_VALUE"""),"ทวีวงษ์-PFP")</f>
        <v>ทวีวงษ์-PFP</v>
      </c>
      <c r="E175" s="5" t="str">
        <f>IFERROR(__xludf.DUMMYFUNCTION("""COMPUTED_VALUE"""),"&lt;p&gt;X&lt;/p&gt;")</f>
        <v>&lt;p&gt;X&lt;/p&gt;</v>
      </c>
      <c r="F175" s="5" t="str">
        <f>IFERROR(__xludf.DUMMYFUNCTION("""COMPUTED_VALUE"""),"N")</f>
        <v>N</v>
      </c>
      <c r="G175" s="5"/>
      <c r="H175" s="5"/>
      <c r="I175" s="5"/>
      <c r="J175" s="5"/>
      <c r="K175" s="5"/>
      <c r="L175" s="5"/>
      <c r="M175" s="5">
        <f>IFERROR(__xludf.DUMMYFUNCTION("""COMPUTED_VALUE"""),69.0)</f>
        <v>69</v>
      </c>
      <c r="N175" s="5">
        <f>IFERROR(__xludf.DUMMYFUNCTION("""COMPUTED_VALUE"""),8.850016635091E12)</f>
        <v>8850016635091</v>
      </c>
      <c r="O175" s="5"/>
      <c r="P175" s="5"/>
      <c r="Q175" s="5" t="str">
        <f>IFERROR(__xludf.DUMMYFUNCTION("""COMPUTED_VALUE"""),"Y")</f>
        <v>Y</v>
      </c>
      <c r="R175" s="5"/>
      <c r="S175" s="5" t="str">
        <f>IFERROR(__xludf.DUMMYFUNCTION("""COMPUTED_VALUE"""),"ทวีวงษ์")</f>
        <v>ทวีวงษ์</v>
      </c>
      <c r="T175" s="5">
        <f>IFERROR(__xludf.DUMMYFUNCTION("""COMPUTED_VALUE"""),69.0)</f>
        <v>69</v>
      </c>
      <c r="U175" s="5" t="str">
        <f>IFERROR(__xludf.DUMMYFUNCTION("""COMPUTED_VALUE"""),"Y")</f>
        <v>Y</v>
      </c>
      <c r="V175" s="5">
        <f>IFERROR(__xludf.DUMMYFUNCTION("""COMPUTED_VALUE"""),80.0)</f>
        <v>80</v>
      </c>
      <c r="W175" s="5">
        <f>IFERROR(__xludf.DUMMYFUNCTION("""COMPUTED_VALUE"""),167.0)</f>
        <v>167</v>
      </c>
      <c r="X175" s="5">
        <f>IFERROR(__xludf.DUMMYFUNCTION("""COMPUTED_VALUE"""),40.0)</f>
        <v>40</v>
      </c>
      <c r="Y175" s="5">
        <f>IFERROR(__xludf.DUMMYFUNCTION("""COMPUTED_VALUE"""),100.0)</f>
        <v>100</v>
      </c>
      <c r="Z175" s="5"/>
    </row>
    <row r="176">
      <c r="A176" s="5" t="str">
        <f>IFERROR(__xludf.DUMMYFUNCTION("""COMPUTED_VALUE"""),"ร้านออย-ซาลาเปาครีมชีส-ลัง")</f>
        <v>ร้านออย-ซาลาเปาครีมชีส-ลัง</v>
      </c>
      <c r="B176" s="5">
        <f>IFERROR(__xludf.DUMMYFUNCTION("""COMPUTED_VALUE"""),11481.0)</f>
        <v>11481</v>
      </c>
      <c r="C176" s="5" t="str">
        <f>IFERROR(__xludf.DUMMYFUNCTION("""COMPUTED_VALUE"""),"ซาลาเปาครีมชีส 20*500g (ลัง)  ราคาพิเศษ")</f>
        <v>ซาลาเปาครีมชีส 20*500g (ลัง)  ราคาพิเศษ</v>
      </c>
      <c r="D176" s="5" t="str">
        <f>IFERROR(__xludf.DUMMYFUNCTION("""COMPUTED_VALUE"""),"**ร้านค้า ราคาพิเศษ")</f>
        <v>**ร้านค้า ราคาพิเศษ</v>
      </c>
      <c r="E176" s="5" t="str">
        <f>IFERROR(__xludf.DUMMYFUNCTION("""COMPUTED_VALUE"""),"&lt;p&gt;X&lt;/p&gt;")</f>
        <v>&lt;p&gt;X&lt;/p&gt;</v>
      </c>
      <c r="F176" s="5" t="str">
        <f>IFERROR(__xludf.DUMMYFUNCTION("""COMPUTED_VALUE"""),"N")</f>
        <v>N</v>
      </c>
      <c r="G176" s="5"/>
      <c r="H176" s="5"/>
      <c r="I176" s="5"/>
      <c r="J176" s="5"/>
      <c r="K176" s="5"/>
      <c r="L176" s="5"/>
      <c r="M176" s="5"/>
      <c r="N176" s="5">
        <f>IFERROR(__xludf.DUMMYFUNCTION("""COMPUTED_VALUE"""),11481.0)</f>
        <v>11481</v>
      </c>
      <c r="O176" s="5">
        <f>IFERROR(__xludf.DUMMYFUNCTION("""COMPUTED_VALUE"""),10143.0)</f>
        <v>10143</v>
      </c>
      <c r="P176" s="5">
        <f>IFERROR(__xludf.DUMMYFUNCTION("""COMPUTED_VALUE"""),20.0)</f>
        <v>20</v>
      </c>
      <c r="Q176" s="5" t="str">
        <f>IFERROR(__xludf.DUMMYFUNCTION("""COMPUTED_VALUE"""),"N")</f>
        <v>N</v>
      </c>
      <c r="R176" s="5" t="str">
        <f>IFERROR(__xludf.DUMMYFUNCTION("""COMPUTED_VALUE"""),"N")</f>
        <v>N</v>
      </c>
      <c r="S176" s="5"/>
      <c r="T176" s="5"/>
      <c r="U176" s="5" t="str">
        <f>IFERROR(__xludf.DUMMYFUNCTION("""COMPUTED_VALUE"""),"Y")</f>
        <v>Y</v>
      </c>
      <c r="V176" s="5">
        <f>IFERROR(__xludf.DUMMYFUNCTION("""COMPUTED_VALUE"""),1450.0)</f>
        <v>1450</v>
      </c>
      <c r="W176" s="5"/>
      <c r="X176" s="5"/>
      <c r="Y176" s="5"/>
      <c r="Z176" s="5"/>
    </row>
    <row r="177">
      <c r="A177" s="5" t="str">
        <f>IFERROR(__xludf.DUMMYFUNCTION("""COMPUTED_VALUE"""),"ซาลาเปาใส้ครีมชีส-20*500g-ลัง-1")</f>
        <v>ซาลาเปาใส้ครีมชีส-20*500g-ลัง-1</v>
      </c>
      <c r="B177" s="5">
        <f>IFERROR(__xludf.DUMMYFUNCTION("""COMPUTED_VALUE"""),10289.0)</f>
        <v>10289</v>
      </c>
      <c r="C177" s="5" t="str">
        <f>IFERROR(__xludf.DUMMYFUNCTION("""COMPUTED_VALUE"""),"ซาลาเปาครีมชีส 500 กรัม (ลัง)")</f>
        <v>ซาลาเปาครีมชีส 500 กรัม (ลัง)</v>
      </c>
      <c r="D177" s="5"/>
      <c r="E177" s="5" t="str">
        <f>IFERROR(__xludf.DUMMYFUNCTION("""COMPUTED_VALUE"""),"&lt;p&gt;S&lt;/p&gt;")</f>
        <v>&lt;p&gt;S&lt;/p&gt;</v>
      </c>
      <c r="F177" s="5" t="str">
        <f>IFERROR(__xludf.DUMMYFUNCTION("""COMPUTED_VALUE"""),"N")</f>
        <v>N</v>
      </c>
      <c r="G177" s="5"/>
      <c r="H177" s="5"/>
      <c r="I177" s="5"/>
      <c r="J177" s="5"/>
      <c r="K177" s="5"/>
      <c r="L177" s="5"/>
      <c r="M177" s="5"/>
      <c r="N177" s="5">
        <f>IFERROR(__xludf.DUMMYFUNCTION("""COMPUTED_VALUE"""),10289.0)</f>
        <v>10289</v>
      </c>
      <c r="O177" s="5">
        <f>IFERROR(__xludf.DUMMYFUNCTION("""COMPUTED_VALUE"""),10143.0)</f>
        <v>10143</v>
      </c>
      <c r="P177" s="5">
        <f>IFERROR(__xludf.DUMMYFUNCTION("""COMPUTED_VALUE"""),20.0)</f>
        <v>20</v>
      </c>
      <c r="Q177" s="5" t="str">
        <f>IFERROR(__xludf.DUMMYFUNCTION("""COMPUTED_VALUE"""),"N")</f>
        <v>N</v>
      </c>
      <c r="R177" s="5" t="str">
        <f>IFERROR(__xludf.DUMMYFUNCTION("""COMPUTED_VALUE"""),"N")</f>
        <v>N</v>
      </c>
      <c r="S177" s="5"/>
      <c r="T177" s="5"/>
      <c r="U177" s="5" t="str">
        <f>IFERROR(__xludf.DUMMYFUNCTION("""COMPUTED_VALUE"""),"Y")</f>
        <v>Y</v>
      </c>
      <c r="V177" s="5">
        <f>IFERROR(__xludf.DUMMYFUNCTION("""COMPUTED_VALUE"""),1480.0)</f>
        <v>1480</v>
      </c>
      <c r="W177" s="5"/>
      <c r="X177" s="5"/>
      <c r="Y177" s="5"/>
      <c r="Z177" s="5"/>
    </row>
    <row r="178">
      <c r="A178" s="5" t="str">
        <f>IFERROR(__xludf.DUMMYFUNCTION("""COMPUTED_VALUE"""),"ซาลาเปาไข่กุ้ง-แพ็ค-500g")</f>
        <v>ซาลาเปาไข่กุ้ง-แพ็ค-500g</v>
      </c>
      <c r="B178" s="5">
        <f>IFERROR(__xludf.DUMMYFUNCTION("""COMPUTED_VALUE"""),10981.0)</f>
        <v>10981</v>
      </c>
      <c r="C178" s="5" t="str">
        <f>IFERROR(__xludf.DUMMYFUNCTION("""COMPUTED_VALUE"""),"ซาลาเปาปลาไข่กุ้ง แพ็ค 500g")</f>
        <v>ซาลาเปาปลาไข่กุ้ง แพ็ค 500g</v>
      </c>
      <c r="D178" s="5" t="str">
        <f>IFERROR(__xludf.DUMMYFUNCTION("""COMPUTED_VALUE"""),"ทวีวงษ์-PFP")</f>
        <v>ทวีวงษ์-PFP</v>
      </c>
      <c r="E178" s="5" t="str">
        <f>IFERROR(__xludf.DUMMYFUNCTION("""COMPUTED_VALUE"""),"X")</f>
        <v>X</v>
      </c>
      <c r="F178" s="5" t="str">
        <f>IFERROR(__xludf.DUMMYFUNCTION("""COMPUTED_VALUE"""),"N")</f>
        <v>N</v>
      </c>
      <c r="G178" s="5"/>
      <c r="H178" s="5"/>
      <c r="I178" s="5"/>
      <c r="J178" s="5"/>
      <c r="K178" s="5"/>
      <c r="L178" s="5"/>
      <c r="M178" s="5">
        <f>IFERROR(__xludf.DUMMYFUNCTION("""COMPUTED_VALUE"""),75.0)</f>
        <v>75</v>
      </c>
      <c r="N178" s="5">
        <f>IFERROR(__xludf.DUMMYFUNCTION("""COMPUTED_VALUE"""),10981.0)</f>
        <v>10981</v>
      </c>
      <c r="O178" s="5"/>
      <c r="P178" s="5"/>
      <c r="Q178" s="5" t="str">
        <f>IFERROR(__xludf.DUMMYFUNCTION("""COMPUTED_VALUE"""),"Y")</f>
        <v>Y</v>
      </c>
      <c r="R178" s="5"/>
      <c r="S178" s="5" t="str">
        <f>IFERROR(__xludf.DUMMYFUNCTION("""COMPUTED_VALUE"""),"ทวีวงษ์")</f>
        <v>ทวีวงษ์</v>
      </c>
      <c r="T178" s="5">
        <f>IFERROR(__xludf.DUMMYFUNCTION("""COMPUTED_VALUE"""),74.0)</f>
        <v>74</v>
      </c>
      <c r="U178" s="5" t="str">
        <f>IFERROR(__xludf.DUMMYFUNCTION("""COMPUTED_VALUE"""),"Y")</f>
        <v>Y</v>
      </c>
      <c r="V178" s="5">
        <f>IFERROR(__xludf.DUMMYFUNCTION("""COMPUTED_VALUE"""),80.0)</f>
        <v>80</v>
      </c>
      <c r="W178" s="5">
        <f>IFERROR(__xludf.DUMMYFUNCTION("""COMPUTED_VALUE"""),0.0)</f>
        <v>0</v>
      </c>
      <c r="X178" s="5">
        <f>IFERROR(__xludf.DUMMYFUNCTION("""COMPUTED_VALUE"""),20.0)</f>
        <v>20</v>
      </c>
      <c r="Y178" s="5">
        <f>IFERROR(__xludf.DUMMYFUNCTION("""COMPUTED_VALUE"""),40.0)</f>
        <v>40</v>
      </c>
      <c r="Z178" s="5"/>
    </row>
    <row r="179">
      <c r="A179" s="5" t="str">
        <f>IFERROR(__xludf.DUMMYFUNCTION("""COMPUTED_VALUE"""),"ซาลาเปาไข่กุ้ง-ลัง")</f>
        <v>ซาลาเปาไข่กุ้ง-ลัง</v>
      </c>
      <c r="B179" s="5">
        <f>IFERROR(__xludf.DUMMYFUNCTION("""COMPUTED_VALUE"""),11053.0)</f>
        <v>11053</v>
      </c>
      <c r="C179" s="5" t="str">
        <f>IFERROR(__xludf.DUMMYFUNCTION("""COMPUTED_VALUE"""),"ซาลาเปาปลาไข่กุ้ง20*500g  ( ลัง)")</f>
        <v>ซาลาเปาปลาไข่กุ้ง20*500g  ( ลัง)</v>
      </c>
      <c r="D179" s="5"/>
      <c r="E179" s="5" t="str">
        <f>IFERROR(__xludf.DUMMYFUNCTION("""COMPUTED_VALUE"""),"&lt;p&gt;S&lt;/p&gt;")</f>
        <v>&lt;p&gt;S&lt;/p&gt;</v>
      </c>
      <c r="F179" s="5" t="str">
        <f>IFERROR(__xludf.DUMMYFUNCTION("""COMPUTED_VALUE"""),"N")</f>
        <v>N</v>
      </c>
      <c r="G179" s="5"/>
      <c r="H179" s="5"/>
      <c r="I179" s="5"/>
      <c r="J179" s="5"/>
      <c r="K179" s="5"/>
      <c r="L179" s="5"/>
      <c r="M179" s="5"/>
      <c r="N179" s="5">
        <f>IFERROR(__xludf.DUMMYFUNCTION("""COMPUTED_VALUE"""),8.850016635091E12)</f>
        <v>8850016635091</v>
      </c>
      <c r="O179" s="5">
        <f>IFERROR(__xludf.DUMMYFUNCTION("""COMPUTED_VALUE"""),10981.0)</f>
        <v>10981</v>
      </c>
      <c r="P179" s="5">
        <f>IFERROR(__xludf.DUMMYFUNCTION("""COMPUTED_VALUE"""),20.0)</f>
        <v>20</v>
      </c>
      <c r="Q179" s="5" t="str">
        <f>IFERROR(__xludf.DUMMYFUNCTION("""COMPUTED_VALUE"""),"N")</f>
        <v>N</v>
      </c>
      <c r="R179" s="5" t="str">
        <f>IFERROR(__xludf.DUMMYFUNCTION("""COMPUTED_VALUE"""),"N")</f>
        <v>N</v>
      </c>
      <c r="S179" s="5"/>
      <c r="T179" s="5"/>
      <c r="U179" s="5" t="str">
        <f>IFERROR(__xludf.DUMMYFUNCTION("""COMPUTED_VALUE"""),"Y")</f>
        <v>Y</v>
      </c>
      <c r="V179" s="5">
        <f>IFERROR(__xludf.DUMMYFUNCTION("""COMPUTED_VALUE"""),1550.0)</f>
        <v>1550</v>
      </c>
      <c r="W179" s="5"/>
      <c r="X179" s="5"/>
      <c r="Y179" s="5"/>
      <c r="Z179" s="5"/>
    </row>
    <row r="180">
      <c r="A180" s="5" t="str">
        <f>IFERROR(__xludf.DUMMYFUNCTION("""COMPUTED_VALUE"""),"ซาลาเปาไส้ไข่เค็ม-500g")</f>
        <v>ซาลาเปาไส้ไข่เค็ม-500g</v>
      </c>
      <c r="B180" s="5">
        <f>IFERROR(__xludf.DUMMYFUNCTION("""COMPUTED_VALUE"""),10675.0)</f>
        <v>10675</v>
      </c>
      <c r="C180" s="5" t="str">
        <f>IFERROR(__xludf.DUMMYFUNCTION("""COMPUTED_VALUE"""),"ซาลาเปาไส้ไข่เค็ม 500g")</f>
        <v>ซาลาเปาไส้ไข่เค็ม 500g</v>
      </c>
      <c r="D180" s="5"/>
      <c r="E180" s="5" t="str">
        <f>IFERROR(__xludf.DUMMYFUNCTION("""COMPUTED_VALUE"""),"&lt;p&gt;X&lt;/p&gt;")</f>
        <v>&lt;p&gt;X&lt;/p&gt;</v>
      </c>
      <c r="F180" s="5" t="str">
        <f>IFERROR(__xludf.DUMMYFUNCTION("""COMPUTED_VALUE"""),"N")</f>
        <v>N</v>
      </c>
      <c r="G180" s="5"/>
      <c r="H180" s="5"/>
      <c r="I180" s="5"/>
      <c r="J180" s="5"/>
      <c r="K180" s="5"/>
      <c r="L180" s="5"/>
      <c r="M180" s="5">
        <f>IFERROR(__xludf.DUMMYFUNCTION("""COMPUTED_VALUE"""),71.5)</f>
        <v>71.5</v>
      </c>
      <c r="N180" s="5">
        <f>IFERROR(__xludf.DUMMYFUNCTION("""COMPUTED_VALUE"""),10675.0)</f>
        <v>10675</v>
      </c>
      <c r="O180" s="5"/>
      <c r="P180" s="5"/>
      <c r="Q180" s="5" t="str">
        <f>IFERROR(__xludf.DUMMYFUNCTION("""COMPUTED_VALUE"""),"Y")</f>
        <v>Y</v>
      </c>
      <c r="R180" s="5"/>
      <c r="S180" s="5" t="str">
        <f>IFERROR(__xludf.DUMMYFUNCTION("""COMPUTED_VALUE"""),"ทวีวงษ์")</f>
        <v>ทวีวงษ์</v>
      </c>
      <c r="T180" s="5">
        <f>IFERROR(__xludf.DUMMYFUNCTION("""COMPUTED_VALUE"""),71.5)</f>
        <v>71.5</v>
      </c>
      <c r="U180" s="5" t="str">
        <f>IFERROR(__xludf.DUMMYFUNCTION("""COMPUTED_VALUE"""),"N")</f>
        <v>N</v>
      </c>
      <c r="V180" s="5">
        <f>IFERROR(__xludf.DUMMYFUNCTION("""COMPUTED_VALUE"""),89.0)</f>
        <v>89</v>
      </c>
      <c r="W180" s="5">
        <f>IFERROR(__xludf.DUMMYFUNCTION("""COMPUTED_VALUE"""),0.0)</f>
        <v>0</v>
      </c>
      <c r="X180" s="5">
        <f>IFERROR(__xludf.DUMMYFUNCTION("""COMPUTED_VALUE"""),20.0)</f>
        <v>20</v>
      </c>
      <c r="Y180" s="5">
        <f>IFERROR(__xludf.DUMMYFUNCTION("""COMPUTED_VALUE"""),40.0)</f>
        <v>40</v>
      </c>
      <c r="Z180" s="5"/>
    </row>
    <row r="181">
      <c r="A181" s="5" t="str">
        <f>IFERROR(__xludf.DUMMYFUNCTION("""COMPUTED_VALUE"""),"ซูซูฟิชเคก-20*-500-g-ลัง-1")</f>
        <v>ซูซูฟิชเคก-20*-500-g-ลัง-1</v>
      </c>
      <c r="B181" s="5">
        <f>IFERROR(__xludf.DUMMYFUNCTION("""COMPUTED_VALUE"""),10288.0)</f>
        <v>10288</v>
      </c>
      <c r="C181" s="5" t="str">
        <f>IFERROR(__xludf.DUMMYFUNCTION("""COMPUTED_VALUE"""),"ซูซูฟิชเคก 500 กรัม (ลัง)")</f>
        <v>ซูซูฟิชเคก 500 กรัม (ลัง)</v>
      </c>
      <c r="D181" s="5"/>
      <c r="E181" s="5" t="str">
        <f>IFERROR(__xludf.DUMMYFUNCTION("""COMPUTED_VALUE"""),"S")</f>
        <v>S</v>
      </c>
      <c r="F181" s="5" t="str">
        <f>IFERROR(__xludf.DUMMYFUNCTION("""COMPUTED_VALUE"""),"N")</f>
        <v>N</v>
      </c>
      <c r="G181" s="5"/>
      <c r="H181" s="5"/>
      <c r="I181" s="5"/>
      <c r="J181" s="5"/>
      <c r="K181" s="5"/>
      <c r="L181" s="5"/>
      <c r="M181" s="5"/>
      <c r="N181" s="5">
        <f>IFERROR(__xludf.DUMMYFUNCTION("""COMPUTED_VALUE"""),10288.0)</f>
        <v>10288</v>
      </c>
      <c r="O181" s="5">
        <f>IFERROR(__xludf.DUMMYFUNCTION("""COMPUTED_VALUE"""),10133.0)</f>
        <v>10133</v>
      </c>
      <c r="P181" s="5">
        <f>IFERROR(__xludf.DUMMYFUNCTION("""COMPUTED_VALUE"""),20.0)</f>
        <v>20</v>
      </c>
      <c r="Q181" s="5" t="str">
        <f>IFERROR(__xludf.DUMMYFUNCTION("""COMPUTED_VALUE"""),"N")</f>
        <v>N</v>
      </c>
      <c r="R181" s="5" t="str">
        <f>IFERROR(__xludf.DUMMYFUNCTION("""COMPUTED_VALUE"""),"N")</f>
        <v>N</v>
      </c>
      <c r="S181" s="5"/>
      <c r="T181" s="5"/>
      <c r="U181" s="5" t="str">
        <f>IFERROR(__xludf.DUMMYFUNCTION("""COMPUTED_VALUE"""),"Y")</f>
        <v>Y</v>
      </c>
      <c r="V181" s="5">
        <f>IFERROR(__xludf.DUMMYFUNCTION("""COMPUTED_VALUE"""),1280.0)</f>
        <v>1280</v>
      </c>
      <c r="W181" s="5"/>
      <c r="X181" s="5"/>
      <c r="Y181" s="5"/>
      <c r="Z181" s="5"/>
    </row>
    <row r="182">
      <c r="A182" s="5" t="str">
        <f>IFERROR(__xludf.DUMMYFUNCTION("""COMPUTED_VALUE"""),"ซูซูฟิชเคก-ถุง-500-g-ถุง-1")</f>
        <v>ซูซูฟิชเคก-ถุง-500-g-ถุง-1</v>
      </c>
      <c r="B182" s="5">
        <f>IFERROR(__xludf.DUMMYFUNCTION("""COMPUTED_VALUE"""),10133.0)</f>
        <v>10133</v>
      </c>
      <c r="C182" s="5" t="str">
        <f>IFERROR(__xludf.DUMMYFUNCTION("""COMPUTED_VALUE"""),"ซูซูฟิชเคก ถุง 500 g ถุง")</f>
        <v>ซูซูฟิชเคก ถุง 500 g ถุง</v>
      </c>
      <c r="D182" s="5" t="str">
        <f>IFERROR(__xludf.DUMMYFUNCTION("""COMPUTED_VALUE"""),"ทวีวงษ์-PFP")</f>
        <v>ทวีวงษ์-PFP</v>
      </c>
      <c r="E182" s="5" t="str">
        <f>IFERROR(__xludf.DUMMYFUNCTION("""COMPUTED_VALUE"""),"&lt;p&gt;X&lt;/p&gt;")</f>
        <v>&lt;p&gt;X&lt;/p&gt;</v>
      </c>
      <c r="F182" s="5" t="str">
        <f>IFERROR(__xludf.DUMMYFUNCTION("""COMPUTED_VALUE"""),"N")</f>
        <v>N</v>
      </c>
      <c r="G182" s="5"/>
      <c r="H182" s="5"/>
      <c r="I182" s="5"/>
      <c r="J182" s="5"/>
      <c r="K182" s="5"/>
      <c r="L182" s="5"/>
      <c r="M182" s="5">
        <f>IFERROR(__xludf.DUMMYFUNCTION("""COMPUTED_VALUE"""),60.0)</f>
        <v>60</v>
      </c>
      <c r="N182" s="5">
        <f>IFERROR(__xludf.DUMMYFUNCTION("""COMPUTED_VALUE"""),8.850016635343E12)</f>
        <v>8850016635343</v>
      </c>
      <c r="O182" s="5"/>
      <c r="P182" s="5"/>
      <c r="Q182" s="5" t="str">
        <f>IFERROR(__xludf.DUMMYFUNCTION("""COMPUTED_VALUE"""),"Y")</f>
        <v>Y</v>
      </c>
      <c r="R182" s="5"/>
      <c r="S182" s="5" t="str">
        <f>IFERROR(__xludf.DUMMYFUNCTION("""COMPUTED_VALUE"""),"ทวีวงษ์")</f>
        <v>ทวีวงษ์</v>
      </c>
      <c r="T182" s="5">
        <f>IFERROR(__xludf.DUMMYFUNCTION("""COMPUTED_VALUE"""),60.0)</f>
        <v>60</v>
      </c>
      <c r="U182" s="5" t="str">
        <f>IFERROR(__xludf.DUMMYFUNCTION("""COMPUTED_VALUE"""),"Y")</f>
        <v>Y</v>
      </c>
      <c r="V182" s="5">
        <f>IFERROR(__xludf.DUMMYFUNCTION("""COMPUTED_VALUE"""),70.0)</f>
        <v>70</v>
      </c>
      <c r="W182" s="5">
        <f>IFERROR(__xludf.DUMMYFUNCTION("""COMPUTED_VALUE"""),18.0)</f>
        <v>18</v>
      </c>
      <c r="X182" s="5">
        <f>IFERROR(__xludf.DUMMYFUNCTION("""COMPUTED_VALUE"""),40.0)</f>
        <v>40</v>
      </c>
      <c r="Y182" s="5">
        <f>IFERROR(__xludf.DUMMYFUNCTION("""COMPUTED_VALUE"""),100.0)</f>
        <v>100</v>
      </c>
      <c r="Z182" s="5"/>
    </row>
    <row r="183">
      <c r="A183" s="5" t="str">
        <f>IFERROR(__xludf.DUMMYFUNCTION("""COMPUTED_VALUE"""),"ซูเปอร์-อลาสก้า-20*250g-ลัง")</f>
        <v>ซูเปอร์-อลาสก้า-20*250g-ลัง</v>
      </c>
      <c r="B183" s="5">
        <f>IFERROR(__xludf.DUMMYFUNCTION("""COMPUTED_VALUE"""),11491.0)</f>
        <v>11491</v>
      </c>
      <c r="C183" s="5" t="str">
        <f>IFERROR(__xludf.DUMMYFUNCTION("""COMPUTED_VALUE"""),"ซูเปอร์ อลาสก้า 20*250g ลัง")</f>
        <v>ซูเปอร์ อลาสก้า 20*250g ลัง</v>
      </c>
      <c r="D183" s="5"/>
      <c r="E183" s="5" t="str">
        <f>IFERROR(__xludf.DUMMYFUNCTION("""COMPUTED_VALUE"""),"S")</f>
        <v>S</v>
      </c>
      <c r="F183" s="5" t="str">
        <f>IFERROR(__xludf.DUMMYFUNCTION("""COMPUTED_VALUE"""),"N")</f>
        <v>N</v>
      </c>
      <c r="G183" s="5"/>
      <c r="H183" s="5"/>
      <c r="I183" s="5"/>
      <c r="J183" s="5"/>
      <c r="K183" s="5"/>
      <c r="L183" s="5"/>
      <c r="M183" s="5"/>
      <c r="N183" s="5">
        <f>IFERROR(__xludf.DUMMYFUNCTION("""COMPUTED_VALUE"""),11491.0)</f>
        <v>11491</v>
      </c>
      <c r="O183" s="5">
        <f>IFERROR(__xludf.DUMMYFUNCTION("""COMPUTED_VALUE"""),11490.0)</f>
        <v>11490</v>
      </c>
      <c r="P183" s="5">
        <f>IFERROR(__xludf.DUMMYFUNCTION("""COMPUTED_VALUE"""),20.0)</f>
        <v>20</v>
      </c>
      <c r="Q183" s="5" t="str">
        <f>IFERROR(__xludf.DUMMYFUNCTION("""COMPUTED_VALUE"""),"N")</f>
        <v>N</v>
      </c>
      <c r="R183" s="5" t="str">
        <f>IFERROR(__xludf.DUMMYFUNCTION("""COMPUTED_VALUE"""),"N")</f>
        <v>N</v>
      </c>
      <c r="S183" s="5"/>
      <c r="T183" s="5"/>
      <c r="U183" s="5" t="str">
        <f>IFERROR(__xludf.DUMMYFUNCTION("""COMPUTED_VALUE"""),"Y")</f>
        <v>Y</v>
      </c>
      <c r="V183" s="5">
        <f>IFERROR(__xludf.DUMMYFUNCTION("""COMPUTED_VALUE"""),1000.0)</f>
        <v>1000</v>
      </c>
      <c r="W183" s="5"/>
      <c r="X183" s="5"/>
      <c r="Y183" s="5"/>
      <c r="Z183" s="5"/>
    </row>
    <row r="184">
      <c r="A184" s="5" t="str">
        <f>IFERROR(__xludf.DUMMYFUNCTION("""COMPUTED_VALUE"""),"ซูเปอร์-อลาสก้า-250g")</f>
        <v>ซูเปอร์-อลาสก้า-250g</v>
      </c>
      <c r="B184" s="5">
        <f>IFERROR(__xludf.DUMMYFUNCTION("""COMPUTED_VALUE"""),11490.0)</f>
        <v>11490</v>
      </c>
      <c r="C184" s="5" t="str">
        <f>IFERROR(__xludf.DUMMYFUNCTION("""COMPUTED_VALUE"""),"ซูเปอร์ อลาสก้า 250g")</f>
        <v>ซูเปอร์ อลาสก้า 250g</v>
      </c>
      <c r="D184" s="5"/>
      <c r="E184" s="5" t="str">
        <f>IFERROR(__xludf.DUMMYFUNCTION("""COMPUTED_VALUE"""),"X")</f>
        <v>X</v>
      </c>
      <c r="F184" s="5" t="str">
        <f>IFERROR(__xludf.DUMMYFUNCTION("""COMPUTED_VALUE"""),"N")</f>
        <v>N</v>
      </c>
      <c r="G184" s="5"/>
      <c r="H184" s="5"/>
      <c r="I184" s="5"/>
      <c r="J184" s="5"/>
      <c r="K184" s="5"/>
      <c r="L184" s="5"/>
      <c r="M184" s="5">
        <f>IFERROR(__xludf.DUMMYFUNCTION("""COMPUTED_VALUE"""),46.25)</f>
        <v>46.25</v>
      </c>
      <c r="N184" s="5">
        <f>IFERROR(__xludf.DUMMYFUNCTION("""COMPUTED_VALUE"""),11490.0)</f>
        <v>11490</v>
      </c>
      <c r="O184" s="5"/>
      <c r="P184" s="5"/>
      <c r="Q184" s="5" t="str">
        <f>IFERROR(__xludf.DUMMYFUNCTION("""COMPUTED_VALUE"""),"Y")</f>
        <v>Y</v>
      </c>
      <c r="R184" s="5"/>
      <c r="S184" s="5"/>
      <c r="T184" s="5">
        <f>IFERROR(__xludf.DUMMYFUNCTION("""COMPUTED_VALUE"""),0.0)</f>
        <v>0</v>
      </c>
      <c r="U184" s="5" t="str">
        <f>IFERROR(__xludf.DUMMYFUNCTION("""COMPUTED_VALUE"""),"Y")</f>
        <v>Y</v>
      </c>
      <c r="V184" s="5">
        <f>IFERROR(__xludf.DUMMYFUNCTION("""COMPUTED_VALUE"""),55.0)</f>
        <v>55</v>
      </c>
      <c r="W184" s="5">
        <f>IFERROR(__xludf.DUMMYFUNCTION("""COMPUTED_VALUE"""),0.0)</f>
        <v>0</v>
      </c>
      <c r="X184" s="5"/>
      <c r="Y184" s="5"/>
      <c r="Z184" s="5"/>
    </row>
    <row r="185">
      <c r="A185" s="5" t="str">
        <f>IFERROR(__xludf.DUMMYFUNCTION("""COMPUTED_VALUE"""),"ดอลลี่ตัว-ลังน้ําตาล-(80%)-10*1-kg-ลัง")</f>
        <v>ดอลลี่ตัว-ลังน้ําตาล-(80%)-10*1-kg-ลัง</v>
      </c>
      <c r="B185" s="5">
        <f>IFERROR(__xludf.DUMMYFUNCTION("""COMPUTED_VALUE"""),10437.0)</f>
        <v>10437</v>
      </c>
      <c r="C185" s="5" t="str">
        <f>IFERROR(__xludf.DUMMYFUNCTION("""COMPUTED_VALUE"""),"ดอลลี่ตัว (น้ำตาล)  (ลัง) - 65")</f>
        <v>ดอลลี่ตัว (น้ำตาล)  (ลัง) - 65</v>
      </c>
      <c r="D185" s="5" t="str">
        <f>IFERROR(__xludf.DUMMYFUNCTION("""COMPUTED_VALUE"""),"**ลัง ร้อยเอ็ด")</f>
        <v>**ลัง ร้อยเอ็ด</v>
      </c>
      <c r="E185" s="5" t="str">
        <f>IFERROR(__xludf.DUMMYFUNCTION("""COMPUTED_VALUE"""),"&lt;p&gt;S&lt;/p&gt;")</f>
        <v>&lt;p&gt;S&lt;/p&gt;</v>
      </c>
      <c r="F185" s="5" t="str">
        <f>IFERROR(__xludf.DUMMYFUNCTION("""COMPUTED_VALUE"""),"N")</f>
        <v>N</v>
      </c>
      <c r="G185" s="5"/>
      <c r="H185" s="5"/>
      <c r="I185" s="5"/>
      <c r="J185" s="5"/>
      <c r="K185" s="5"/>
      <c r="L185" s="5"/>
      <c r="M185" s="5"/>
      <c r="N185" s="5">
        <f>IFERROR(__xludf.DUMMYFUNCTION("""COMPUTED_VALUE"""),10437.0)</f>
        <v>10437</v>
      </c>
      <c r="O185" s="5">
        <f>IFERROR(__xludf.DUMMYFUNCTION("""COMPUTED_VALUE"""),10436.0)</f>
        <v>10436</v>
      </c>
      <c r="P185" s="5">
        <f>IFERROR(__xludf.DUMMYFUNCTION("""COMPUTED_VALUE"""),10.0)</f>
        <v>10</v>
      </c>
      <c r="Q185" s="5" t="str">
        <f>IFERROR(__xludf.DUMMYFUNCTION("""COMPUTED_VALUE"""),"N")</f>
        <v>N</v>
      </c>
      <c r="R185" s="5" t="str">
        <f>IFERROR(__xludf.DUMMYFUNCTION("""COMPUTED_VALUE"""),"N")</f>
        <v>N</v>
      </c>
      <c r="S185" s="5"/>
      <c r="T185" s="5"/>
      <c r="U185" s="5" t="str">
        <f>IFERROR(__xludf.DUMMYFUNCTION("""COMPUTED_VALUE"""),"Y")</f>
        <v>Y</v>
      </c>
      <c r="V185" s="5">
        <f>IFERROR(__xludf.DUMMYFUNCTION("""COMPUTED_VALUE"""),650.0)</f>
        <v>650</v>
      </c>
      <c r="W185" s="5"/>
      <c r="X185" s="5"/>
      <c r="Y185" s="5"/>
      <c r="Z185" s="5"/>
    </row>
    <row r="186">
      <c r="A186" s="5" t="str">
        <f>IFERROR(__xludf.DUMMYFUNCTION("""COMPUTED_VALUE"""),"ร้านออย-ดอลลี่ตัวลังน้ำตาล-(59)")</f>
        <v>ร้านออย-ดอลลี่ตัวลังน้ำตาล-(59)</v>
      </c>
      <c r="B186" s="5">
        <f>IFERROR(__xludf.DUMMYFUNCTION("""COMPUTED_VALUE"""),11480.0)</f>
        <v>11480</v>
      </c>
      <c r="C186" s="5" t="str">
        <f>IFERROR(__xludf.DUMMYFUNCTION("""COMPUTED_VALUE"""),"ดอลลี่ตัว (น้ำตาล) *พิเศษ* (57)")</f>
        <v>ดอลลี่ตัว (น้ำตาล) *พิเศษ* (57)</v>
      </c>
      <c r="D186" s="5" t="str">
        <f>IFERROR(__xludf.DUMMYFUNCTION("""COMPUTED_VALUE"""),"**ร้านค้า ราคาพิเศษ")</f>
        <v>**ร้านค้า ราคาพิเศษ</v>
      </c>
      <c r="E186" s="5" t="str">
        <f>IFERROR(__xludf.DUMMYFUNCTION("""COMPUTED_VALUE"""),"&lt;p&gt;X&lt;/p&gt;")</f>
        <v>&lt;p&gt;X&lt;/p&gt;</v>
      </c>
      <c r="F186" s="5" t="str">
        <f>IFERROR(__xludf.DUMMYFUNCTION("""COMPUTED_VALUE"""),"N")</f>
        <v>N</v>
      </c>
      <c r="G186" s="5"/>
      <c r="H186" s="5"/>
      <c r="I186" s="5"/>
      <c r="J186" s="5"/>
      <c r="K186" s="5"/>
      <c r="L186" s="5"/>
      <c r="M186" s="5"/>
      <c r="N186" s="5">
        <f>IFERROR(__xludf.DUMMYFUNCTION("""COMPUTED_VALUE"""),11480.0)</f>
        <v>11480</v>
      </c>
      <c r="O186" s="5">
        <f>IFERROR(__xludf.DUMMYFUNCTION("""COMPUTED_VALUE"""),10436.0)</f>
        <v>10436</v>
      </c>
      <c r="P186" s="5">
        <f>IFERROR(__xludf.DUMMYFUNCTION("""COMPUTED_VALUE"""),10.0)</f>
        <v>10</v>
      </c>
      <c r="Q186" s="5" t="str">
        <f>IFERROR(__xludf.DUMMYFUNCTION("""COMPUTED_VALUE"""),"N")</f>
        <v>N</v>
      </c>
      <c r="R186" s="5" t="str">
        <f>IFERROR(__xludf.DUMMYFUNCTION("""COMPUTED_VALUE"""),"N")</f>
        <v>N</v>
      </c>
      <c r="S186" s="5"/>
      <c r="T186" s="5"/>
      <c r="U186" s="5" t="str">
        <f>IFERROR(__xludf.DUMMYFUNCTION("""COMPUTED_VALUE"""),"Y")</f>
        <v>Y</v>
      </c>
      <c r="V186" s="5">
        <f>IFERROR(__xludf.DUMMYFUNCTION("""COMPUTED_VALUE"""),570.0)</f>
        <v>570</v>
      </c>
      <c r="W186" s="5"/>
      <c r="X186" s="5"/>
      <c r="Y186" s="5"/>
      <c r="Z186" s="5"/>
    </row>
    <row r="187">
      <c r="A187" s="5" t="str">
        <f>IFERROR(__xludf.DUMMYFUNCTION("""COMPUTED_VALUE"""),"ดอลลี่ตัว-80%-1-kg")</f>
        <v>ดอลลี่ตัว-80%-1-kg</v>
      </c>
      <c r="B187" s="5">
        <f>IFERROR(__xludf.DUMMYFUNCTION("""COMPUTED_VALUE"""),10436.0)</f>
        <v>10436</v>
      </c>
      <c r="C187" s="5" t="str">
        <f>IFERROR(__xludf.DUMMYFUNCTION("""COMPUTED_VALUE"""),"ดอลลี่ตัว (น้ำตาล) 1Kg-85")</f>
        <v>ดอลลี่ตัว (น้ำตาล) 1Kg-85</v>
      </c>
      <c r="D187" s="5" t="str">
        <f>IFERROR(__xludf.DUMMYFUNCTION("""COMPUTED_VALUE"""),"**ลัง ร้อยเอ็ด")</f>
        <v>**ลัง ร้อยเอ็ด</v>
      </c>
      <c r="E187" s="5" t="str">
        <f>IFERROR(__xludf.DUMMYFUNCTION("""COMPUTED_VALUE"""),"&lt;p&gt;&lt;!--br {mso-data-placement:same-cell;}--&gt;&lt;!--br {mso-data-placement:same-cell;}--&gt;A&lt;/p&gt;")</f>
        <v>&lt;p&gt;&lt;!--br {mso-data-placement:same-cell;}--&gt;&lt;!--br {mso-data-placement:same-cell;}--&gt;A&lt;/p&gt;</v>
      </c>
      <c r="F187" s="5" t="str">
        <f>IFERROR(__xludf.DUMMYFUNCTION("""COMPUTED_VALUE"""),"N")</f>
        <v>N</v>
      </c>
      <c r="G187" s="5"/>
      <c r="H187" s="5"/>
      <c r="I187" s="5"/>
      <c r="J187" s="5"/>
      <c r="K187" s="5"/>
      <c r="L187" s="5"/>
      <c r="M187" s="5">
        <f>IFERROR(__xludf.DUMMYFUNCTION("""COMPUTED_VALUE"""),51.04)</f>
        <v>51.04</v>
      </c>
      <c r="N187" s="5">
        <f>IFERROR(__xludf.DUMMYFUNCTION("""COMPUTED_VALUE"""),10436.0)</f>
        <v>10436</v>
      </c>
      <c r="O187" s="5"/>
      <c r="P187" s="5"/>
      <c r="Q187" s="5" t="str">
        <f>IFERROR(__xludf.DUMMYFUNCTION("""COMPUTED_VALUE"""),"Y")</f>
        <v>Y</v>
      </c>
      <c r="R187" s="5"/>
      <c r="S187" s="5" t="str">
        <f>IFERROR(__xludf.DUMMYFUNCTION("""COMPUTED_VALUE"""),"บุญศิริ")</f>
        <v>บุญศิริ</v>
      </c>
      <c r="T187" s="5">
        <f>IFERROR(__xludf.DUMMYFUNCTION("""COMPUTED_VALUE"""),54.0)</f>
        <v>54</v>
      </c>
      <c r="U187" s="5" t="str">
        <f>IFERROR(__xludf.DUMMYFUNCTION("""COMPUTED_VALUE"""),"Y")</f>
        <v>Y</v>
      </c>
      <c r="V187" s="5">
        <f>IFERROR(__xludf.DUMMYFUNCTION("""COMPUTED_VALUE"""),85.0)</f>
        <v>85</v>
      </c>
      <c r="W187" s="5">
        <f>IFERROR(__xludf.DUMMYFUNCTION("""COMPUTED_VALUE"""),725.0)</f>
        <v>725</v>
      </c>
      <c r="X187" s="5">
        <f>IFERROR(__xludf.DUMMYFUNCTION("""COMPUTED_VALUE"""),231.0)</f>
        <v>231</v>
      </c>
      <c r="Y187" s="5">
        <f>IFERROR(__xludf.DUMMYFUNCTION("""COMPUTED_VALUE"""),384.0)</f>
        <v>384</v>
      </c>
      <c r="Z187" s="5"/>
    </row>
    <row r="188">
      <c r="A188" s="5" t="str">
        <f>IFERROR(__xludf.DUMMYFUNCTION("""COMPUTED_VALUE"""),"ดอลลี่ตัว-ลัง-10kg-1")</f>
        <v>ดอลลี่ตัว-ลัง-10kg-1</v>
      </c>
      <c r="B188" s="5">
        <f>IFERROR(__xludf.DUMMYFUNCTION("""COMPUTED_VALUE"""),10118.0)</f>
        <v>10118</v>
      </c>
      <c r="C188" s="5" t="str">
        <f>IFERROR(__xludf.DUMMYFUNCTION("""COMPUTED_VALUE"""),"ดอลลี่ตัว (เขียว)  (ลัง) -560")</f>
        <v>ดอลลี่ตัว (เขียว)  (ลัง) -560</v>
      </c>
      <c r="D188" s="5" t="str">
        <f>IFERROR(__xludf.DUMMYFUNCTION("""COMPUTED_VALUE"""),"**ลัง มหาชัย")</f>
        <v>**ลัง มหาชัย</v>
      </c>
      <c r="E188" s="5" t="str">
        <f>IFERROR(__xludf.DUMMYFUNCTION("""COMPUTED_VALUE"""),"&lt;p&gt;10&lt;/p&gt;")</f>
        <v>&lt;p&gt;10&lt;/p&gt;</v>
      </c>
      <c r="F188" s="5" t="str">
        <f>IFERROR(__xludf.DUMMYFUNCTION("""COMPUTED_VALUE"""),"N")</f>
        <v>N</v>
      </c>
      <c r="G188" s="5"/>
      <c r="H188" s="5"/>
      <c r="I188" s="5"/>
      <c r="J188" s="5"/>
      <c r="K188" s="5"/>
      <c r="L188" s="5"/>
      <c r="M188" s="5">
        <f>IFERROR(__xludf.DUMMYFUNCTION("""COMPUTED_VALUE"""),494.3)</f>
        <v>494.3</v>
      </c>
      <c r="N188" s="5">
        <f>IFERROR(__xludf.DUMMYFUNCTION("""COMPUTED_VALUE"""),10118.0)</f>
        <v>10118</v>
      </c>
      <c r="O188" s="5"/>
      <c r="P188" s="5"/>
      <c r="Q188" s="5" t="str">
        <f>IFERROR(__xludf.DUMMYFUNCTION("""COMPUTED_VALUE"""),"Y")</f>
        <v>Y</v>
      </c>
      <c r="R188" s="5"/>
      <c r="S188" s="5" t="str">
        <f>IFERROR(__xludf.DUMMYFUNCTION("""COMPUTED_VALUE"""),"ขึ้นของมหาชัย")</f>
        <v>ขึ้นของมหาชัย</v>
      </c>
      <c r="T188" s="5">
        <f>IFERROR(__xludf.DUMMYFUNCTION("""COMPUTED_VALUE"""),480.0)</f>
        <v>480</v>
      </c>
      <c r="U188" s="5" t="str">
        <f>IFERROR(__xludf.DUMMYFUNCTION("""COMPUTED_VALUE"""),"N")</f>
        <v>N</v>
      </c>
      <c r="V188" s="5">
        <f>IFERROR(__xludf.DUMMYFUNCTION("""COMPUTED_VALUE"""),560.0)</f>
        <v>560</v>
      </c>
      <c r="W188" s="5">
        <f>IFERROR(__xludf.DUMMYFUNCTION("""COMPUTED_VALUE"""),0.0)</f>
        <v>0</v>
      </c>
      <c r="X188" s="5">
        <f>IFERROR(__xludf.DUMMYFUNCTION("""COMPUTED_VALUE"""),5.0)</f>
        <v>5</v>
      </c>
      <c r="Y188" s="5">
        <f>IFERROR(__xludf.DUMMYFUNCTION("""COMPUTED_VALUE"""),15.0)</f>
        <v>15</v>
      </c>
      <c r="Z188" s="5"/>
    </row>
    <row r="189">
      <c r="A189" s="5" t="str">
        <f>IFERROR(__xludf.DUMMYFUNCTION("""COMPUTED_VALUE"""),"ดอลลี่ตัวม่วงเข้ม-พิเศษ-(52)")</f>
        <v>ดอลลี่ตัวม่วงเข้ม-พิเศษ-(52)</v>
      </c>
      <c r="B189" s="5">
        <f>IFERROR(__xludf.DUMMYFUNCTION("""COMPUTED_VALUE"""),10887.0)</f>
        <v>10887</v>
      </c>
      <c r="C189" s="5" t="str">
        <f>IFERROR(__xludf.DUMMYFUNCTION("""COMPUTED_VALUE"""),"ดอลลี่ตัวม่วงเข้ม 10*1Kg พิเศษ (54)")</f>
        <v>ดอลลี่ตัวม่วงเข้ม 10*1Kg พิเศษ (54)</v>
      </c>
      <c r="D189" s="5" t="str">
        <f>IFERROR(__xludf.DUMMYFUNCTION("""COMPUTED_VALUE"""),"**ร้านค้า ราคาพิเศษ")</f>
        <v>**ร้านค้า ราคาพิเศษ</v>
      </c>
      <c r="E189" s="5"/>
      <c r="F189" s="5" t="str">
        <f>IFERROR(__xludf.DUMMYFUNCTION("""COMPUTED_VALUE"""),"N")</f>
        <v>N</v>
      </c>
      <c r="G189" s="5"/>
      <c r="H189" s="5"/>
      <c r="I189" s="5"/>
      <c r="J189" s="5"/>
      <c r="K189" s="5"/>
      <c r="L189" s="5"/>
      <c r="M189" s="5"/>
      <c r="N189" s="5"/>
      <c r="O189" s="5">
        <f>IFERROR(__xludf.DUMMYFUNCTION("""COMPUTED_VALUE"""),10680.0)</f>
        <v>10680</v>
      </c>
      <c r="P189" s="5">
        <f>IFERROR(__xludf.DUMMYFUNCTION("""COMPUTED_VALUE"""),1.0)</f>
        <v>1</v>
      </c>
      <c r="Q189" s="5" t="str">
        <f>IFERROR(__xludf.DUMMYFUNCTION("""COMPUTED_VALUE"""),"N")</f>
        <v>N</v>
      </c>
      <c r="R189" s="5" t="str">
        <f>IFERROR(__xludf.DUMMYFUNCTION("""COMPUTED_VALUE"""),"N")</f>
        <v>N</v>
      </c>
      <c r="S189" s="5"/>
      <c r="T189" s="5"/>
      <c r="U189" s="5" t="str">
        <f>IFERROR(__xludf.DUMMYFUNCTION("""COMPUTED_VALUE"""),"Y")</f>
        <v>Y</v>
      </c>
      <c r="V189" s="5">
        <f>IFERROR(__xludf.DUMMYFUNCTION("""COMPUTED_VALUE"""),540.0)</f>
        <v>540</v>
      </c>
      <c r="W189" s="5"/>
      <c r="X189" s="5"/>
      <c r="Y189" s="5"/>
      <c r="Z189" s="5"/>
    </row>
    <row r="190">
      <c r="A190" s="5" t="str">
        <f>IFERROR(__xludf.DUMMYFUNCTION("""COMPUTED_VALUE"""),"ดอลลี่ตัวม่วงเข้ม--10*1kg.(ลัง)")</f>
        <v>ดอลลี่ตัวม่วงเข้ม--10*1kg.(ลัง)</v>
      </c>
      <c r="B190" s="5">
        <f>IFERROR(__xludf.DUMMYFUNCTION("""COMPUTED_VALUE"""),10680.0)</f>
        <v>10680</v>
      </c>
      <c r="C190" s="5" t="str">
        <f>IFERROR(__xludf.DUMMYFUNCTION("""COMPUTED_VALUE"""),"ดอลลี่ตัวม่วงเข้ม 10*1Kg(ลัง)-56")</f>
        <v>ดอลลี่ตัวม่วงเข้ม 10*1Kg(ลัง)-56</v>
      </c>
      <c r="D190" s="5" t="str">
        <f>IFERROR(__xludf.DUMMYFUNCTION("""COMPUTED_VALUE"""),"**ลัง ร้อยเอ็ด")</f>
        <v>**ลัง ร้อยเอ็ด</v>
      </c>
      <c r="E190" s="5"/>
      <c r="F190" s="5" t="str">
        <f>IFERROR(__xludf.DUMMYFUNCTION("""COMPUTED_VALUE"""),"N")</f>
        <v>N</v>
      </c>
      <c r="G190" s="5"/>
      <c r="H190" s="5"/>
      <c r="I190" s="5"/>
      <c r="J190" s="5"/>
      <c r="K190" s="5"/>
      <c r="L190" s="5"/>
      <c r="M190" s="5">
        <f>IFERROR(__xludf.DUMMYFUNCTION("""COMPUTED_VALUE"""),460.0)</f>
        <v>460</v>
      </c>
      <c r="N190" s="5"/>
      <c r="O190" s="5"/>
      <c r="P190" s="5"/>
      <c r="Q190" s="5" t="str">
        <f>IFERROR(__xludf.DUMMYFUNCTION("""COMPUTED_VALUE"""),"Y")</f>
        <v>Y</v>
      </c>
      <c r="R190" s="5"/>
      <c r="S190" s="5" t="str">
        <f>IFERROR(__xludf.DUMMYFUNCTION("""COMPUTED_VALUE"""),"บุญศิริ")</f>
        <v>บุญศิริ</v>
      </c>
      <c r="T190" s="5">
        <f>IFERROR(__xludf.DUMMYFUNCTION("""COMPUTED_VALUE"""),460.0)</f>
        <v>460</v>
      </c>
      <c r="U190" s="5" t="str">
        <f>IFERROR(__xludf.DUMMYFUNCTION("""COMPUTED_VALUE"""),"Y")</f>
        <v>Y</v>
      </c>
      <c r="V190" s="5">
        <f>IFERROR(__xludf.DUMMYFUNCTION("""COMPUTED_VALUE"""),560.0)</f>
        <v>560</v>
      </c>
      <c r="W190" s="5">
        <f>IFERROR(__xludf.DUMMYFUNCTION("""COMPUTED_VALUE"""),0.0)</f>
        <v>0</v>
      </c>
      <c r="X190" s="5"/>
      <c r="Y190" s="5"/>
      <c r="Z190" s="5"/>
    </row>
    <row r="191">
      <c r="A191" s="5" t="str">
        <f>IFERROR(__xludf.DUMMYFUNCTION("""COMPUTED_VALUE"""),"ดอลลี่ตัวลังม่วงเข้ม-10*1kg.(ลัง)")</f>
        <v>ดอลลี่ตัวลังม่วงเข้ม-10*1kg.(ลัง)</v>
      </c>
      <c r="B191" s="5">
        <f>IFERROR(__xludf.DUMMYFUNCTION("""COMPUTED_VALUE"""),10884.0)</f>
        <v>10884</v>
      </c>
      <c r="C191" s="5" t="str">
        <f>IFERROR(__xludf.DUMMYFUNCTION("""COMPUTED_VALUE"""),"ดอลลี่ตัวลังฟ้า 10*1Kg.(ลัง)")</f>
        <v>ดอลลี่ตัวลังฟ้า 10*1Kg.(ลัง)</v>
      </c>
      <c r="D191" s="5" t="str">
        <f>IFERROR(__xludf.DUMMYFUNCTION("""COMPUTED_VALUE"""),"**ลัง ร้อยเอ็ด")</f>
        <v>**ลัง ร้อยเอ็ด</v>
      </c>
      <c r="E191" s="5"/>
      <c r="F191" s="5" t="str">
        <f>IFERROR(__xludf.DUMMYFUNCTION("""COMPUTED_VALUE"""),"N")</f>
        <v>N</v>
      </c>
      <c r="G191" s="5"/>
      <c r="H191" s="5"/>
      <c r="I191" s="5"/>
      <c r="J191" s="5"/>
      <c r="K191" s="5"/>
      <c r="L191" s="5"/>
      <c r="M191" s="5">
        <f>IFERROR(__xludf.DUMMYFUNCTION("""COMPUTED_VALUE"""),500.0)</f>
        <v>500</v>
      </c>
      <c r="N191" s="5"/>
      <c r="O191" s="5"/>
      <c r="P191" s="5"/>
      <c r="Q191" s="5" t="str">
        <f>IFERROR(__xludf.DUMMYFUNCTION("""COMPUTED_VALUE"""),"Y")</f>
        <v>Y</v>
      </c>
      <c r="R191" s="5"/>
      <c r="S191" s="5" t="str">
        <f>IFERROR(__xludf.DUMMYFUNCTION("""COMPUTED_VALUE"""),"บุญศิริ")</f>
        <v>บุญศิริ</v>
      </c>
      <c r="T191" s="5">
        <f>IFERROR(__xludf.DUMMYFUNCTION("""COMPUTED_VALUE"""),500.0)</f>
        <v>500</v>
      </c>
      <c r="U191" s="5" t="str">
        <f>IFERROR(__xludf.DUMMYFUNCTION("""COMPUTED_VALUE"""),"Y")</f>
        <v>Y</v>
      </c>
      <c r="V191" s="5">
        <f>IFERROR(__xludf.DUMMYFUNCTION("""COMPUTED_VALUE"""),580.0)</f>
        <v>580</v>
      </c>
      <c r="W191" s="5">
        <f>IFERROR(__xludf.DUMMYFUNCTION("""COMPUTED_VALUE"""),43.0)</f>
        <v>43</v>
      </c>
      <c r="X191" s="5"/>
      <c r="Y191" s="5"/>
      <c r="Z191" s="5"/>
    </row>
    <row r="192">
      <c r="A192" s="5" t="str">
        <f>IFERROR(__xludf.DUMMYFUNCTION("""COMPUTED_VALUE"""),"ดอลลี่หั่น-ลังน้ําตาล10*1kg-(ลัง)")</f>
        <v>ดอลลี่หั่น-ลังน้ําตาล10*1kg-(ลัง)</v>
      </c>
      <c r="B192" s="5">
        <f>IFERROR(__xludf.DUMMYFUNCTION("""COMPUTED_VALUE"""),10472.0)</f>
        <v>10472</v>
      </c>
      <c r="C192" s="5" t="str">
        <f>IFERROR(__xludf.DUMMYFUNCTION("""COMPUTED_VALUE"""),"ดอลลี่หั่น (น้ำตาล)  (ลัง)")</f>
        <v>ดอลลี่หั่น (น้ำตาล)  (ลัง)</v>
      </c>
      <c r="D192" s="5" t="str">
        <f>IFERROR(__xludf.DUMMYFUNCTION("""COMPUTED_VALUE"""),"**ลัง ร้อยเอ็ด")</f>
        <v>**ลัง ร้อยเอ็ด</v>
      </c>
      <c r="E192" s="5"/>
      <c r="F192" s="5" t="str">
        <f>IFERROR(__xludf.DUMMYFUNCTION("""COMPUTED_VALUE"""),"N")</f>
        <v>N</v>
      </c>
      <c r="G192" s="5"/>
      <c r="H192" s="5"/>
      <c r="I192" s="5"/>
      <c r="J192" s="5"/>
      <c r="K192" s="5"/>
      <c r="L192" s="5"/>
      <c r="M192" s="5">
        <f>IFERROR(__xludf.DUMMYFUNCTION("""COMPUTED_VALUE"""),580.91)</f>
        <v>580.91</v>
      </c>
      <c r="N192" s="5">
        <f>IFERROR(__xludf.DUMMYFUNCTION("""COMPUTED_VALUE"""),10472.0)</f>
        <v>10472</v>
      </c>
      <c r="O192" s="5"/>
      <c r="P192" s="5"/>
      <c r="Q192" s="5" t="str">
        <f>IFERROR(__xludf.DUMMYFUNCTION("""COMPUTED_VALUE"""),"Y")</f>
        <v>Y</v>
      </c>
      <c r="R192" s="5"/>
      <c r="S192" s="5"/>
      <c r="T192" s="5">
        <f>IFERROR(__xludf.DUMMYFUNCTION("""COMPUTED_VALUE"""),600.0)</f>
        <v>600</v>
      </c>
      <c r="U192" s="5" t="str">
        <f>IFERROR(__xludf.DUMMYFUNCTION("""COMPUTED_VALUE"""),"Y")</f>
        <v>Y</v>
      </c>
      <c r="V192" s="5">
        <f>IFERROR(__xludf.DUMMYFUNCTION("""COMPUTED_VALUE"""),680.0)</f>
        <v>680</v>
      </c>
      <c r="W192" s="5">
        <f>IFERROR(__xludf.DUMMYFUNCTION("""COMPUTED_VALUE"""),20.7)</f>
        <v>20.7</v>
      </c>
      <c r="X192" s="5"/>
      <c r="Y192" s="5"/>
      <c r="Z192" s="5"/>
    </row>
    <row r="193">
      <c r="A193" s="5" t="str">
        <f>IFERROR(__xludf.DUMMYFUNCTION("""COMPUTED_VALUE"""),"ดอลลี่หั่นลังน้ำตาล-(พิเศษ)")</f>
        <v>ดอลลี่หั่นลังน้ำตาล-(พิเศษ)</v>
      </c>
      <c r="B193" s="5">
        <f>IFERROR(__xludf.DUMMYFUNCTION("""COMPUTED_VALUE"""),10601.0)</f>
        <v>10601</v>
      </c>
      <c r="C193" s="5" t="str">
        <f>IFERROR(__xludf.DUMMYFUNCTION("""COMPUTED_VALUE"""),"ดอลลี่หั่น (น้ำตาล) *พิเศษ* (ลัง)")</f>
        <v>ดอลลี่หั่น (น้ำตาล) *พิเศษ* (ลัง)</v>
      </c>
      <c r="D193" s="5" t="str">
        <f>IFERROR(__xludf.DUMMYFUNCTION("""COMPUTED_VALUE"""),"**ร้านค้า ราคาพิเศษ")</f>
        <v>**ร้านค้า ราคาพิเศษ</v>
      </c>
      <c r="E193" s="5"/>
      <c r="F193" s="5" t="str">
        <f>IFERROR(__xludf.DUMMYFUNCTION("""COMPUTED_VALUE"""),"N")</f>
        <v>N</v>
      </c>
      <c r="G193" s="5"/>
      <c r="H193" s="5"/>
      <c r="I193" s="5"/>
      <c r="J193" s="5"/>
      <c r="K193" s="5"/>
      <c r="L193" s="5"/>
      <c r="M193" s="5"/>
      <c r="N193" s="5"/>
      <c r="O193" s="5">
        <f>IFERROR(__xludf.DUMMYFUNCTION("""COMPUTED_VALUE"""),10472.0)</f>
        <v>10472</v>
      </c>
      <c r="P193" s="5">
        <f>IFERROR(__xludf.DUMMYFUNCTION("""COMPUTED_VALUE"""),1.0)</f>
        <v>1</v>
      </c>
      <c r="Q193" s="5" t="str">
        <f>IFERROR(__xludf.DUMMYFUNCTION("""COMPUTED_VALUE"""),"N")</f>
        <v>N</v>
      </c>
      <c r="R193" s="5" t="str">
        <f>IFERROR(__xludf.DUMMYFUNCTION("""COMPUTED_VALUE"""),"N")</f>
        <v>N</v>
      </c>
      <c r="S193" s="5"/>
      <c r="T193" s="5"/>
      <c r="U193" s="5" t="str">
        <f>IFERROR(__xludf.DUMMYFUNCTION("""COMPUTED_VALUE"""),"N")</f>
        <v>N</v>
      </c>
      <c r="V193" s="5">
        <f>IFERROR(__xludf.DUMMYFUNCTION("""COMPUTED_VALUE"""),600.0)</f>
        <v>600</v>
      </c>
      <c r="W193" s="5"/>
      <c r="X193" s="5"/>
      <c r="Y193" s="5"/>
      <c r="Z193" s="5"/>
    </row>
    <row r="194">
      <c r="A194" s="5" t="str">
        <f>IFERROR(__xludf.DUMMYFUNCTION("""COMPUTED_VALUE"""),"ดอลลี่หั่น-ปลาทอง-ลัง-(10กก)")</f>
        <v>ดอลลี่หั่น-ปลาทอง-ลัง-(10กก)</v>
      </c>
      <c r="B194" s="5">
        <f>IFERROR(__xludf.DUMMYFUNCTION("""COMPUTED_VALUE"""),11188.0)</f>
        <v>11188</v>
      </c>
      <c r="C194" s="5" t="str">
        <f>IFERROR(__xludf.DUMMYFUNCTION("""COMPUTED_VALUE"""),"ดอลลี่หั่น (น้ำเงิน)  (ลัง) - 47")</f>
        <v>ดอลลี่หั่น (น้ำเงิน)  (ลัง) - 47</v>
      </c>
      <c r="D194" s="5" t="str">
        <f>IFERROR(__xludf.DUMMYFUNCTION("""COMPUTED_VALUE"""),"**ลัง มหาชัย")</f>
        <v>**ลัง มหาชัย</v>
      </c>
      <c r="E194" s="5" t="str">
        <f>IFERROR(__xludf.DUMMYFUNCTION("""COMPUTED_VALUE"""),"10")</f>
        <v>10</v>
      </c>
      <c r="F194" s="5" t="str">
        <f>IFERROR(__xludf.DUMMYFUNCTION("""COMPUTED_VALUE"""),"N")</f>
        <v>N</v>
      </c>
      <c r="G194" s="5"/>
      <c r="H194" s="5"/>
      <c r="I194" s="5"/>
      <c r="J194" s="5"/>
      <c r="K194" s="5"/>
      <c r="L194" s="5"/>
      <c r="M194" s="5">
        <f>IFERROR(__xludf.DUMMYFUNCTION("""COMPUTED_VALUE"""),384.64)</f>
        <v>384.64</v>
      </c>
      <c r="N194" s="5">
        <f>IFERROR(__xludf.DUMMYFUNCTION("""COMPUTED_VALUE"""),11188.0)</f>
        <v>11188</v>
      </c>
      <c r="O194" s="5"/>
      <c r="P194" s="5"/>
      <c r="Q194" s="5" t="str">
        <f>IFERROR(__xludf.DUMMYFUNCTION("""COMPUTED_VALUE"""),"Y")</f>
        <v>Y</v>
      </c>
      <c r="R194" s="5"/>
      <c r="S194" s="5" t="str">
        <f>IFERROR(__xludf.DUMMYFUNCTION("""COMPUTED_VALUE"""),"ขึ้นของมหาชัย")</f>
        <v>ขึ้นของมหาชัย</v>
      </c>
      <c r="T194" s="5">
        <f>IFERROR(__xludf.DUMMYFUNCTION("""COMPUTED_VALUE"""),370.0)</f>
        <v>370</v>
      </c>
      <c r="U194" s="5" t="str">
        <f>IFERROR(__xludf.DUMMYFUNCTION("""COMPUTED_VALUE"""),"Y")</f>
        <v>Y</v>
      </c>
      <c r="V194" s="5">
        <f>IFERROR(__xludf.DUMMYFUNCTION("""COMPUTED_VALUE"""),470.0)</f>
        <v>470</v>
      </c>
      <c r="W194" s="5">
        <f>IFERROR(__xludf.DUMMYFUNCTION("""COMPUTED_VALUE"""),21.0)</f>
        <v>21</v>
      </c>
      <c r="X194" s="5">
        <f>IFERROR(__xludf.DUMMYFUNCTION("""COMPUTED_VALUE"""),5.0)</f>
        <v>5</v>
      </c>
      <c r="Y194" s="5">
        <f>IFERROR(__xludf.DUMMYFUNCTION("""COMPUTED_VALUE"""),15.0)</f>
        <v>15</v>
      </c>
      <c r="Z194" s="5"/>
    </row>
    <row r="195">
      <c r="A195" s="5" t="str">
        <f>IFERROR(__xludf.DUMMYFUNCTION("""COMPUTED_VALUE"""),"ดอลลี่ตัว-(ลังชมพู)-10kg-r100-(50)")</f>
        <v>ดอลลี่ตัว-(ลังชมพู)-10kg-r100-(50)</v>
      </c>
      <c r="B195" s="5">
        <f>IFERROR(__xludf.DUMMYFUNCTION("""COMPUTED_VALUE"""),11599.0)</f>
        <v>11599</v>
      </c>
      <c r="C195" s="5" t="str">
        <f>IFERROR(__xludf.DUMMYFUNCTION("""COMPUTED_VALUE"""),"ดอลลี่หั่น (น้ำเงิน)1*10kg (ลัง)-R100 (44)")</f>
        <v>ดอลลี่หั่น (น้ำเงิน)1*10kg (ลัง)-R100 (44)</v>
      </c>
      <c r="D195" s="5" t="str">
        <f>IFERROR(__xludf.DUMMYFUNCTION("""COMPUTED_VALUE"""),"**ร้านค้า ราคาพิเศษ")</f>
        <v>**ร้านค้า ราคาพิเศษ</v>
      </c>
      <c r="E195" s="5" t="str">
        <f>IFERROR(__xludf.DUMMYFUNCTION("""COMPUTED_VALUE"""),"&lt;p&gt;X&lt;/p&gt;")</f>
        <v>&lt;p&gt;X&lt;/p&gt;</v>
      </c>
      <c r="F195" s="5" t="str">
        <f>IFERROR(__xludf.DUMMYFUNCTION("""COMPUTED_VALUE"""),"N")</f>
        <v>N</v>
      </c>
      <c r="G195" s="5"/>
      <c r="H195" s="5"/>
      <c r="I195" s="5"/>
      <c r="J195" s="5"/>
      <c r="K195" s="5"/>
      <c r="L195" s="5"/>
      <c r="M195" s="5"/>
      <c r="N195" s="5">
        <f>IFERROR(__xludf.DUMMYFUNCTION("""COMPUTED_VALUE"""),11599.0)</f>
        <v>11599</v>
      </c>
      <c r="O195" s="5">
        <f>IFERROR(__xludf.DUMMYFUNCTION("""COMPUTED_VALUE"""),11188.0)</f>
        <v>11188</v>
      </c>
      <c r="P195" s="5">
        <f>IFERROR(__xludf.DUMMYFUNCTION("""COMPUTED_VALUE"""),1.0)</f>
        <v>1</v>
      </c>
      <c r="Q195" s="5" t="str">
        <f>IFERROR(__xludf.DUMMYFUNCTION("""COMPUTED_VALUE"""),"N")</f>
        <v>N</v>
      </c>
      <c r="R195" s="5" t="str">
        <f>IFERROR(__xludf.DUMMYFUNCTION("""COMPUTED_VALUE"""),"N")</f>
        <v>N</v>
      </c>
      <c r="S195" s="5"/>
      <c r="T195" s="5"/>
      <c r="U195" s="5" t="str">
        <f>IFERROR(__xludf.DUMMYFUNCTION("""COMPUTED_VALUE"""),"Y")</f>
        <v>Y</v>
      </c>
      <c r="V195" s="5">
        <f>IFERROR(__xludf.DUMMYFUNCTION("""COMPUTED_VALUE"""),440.0)</f>
        <v>440</v>
      </c>
      <c r="W195" s="5"/>
      <c r="X195" s="5"/>
      <c r="Y195" s="5"/>
      <c r="Z195" s="5"/>
    </row>
    <row r="196">
      <c r="A196" s="5" t="str">
        <f>IFERROR(__xludf.DUMMYFUNCTION("""COMPUTED_VALUE"""),"ดอลลี่ตัว-(ลังเขียว)-10kg-r100-(59)")</f>
        <v>ดอลลี่ตัว-(ลังเขียว)-10kg-r100-(59)</v>
      </c>
      <c r="B196" s="5">
        <f>IFERROR(__xludf.DUMMYFUNCTION("""COMPUTED_VALUE"""),11598.0)</f>
        <v>11598</v>
      </c>
      <c r="C196" s="5" t="str">
        <f>IFERROR(__xludf.DUMMYFUNCTION("""COMPUTED_VALUE"""),"ดอลลี่หั่น (ลังขาว) 10Kg R100 (42)")</f>
        <v>ดอลลี่หั่น (ลังขาว) 10Kg R100 (42)</v>
      </c>
      <c r="D196" s="5" t="str">
        <f>IFERROR(__xludf.DUMMYFUNCTION("""COMPUTED_VALUE"""),"**ร้านค้า ราคาพิเศษ")</f>
        <v>**ร้านค้า ราคาพิเศษ</v>
      </c>
      <c r="E196" s="5" t="str">
        <f>IFERROR(__xludf.DUMMYFUNCTION("""COMPUTED_VALUE"""),"&lt;p&gt;X&lt;/p&gt;")</f>
        <v>&lt;p&gt;X&lt;/p&gt;</v>
      </c>
      <c r="F196" s="5" t="str">
        <f>IFERROR(__xludf.DUMMYFUNCTION("""COMPUTED_VALUE"""),"N")</f>
        <v>N</v>
      </c>
      <c r="G196" s="5"/>
      <c r="H196" s="5"/>
      <c r="I196" s="5"/>
      <c r="J196" s="5"/>
      <c r="K196" s="5"/>
      <c r="L196" s="5"/>
      <c r="M196" s="5"/>
      <c r="N196" s="5">
        <f>IFERROR(__xludf.DUMMYFUNCTION("""COMPUTED_VALUE"""),11598.0)</f>
        <v>11598</v>
      </c>
      <c r="O196" s="5">
        <f>IFERROR(__xludf.DUMMYFUNCTION("""COMPUTED_VALUE"""),10681.0)</f>
        <v>10681</v>
      </c>
      <c r="P196" s="5">
        <f>IFERROR(__xludf.DUMMYFUNCTION("""COMPUTED_VALUE"""),1.0)</f>
        <v>1</v>
      </c>
      <c r="Q196" s="5" t="str">
        <f>IFERROR(__xludf.DUMMYFUNCTION("""COMPUTED_VALUE"""),"N")</f>
        <v>N</v>
      </c>
      <c r="R196" s="5" t="str">
        <f>IFERROR(__xludf.DUMMYFUNCTION("""COMPUTED_VALUE"""),"N")</f>
        <v>N</v>
      </c>
      <c r="S196" s="5"/>
      <c r="T196" s="5"/>
      <c r="U196" s="5" t="str">
        <f>IFERROR(__xludf.DUMMYFUNCTION("""COMPUTED_VALUE"""),"N")</f>
        <v>N</v>
      </c>
      <c r="V196" s="5">
        <f>IFERROR(__xludf.DUMMYFUNCTION("""COMPUTED_VALUE"""),420.0)</f>
        <v>420</v>
      </c>
      <c r="W196" s="5"/>
      <c r="X196" s="5"/>
      <c r="Y196" s="5"/>
      <c r="Z196" s="5"/>
    </row>
    <row r="197">
      <c r="A197" s="5" t="str">
        <f>IFERROR(__xludf.DUMMYFUNCTION("""COMPUTED_VALUE"""),"ดอลลี่หั่น-(ลังเหลือง)10*1kg-(ลัง)")</f>
        <v>ดอลลี่หั่น-(ลังเหลือง)10*1kg-(ลัง)</v>
      </c>
      <c r="B197" s="5">
        <f>IFERROR(__xludf.DUMMYFUNCTION("""COMPUTED_VALUE"""),10109.0)</f>
        <v>10109</v>
      </c>
      <c r="C197" s="5" t="str">
        <f>IFERROR(__xludf.DUMMYFUNCTION("""COMPUTED_VALUE"""),"ดอลลี่หั่น (ลังเหลือง)10*1Kg (ลัง)")</f>
        <v>ดอลลี่หั่น (ลังเหลือง)10*1Kg (ลัง)</v>
      </c>
      <c r="D197" s="5"/>
      <c r="E197" s="5" t="str">
        <f>IFERROR(__xludf.DUMMYFUNCTION("""COMPUTED_VALUE"""),"&lt;p&gt;B&lt;/p&gt;")</f>
        <v>&lt;p&gt;B&lt;/p&gt;</v>
      </c>
      <c r="F197" s="5" t="str">
        <f>IFERROR(__xludf.DUMMYFUNCTION("""COMPUTED_VALUE"""),"N")</f>
        <v>N</v>
      </c>
      <c r="G197" s="5"/>
      <c r="H197" s="5"/>
      <c r="I197" s="5"/>
      <c r="J197" s="5"/>
      <c r="K197" s="5"/>
      <c r="L197" s="5"/>
      <c r="M197" s="5">
        <f>IFERROR(__xludf.DUMMYFUNCTION("""COMPUTED_VALUE"""),510.72)</f>
        <v>510.72</v>
      </c>
      <c r="N197" s="5"/>
      <c r="O197" s="5"/>
      <c r="P197" s="5"/>
      <c r="Q197" s="5" t="str">
        <f>IFERROR(__xludf.DUMMYFUNCTION("""COMPUTED_VALUE"""),"Y")</f>
        <v>Y</v>
      </c>
      <c r="R197" s="5"/>
      <c r="S197" s="5" t="str">
        <f>IFERROR(__xludf.DUMMYFUNCTION("""COMPUTED_VALUE"""),"ขึ้นของมหาชัย")</f>
        <v>ขึ้นของมหาชัย</v>
      </c>
      <c r="T197" s="5">
        <f>IFERROR(__xludf.DUMMYFUNCTION("""COMPUTED_VALUE"""),480.0)</f>
        <v>480</v>
      </c>
      <c r="U197" s="5" t="str">
        <f>IFERROR(__xludf.DUMMYFUNCTION("""COMPUTED_VALUE"""),"N")</f>
        <v>N</v>
      </c>
      <c r="V197" s="5">
        <f>IFERROR(__xludf.DUMMYFUNCTION("""COMPUTED_VALUE"""),600.0)</f>
        <v>600</v>
      </c>
      <c r="W197" s="5">
        <f>IFERROR(__xludf.DUMMYFUNCTION("""COMPUTED_VALUE"""),0.0)</f>
        <v>0</v>
      </c>
      <c r="X197" s="5">
        <f>IFERROR(__xludf.DUMMYFUNCTION("""COMPUTED_VALUE"""),5.0)</f>
        <v>5</v>
      </c>
      <c r="Y197" s="5">
        <f>IFERROR(__xludf.DUMMYFUNCTION("""COMPUTED_VALUE"""),50.0)</f>
        <v>50</v>
      </c>
      <c r="Z197" s="5"/>
    </row>
    <row r="198">
      <c r="A198" s="5" t="str">
        <f>IFERROR(__xludf.DUMMYFUNCTION("""COMPUTED_VALUE"""),"ดอลลี่หั่น(ลังขาว)-ลัง10กก-45")</f>
        <v>ดอลลี่หั่น(ลังขาว)-ลัง10กก-45</v>
      </c>
      <c r="B198" s="5">
        <f>IFERROR(__xludf.DUMMYFUNCTION("""COMPUTED_VALUE"""),10681.0)</f>
        <v>10681</v>
      </c>
      <c r="C198" s="5" t="str">
        <f>IFERROR(__xludf.DUMMYFUNCTION("""COMPUTED_VALUE"""),"ดอลลี่หั่นเซพแพ็ค ลัง-46")</f>
        <v>ดอลลี่หั่นเซพแพ็ค ลัง-46</v>
      </c>
      <c r="D198" s="5" t="str">
        <f>IFERROR(__xludf.DUMMYFUNCTION("""COMPUTED_VALUE"""),"**ลัง ร้อยเอ็ด")</f>
        <v>**ลัง ร้อยเอ็ด</v>
      </c>
      <c r="E198" s="5"/>
      <c r="F198" s="5" t="str">
        <f>IFERROR(__xludf.DUMMYFUNCTION("""COMPUTED_VALUE"""),"N")</f>
        <v>N</v>
      </c>
      <c r="G198" s="5"/>
      <c r="H198" s="5"/>
      <c r="I198" s="5"/>
      <c r="J198" s="5"/>
      <c r="K198" s="5"/>
      <c r="L198" s="5"/>
      <c r="M198" s="5">
        <f>IFERROR(__xludf.DUMMYFUNCTION("""COMPUTED_VALUE"""),395.3)</f>
        <v>395.3</v>
      </c>
      <c r="N198" s="5"/>
      <c r="O198" s="5"/>
      <c r="P198" s="5"/>
      <c r="Q198" s="5" t="str">
        <f>IFERROR(__xludf.DUMMYFUNCTION("""COMPUTED_VALUE"""),"Y")</f>
        <v>Y</v>
      </c>
      <c r="R198" s="5"/>
      <c r="S198" s="5"/>
      <c r="T198" s="5">
        <f>IFERROR(__xludf.DUMMYFUNCTION("""COMPUTED_VALUE"""),395.3)</f>
        <v>395.3</v>
      </c>
      <c r="U198" s="5" t="str">
        <f>IFERROR(__xludf.DUMMYFUNCTION("""COMPUTED_VALUE"""),"N")</f>
        <v>N</v>
      </c>
      <c r="V198" s="5">
        <f>IFERROR(__xludf.DUMMYFUNCTION("""COMPUTED_VALUE"""),460.0)</f>
        <v>460</v>
      </c>
      <c r="W198" s="5">
        <f>IFERROR(__xludf.DUMMYFUNCTION("""COMPUTED_VALUE"""),0.0)</f>
        <v>0</v>
      </c>
      <c r="X198" s="5"/>
      <c r="Y198" s="5"/>
      <c r="Z198" s="5"/>
    </row>
    <row r="199">
      <c r="A199" s="5" t="str">
        <f>IFERROR(__xludf.DUMMYFUNCTION("""COMPUTED_VALUE"""),"ดักแด้้-ลัง-10kg-1")</f>
        <v>ดักแด้้-ลัง-10kg-1</v>
      </c>
      <c r="B199" s="5">
        <f>IFERROR(__xludf.DUMMYFUNCTION("""COMPUTED_VALUE"""),10049.0)</f>
        <v>10049</v>
      </c>
      <c r="C199" s="5" t="str">
        <f>IFERROR(__xludf.DUMMYFUNCTION("""COMPUTED_VALUE"""),"ดักแด้  ลัง 10Kg (75)")</f>
        <v>ดักแด้  ลัง 10Kg (75)</v>
      </c>
      <c r="D199" s="5" t="str">
        <f>IFERROR(__xludf.DUMMYFUNCTION("""COMPUTED_VALUE"""),"**ลัง ร้อยเอ็ด")</f>
        <v>**ลัง ร้อยเอ็ด</v>
      </c>
      <c r="E199" s="5" t="str">
        <f>IFERROR(__xludf.DUMMYFUNCTION("""COMPUTED_VALUE"""),"&lt;p&gt;A&lt;/p&gt;")</f>
        <v>&lt;p&gt;A&lt;/p&gt;</v>
      </c>
      <c r="F199" s="5" t="str">
        <f>IFERROR(__xludf.DUMMYFUNCTION("""COMPUTED_VALUE"""),"N")</f>
        <v>N</v>
      </c>
      <c r="G199" s="5"/>
      <c r="H199" s="5"/>
      <c r="I199" s="5"/>
      <c r="J199" s="5"/>
      <c r="K199" s="5"/>
      <c r="L199" s="5"/>
      <c r="M199" s="5">
        <f>IFERROR(__xludf.DUMMYFUNCTION("""COMPUTED_VALUE"""),550.48)</f>
        <v>550.48</v>
      </c>
      <c r="N199" s="5">
        <f>IFERROR(__xludf.DUMMYFUNCTION("""COMPUTED_VALUE"""),10049.0)</f>
        <v>10049</v>
      </c>
      <c r="O199" s="5"/>
      <c r="P199" s="5"/>
      <c r="Q199" s="5" t="str">
        <f>IFERROR(__xludf.DUMMYFUNCTION("""COMPUTED_VALUE"""),"Y")</f>
        <v>Y</v>
      </c>
      <c r="R199" s="5"/>
      <c r="S199" s="5" t="str">
        <f>IFERROR(__xludf.DUMMYFUNCTION("""COMPUTED_VALUE"""),"บุญศิริ")</f>
        <v>บุญศิริ</v>
      </c>
      <c r="T199" s="5">
        <f>IFERROR(__xludf.DUMMYFUNCTION("""COMPUTED_VALUE"""),545.0)</f>
        <v>545</v>
      </c>
      <c r="U199" s="5" t="str">
        <f>IFERROR(__xludf.DUMMYFUNCTION("""COMPUTED_VALUE"""),"Y")</f>
        <v>Y</v>
      </c>
      <c r="V199" s="5">
        <f>IFERROR(__xludf.DUMMYFUNCTION("""COMPUTED_VALUE"""),750.0)</f>
        <v>750</v>
      </c>
      <c r="W199" s="5">
        <f>IFERROR(__xludf.DUMMYFUNCTION("""COMPUTED_VALUE"""),27.2)</f>
        <v>27.2</v>
      </c>
      <c r="X199" s="5">
        <f>IFERROR(__xludf.DUMMYFUNCTION("""COMPUTED_VALUE"""),11.0)</f>
        <v>11</v>
      </c>
      <c r="Y199" s="5">
        <f>IFERROR(__xludf.DUMMYFUNCTION("""COMPUTED_VALUE"""),19.0)</f>
        <v>19</v>
      </c>
      <c r="Z199" s="5"/>
    </row>
    <row r="200">
      <c r="A200" s="5" t="str">
        <f>IFERROR(__xludf.DUMMYFUNCTION("""COMPUTED_VALUE"""),"ดักแด้-(ราคาพิเศษ)หิ้ว-5kg-(67)")</f>
        <v>ดักแด้-(ราคาพิเศษ)หิ้ว-5kg-(67)</v>
      </c>
      <c r="B200" s="5">
        <f>IFERROR(__xludf.DUMMYFUNCTION("""COMPUTED_VALUE"""),10067.0)</f>
        <v>10067</v>
      </c>
      <c r="C200" s="5" t="str">
        <f>IFERROR(__xludf.DUMMYFUNCTION("""COMPUTED_VALUE"""),"ดักแด้ (พิเศษ) 10กก(ลัง)-70")</f>
        <v>ดักแด้ (พิเศษ) 10กก(ลัง)-70</v>
      </c>
      <c r="D200" s="5" t="str">
        <f>IFERROR(__xludf.DUMMYFUNCTION("""COMPUTED_VALUE"""),"**ร้านค้า ราคาพิเศษ")</f>
        <v>**ร้านค้า ราคาพิเศษ</v>
      </c>
      <c r="E200" s="5"/>
      <c r="F200" s="5" t="str">
        <f>IFERROR(__xludf.DUMMYFUNCTION("""COMPUTED_VALUE"""),"N")</f>
        <v>N</v>
      </c>
      <c r="G200" s="5"/>
      <c r="H200" s="5"/>
      <c r="I200" s="5"/>
      <c r="J200" s="5"/>
      <c r="K200" s="5"/>
      <c r="L200" s="5"/>
      <c r="M200" s="5"/>
      <c r="N200" s="5"/>
      <c r="O200" s="5">
        <f>IFERROR(__xludf.DUMMYFUNCTION("""COMPUTED_VALUE"""),10049.0)</f>
        <v>10049</v>
      </c>
      <c r="P200" s="5">
        <f>IFERROR(__xludf.DUMMYFUNCTION("""COMPUTED_VALUE"""),1.0)</f>
        <v>1</v>
      </c>
      <c r="Q200" s="5" t="str">
        <f>IFERROR(__xludf.DUMMYFUNCTION("""COMPUTED_VALUE"""),"N")</f>
        <v>N</v>
      </c>
      <c r="R200" s="5" t="str">
        <f>IFERROR(__xludf.DUMMYFUNCTION("""COMPUTED_VALUE"""),"N")</f>
        <v>N</v>
      </c>
      <c r="S200" s="5"/>
      <c r="T200" s="5"/>
      <c r="U200" s="5" t="str">
        <f>IFERROR(__xludf.DUMMYFUNCTION("""COMPUTED_VALUE"""),"Y")</f>
        <v>Y</v>
      </c>
      <c r="V200" s="5">
        <f>IFERROR(__xludf.DUMMYFUNCTION("""COMPUTED_VALUE"""),700.0)</f>
        <v>700</v>
      </c>
      <c r="W200" s="5"/>
      <c r="X200" s="5"/>
      <c r="Y200" s="5"/>
      <c r="Z200" s="5"/>
    </row>
    <row r="201">
      <c r="A201" s="5" t="str">
        <f>IFERROR(__xludf.DUMMYFUNCTION("""COMPUTED_VALUE"""),"ดักแด้-(พิเศษ)-5กก-(หิ้ว)-68")</f>
        <v>ดักแด้-(พิเศษ)-5กก-(หิ้ว)-68</v>
      </c>
      <c r="B201" s="5">
        <f>IFERROR(__xludf.DUMMYFUNCTION("""COMPUTED_VALUE"""),10349.0)</f>
        <v>10349</v>
      </c>
      <c r="C201" s="5" t="str">
        <f>IFERROR(__xludf.DUMMYFUNCTION("""COMPUTED_VALUE"""),"ดักแด้ (พิเศษ) 5กก (หิ้ว)-68")</f>
        <v>ดักแด้ (พิเศษ) 5กก (หิ้ว)-68</v>
      </c>
      <c r="D201" s="5" t="str">
        <f>IFERROR(__xludf.DUMMYFUNCTION("""COMPUTED_VALUE"""),"**ร้านค้า ราคาพิเศษ")</f>
        <v>**ร้านค้า ราคาพิเศษ</v>
      </c>
      <c r="E201" s="5"/>
      <c r="F201" s="5" t="str">
        <f>IFERROR(__xludf.DUMMYFUNCTION("""COMPUTED_VALUE"""),"N")</f>
        <v>N</v>
      </c>
      <c r="G201" s="5"/>
      <c r="H201" s="5"/>
      <c r="I201" s="5"/>
      <c r="J201" s="5"/>
      <c r="K201" s="5"/>
      <c r="L201" s="5"/>
      <c r="M201" s="5"/>
      <c r="N201" s="5"/>
      <c r="O201" s="5">
        <f>IFERROR(__xludf.DUMMYFUNCTION("""COMPUTED_VALUE"""),10049.0)</f>
        <v>10049</v>
      </c>
      <c r="P201" s="5">
        <f>IFERROR(__xludf.DUMMYFUNCTION("""COMPUTED_VALUE"""),0.5)</f>
        <v>0.5</v>
      </c>
      <c r="Q201" s="5" t="str">
        <f>IFERROR(__xludf.DUMMYFUNCTION("""COMPUTED_VALUE"""),"N")</f>
        <v>N</v>
      </c>
      <c r="R201" s="5" t="str">
        <f>IFERROR(__xludf.DUMMYFUNCTION("""COMPUTED_VALUE"""),"N")</f>
        <v>N</v>
      </c>
      <c r="S201" s="5"/>
      <c r="T201" s="5"/>
      <c r="U201" s="5" t="str">
        <f>IFERROR(__xludf.DUMMYFUNCTION("""COMPUTED_VALUE"""),"Y")</f>
        <v>Y</v>
      </c>
      <c r="V201" s="5">
        <f>IFERROR(__xludf.DUMMYFUNCTION("""COMPUTED_VALUE"""),340.0)</f>
        <v>340</v>
      </c>
      <c r="W201" s="5"/>
      <c r="X201" s="5"/>
      <c r="Y201" s="5"/>
      <c r="Z201" s="5"/>
    </row>
    <row r="202">
      <c r="A202" s="5" t="str">
        <f>IFERROR(__xludf.DUMMYFUNCTION("""COMPUTED_VALUE"""),"(s)-ดักแด้-ถุง-1kg-1")</f>
        <v>(s)-ดักแด้-ถุง-1kg-1</v>
      </c>
      <c r="B202" s="5">
        <f>IFERROR(__xludf.DUMMYFUNCTION("""COMPUTED_VALUE"""),30047.0)</f>
        <v>30047</v>
      </c>
      <c r="C202" s="5" t="str">
        <f>IFERROR(__xludf.DUMMYFUNCTION("""COMPUTED_VALUE"""),"ดักแด้ ถุง 1Kg")</f>
        <v>ดักแด้ ถุง 1Kg</v>
      </c>
      <c r="D202" s="5"/>
      <c r="E202" s="5" t="str">
        <f>IFERROR(__xludf.DUMMYFUNCTION("""COMPUTED_VALUE"""),"&lt;p&gt;X&lt;/p&gt;")</f>
        <v>&lt;p&gt;X&lt;/p&gt;</v>
      </c>
      <c r="F202" s="5" t="str">
        <f>IFERROR(__xludf.DUMMYFUNCTION("""COMPUTED_VALUE"""),"N")</f>
        <v>N</v>
      </c>
      <c r="G202" s="5"/>
      <c r="H202" s="5"/>
      <c r="I202" s="5"/>
      <c r="J202" s="5"/>
      <c r="K202" s="5"/>
      <c r="L202" s="5"/>
      <c r="M202" s="5"/>
      <c r="N202" s="5">
        <f>IFERROR(__xludf.DUMMYFUNCTION("""COMPUTED_VALUE"""),10047.0)</f>
        <v>10047</v>
      </c>
      <c r="O202" s="5">
        <f>IFERROR(__xludf.DUMMYFUNCTION("""COMPUTED_VALUE"""),10049.0)</f>
        <v>10049</v>
      </c>
      <c r="P202" s="5">
        <f>IFERROR(__xludf.DUMMYFUNCTION("""COMPUTED_VALUE"""),0.1)</f>
        <v>0.1</v>
      </c>
      <c r="Q202" s="5" t="str">
        <f>IFERROR(__xludf.DUMMYFUNCTION("""COMPUTED_VALUE"""),"N")</f>
        <v>N</v>
      </c>
      <c r="R202" s="5" t="str">
        <f>IFERROR(__xludf.DUMMYFUNCTION("""COMPUTED_VALUE"""),"N")</f>
        <v>N</v>
      </c>
      <c r="S202" s="5"/>
      <c r="T202" s="5"/>
      <c r="U202" s="5" t="str">
        <f>IFERROR(__xludf.DUMMYFUNCTION("""COMPUTED_VALUE"""),"Y")</f>
        <v>Y</v>
      </c>
      <c r="V202" s="5">
        <f>IFERROR(__xludf.DUMMYFUNCTION("""COMPUTED_VALUE"""),100.0)</f>
        <v>100</v>
      </c>
      <c r="W202" s="5"/>
      <c r="X202" s="5"/>
      <c r="Y202" s="5"/>
      <c r="Z202" s="5"/>
    </row>
    <row r="203">
      <c r="A203" s="5" t="str">
        <f>IFERROR(__xludf.DUMMYFUNCTION("""COMPUTED_VALUE"""),"(s)-ดักแด้-ถุง-500g-1")</f>
        <v>(s)-ดักแด้-ถุง-500g-1</v>
      </c>
      <c r="B203" s="5">
        <f>IFERROR(__xludf.DUMMYFUNCTION("""COMPUTED_VALUE"""),30048.0)</f>
        <v>30048</v>
      </c>
      <c r="C203" s="5" t="str">
        <f>IFERROR(__xludf.DUMMYFUNCTION("""COMPUTED_VALUE"""),"ดักแด้ ถุง 500g")</f>
        <v>ดักแด้ ถุง 500g</v>
      </c>
      <c r="D203" s="5"/>
      <c r="E203" s="5" t="str">
        <f>IFERROR(__xludf.DUMMYFUNCTION("""COMPUTED_VALUE"""),"&lt;p&gt;X&lt;/p&gt;")</f>
        <v>&lt;p&gt;X&lt;/p&gt;</v>
      </c>
      <c r="F203" s="5" t="str">
        <f>IFERROR(__xludf.DUMMYFUNCTION("""COMPUTED_VALUE"""),"N")</f>
        <v>N</v>
      </c>
      <c r="G203" s="5"/>
      <c r="H203" s="5"/>
      <c r="I203" s="5"/>
      <c r="J203" s="5"/>
      <c r="K203" s="5"/>
      <c r="L203" s="5"/>
      <c r="M203" s="5"/>
      <c r="N203" s="5">
        <f>IFERROR(__xludf.DUMMYFUNCTION("""COMPUTED_VALUE"""),10048.0)</f>
        <v>10048</v>
      </c>
      <c r="O203" s="5">
        <f>IFERROR(__xludf.DUMMYFUNCTION("""COMPUTED_VALUE"""),10049.0)</f>
        <v>10049</v>
      </c>
      <c r="P203" s="5">
        <f>IFERROR(__xludf.DUMMYFUNCTION("""COMPUTED_VALUE"""),0.05)</f>
        <v>0.05</v>
      </c>
      <c r="Q203" s="5" t="str">
        <f>IFERROR(__xludf.DUMMYFUNCTION("""COMPUTED_VALUE"""),"N")</f>
        <v>N</v>
      </c>
      <c r="R203" s="5" t="str">
        <f>IFERROR(__xludf.DUMMYFUNCTION("""COMPUTED_VALUE"""),"N")</f>
        <v>N</v>
      </c>
      <c r="S203" s="5"/>
      <c r="T203" s="5"/>
      <c r="U203" s="5" t="str">
        <f>IFERROR(__xludf.DUMMYFUNCTION("""COMPUTED_VALUE"""),"Y")</f>
        <v>Y</v>
      </c>
      <c r="V203" s="5">
        <f>IFERROR(__xludf.DUMMYFUNCTION("""COMPUTED_VALUE"""),50.0)</f>
        <v>50</v>
      </c>
      <c r="W203" s="5"/>
      <c r="X203" s="5"/>
      <c r="Y203" s="5"/>
      <c r="Z203" s="5"/>
    </row>
    <row r="204">
      <c r="A204" s="5" t="str">
        <f>IFERROR(__xludf.DUMMYFUNCTION("""COMPUTED_VALUE"""),"ดักแด้-ลังขาว5kg")</f>
        <v>ดักแด้-ลังขาว5kg</v>
      </c>
      <c r="B204" s="5">
        <f>IFERROR(__xludf.DUMMYFUNCTION("""COMPUTED_VALUE"""),10430.0)</f>
        <v>10430</v>
      </c>
      <c r="C204" s="5" t="str">
        <f>IFERROR(__xludf.DUMMYFUNCTION("""COMPUTED_VALUE"""),"ดักแด้ หิ้ว 5Kg(75)")</f>
        <v>ดักแด้ หิ้ว 5Kg(75)</v>
      </c>
      <c r="D204" s="5"/>
      <c r="E204" s="5" t="str">
        <f>IFERROR(__xludf.DUMMYFUNCTION("""COMPUTED_VALUE"""),"&lt;p&gt;X&lt;/p&gt;")</f>
        <v>&lt;p&gt;X&lt;/p&gt;</v>
      </c>
      <c r="F204" s="5" t="str">
        <f>IFERROR(__xludf.DUMMYFUNCTION("""COMPUTED_VALUE"""),"N")</f>
        <v>N</v>
      </c>
      <c r="G204" s="5"/>
      <c r="H204" s="5"/>
      <c r="I204" s="5"/>
      <c r="J204" s="5"/>
      <c r="K204" s="5"/>
      <c r="L204" s="5"/>
      <c r="M204" s="5"/>
      <c r="N204" s="5">
        <f>IFERROR(__xludf.DUMMYFUNCTION("""COMPUTED_VALUE"""),10430.0)</f>
        <v>10430</v>
      </c>
      <c r="O204" s="5">
        <f>IFERROR(__xludf.DUMMYFUNCTION("""COMPUTED_VALUE"""),10049.0)</f>
        <v>10049</v>
      </c>
      <c r="P204" s="5">
        <f>IFERROR(__xludf.DUMMYFUNCTION("""COMPUTED_VALUE"""),0.5)</f>
        <v>0.5</v>
      </c>
      <c r="Q204" s="5" t="str">
        <f>IFERROR(__xludf.DUMMYFUNCTION("""COMPUTED_VALUE"""),"N")</f>
        <v>N</v>
      </c>
      <c r="R204" s="5" t="str">
        <f>IFERROR(__xludf.DUMMYFUNCTION("""COMPUTED_VALUE"""),"N")</f>
        <v>N</v>
      </c>
      <c r="S204" s="5"/>
      <c r="T204" s="5"/>
      <c r="U204" s="5" t="str">
        <f>IFERROR(__xludf.DUMMYFUNCTION("""COMPUTED_VALUE"""),"Y")</f>
        <v>Y</v>
      </c>
      <c r="V204" s="5">
        <f>IFERROR(__xludf.DUMMYFUNCTION("""COMPUTED_VALUE"""),375.0)</f>
        <v>375</v>
      </c>
      <c r="W204" s="5"/>
      <c r="X204" s="5"/>
      <c r="Y204" s="5"/>
      <c r="Z204" s="5"/>
    </row>
    <row r="205">
      <c r="A205" s="5" t="str">
        <f>IFERROR(__xludf.DUMMYFUNCTION("""COMPUTED_VALUE"""),"ดีวัว--น้องพร--100-มล.")</f>
        <v>ดีวัว--น้องพร--100-มล.</v>
      </c>
      <c r="B205" s="5">
        <f>IFERROR(__xludf.DUMMYFUNCTION("""COMPUTED_VALUE"""),10131.0)</f>
        <v>10131</v>
      </c>
      <c r="C205" s="5" t="str">
        <f>IFERROR(__xludf.DUMMYFUNCTION("""COMPUTED_VALUE"""),"ดีวัว  น้องพร  100 มล.")</f>
        <v>ดีวัว  น้องพร  100 มล.</v>
      </c>
      <c r="D205" s="5"/>
      <c r="E205" s="5"/>
      <c r="F205" s="5" t="str">
        <f>IFERROR(__xludf.DUMMYFUNCTION("""COMPUTED_VALUE"""),"N")</f>
        <v>N</v>
      </c>
      <c r="G205" s="5"/>
      <c r="H205" s="5"/>
      <c r="I205" s="5"/>
      <c r="J205" s="5"/>
      <c r="K205" s="5"/>
      <c r="L205" s="5"/>
      <c r="M205" s="5">
        <f>IFERROR(__xludf.DUMMYFUNCTION("""COMPUTED_VALUE"""),20.0)</f>
        <v>20</v>
      </c>
      <c r="N205" s="5"/>
      <c r="O205" s="5"/>
      <c r="P205" s="5"/>
      <c r="Q205" s="5" t="str">
        <f>IFERROR(__xludf.DUMMYFUNCTION("""COMPUTED_VALUE"""),"Y")</f>
        <v>Y</v>
      </c>
      <c r="R205" s="5"/>
      <c r="S205" s="5"/>
      <c r="T205" s="5">
        <f>IFERROR(__xludf.DUMMYFUNCTION("""COMPUTED_VALUE"""),20.0)</f>
        <v>20</v>
      </c>
      <c r="U205" s="5" t="str">
        <f>IFERROR(__xludf.DUMMYFUNCTION("""COMPUTED_VALUE"""),"Y")</f>
        <v>Y</v>
      </c>
      <c r="V205" s="5">
        <f>IFERROR(__xludf.DUMMYFUNCTION("""COMPUTED_VALUE"""),25.0)</f>
        <v>25</v>
      </c>
      <c r="W205" s="5">
        <f>IFERROR(__xludf.DUMMYFUNCTION("""COMPUTED_VALUE"""),0.0)</f>
        <v>0</v>
      </c>
      <c r="X205" s="5"/>
      <c r="Y205" s="5"/>
      <c r="Z205" s="5"/>
    </row>
    <row r="206">
      <c r="A206" s="5" t="str">
        <f>IFERROR(__xludf.DUMMYFUNCTION("""COMPUTED_VALUE"""),"ตะเกียบ-ท.พิพัฒน์-กระสอบ(40แพ็ค)")</f>
        <v>ตะเกียบ-ท.พิพัฒน์-กระสอบ(40แพ็ค)</v>
      </c>
      <c r="B206" s="5">
        <f>IFERROR(__xludf.DUMMYFUNCTION("""COMPUTED_VALUE"""),10837.0)</f>
        <v>10837</v>
      </c>
      <c r="C206" s="5" t="str">
        <f>IFERROR(__xludf.DUMMYFUNCTION("""COMPUTED_VALUE"""),"ตะเกียบ 40 แพ็ค  (ลัง)")</f>
        <v>ตะเกียบ 40 แพ็ค  (ลัง)</v>
      </c>
      <c r="D206" s="5" t="str">
        <f>IFERROR(__xludf.DUMMYFUNCTION("""COMPUTED_VALUE"""),"**ของแห้ง")</f>
        <v>**ของแห้ง</v>
      </c>
      <c r="E206" s="5" t="str">
        <f>IFERROR(__xludf.DUMMYFUNCTION("""COMPUTED_VALUE"""),"&lt;p&gt;B&lt;/p&gt;")</f>
        <v>&lt;p&gt;B&lt;/p&gt;</v>
      </c>
      <c r="F206" s="5" t="str">
        <f>IFERROR(__xludf.DUMMYFUNCTION("""COMPUTED_VALUE"""),"N")</f>
        <v>N</v>
      </c>
      <c r="G206" s="5"/>
      <c r="H206" s="5"/>
      <c r="I206" s="5"/>
      <c r="J206" s="5"/>
      <c r="K206" s="5"/>
      <c r="L206" s="5"/>
      <c r="M206" s="5">
        <f>IFERROR(__xludf.DUMMYFUNCTION("""COMPUTED_VALUE"""),444.96)</f>
        <v>444.96</v>
      </c>
      <c r="N206" s="5">
        <f>IFERROR(__xludf.DUMMYFUNCTION("""COMPUTED_VALUE"""),10837.0)</f>
        <v>10837</v>
      </c>
      <c r="O206" s="5"/>
      <c r="P206" s="5"/>
      <c r="Q206" s="5" t="str">
        <f>IFERROR(__xludf.DUMMYFUNCTION("""COMPUTED_VALUE"""),"Y")</f>
        <v>Y</v>
      </c>
      <c r="R206" s="5"/>
      <c r="S206" s="5" t="str">
        <f>IFERROR(__xludf.DUMMYFUNCTION("""COMPUTED_VALUE"""),"ตะเกียบ")</f>
        <v>ตะเกียบ</v>
      </c>
      <c r="T206" s="5">
        <f>IFERROR(__xludf.DUMMYFUNCTION("""COMPUTED_VALUE"""),420.0)</f>
        <v>420</v>
      </c>
      <c r="U206" s="5" t="str">
        <f>IFERROR(__xludf.DUMMYFUNCTION("""COMPUTED_VALUE"""),"Y")</f>
        <v>Y</v>
      </c>
      <c r="V206" s="5">
        <f>IFERROR(__xludf.DUMMYFUNCTION("""COMPUTED_VALUE"""),500.0)</f>
        <v>500</v>
      </c>
      <c r="W206" s="5">
        <f>IFERROR(__xludf.DUMMYFUNCTION("""COMPUTED_VALUE"""),23.65)</f>
        <v>23.65</v>
      </c>
      <c r="X206" s="5">
        <f>IFERROR(__xludf.DUMMYFUNCTION("""COMPUTED_VALUE"""),3.0)</f>
        <v>3</v>
      </c>
      <c r="Y206" s="5">
        <f>IFERROR(__xludf.DUMMYFUNCTION("""COMPUTED_VALUE"""),5.0)</f>
        <v>5</v>
      </c>
      <c r="Z206" s="5"/>
    </row>
    <row r="207">
      <c r="A207" s="5" t="str">
        <f>IFERROR(__xludf.DUMMYFUNCTION("""COMPUTED_VALUE"""),"ตับก้อน-(ชั่งน้ำหนัก)-90")</f>
        <v>ตับก้อน-(ชั่งน้ำหนัก)-90</v>
      </c>
      <c r="B207" s="5">
        <f>IFERROR(__xludf.DUMMYFUNCTION("""COMPUTED_VALUE"""),10789.0)</f>
        <v>10789</v>
      </c>
      <c r="C207" s="5" t="str">
        <f>IFERROR(__xludf.DUMMYFUNCTION("""COMPUTED_VALUE"""),"ตับก้อน (ชั่งน้ำหนัก)-90")</f>
        <v>ตับก้อน (ชั่งน้ำหนัก)-90</v>
      </c>
      <c r="D207" s="5" t="str">
        <f>IFERROR(__xludf.DUMMYFUNCTION("""COMPUTED_VALUE"""),"**ลัง ร้อยเอ็ด")</f>
        <v>**ลัง ร้อยเอ็ด</v>
      </c>
      <c r="E207" s="5"/>
      <c r="F207" s="5" t="str">
        <f>IFERROR(__xludf.DUMMYFUNCTION("""COMPUTED_VALUE"""),"Y")</f>
        <v>Y</v>
      </c>
      <c r="G207" s="5"/>
      <c r="H207" s="5"/>
      <c r="I207" s="5"/>
      <c r="J207" s="5"/>
      <c r="K207" s="5"/>
      <c r="L207" s="5"/>
      <c r="M207" s="5">
        <f>IFERROR(__xludf.DUMMYFUNCTION("""COMPUTED_VALUE"""),65.0)</f>
        <v>65</v>
      </c>
      <c r="N207" s="5"/>
      <c r="O207" s="5"/>
      <c r="P207" s="5"/>
      <c r="Q207" s="5" t="str">
        <f>IFERROR(__xludf.DUMMYFUNCTION("""COMPUTED_VALUE"""),"Y")</f>
        <v>Y</v>
      </c>
      <c r="R207" s="5"/>
      <c r="S207" s="5"/>
      <c r="T207" s="5">
        <f>IFERROR(__xludf.DUMMYFUNCTION("""COMPUTED_VALUE"""),65.0)</f>
        <v>65</v>
      </c>
      <c r="U207" s="5" t="str">
        <f>IFERROR(__xludf.DUMMYFUNCTION("""COMPUTED_VALUE"""),"N")</f>
        <v>N</v>
      </c>
      <c r="V207" s="5">
        <f>IFERROR(__xludf.DUMMYFUNCTION("""COMPUTED_VALUE"""),90.0)</f>
        <v>90</v>
      </c>
      <c r="W207" s="5">
        <f>IFERROR(__xludf.DUMMYFUNCTION("""COMPUTED_VALUE"""),0.0)</f>
        <v>0</v>
      </c>
      <c r="X207" s="5"/>
      <c r="Y207" s="5"/>
      <c r="Z207" s="5"/>
    </row>
    <row r="208">
      <c r="A208" s="5" t="str">
        <f>IFERROR(__xludf.DUMMYFUNCTION("""COMPUTED_VALUE"""),"ตับก้อน-เบทาโกร-10*1กก")</f>
        <v>ตับก้อน-เบทาโกร-10*1กก</v>
      </c>
      <c r="B208" s="5">
        <f>IFERROR(__xludf.DUMMYFUNCTION("""COMPUTED_VALUE"""),11298.0)</f>
        <v>11298</v>
      </c>
      <c r="C208" s="5" t="str">
        <f>IFERROR(__xludf.DUMMYFUNCTION("""COMPUTED_VALUE"""),"ตับก้อน 10kg/ลัง(85)")</f>
        <v>ตับก้อน 10kg/ลัง(85)</v>
      </c>
      <c r="D208" s="5" t="str">
        <f>IFERROR(__xludf.DUMMYFUNCTION("""COMPUTED_VALUE"""),"**ลัง ร้อยเอ็ด")</f>
        <v>**ลัง ร้อยเอ็ด</v>
      </c>
      <c r="E208" s="5" t="str">
        <f>IFERROR(__xludf.DUMMYFUNCTION("""COMPUTED_VALUE"""),"&lt;p&gt;A&lt;/p&gt;")</f>
        <v>&lt;p&gt;A&lt;/p&gt;</v>
      </c>
      <c r="F208" s="5" t="str">
        <f>IFERROR(__xludf.DUMMYFUNCTION("""COMPUTED_VALUE"""),"N")</f>
        <v>N</v>
      </c>
      <c r="G208" s="5"/>
      <c r="H208" s="5"/>
      <c r="I208" s="5"/>
      <c r="J208" s="5"/>
      <c r="K208" s="5"/>
      <c r="L208" s="5"/>
      <c r="M208" s="5"/>
      <c r="N208" s="5">
        <f>IFERROR(__xludf.DUMMYFUNCTION("""COMPUTED_VALUE"""),11298.0)</f>
        <v>11298</v>
      </c>
      <c r="O208" s="5">
        <f>IFERROR(__xludf.DUMMYFUNCTION("""COMPUTED_VALUE"""),11092.0)</f>
        <v>11092</v>
      </c>
      <c r="P208" s="5">
        <f>IFERROR(__xludf.DUMMYFUNCTION("""COMPUTED_VALUE"""),10.0)</f>
        <v>10</v>
      </c>
      <c r="Q208" s="5" t="str">
        <f>IFERROR(__xludf.DUMMYFUNCTION("""COMPUTED_VALUE"""),"N")</f>
        <v>N</v>
      </c>
      <c r="R208" s="5" t="str">
        <f>IFERROR(__xludf.DUMMYFUNCTION("""COMPUTED_VALUE"""),"N")</f>
        <v>N</v>
      </c>
      <c r="S208" s="5" t="str">
        <f>IFERROR(__xludf.DUMMYFUNCTION("""COMPUTED_VALUE"""),"CP")</f>
        <v>CP</v>
      </c>
      <c r="T208" s="5"/>
      <c r="U208" s="5" t="str">
        <f>IFERROR(__xludf.DUMMYFUNCTION("""COMPUTED_VALUE"""),"Y")</f>
        <v>Y</v>
      </c>
      <c r="V208" s="5">
        <f>IFERROR(__xludf.DUMMYFUNCTION("""COMPUTED_VALUE"""),850.0)</f>
        <v>850</v>
      </c>
      <c r="W208" s="5"/>
      <c r="X208" s="5"/>
      <c r="Y208" s="5"/>
      <c r="Z208" s="5"/>
    </row>
    <row r="209">
      <c r="A209" s="5" t="str">
        <f>IFERROR(__xludf.DUMMYFUNCTION("""COMPUTED_VALUE"""),"ตับก้อนถุง1kg-ลัง10กก-r100(65)")</f>
        <v>ตับก้อนถุง1kg-ลัง10กก-r100(65)</v>
      </c>
      <c r="B209" s="5">
        <f>IFERROR(__xludf.DUMMYFUNCTION("""COMPUTED_VALUE"""),10640.0)</f>
        <v>10640</v>
      </c>
      <c r="C209" s="5" t="str">
        <f>IFERROR(__xludf.DUMMYFUNCTION("""COMPUTED_VALUE"""),"ตับก้อน 1kg(ลัง) *พิเศษ* -750")</f>
        <v>ตับก้อน 1kg(ลัง) *พิเศษ* -750</v>
      </c>
      <c r="D209" s="5" t="str">
        <f>IFERROR(__xludf.DUMMYFUNCTION("""COMPUTED_VALUE"""),"**ร้านค้า ราคาพิเศษ")</f>
        <v>**ร้านค้า ราคาพิเศษ</v>
      </c>
      <c r="E209" s="5"/>
      <c r="F209" s="5" t="str">
        <f>IFERROR(__xludf.DUMMYFUNCTION("""COMPUTED_VALUE"""),"N")</f>
        <v>N</v>
      </c>
      <c r="G209" s="5"/>
      <c r="H209" s="5"/>
      <c r="I209" s="5"/>
      <c r="J209" s="5"/>
      <c r="K209" s="5"/>
      <c r="L209" s="5"/>
      <c r="M209" s="5"/>
      <c r="N209" s="5"/>
      <c r="O209" s="5">
        <f>IFERROR(__xludf.DUMMYFUNCTION("""COMPUTED_VALUE"""),11092.0)</f>
        <v>11092</v>
      </c>
      <c r="P209" s="5">
        <f>IFERROR(__xludf.DUMMYFUNCTION("""COMPUTED_VALUE"""),10.0)</f>
        <v>10</v>
      </c>
      <c r="Q209" s="5" t="str">
        <f>IFERROR(__xludf.DUMMYFUNCTION("""COMPUTED_VALUE"""),"N")</f>
        <v>N</v>
      </c>
      <c r="R209" s="5" t="str">
        <f>IFERROR(__xludf.DUMMYFUNCTION("""COMPUTED_VALUE"""),"N")</f>
        <v>N</v>
      </c>
      <c r="S209" s="5"/>
      <c r="T209" s="5"/>
      <c r="U209" s="5" t="str">
        <f>IFERROR(__xludf.DUMMYFUNCTION("""COMPUTED_VALUE"""),"Y")</f>
        <v>Y</v>
      </c>
      <c r="V209" s="5">
        <f>IFERROR(__xludf.DUMMYFUNCTION("""COMPUTED_VALUE"""),750.0)</f>
        <v>750</v>
      </c>
      <c r="W209" s="5"/>
      <c r="X209" s="5"/>
      <c r="Y209" s="5"/>
      <c r="Z209" s="5"/>
    </row>
    <row r="210">
      <c r="A210" s="5" t="str">
        <f>IFERROR(__xludf.DUMMYFUNCTION("""COMPUTED_VALUE"""),"ตับก้อนถุง-5-กก-(ชมพู)")</f>
        <v>ตับก้อนถุง-5-กก-(ชมพู)</v>
      </c>
      <c r="B210" s="5">
        <f>IFERROR(__xludf.DUMMYFUNCTION("""COMPUTED_VALUE"""),11265.0)</f>
        <v>11265</v>
      </c>
      <c r="C210" s="5" t="str">
        <f>IFERROR(__xludf.DUMMYFUNCTION("""COMPUTED_VALUE"""),"ตับก้อน ถุง5กก(85)")</f>
        <v>ตับก้อน ถุง5กก(85)</v>
      </c>
      <c r="D210" s="5"/>
      <c r="E210" s="5" t="str">
        <f>IFERROR(__xludf.DUMMYFUNCTION("""COMPUTED_VALUE"""),"&lt;p&gt;S&lt;/p&gt;")</f>
        <v>&lt;p&gt;S&lt;/p&gt;</v>
      </c>
      <c r="F210" s="5" t="str">
        <f>IFERROR(__xludf.DUMMYFUNCTION("""COMPUTED_VALUE"""),"N")</f>
        <v>N</v>
      </c>
      <c r="G210" s="5"/>
      <c r="H210" s="5"/>
      <c r="I210" s="5"/>
      <c r="J210" s="5"/>
      <c r="K210" s="5"/>
      <c r="L210" s="5"/>
      <c r="M210" s="5">
        <f>IFERROR(__xludf.DUMMYFUNCTION("""COMPUTED_VALUE"""),325.0)</f>
        <v>325</v>
      </c>
      <c r="N210" s="5">
        <f>IFERROR(__xludf.DUMMYFUNCTION("""COMPUTED_VALUE"""),11265.0)</f>
        <v>11265</v>
      </c>
      <c r="O210" s="5"/>
      <c r="P210" s="5"/>
      <c r="Q210" s="5" t="str">
        <f>IFERROR(__xludf.DUMMYFUNCTION("""COMPUTED_VALUE"""),"Y")</f>
        <v>Y</v>
      </c>
      <c r="R210" s="5"/>
      <c r="S210" s="5"/>
      <c r="T210" s="5">
        <f>IFERROR(__xludf.DUMMYFUNCTION("""COMPUTED_VALUE"""),0.0)</f>
        <v>0</v>
      </c>
      <c r="U210" s="5" t="str">
        <f>IFERROR(__xludf.DUMMYFUNCTION("""COMPUTED_VALUE"""),"Y")</f>
        <v>Y</v>
      </c>
      <c r="V210" s="5">
        <f>IFERROR(__xludf.DUMMYFUNCTION("""COMPUTED_VALUE"""),425.0)</f>
        <v>425</v>
      </c>
      <c r="W210" s="5">
        <f>IFERROR(__xludf.DUMMYFUNCTION("""COMPUTED_VALUE"""),0.0)</f>
        <v>0</v>
      </c>
      <c r="X210" s="5"/>
      <c r="Y210" s="5"/>
      <c r="Z210" s="5"/>
    </row>
    <row r="211">
      <c r="A211" s="5" t="str">
        <f>IFERROR(__xludf.DUMMYFUNCTION("""COMPUTED_VALUE"""),"ตับก้อน-ถุง-5-กก")</f>
        <v>ตับก้อน-ถุง-5-กก</v>
      </c>
      <c r="B211" s="5">
        <f>IFERROR(__xludf.DUMMYFUNCTION("""COMPUTED_VALUE"""),11247.0)</f>
        <v>11247</v>
      </c>
      <c r="C211" s="5" t="str">
        <f>IFERROR(__xludf.DUMMYFUNCTION("""COMPUTED_VALUE"""),"ตับก้อน(ถุง1กก) 10กก/หิ้ว-85")</f>
        <v>ตับก้อน(ถุง1กก) 10กก/หิ้ว-85</v>
      </c>
      <c r="D211" s="5"/>
      <c r="E211" s="5" t="str">
        <f>IFERROR(__xludf.DUMMYFUNCTION("""COMPUTED_VALUE"""),"&lt;p&gt;เอ็กซ์&lt;/p&gt;")</f>
        <v>&lt;p&gt;เอ็กซ์&lt;/p&gt;</v>
      </c>
      <c r="F211" s="5" t="str">
        <f>IFERROR(__xludf.DUMMYFUNCTION("""COMPUTED_VALUE"""),"Y")</f>
        <v>Y</v>
      </c>
      <c r="G211" s="5"/>
      <c r="H211" s="5"/>
      <c r="I211" s="5"/>
      <c r="J211" s="5"/>
      <c r="K211" s="5"/>
      <c r="L211" s="5"/>
      <c r="M211" s="5"/>
      <c r="N211" s="5">
        <f>IFERROR(__xludf.DUMMYFUNCTION("""COMPUTED_VALUE"""),11247.0)</f>
        <v>11247</v>
      </c>
      <c r="O211" s="5">
        <f>IFERROR(__xludf.DUMMYFUNCTION("""COMPUTED_VALUE"""),11092.0)</f>
        <v>11092</v>
      </c>
      <c r="P211" s="5">
        <f>IFERROR(__xludf.DUMMYFUNCTION("""COMPUTED_VALUE"""),10.0)</f>
        <v>10</v>
      </c>
      <c r="Q211" s="5" t="str">
        <f>IFERROR(__xludf.DUMMYFUNCTION("""COMPUTED_VALUE"""),"N")</f>
        <v>N</v>
      </c>
      <c r="R211" s="5" t="str">
        <f>IFERROR(__xludf.DUMMYFUNCTION("""COMPUTED_VALUE"""),"N")</f>
        <v>N</v>
      </c>
      <c r="S211" s="5"/>
      <c r="T211" s="5"/>
      <c r="U211" s="5" t="str">
        <f>IFERROR(__xludf.DUMMYFUNCTION("""COMPUTED_VALUE"""),"N")</f>
        <v>N</v>
      </c>
      <c r="V211" s="5">
        <f>IFERROR(__xludf.DUMMYFUNCTION("""COMPUTED_VALUE"""),850.0)</f>
        <v>850</v>
      </c>
      <c r="W211" s="5"/>
      <c r="X211" s="5"/>
      <c r="Y211" s="5"/>
      <c r="Z211" s="5"/>
    </row>
    <row r="212">
      <c r="A212" s="5" t="str">
        <f>IFERROR(__xludf.DUMMYFUNCTION("""COMPUTED_VALUE"""),"ตับหมู-ลัง-ชั่งน้ำหนัก(60)")</f>
        <v>ตับหมู-ลัง-ชั่งน้ำหนัก(60)</v>
      </c>
      <c r="B212" s="5">
        <f>IFERROR(__xludf.DUMMYFUNCTION("""COMPUTED_VALUE"""),11092.0)</f>
        <v>11092</v>
      </c>
      <c r="C212" s="5" t="str">
        <f>IFERROR(__xludf.DUMMYFUNCTION("""COMPUTED_VALUE"""),"ตับก้อนถุง 1kg(90)")</f>
        <v>ตับก้อนถุง 1kg(90)</v>
      </c>
      <c r="D212" s="5" t="str">
        <f>IFERROR(__xludf.DUMMYFUNCTION("""COMPUTED_VALUE"""),"**ลัง ร้อยเอ็ด")</f>
        <v>**ลัง ร้อยเอ็ด</v>
      </c>
      <c r="E212" s="5" t="str">
        <f>IFERROR(__xludf.DUMMYFUNCTION("""COMPUTED_VALUE"""),"&lt;p&gt;A&lt;/p&gt;")</f>
        <v>&lt;p&gt;A&lt;/p&gt;</v>
      </c>
      <c r="F212" s="5" t="str">
        <f>IFERROR(__xludf.DUMMYFUNCTION("""COMPUTED_VALUE"""),"N")</f>
        <v>N</v>
      </c>
      <c r="G212" s="5"/>
      <c r="H212" s="5"/>
      <c r="I212" s="5"/>
      <c r="J212" s="5"/>
      <c r="K212" s="5"/>
      <c r="L212" s="5"/>
      <c r="M212" s="5">
        <f>IFERROR(__xludf.DUMMYFUNCTION("""COMPUTED_VALUE"""),61.53)</f>
        <v>61.53</v>
      </c>
      <c r="N212" s="5">
        <f>IFERROR(__xludf.DUMMYFUNCTION("""COMPUTED_VALUE"""),11092.0)</f>
        <v>11092</v>
      </c>
      <c r="O212" s="5"/>
      <c r="P212" s="5"/>
      <c r="Q212" s="5" t="str">
        <f>IFERROR(__xludf.DUMMYFUNCTION("""COMPUTED_VALUE"""),"Y")</f>
        <v>Y</v>
      </c>
      <c r="R212" s="5"/>
      <c r="S212" s="5" t="str">
        <f>IFERROR(__xludf.DUMMYFUNCTION("""COMPUTED_VALUE"""),"เบทาโกร")</f>
        <v>เบทาโกร</v>
      </c>
      <c r="T212" s="5">
        <f>IFERROR(__xludf.DUMMYFUNCTION("""COMPUTED_VALUE"""),60.0)</f>
        <v>60</v>
      </c>
      <c r="U212" s="5" t="str">
        <f>IFERROR(__xludf.DUMMYFUNCTION("""COMPUTED_VALUE"""),"Y")</f>
        <v>Y</v>
      </c>
      <c r="V212" s="5">
        <f>IFERROR(__xludf.DUMMYFUNCTION("""COMPUTED_VALUE"""),90.0)</f>
        <v>90</v>
      </c>
      <c r="W212" s="5">
        <f>IFERROR(__xludf.DUMMYFUNCTION("""COMPUTED_VALUE"""),206.0)</f>
        <v>206</v>
      </c>
      <c r="X212" s="5">
        <f>IFERROR(__xludf.DUMMYFUNCTION("""COMPUTED_VALUE"""),10.0)</f>
        <v>10</v>
      </c>
      <c r="Y212" s="5">
        <f>IFERROR(__xludf.DUMMYFUNCTION("""COMPUTED_VALUE"""),17.0)</f>
        <v>17</v>
      </c>
      <c r="Z212" s="5"/>
    </row>
    <row r="213">
      <c r="A213" s="5" t="str">
        <f>IFERROR(__xludf.DUMMYFUNCTION("""COMPUTED_VALUE"""),"ตับสไลด์--10kg-/-ลัง")</f>
        <v>ตับสไลด์--10kg-/-ลัง</v>
      </c>
      <c r="B213" s="5">
        <f>IFERROR(__xludf.DUMMYFUNCTION("""COMPUTED_VALUE"""),10238.0)</f>
        <v>10238</v>
      </c>
      <c r="C213" s="5" t="str">
        <f>IFERROR(__xludf.DUMMYFUNCTION("""COMPUTED_VALUE"""),"ตับสไลด์ 10kg(ลัง)-90")</f>
        <v>ตับสไลด์ 10kg(ลัง)-90</v>
      </c>
      <c r="D213" s="5"/>
      <c r="E213" s="5"/>
      <c r="F213" s="5" t="str">
        <f>IFERROR(__xludf.DUMMYFUNCTION("""COMPUTED_VALUE"""),"N")</f>
        <v>N</v>
      </c>
      <c r="G213" s="5"/>
      <c r="H213" s="5"/>
      <c r="I213" s="5"/>
      <c r="J213" s="5"/>
      <c r="K213" s="5"/>
      <c r="L213" s="5"/>
      <c r="M213" s="5"/>
      <c r="N213" s="5"/>
      <c r="O213" s="5">
        <f>IFERROR(__xludf.DUMMYFUNCTION("""COMPUTED_VALUE"""),10293.0)</f>
        <v>10293</v>
      </c>
      <c r="P213" s="5">
        <f>IFERROR(__xludf.DUMMYFUNCTION("""COMPUTED_VALUE"""),10.0)</f>
        <v>10</v>
      </c>
      <c r="Q213" s="5" t="str">
        <f>IFERROR(__xludf.DUMMYFUNCTION("""COMPUTED_VALUE"""),"N")</f>
        <v>N</v>
      </c>
      <c r="R213" s="5" t="str">
        <f>IFERROR(__xludf.DUMMYFUNCTION("""COMPUTED_VALUE"""),"N")</f>
        <v>N</v>
      </c>
      <c r="S213" s="5"/>
      <c r="T213" s="5"/>
      <c r="U213" s="5" t="str">
        <f>IFERROR(__xludf.DUMMYFUNCTION("""COMPUTED_VALUE"""),"Y")</f>
        <v>Y</v>
      </c>
      <c r="V213" s="5">
        <f>IFERROR(__xludf.DUMMYFUNCTION("""COMPUTED_VALUE"""),900.0)</f>
        <v>900</v>
      </c>
      <c r="W213" s="5"/>
      <c r="X213" s="5"/>
      <c r="Y213" s="5"/>
      <c r="Z213" s="5"/>
    </row>
    <row r="214">
      <c r="A214" s="5" t="str">
        <f>IFERROR(__xludf.DUMMYFUNCTION("""COMPUTED_VALUE"""),"ตับสไลด์--แพ็ค-1kg")</f>
        <v>ตับสไลด์--แพ็ค-1kg</v>
      </c>
      <c r="B214" s="5">
        <f>IFERROR(__xludf.DUMMYFUNCTION("""COMPUTED_VALUE"""),10293.0)</f>
        <v>10293</v>
      </c>
      <c r="C214" s="5" t="str">
        <f>IFERROR(__xludf.DUMMYFUNCTION("""COMPUTED_VALUE"""),"ตับสไลด์ ถุง 1kg")</f>
        <v>ตับสไลด์ ถุง 1kg</v>
      </c>
      <c r="D214" s="5" t="str">
        <f>IFERROR(__xludf.DUMMYFUNCTION("""COMPUTED_VALUE"""),"**ของสด-ทำใหม่")</f>
        <v>**ของสด-ทำใหม่</v>
      </c>
      <c r="E214" s="5"/>
      <c r="F214" s="5" t="str">
        <f>IFERROR(__xludf.DUMMYFUNCTION("""COMPUTED_VALUE"""),"N")</f>
        <v>N</v>
      </c>
      <c r="G214" s="5"/>
      <c r="H214" s="5"/>
      <c r="I214" s="5"/>
      <c r="J214" s="5"/>
      <c r="K214" s="5"/>
      <c r="L214" s="5"/>
      <c r="M214" s="5">
        <f>IFERROR(__xludf.DUMMYFUNCTION("""COMPUTED_VALUE"""),63.2)</f>
        <v>63.2</v>
      </c>
      <c r="N214" s="5"/>
      <c r="O214" s="5">
        <f>IFERROR(__xludf.DUMMYFUNCTION("""COMPUTED_VALUE"""),11298.0)</f>
        <v>11298</v>
      </c>
      <c r="P214" s="5">
        <f>IFERROR(__xludf.DUMMYFUNCTION("""COMPUTED_VALUE"""),0.1)</f>
        <v>0.1</v>
      </c>
      <c r="Q214" s="5" t="str">
        <f>IFERROR(__xludf.DUMMYFUNCTION("""COMPUTED_VALUE"""),"N")</f>
        <v>N</v>
      </c>
      <c r="R214" s="5" t="str">
        <f>IFERROR(__xludf.DUMMYFUNCTION("""COMPUTED_VALUE"""),"Y")</f>
        <v>Y</v>
      </c>
      <c r="S214" s="5" t="str">
        <f>IFERROR(__xludf.DUMMYFUNCTION("""COMPUTED_VALUE"""),"CP")</f>
        <v>CP</v>
      </c>
      <c r="T214" s="5"/>
      <c r="U214" s="5" t="str">
        <f>IFERROR(__xludf.DUMMYFUNCTION("""COMPUTED_VALUE"""),"Y")</f>
        <v>Y</v>
      </c>
      <c r="V214" s="5">
        <f>IFERROR(__xludf.DUMMYFUNCTION("""COMPUTED_VALUE"""),90.0)</f>
        <v>90</v>
      </c>
      <c r="W214" s="5">
        <f>IFERROR(__xludf.DUMMYFUNCTION("""COMPUTED_VALUE"""),95.0)</f>
        <v>95</v>
      </c>
      <c r="X214" s="5"/>
      <c r="Y214" s="5"/>
      <c r="Z214" s="5"/>
    </row>
    <row r="215">
      <c r="A215" s="5" t="str">
        <f>IFERROR(__xludf.DUMMYFUNCTION("""COMPUTED_VALUE"""),"10390")</f>
        <v>10390</v>
      </c>
      <c r="B215" s="5">
        <f>IFERROR(__xludf.DUMMYFUNCTION("""COMPUTED_VALUE"""),10390.0)</f>
        <v>10390</v>
      </c>
      <c r="C215" s="5" t="str">
        <f>IFERROR(__xludf.DUMMYFUNCTION("""COMPUTED_VALUE"""),"ตัวปลา 20*500g")</f>
        <v>ตัวปลา 20*500g</v>
      </c>
      <c r="D215" s="5"/>
      <c r="E215" s="5" t="str">
        <f>IFERROR(__xludf.DUMMYFUNCTION("""COMPUTED_VALUE"""),"X")</f>
        <v>X</v>
      </c>
      <c r="F215" s="5" t="str">
        <f>IFERROR(__xludf.DUMMYFUNCTION("""COMPUTED_VALUE"""),"N")</f>
        <v>N</v>
      </c>
      <c r="G215" s="5"/>
      <c r="H215" s="5"/>
      <c r="I215" s="5"/>
      <c r="J215" s="5"/>
      <c r="K215" s="5"/>
      <c r="L215" s="5"/>
      <c r="M215" s="5"/>
      <c r="N215" s="5"/>
      <c r="O215" s="5">
        <f>IFERROR(__xludf.DUMMYFUNCTION("""COMPUTED_VALUE"""),10389.0)</f>
        <v>10389</v>
      </c>
      <c r="P215" s="5">
        <f>IFERROR(__xludf.DUMMYFUNCTION("""COMPUTED_VALUE"""),20.0)</f>
        <v>20</v>
      </c>
      <c r="Q215" s="5" t="str">
        <f>IFERROR(__xludf.DUMMYFUNCTION("""COMPUTED_VALUE"""),"N")</f>
        <v>N</v>
      </c>
      <c r="R215" s="5" t="str">
        <f>IFERROR(__xludf.DUMMYFUNCTION("""COMPUTED_VALUE"""),"N")</f>
        <v>N</v>
      </c>
      <c r="S215" s="5"/>
      <c r="T215" s="5"/>
      <c r="U215" s="5" t="str">
        <f>IFERROR(__xludf.DUMMYFUNCTION("""COMPUTED_VALUE"""),"Y")</f>
        <v>Y</v>
      </c>
      <c r="V215" s="5">
        <f>IFERROR(__xludf.DUMMYFUNCTION("""COMPUTED_VALUE"""),1250.0)</f>
        <v>1250</v>
      </c>
      <c r="W215" s="5"/>
      <c r="X215" s="5"/>
      <c r="Y215" s="5"/>
      <c r="Z215" s="5"/>
    </row>
    <row r="216">
      <c r="A216" s="5" t="str">
        <f>IFERROR(__xludf.DUMMYFUNCTION("""COMPUTED_VALUE"""),"10389")</f>
        <v>10389</v>
      </c>
      <c r="B216" s="5">
        <f>IFERROR(__xludf.DUMMYFUNCTION("""COMPUTED_VALUE"""),10389.0)</f>
        <v>10389</v>
      </c>
      <c r="C216" s="5" t="str">
        <f>IFERROR(__xludf.DUMMYFUNCTION("""COMPUTED_VALUE"""),"ตัวปลา 500g")</f>
        <v>ตัวปลา 500g</v>
      </c>
      <c r="D216" s="5" t="str">
        <f>IFERROR(__xludf.DUMMYFUNCTION("""COMPUTED_VALUE"""),"ทวีวงษ์-PFP")</f>
        <v>ทวีวงษ์-PFP</v>
      </c>
      <c r="E216" s="5" t="str">
        <f>IFERROR(__xludf.DUMMYFUNCTION("""COMPUTED_VALUE"""),"&lt;p&gt;X&lt;/p&gt;")</f>
        <v>&lt;p&gt;X&lt;/p&gt;</v>
      </c>
      <c r="F216" s="5" t="str">
        <f>IFERROR(__xludf.DUMMYFUNCTION("""COMPUTED_VALUE"""),"N")</f>
        <v>N</v>
      </c>
      <c r="G216" s="5"/>
      <c r="H216" s="5"/>
      <c r="I216" s="5"/>
      <c r="J216" s="5"/>
      <c r="K216" s="5"/>
      <c r="L216" s="5"/>
      <c r="M216" s="5">
        <f>IFERROR(__xludf.DUMMYFUNCTION("""COMPUTED_VALUE"""),58.0)</f>
        <v>58</v>
      </c>
      <c r="N216" s="5">
        <f>IFERROR(__xludf.DUMMYFUNCTION("""COMPUTED_VALUE"""),8.850016625009E12)</f>
        <v>8850016625009</v>
      </c>
      <c r="O216" s="5"/>
      <c r="P216" s="5"/>
      <c r="Q216" s="5" t="str">
        <f>IFERROR(__xludf.DUMMYFUNCTION("""COMPUTED_VALUE"""),"Y")</f>
        <v>Y</v>
      </c>
      <c r="R216" s="5"/>
      <c r="S216" s="5" t="str">
        <f>IFERROR(__xludf.DUMMYFUNCTION("""COMPUTED_VALUE"""),"ทวีวงษ์")</f>
        <v>ทวีวงษ์</v>
      </c>
      <c r="T216" s="5">
        <f>IFERROR(__xludf.DUMMYFUNCTION("""COMPUTED_VALUE"""),58.0)</f>
        <v>58</v>
      </c>
      <c r="U216" s="5" t="str">
        <f>IFERROR(__xludf.DUMMYFUNCTION("""COMPUTED_VALUE"""),"Y")</f>
        <v>Y</v>
      </c>
      <c r="V216" s="5">
        <f>IFERROR(__xludf.DUMMYFUNCTION("""COMPUTED_VALUE"""),65.0)</f>
        <v>65</v>
      </c>
      <c r="W216" s="5">
        <f>IFERROR(__xludf.DUMMYFUNCTION("""COMPUTED_VALUE"""),24.0)</f>
        <v>24</v>
      </c>
      <c r="X216" s="5">
        <f>IFERROR(__xludf.DUMMYFUNCTION("""COMPUTED_VALUE"""),20.0)</f>
        <v>20</v>
      </c>
      <c r="Y216" s="5">
        <f>IFERROR(__xludf.DUMMYFUNCTION("""COMPUTED_VALUE"""),60.0)</f>
        <v>60</v>
      </c>
      <c r="Z216" s="5"/>
    </row>
    <row r="217">
      <c r="A217" s="5" t="str">
        <f>IFERROR(__xludf.DUMMYFUNCTION("""COMPUTED_VALUE"""),"ถังดำ---(20)")</f>
        <v>ถังดำ---(20)</v>
      </c>
      <c r="B217" s="5">
        <f>IFERROR(__xludf.DUMMYFUNCTION("""COMPUTED_VALUE"""),10091.0)</f>
        <v>10091</v>
      </c>
      <c r="C217" s="5" t="str">
        <f>IFERROR(__xludf.DUMMYFUNCTION("""COMPUTED_VALUE"""),"ถังดำ   (20)")</f>
        <v>ถังดำ   (20)</v>
      </c>
      <c r="D217" s="5"/>
      <c r="E217" s="5"/>
      <c r="F217" s="5" t="str">
        <f>IFERROR(__xludf.DUMMYFUNCTION("""COMPUTED_VALUE"""),"N")</f>
        <v>N</v>
      </c>
      <c r="G217" s="5"/>
      <c r="H217" s="5"/>
      <c r="I217" s="5"/>
      <c r="J217" s="5"/>
      <c r="K217" s="5"/>
      <c r="L217" s="5"/>
      <c r="M217" s="5">
        <f>IFERROR(__xludf.DUMMYFUNCTION("""COMPUTED_VALUE"""),10.0)</f>
        <v>10</v>
      </c>
      <c r="N217" s="5"/>
      <c r="O217" s="5"/>
      <c r="P217" s="5"/>
      <c r="Q217" s="5" t="str">
        <f>IFERROR(__xludf.DUMMYFUNCTION("""COMPUTED_VALUE"""),"Y")</f>
        <v>Y</v>
      </c>
      <c r="R217" s="5"/>
      <c r="S217" s="5"/>
      <c r="T217" s="5"/>
      <c r="U217" s="5" t="str">
        <f>IFERROR(__xludf.DUMMYFUNCTION("""COMPUTED_VALUE"""),"Y")</f>
        <v>Y</v>
      </c>
      <c r="V217" s="5">
        <f>IFERROR(__xludf.DUMMYFUNCTION("""COMPUTED_VALUE"""),20.0)</f>
        <v>20</v>
      </c>
      <c r="W217" s="5">
        <f>IFERROR(__xludf.DUMMYFUNCTION("""COMPUTED_VALUE"""),50.0)</f>
        <v>50</v>
      </c>
      <c r="X217" s="5"/>
      <c r="Y217" s="5"/>
      <c r="Z217" s="5"/>
    </row>
    <row r="218">
      <c r="A218" s="5" t="str">
        <f>IFERROR(__xludf.DUMMYFUNCTION("""COMPUTED_VALUE"""),"ถั่วลันเตา-1-กก.*10(ลัง)")</f>
        <v>ถั่วลันเตา-1-กก.*10(ลัง)</v>
      </c>
      <c r="B218" s="5">
        <f>IFERROR(__xludf.DUMMYFUNCTION("""COMPUTED_VALUE"""),10395.0)</f>
        <v>10395</v>
      </c>
      <c r="C218" s="5" t="str">
        <f>IFERROR(__xludf.DUMMYFUNCTION("""COMPUTED_VALUE"""),"ถั่วลันเตา 1*10 kg (ลัง)")</f>
        <v>ถั่วลันเตา 1*10 kg (ลัง)</v>
      </c>
      <c r="D218" s="5" t="str">
        <f>IFERROR(__xludf.DUMMYFUNCTION("""COMPUTED_VALUE"""),"**ลัง ร้อยเอ็ด")</f>
        <v>**ลัง ร้อยเอ็ด</v>
      </c>
      <c r="E218" s="5"/>
      <c r="F218" s="5" t="str">
        <f>IFERROR(__xludf.DUMMYFUNCTION("""COMPUTED_VALUE"""),"N")</f>
        <v>N</v>
      </c>
      <c r="G218" s="5"/>
      <c r="H218" s="5"/>
      <c r="I218" s="5"/>
      <c r="J218" s="5"/>
      <c r="K218" s="5"/>
      <c r="L218" s="5"/>
      <c r="M218" s="5">
        <f>IFERROR(__xludf.DUMMYFUNCTION("""COMPUTED_VALUE"""),680.0)</f>
        <v>680</v>
      </c>
      <c r="N218" s="5">
        <f>IFERROR(__xludf.DUMMYFUNCTION("""COMPUTED_VALUE"""),10395.0)</f>
        <v>10395</v>
      </c>
      <c r="O218" s="5"/>
      <c r="P218" s="5"/>
      <c r="Q218" s="5" t="str">
        <f>IFERROR(__xludf.DUMMYFUNCTION("""COMPUTED_VALUE"""),"Y")</f>
        <v>Y</v>
      </c>
      <c r="R218" s="5"/>
      <c r="S218" s="5"/>
      <c r="T218" s="5">
        <f>IFERROR(__xludf.DUMMYFUNCTION("""COMPUTED_VALUE"""),0.0)</f>
        <v>0</v>
      </c>
      <c r="U218" s="5" t="str">
        <f>IFERROR(__xludf.DUMMYFUNCTION("""COMPUTED_VALUE"""),"Y")</f>
        <v>Y</v>
      </c>
      <c r="V218" s="5">
        <f>IFERROR(__xludf.DUMMYFUNCTION("""COMPUTED_VALUE"""),750.0)</f>
        <v>750</v>
      </c>
      <c r="W218" s="5">
        <f>IFERROR(__xludf.DUMMYFUNCTION("""COMPUTED_VALUE"""),0.0)</f>
        <v>0</v>
      </c>
      <c r="X218" s="5"/>
      <c r="Y218" s="5"/>
      <c r="Z218" s="5"/>
    </row>
    <row r="219">
      <c r="A219" s="5" t="str">
        <f>IFERROR(__xludf.DUMMYFUNCTION("""COMPUTED_VALUE"""),"ถั่วลันเตา-1กก.")</f>
        <v>ถั่วลันเตา-1กก.</v>
      </c>
      <c r="B219" s="5">
        <f>IFERROR(__xludf.DUMMYFUNCTION("""COMPUTED_VALUE"""),10630.0)</f>
        <v>10630</v>
      </c>
      <c r="C219" s="5" t="str">
        <f>IFERROR(__xludf.DUMMYFUNCTION("""COMPUTED_VALUE"""),"ถั่วลันเตา 1กก.")</f>
        <v>ถั่วลันเตา 1กก.</v>
      </c>
      <c r="D219" s="5"/>
      <c r="E219" s="5"/>
      <c r="F219" s="5" t="str">
        <f>IFERROR(__xludf.DUMMYFUNCTION("""COMPUTED_VALUE"""),"N")</f>
        <v>N</v>
      </c>
      <c r="G219" s="5"/>
      <c r="H219" s="5"/>
      <c r="I219" s="5"/>
      <c r="J219" s="5"/>
      <c r="K219" s="5"/>
      <c r="L219" s="5"/>
      <c r="M219" s="5"/>
      <c r="N219" s="5"/>
      <c r="O219" s="5">
        <f>IFERROR(__xludf.DUMMYFUNCTION("""COMPUTED_VALUE"""),10395.0)</f>
        <v>10395</v>
      </c>
      <c r="P219" s="5">
        <f>IFERROR(__xludf.DUMMYFUNCTION("""COMPUTED_VALUE"""),0.1)</f>
        <v>0.1</v>
      </c>
      <c r="Q219" s="5" t="str">
        <f>IFERROR(__xludf.DUMMYFUNCTION("""COMPUTED_VALUE"""),"N")</f>
        <v>N</v>
      </c>
      <c r="R219" s="5" t="str">
        <f>IFERROR(__xludf.DUMMYFUNCTION("""COMPUTED_VALUE"""),"N")</f>
        <v>N</v>
      </c>
      <c r="S219" s="5"/>
      <c r="T219" s="5"/>
      <c r="U219" s="5" t="str">
        <f>IFERROR(__xludf.DUMMYFUNCTION("""COMPUTED_VALUE"""),"Y")</f>
        <v>Y</v>
      </c>
      <c r="V219" s="5">
        <f>IFERROR(__xludf.DUMMYFUNCTION("""COMPUTED_VALUE"""),75.0)</f>
        <v>75</v>
      </c>
      <c r="W219" s="5"/>
      <c r="X219" s="5"/>
      <c r="Y219" s="5"/>
      <c r="Z219" s="5"/>
    </row>
    <row r="220">
      <c r="A220" s="5" t="str">
        <f>IFERROR(__xludf.DUMMYFUNCTION("""COMPUTED_VALUE"""),"ถุง10*15ขุ่น")</f>
        <v>ถุง10*15ขุ่น</v>
      </c>
      <c r="B220" s="5">
        <f>IFERROR(__xludf.DUMMYFUNCTION("""COMPUTED_VALUE"""),10188.0)</f>
        <v>10188</v>
      </c>
      <c r="C220" s="5" t="str">
        <f>IFERROR(__xludf.DUMMYFUNCTION("""COMPUTED_VALUE"""),"ถุง10*15ขุ่น")</f>
        <v>ถุง10*15ขุ่น</v>
      </c>
      <c r="D220" s="5"/>
      <c r="E220" s="5"/>
      <c r="F220" s="5" t="str">
        <f>IFERROR(__xludf.DUMMYFUNCTION("""COMPUTED_VALUE"""),"N")</f>
        <v>N</v>
      </c>
      <c r="G220" s="5"/>
      <c r="H220" s="5"/>
      <c r="I220" s="5"/>
      <c r="J220" s="5"/>
      <c r="K220" s="5"/>
      <c r="L220" s="5"/>
      <c r="M220" s="5">
        <f>IFERROR(__xludf.DUMMYFUNCTION("""COMPUTED_VALUE"""),35.0)</f>
        <v>35</v>
      </c>
      <c r="N220" s="5">
        <f>IFERROR(__xludf.DUMMYFUNCTION("""COMPUTED_VALUE"""),8.858817012288E12)</f>
        <v>8858817012288</v>
      </c>
      <c r="O220" s="5"/>
      <c r="P220" s="5"/>
      <c r="Q220" s="5" t="str">
        <f>IFERROR(__xludf.DUMMYFUNCTION("""COMPUTED_VALUE"""),"Y")</f>
        <v>Y</v>
      </c>
      <c r="R220" s="5"/>
      <c r="S220" s="5"/>
      <c r="T220" s="5">
        <f>IFERROR(__xludf.DUMMYFUNCTION("""COMPUTED_VALUE"""),0.0)</f>
        <v>0</v>
      </c>
      <c r="U220" s="5" t="str">
        <f>IFERROR(__xludf.DUMMYFUNCTION("""COMPUTED_VALUE"""),"Y")</f>
        <v>Y</v>
      </c>
      <c r="V220" s="5">
        <f>IFERROR(__xludf.DUMMYFUNCTION("""COMPUTED_VALUE"""),45.0)</f>
        <v>45</v>
      </c>
      <c r="W220" s="5">
        <f>IFERROR(__xludf.DUMMYFUNCTION("""COMPUTED_VALUE"""),27.0)</f>
        <v>27</v>
      </c>
      <c r="X220" s="5">
        <f>IFERROR(__xludf.DUMMYFUNCTION("""COMPUTED_VALUE"""),0.0)</f>
        <v>0</v>
      </c>
      <c r="Y220" s="5"/>
      <c r="Z220" s="5"/>
    </row>
    <row r="221">
      <c r="A221" s="5" t="str">
        <f>IFERROR(__xludf.DUMMYFUNCTION("""COMPUTED_VALUE"""),"ถุงชีส-pe-8*12")</f>
        <v>ถุงชีส-pe-8*12</v>
      </c>
      <c r="B221" s="5">
        <f>IFERROR(__xludf.DUMMYFUNCTION("""COMPUTED_VALUE"""),10740.0)</f>
        <v>10740</v>
      </c>
      <c r="C221" s="5" t="str">
        <f>IFERROR(__xludf.DUMMYFUNCTION("""COMPUTED_VALUE"""),"ถุงชีส PE 8*12")</f>
        <v>ถุงชีส PE 8*12</v>
      </c>
      <c r="D221" s="5"/>
      <c r="E221" s="5"/>
      <c r="F221" s="5" t="str">
        <f>IFERROR(__xludf.DUMMYFUNCTION("""COMPUTED_VALUE"""),"N")</f>
        <v>N</v>
      </c>
      <c r="G221" s="5"/>
      <c r="H221" s="5"/>
      <c r="I221" s="5"/>
      <c r="J221" s="5"/>
      <c r="K221" s="5"/>
      <c r="L221" s="5"/>
      <c r="M221" s="5">
        <f>IFERROR(__xludf.DUMMYFUNCTION("""COMPUTED_VALUE"""),36.38)</f>
        <v>36.38</v>
      </c>
      <c r="N221" s="5"/>
      <c r="O221" s="5"/>
      <c r="P221" s="5"/>
      <c r="Q221" s="5" t="str">
        <f>IFERROR(__xludf.DUMMYFUNCTION("""COMPUTED_VALUE"""),"Y")</f>
        <v>Y</v>
      </c>
      <c r="R221" s="5"/>
      <c r="S221" s="5" t="str">
        <f>IFERROR(__xludf.DUMMYFUNCTION("""COMPUTED_VALUE"""),"บุญเจริญถาวร")</f>
        <v>บุญเจริญถาวร</v>
      </c>
      <c r="T221" s="5">
        <f>IFERROR(__xludf.DUMMYFUNCTION("""COMPUTED_VALUE"""),37.5)</f>
        <v>37.5</v>
      </c>
      <c r="U221" s="5" t="str">
        <f>IFERROR(__xludf.DUMMYFUNCTION("""COMPUTED_VALUE"""),"Y")</f>
        <v>Y</v>
      </c>
      <c r="V221" s="5">
        <f>IFERROR(__xludf.DUMMYFUNCTION("""COMPUTED_VALUE"""),50.0)</f>
        <v>50</v>
      </c>
      <c r="W221" s="5">
        <f>IFERROR(__xludf.DUMMYFUNCTION("""COMPUTED_VALUE"""),38.0)</f>
        <v>38</v>
      </c>
      <c r="X221" s="5"/>
      <c r="Y221" s="5"/>
      <c r="Z221" s="5"/>
    </row>
    <row r="222">
      <c r="A222" s="5" t="str">
        <f>IFERROR(__xludf.DUMMYFUNCTION("""COMPUTED_VALUE"""),"ถุงยืด-สีส้ม-18*28")</f>
        <v>ถุงยืด-สีส้ม-18*28</v>
      </c>
      <c r="B222" s="5">
        <f>IFERROR(__xludf.DUMMYFUNCTION("""COMPUTED_VALUE"""),10404.0)</f>
        <v>10404</v>
      </c>
      <c r="C222" s="5" t="str">
        <f>IFERROR(__xludf.DUMMYFUNCTION("""COMPUTED_VALUE"""),"ถุงยืด สีส้ม LL 18*28")</f>
        <v>ถุงยืด สีส้ม LL 18*28</v>
      </c>
      <c r="D222" s="5"/>
      <c r="E222" s="5"/>
      <c r="F222" s="5" t="str">
        <f>IFERROR(__xludf.DUMMYFUNCTION("""COMPUTED_VALUE"""),"N")</f>
        <v>N</v>
      </c>
      <c r="G222" s="5"/>
      <c r="H222" s="5"/>
      <c r="I222" s="5"/>
      <c r="J222" s="5"/>
      <c r="K222" s="5"/>
      <c r="L222" s="5"/>
      <c r="M222" s="5">
        <f>IFERROR(__xludf.DUMMYFUNCTION("""COMPUTED_VALUE"""),30.0)</f>
        <v>30</v>
      </c>
      <c r="N222" s="5"/>
      <c r="O222" s="5"/>
      <c r="P222" s="5"/>
      <c r="Q222" s="5" t="str">
        <f>IFERROR(__xludf.DUMMYFUNCTION("""COMPUTED_VALUE"""),"Y")</f>
        <v>Y</v>
      </c>
      <c r="R222" s="5"/>
      <c r="S222" s="5"/>
      <c r="T222" s="5">
        <f>IFERROR(__xludf.DUMMYFUNCTION("""COMPUTED_VALUE"""),30.0)</f>
        <v>30</v>
      </c>
      <c r="U222" s="5" t="str">
        <f>IFERROR(__xludf.DUMMYFUNCTION("""COMPUTED_VALUE"""),"Y")</f>
        <v>Y</v>
      </c>
      <c r="V222" s="5">
        <f>IFERROR(__xludf.DUMMYFUNCTION("""COMPUTED_VALUE"""),45.0)</f>
        <v>45</v>
      </c>
      <c r="W222" s="5">
        <f>IFERROR(__xludf.DUMMYFUNCTION("""COMPUTED_VALUE"""),24.0)</f>
        <v>24</v>
      </c>
      <c r="X222" s="5"/>
      <c r="Y222" s="5"/>
      <c r="Z222" s="5"/>
    </row>
    <row r="223">
      <c r="A223" s="5" t="str">
        <f>IFERROR(__xludf.DUMMYFUNCTION("""COMPUTED_VALUE"""),"ถุงยืด-สีส้ม-ll-20*30")</f>
        <v>ถุงยืด-สีส้ม-ll-20*30</v>
      </c>
      <c r="B223" s="5">
        <f>IFERROR(__xludf.DUMMYFUNCTION("""COMPUTED_VALUE"""),10007.0)</f>
        <v>10007</v>
      </c>
      <c r="C223" s="5" t="str">
        <f>IFERROR(__xludf.DUMMYFUNCTION("""COMPUTED_VALUE"""),"ถุงยืด สีส้ม LL 20*30")</f>
        <v>ถุงยืด สีส้ม LL 20*30</v>
      </c>
      <c r="D223" s="5"/>
      <c r="E223" s="5"/>
      <c r="F223" s="5" t="str">
        <f>IFERROR(__xludf.DUMMYFUNCTION("""COMPUTED_VALUE"""),"N")</f>
        <v>N</v>
      </c>
      <c r="G223" s="5"/>
      <c r="H223" s="5"/>
      <c r="I223" s="5"/>
      <c r="J223" s="5"/>
      <c r="K223" s="5"/>
      <c r="L223" s="5"/>
      <c r="M223" s="5">
        <f>IFERROR(__xludf.DUMMYFUNCTION("""COMPUTED_VALUE"""),42.5)</f>
        <v>42.5</v>
      </c>
      <c r="N223" s="5"/>
      <c r="O223" s="5"/>
      <c r="P223" s="5"/>
      <c r="Q223" s="5" t="str">
        <f>IFERROR(__xludf.DUMMYFUNCTION("""COMPUTED_VALUE"""),"Y")</f>
        <v>Y</v>
      </c>
      <c r="R223" s="5"/>
      <c r="S223" s="5"/>
      <c r="T223" s="5">
        <f>IFERROR(__xludf.DUMMYFUNCTION("""COMPUTED_VALUE"""),42.5)</f>
        <v>42.5</v>
      </c>
      <c r="U223" s="5" t="str">
        <f>IFERROR(__xludf.DUMMYFUNCTION("""COMPUTED_VALUE"""),"Y")</f>
        <v>Y</v>
      </c>
      <c r="V223" s="5">
        <f>IFERROR(__xludf.DUMMYFUNCTION("""COMPUTED_VALUE"""),50.0)</f>
        <v>50</v>
      </c>
      <c r="W223" s="5">
        <f>IFERROR(__xludf.DUMMYFUNCTION("""COMPUTED_VALUE"""),16.0)</f>
        <v>16</v>
      </c>
      <c r="X223" s="5"/>
      <c r="Y223" s="5"/>
      <c r="Z223" s="5"/>
    </row>
    <row r="224">
      <c r="A224" s="5" t="str">
        <f>IFERROR(__xludf.DUMMYFUNCTION("""COMPUTED_VALUE"""),"ถุงยืด14*22")</f>
        <v>ถุงยืด14*22</v>
      </c>
      <c r="B224" s="5">
        <f>IFERROR(__xludf.DUMMYFUNCTION("""COMPUTED_VALUE"""),10449.0)</f>
        <v>10449</v>
      </c>
      <c r="C224" s="5" t="str">
        <f>IFERROR(__xludf.DUMMYFUNCTION("""COMPUTED_VALUE"""),"ถุงยืด สีส้ม LL14*22")</f>
        <v>ถุงยืด สีส้ม LL14*22</v>
      </c>
      <c r="D224" s="5" t="str">
        <f>IFERROR(__xludf.DUMMYFUNCTION("""COMPUTED_VALUE"""),"**ของแห้ง")</f>
        <v>**ของแห้ง</v>
      </c>
      <c r="E224" s="5"/>
      <c r="F224" s="5" t="str">
        <f>IFERROR(__xludf.DUMMYFUNCTION("""COMPUTED_VALUE"""),"N")</f>
        <v>N</v>
      </c>
      <c r="G224" s="5"/>
      <c r="H224" s="5"/>
      <c r="I224" s="5"/>
      <c r="J224" s="5"/>
      <c r="K224" s="5"/>
      <c r="L224" s="5"/>
      <c r="M224" s="5">
        <f>IFERROR(__xludf.DUMMYFUNCTION("""COMPUTED_VALUE"""),42.27)</f>
        <v>42.27</v>
      </c>
      <c r="N224" s="5"/>
      <c r="O224" s="5"/>
      <c r="P224" s="5"/>
      <c r="Q224" s="5" t="str">
        <f>IFERROR(__xludf.DUMMYFUNCTION("""COMPUTED_VALUE"""),"Y")</f>
        <v>Y</v>
      </c>
      <c r="R224" s="5"/>
      <c r="S224" s="5"/>
      <c r="T224" s="5">
        <f>IFERROR(__xludf.DUMMYFUNCTION("""COMPUTED_VALUE"""),41.5)</f>
        <v>41.5</v>
      </c>
      <c r="U224" s="5" t="str">
        <f>IFERROR(__xludf.DUMMYFUNCTION("""COMPUTED_VALUE"""),"Y")</f>
        <v>Y</v>
      </c>
      <c r="V224" s="5">
        <f>IFERROR(__xludf.DUMMYFUNCTION("""COMPUTED_VALUE"""),55.0)</f>
        <v>55</v>
      </c>
      <c r="W224" s="5">
        <f>IFERROR(__xludf.DUMMYFUNCTION("""COMPUTED_VALUE"""),121.0)</f>
        <v>121</v>
      </c>
      <c r="X224" s="5"/>
      <c r="Y224" s="5"/>
      <c r="Z224" s="5"/>
    </row>
    <row r="225">
      <c r="A225" s="5" t="str">
        <f>IFERROR(__xludf.DUMMYFUNCTION("""COMPUTED_VALUE"""),"ถุงยืด16*26")</f>
        <v>ถุงยืด16*26</v>
      </c>
      <c r="B225" s="5">
        <f>IFERROR(__xludf.DUMMYFUNCTION("""COMPUTED_VALUE"""),10606.0)</f>
        <v>10606</v>
      </c>
      <c r="C225" s="5" t="str">
        <f>IFERROR(__xludf.DUMMYFUNCTION("""COMPUTED_VALUE"""),"ถุงยืด สีส้ม LL16*26")</f>
        <v>ถุงยืด สีส้ม LL16*26</v>
      </c>
      <c r="D225" s="5" t="str">
        <f>IFERROR(__xludf.DUMMYFUNCTION("""COMPUTED_VALUE"""),"**ของแห้ง")</f>
        <v>**ของแห้ง</v>
      </c>
      <c r="E225" s="5"/>
      <c r="F225" s="5" t="str">
        <f>IFERROR(__xludf.DUMMYFUNCTION("""COMPUTED_VALUE"""),"N")</f>
        <v>N</v>
      </c>
      <c r="G225" s="5"/>
      <c r="H225" s="5"/>
      <c r="I225" s="5"/>
      <c r="J225" s="5"/>
      <c r="K225" s="5"/>
      <c r="L225" s="5"/>
      <c r="M225" s="5">
        <f>IFERROR(__xludf.DUMMYFUNCTION("""COMPUTED_VALUE"""),41.08)</f>
        <v>41.08</v>
      </c>
      <c r="N225" s="5"/>
      <c r="O225" s="5"/>
      <c r="P225" s="5"/>
      <c r="Q225" s="5" t="str">
        <f>IFERROR(__xludf.DUMMYFUNCTION("""COMPUTED_VALUE"""),"Y")</f>
        <v>Y</v>
      </c>
      <c r="R225" s="5"/>
      <c r="S225" s="5"/>
      <c r="T225" s="5">
        <f>IFERROR(__xludf.DUMMYFUNCTION("""COMPUTED_VALUE"""),41.0)</f>
        <v>41</v>
      </c>
      <c r="U225" s="5" t="str">
        <f>IFERROR(__xludf.DUMMYFUNCTION("""COMPUTED_VALUE"""),"Y")</f>
        <v>Y</v>
      </c>
      <c r="V225" s="5">
        <f>IFERROR(__xludf.DUMMYFUNCTION("""COMPUTED_VALUE"""),48.0)</f>
        <v>48</v>
      </c>
      <c r="W225" s="5">
        <f>IFERROR(__xludf.DUMMYFUNCTION("""COMPUTED_VALUE"""),19.0)</f>
        <v>19</v>
      </c>
      <c r="X225" s="5"/>
      <c r="Y225" s="5"/>
      <c r="Z225" s="5"/>
    </row>
    <row r="226">
      <c r="A226" s="5" t="str">
        <f>IFERROR(__xludf.DUMMYFUNCTION("""COMPUTED_VALUE"""),"ถุงร้อน--16*26")</f>
        <v>ถุงร้อน--16*26</v>
      </c>
      <c r="B226" s="5">
        <f>IFERROR(__xludf.DUMMYFUNCTION("""COMPUTED_VALUE"""),10427.0)</f>
        <v>10427</v>
      </c>
      <c r="C226" s="5" t="str">
        <f>IFERROR(__xludf.DUMMYFUNCTION("""COMPUTED_VALUE"""),"ถุงร้อน  16*26")</f>
        <v>ถุงร้อน  16*26</v>
      </c>
      <c r="D226" s="5" t="str">
        <f>IFERROR(__xludf.DUMMYFUNCTION("""COMPUTED_VALUE"""),"**ของแห้ง")</f>
        <v>**ของแห้ง</v>
      </c>
      <c r="E226" s="5"/>
      <c r="F226" s="5" t="str">
        <f>IFERROR(__xludf.DUMMYFUNCTION("""COMPUTED_VALUE"""),"N")</f>
        <v>N</v>
      </c>
      <c r="G226" s="5"/>
      <c r="H226" s="5"/>
      <c r="I226" s="5"/>
      <c r="J226" s="5"/>
      <c r="K226" s="5"/>
      <c r="L226" s="5"/>
      <c r="M226" s="5">
        <f>IFERROR(__xludf.DUMMYFUNCTION("""COMPUTED_VALUE"""),35.0)</f>
        <v>35</v>
      </c>
      <c r="N226" s="5"/>
      <c r="O226" s="5"/>
      <c r="P226" s="5"/>
      <c r="Q226" s="5" t="str">
        <f>IFERROR(__xludf.DUMMYFUNCTION("""COMPUTED_VALUE"""),"Y")</f>
        <v>Y</v>
      </c>
      <c r="R226" s="5"/>
      <c r="S226" s="5"/>
      <c r="T226" s="5">
        <f>IFERROR(__xludf.DUMMYFUNCTION("""COMPUTED_VALUE"""),35.0)</f>
        <v>35</v>
      </c>
      <c r="U226" s="5" t="str">
        <f>IFERROR(__xludf.DUMMYFUNCTION("""COMPUTED_VALUE"""),"Y")</f>
        <v>Y</v>
      </c>
      <c r="V226" s="5">
        <f>IFERROR(__xludf.DUMMYFUNCTION("""COMPUTED_VALUE"""),45.0)</f>
        <v>45</v>
      </c>
      <c r="W226" s="5">
        <f>IFERROR(__xludf.DUMMYFUNCTION("""COMPUTED_VALUE"""),17.0)</f>
        <v>17</v>
      </c>
      <c r="X226" s="5"/>
      <c r="Y226" s="5"/>
      <c r="Z226" s="5"/>
    </row>
    <row r="227">
      <c r="A227" s="5" t="str">
        <f>IFERROR(__xludf.DUMMYFUNCTION("""COMPUTED_VALUE"""),"ถุงหิ้ว-12*20-ดาวส้ม")</f>
        <v>ถุงหิ้ว-12*20-ดาวส้ม</v>
      </c>
      <c r="B227" s="5">
        <f>IFERROR(__xludf.DUMMYFUNCTION("""COMPUTED_VALUE"""),10625.0)</f>
        <v>10625</v>
      </c>
      <c r="C227" s="5" t="str">
        <f>IFERROR(__xludf.DUMMYFUNCTION("""COMPUTED_VALUE"""),"ถุงหิ้ว 12*20 ดาวส้ม")</f>
        <v>ถุงหิ้ว 12*20 ดาวส้ม</v>
      </c>
      <c r="D227" s="5"/>
      <c r="E227" s="5"/>
      <c r="F227" s="5" t="str">
        <f>IFERROR(__xludf.DUMMYFUNCTION("""COMPUTED_VALUE"""),"N")</f>
        <v>N</v>
      </c>
      <c r="G227" s="5"/>
      <c r="H227" s="5"/>
      <c r="I227" s="5"/>
      <c r="J227" s="5"/>
      <c r="K227" s="5"/>
      <c r="L227" s="5"/>
      <c r="M227" s="5">
        <f>IFERROR(__xludf.DUMMYFUNCTION("""COMPUTED_VALUE"""),46.0)</f>
        <v>46</v>
      </c>
      <c r="N227" s="5"/>
      <c r="O227" s="5"/>
      <c r="P227" s="5"/>
      <c r="Q227" s="5" t="str">
        <f>IFERROR(__xludf.DUMMYFUNCTION("""COMPUTED_VALUE"""),"N")</f>
        <v>N</v>
      </c>
      <c r="R227" s="5"/>
      <c r="S227" s="5"/>
      <c r="T227" s="5"/>
      <c r="U227" s="5" t="str">
        <f>IFERROR(__xludf.DUMMYFUNCTION("""COMPUTED_VALUE"""),"Y")</f>
        <v>Y</v>
      </c>
      <c r="V227" s="5">
        <f>IFERROR(__xludf.DUMMYFUNCTION("""COMPUTED_VALUE"""),55.0)</f>
        <v>55</v>
      </c>
      <c r="W227" s="5"/>
      <c r="X227" s="5"/>
      <c r="Y227" s="5"/>
      <c r="Z227" s="5"/>
    </row>
    <row r="228">
      <c r="A228" s="5" t="str">
        <f>IFERROR(__xludf.DUMMYFUNCTION("""COMPUTED_VALUE"""),"ถุงหิ้ว-6*11")</f>
        <v>ถุงหิ้ว-6*11</v>
      </c>
      <c r="B228" s="5">
        <f>IFERROR(__xludf.DUMMYFUNCTION("""COMPUTED_VALUE"""),11216.0)</f>
        <v>11216</v>
      </c>
      <c r="C228" s="5" t="str">
        <f>IFERROR(__xludf.DUMMYFUNCTION("""COMPUTED_VALUE"""),"ถุงหิ้ว 6*11ตราดาว")</f>
        <v>ถุงหิ้ว 6*11ตราดาว</v>
      </c>
      <c r="D228" s="5" t="str">
        <f>IFERROR(__xludf.DUMMYFUNCTION("""COMPUTED_VALUE"""),"**ของแห้ง")</f>
        <v>**ของแห้ง</v>
      </c>
      <c r="E228" s="5" t="str">
        <f>IFERROR(__xludf.DUMMYFUNCTION("""COMPUTED_VALUE"""),"X")</f>
        <v>X</v>
      </c>
      <c r="F228" s="5" t="str">
        <f>IFERROR(__xludf.DUMMYFUNCTION("""COMPUTED_VALUE"""),"N")</f>
        <v>N</v>
      </c>
      <c r="G228" s="5"/>
      <c r="H228" s="5"/>
      <c r="I228" s="5"/>
      <c r="J228" s="5"/>
      <c r="K228" s="5"/>
      <c r="L228" s="5"/>
      <c r="M228" s="5">
        <f>IFERROR(__xludf.DUMMYFUNCTION("""COMPUTED_VALUE"""),7.0)</f>
        <v>7</v>
      </c>
      <c r="N228" s="5">
        <f>IFERROR(__xludf.DUMMYFUNCTION("""COMPUTED_VALUE"""),8.85908590109E12)</f>
        <v>8859085901090</v>
      </c>
      <c r="O228" s="5"/>
      <c r="P228" s="5"/>
      <c r="Q228" s="5" t="str">
        <f>IFERROR(__xludf.DUMMYFUNCTION("""COMPUTED_VALUE"""),"Y")</f>
        <v>Y</v>
      </c>
      <c r="R228" s="5"/>
      <c r="S228" s="5"/>
      <c r="T228" s="5">
        <f>IFERROR(__xludf.DUMMYFUNCTION("""COMPUTED_VALUE"""),0.0)</f>
        <v>0</v>
      </c>
      <c r="U228" s="5" t="str">
        <f>IFERROR(__xludf.DUMMYFUNCTION("""COMPUTED_VALUE"""),"Y")</f>
        <v>Y</v>
      </c>
      <c r="V228" s="5">
        <f>IFERROR(__xludf.DUMMYFUNCTION("""COMPUTED_VALUE"""),15.0)</f>
        <v>15</v>
      </c>
      <c r="W228" s="5">
        <f>IFERROR(__xludf.DUMMYFUNCTION("""COMPUTED_VALUE"""),3.0)</f>
        <v>3</v>
      </c>
      <c r="X228" s="5"/>
      <c r="Y228" s="5"/>
      <c r="Z228" s="5"/>
    </row>
    <row r="229">
      <c r="A229" s="5" t="str">
        <f>IFERROR(__xludf.DUMMYFUNCTION("""COMPUTED_VALUE"""),"ถุงแฮปปี้หนา8*16")</f>
        <v>ถุงแฮปปี้หนา8*16</v>
      </c>
      <c r="B229" s="5">
        <f>IFERROR(__xludf.DUMMYFUNCTION("""COMPUTED_VALUE"""),10240.0)</f>
        <v>10240</v>
      </c>
      <c r="C229" s="5" t="str">
        <f>IFERROR(__xludf.DUMMYFUNCTION("""COMPUTED_VALUE"""),"ถุงแฮปปี้หนา8*16")</f>
        <v>ถุงแฮปปี้หนา8*16</v>
      </c>
      <c r="D229" s="5" t="str">
        <f>IFERROR(__xludf.DUMMYFUNCTION("""COMPUTED_VALUE"""),"**ของแห้ง")</f>
        <v>**ของแห้ง</v>
      </c>
      <c r="E229" s="5"/>
      <c r="F229" s="5" t="str">
        <f>IFERROR(__xludf.DUMMYFUNCTION("""COMPUTED_VALUE"""),"N")</f>
        <v>N</v>
      </c>
      <c r="G229" s="5"/>
      <c r="H229" s="5"/>
      <c r="I229" s="5"/>
      <c r="J229" s="5"/>
      <c r="K229" s="5"/>
      <c r="L229" s="5"/>
      <c r="M229" s="5">
        <f>IFERROR(__xludf.DUMMYFUNCTION("""COMPUTED_VALUE"""),30.0)</f>
        <v>30</v>
      </c>
      <c r="N229" s="5">
        <f>IFERROR(__xludf.DUMMYFUNCTION("""COMPUTED_VALUE"""),8.858746105433E12)</f>
        <v>8858746105433</v>
      </c>
      <c r="O229" s="5"/>
      <c r="P229" s="5"/>
      <c r="Q229" s="5" t="str">
        <f>IFERROR(__xludf.DUMMYFUNCTION("""COMPUTED_VALUE"""),"Y")</f>
        <v>Y</v>
      </c>
      <c r="R229" s="5"/>
      <c r="S229" s="5"/>
      <c r="T229" s="5">
        <f>IFERROR(__xludf.DUMMYFUNCTION("""COMPUTED_VALUE"""),0.0)</f>
        <v>0</v>
      </c>
      <c r="U229" s="5" t="str">
        <f>IFERROR(__xludf.DUMMYFUNCTION("""COMPUTED_VALUE"""),"Y")</f>
        <v>Y</v>
      </c>
      <c r="V229" s="5">
        <f>IFERROR(__xludf.DUMMYFUNCTION("""COMPUTED_VALUE"""),45.0)</f>
        <v>45</v>
      </c>
      <c r="W229" s="5">
        <f>IFERROR(__xludf.DUMMYFUNCTION("""COMPUTED_VALUE"""),6.0)</f>
        <v>6</v>
      </c>
      <c r="X229" s="5">
        <f>IFERROR(__xludf.DUMMYFUNCTION("""COMPUTED_VALUE"""),0.0)</f>
        <v>0</v>
      </c>
      <c r="Y229" s="5"/>
      <c r="Z229" s="5"/>
    </row>
    <row r="230">
      <c r="A230" s="5" t="str">
        <f>IFERROR(__xludf.DUMMYFUNCTION("""COMPUTED_VALUE"""),"ท้องม่อน-ลัง-10kg-1")</f>
        <v>ท้องม่อน-ลัง-10kg-1</v>
      </c>
      <c r="B230" s="5">
        <f>IFERROR(__xludf.DUMMYFUNCTION("""COMPUTED_VALUE"""),10104.0)</f>
        <v>10104</v>
      </c>
      <c r="C230" s="5" t="str">
        <f>IFERROR(__xludf.DUMMYFUNCTION("""COMPUTED_VALUE"""),"ท้องม่อน  (ลัง) - 84")</f>
        <v>ท้องม่อน  (ลัง) - 84</v>
      </c>
      <c r="D230" s="5"/>
      <c r="E230" s="5" t="str">
        <f>IFERROR(__xludf.DUMMYFUNCTION("""COMPUTED_VALUE"""),"&lt;p&gt;S&lt;/p&gt;")</f>
        <v>&lt;p&gt;S&lt;/p&gt;</v>
      </c>
      <c r="F230" s="5" t="str">
        <f>IFERROR(__xludf.DUMMYFUNCTION("""COMPUTED_VALUE"""),"N")</f>
        <v>N</v>
      </c>
      <c r="G230" s="5"/>
      <c r="H230" s="5"/>
      <c r="I230" s="5"/>
      <c r="J230" s="5"/>
      <c r="K230" s="5"/>
      <c r="L230" s="5"/>
      <c r="M230" s="5"/>
      <c r="N230" s="5">
        <f>IFERROR(__xludf.DUMMYFUNCTION("""COMPUTED_VALUE"""),10104.0)</f>
        <v>10104</v>
      </c>
      <c r="O230" s="5">
        <f>IFERROR(__xludf.DUMMYFUNCTION("""COMPUTED_VALUE"""),10103.0)</f>
        <v>10103</v>
      </c>
      <c r="P230" s="5">
        <f>IFERROR(__xludf.DUMMYFUNCTION("""COMPUTED_VALUE"""),10.0)</f>
        <v>10</v>
      </c>
      <c r="Q230" s="5" t="str">
        <f>IFERROR(__xludf.DUMMYFUNCTION("""COMPUTED_VALUE"""),"N")</f>
        <v>N</v>
      </c>
      <c r="R230" s="5" t="str">
        <f>IFERROR(__xludf.DUMMYFUNCTION("""COMPUTED_VALUE"""),"N")</f>
        <v>N</v>
      </c>
      <c r="S230" s="5"/>
      <c r="T230" s="5"/>
      <c r="U230" s="5" t="str">
        <f>IFERROR(__xludf.DUMMYFUNCTION("""COMPUTED_VALUE"""),"Y")</f>
        <v>Y</v>
      </c>
      <c r="V230" s="5">
        <f>IFERROR(__xludf.DUMMYFUNCTION("""COMPUTED_VALUE"""),840.0)</f>
        <v>840</v>
      </c>
      <c r="W230" s="5"/>
      <c r="X230" s="5"/>
      <c r="Y230" s="5"/>
      <c r="Z230" s="5"/>
    </row>
    <row r="231">
      <c r="A231" s="5" t="str">
        <f>IFERROR(__xludf.DUMMYFUNCTION("""COMPUTED_VALUE"""),"ท้องม่อน--10-กก.(-ก้อน)")</f>
        <v>ท้องม่อน--10-กก.(-ก้อน)</v>
      </c>
      <c r="B231" s="5">
        <f>IFERROR(__xludf.DUMMYFUNCTION("""COMPUTED_VALUE"""),10146.0)</f>
        <v>10146</v>
      </c>
      <c r="C231" s="5" t="str">
        <f>IFERROR(__xludf.DUMMYFUNCTION("""COMPUTED_VALUE"""),"ท้องม่อน  10 กก.( ก้อน)")</f>
        <v>ท้องม่อน  10 กก.( ก้อน)</v>
      </c>
      <c r="D231" s="5"/>
      <c r="E231" s="5"/>
      <c r="F231" s="5" t="str">
        <f>IFERROR(__xludf.DUMMYFUNCTION("""COMPUTED_VALUE"""),"N")</f>
        <v>N</v>
      </c>
      <c r="G231" s="5"/>
      <c r="H231" s="5"/>
      <c r="I231" s="5"/>
      <c r="J231" s="5"/>
      <c r="K231" s="5"/>
      <c r="L231" s="5"/>
      <c r="M231" s="5"/>
      <c r="N231" s="5"/>
      <c r="O231" s="5">
        <f>IFERROR(__xludf.DUMMYFUNCTION("""COMPUTED_VALUE"""),10502.0)</f>
        <v>10502</v>
      </c>
      <c r="P231" s="5">
        <f>IFERROR(__xludf.DUMMYFUNCTION("""COMPUTED_VALUE"""),0.5)</f>
        <v>0.5</v>
      </c>
      <c r="Q231" s="5" t="str">
        <f>IFERROR(__xludf.DUMMYFUNCTION("""COMPUTED_VALUE"""),"N")</f>
        <v>N</v>
      </c>
      <c r="R231" s="5" t="str">
        <f>IFERROR(__xludf.DUMMYFUNCTION("""COMPUTED_VALUE"""),"N")</f>
        <v>N</v>
      </c>
      <c r="S231" s="5"/>
      <c r="T231" s="5"/>
      <c r="U231" s="5" t="str">
        <f>IFERROR(__xludf.DUMMYFUNCTION("""COMPUTED_VALUE"""),"Y")</f>
        <v>Y</v>
      </c>
      <c r="V231" s="5">
        <f>IFERROR(__xludf.DUMMYFUNCTION("""COMPUTED_VALUE"""),1150.0)</f>
        <v>1150</v>
      </c>
      <c r="W231" s="5"/>
      <c r="X231" s="5"/>
      <c r="Y231" s="5"/>
      <c r="Z231" s="5"/>
    </row>
    <row r="232">
      <c r="A232" s="5" t="str">
        <f>IFERROR(__xludf.DUMMYFUNCTION("""COMPUTED_VALUE"""),"ท้องม่อน-10-kg-(ลัง)-r100")</f>
        <v>ท้องม่อน-10-kg-(ลัง)-r100</v>
      </c>
      <c r="B232" s="5">
        <f>IFERROR(__xludf.DUMMYFUNCTION("""COMPUTED_VALUE"""),10216.0)</f>
        <v>10216</v>
      </c>
      <c r="C232" s="5" t="str">
        <f>IFERROR(__xludf.DUMMYFUNCTION("""COMPUTED_VALUE"""),"ท้องม่อน 10 Kg (ลัง) R100-78")</f>
        <v>ท้องม่อน 10 Kg (ลัง) R100-78</v>
      </c>
      <c r="D232" s="5" t="str">
        <f>IFERROR(__xludf.DUMMYFUNCTION("""COMPUTED_VALUE"""),"**ร้านค้า ราคาพิเศษ")</f>
        <v>**ร้านค้า ราคาพิเศษ</v>
      </c>
      <c r="E232" s="5"/>
      <c r="F232" s="5" t="str">
        <f>IFERROR(__xludf.DUMMYFUNCTION("""COMPUTED_VALUE"""),"N")</f>
        <v>N</v>
      </c>
      <c r="G232" s="5"/>
      <c r="H232" s="5"/>
      <c r="I232" s="5"/>
      <c r="J232" s="5"/>
      <c r="K232" s="5"/>
      <c r="L232" s="5"/>
      <c r="M232" s="5"/>
      <c r="N232" s="5"/>
      <c r="O232" s="5">
        <f>IFERROR(__xludf.DUMMYFUNCTION("""COMPUTED_VALUE"""),10103.0)</f>
        <v>10103</v>
      </c>
      <c r="P232" s="5">
        <f>IFERROR(__xludf.DUMMYFUNCTION("""COMPUTED_VALUE"""),10.0)</f>
        <v>10</v>
      </c>
      <c r="Q232" s="5" t="str">
        <f>IFERROR(__xludf.DUMMYFUNCTION("""COMPUTED_VALUE"""),"N")</f>
        <v>N</v>
      </c>
      <c r="R232" s="5" t="str">
        <f>IFERROR(__xludf.DUMMYFUNCTION("""COMPUTED_VALUE"""),"N")</f>
        <v>N</v>
      </c>
      <c r="S232" s="5"/>
      <c r="T232" s="5"/>
      <c r="U232" s="5" t="str">
        <f>IFERROR(__xludf.DUMMYFUNCTION("""COMPUTED_VALUE"""),"Y")</f>
        <v>Y</v>
      </c>
      <c r="V232" s="5">
        <f>IFERROR(__xludf.DUMMYFUNCTION("""COMPUTED_VALUE"""),780.0)</f>
        <v>780</v>
      </c>
      <c r="W232" s="5"/>
      <c r="X232" s="5"/>
      <c r="Y232" s="5"/>
      <c r="Z232" s="5"/>
    </row>
    <row r="233">
      <c r="A233" s="5" t="str">
        <f>IFERROR(__xludf.DUMMYFUNCTION("""COMPUTED_VALUE"""),"ท้องม่อน-15kg(ลัง)")</f>
        <v>ท้องม่อน-15kg(ลัง)</v>
      </c>
      <c r="B233" s="5">
        <f>IFERROR(__xludf.DUMMYFUNCTION("""COMPUTED_VALUE"""),10479.0)</f>
        <v>10479</v>
      </c>
      <c r="C233" s="5" t="str">
        <f>IFERROR(__xludf.DUMMYFUNCTION("""COMPUTED_VALUE"""),"ท้องม่อน 15kg(ลัง)-102")</f>
        <v>ท้องม่อน 15kg(ลัง)-102</v>
      </c>
      <c r="D233" s="5" t="str">
        <f>IFERROR(__xludf.DUMMYFUNCTION("""COMPUTED_VALUE"""),"**ลัง มหาชัย")</f>
        <v>**ลัง มหาชัย</v>
      </c>
      <c r="E233" s="5" t="str">
        <f>IFERROR(__xludf.DUMMYFUNCTION("""COMPUTED_VALUE"""),"&lt;p&gt;15&lt;/p&gt;")</f>
        <v>&lt;p&gt;15&lt;/p&gt;</v>
      </c>
      <c r="F233" s="5" t="str">
        <f>IFERROR(__xludf.DUMMYFUNCTION("""COMPUTED_VALUE"""),"N")</f>
        <v>N</v>
      </c>
      <c r="G233" s="5"/>
      <c r="H233" s="5"/>
      <c r="I233" s="5"/>
      <c r="J233" s="5"/>
      <c r="K233" s="5"/>
      <c r="L233" s="5"/>
      <c r="M233" s="5">
        <f>IFERROR(__xludf.DUMMYFUNCTION("""COMPUTED_VALUE"""),1380.0)</f>
        <v>1380</v>
      </c>
      <c r="N233" s="5"/>
      <c r="O233" s="5"/>
      <c r="P233" s="5"/>
      <c r="Q233" s="5" t="str">
        <f>IFERROR(__xludf.DUMMYFUNCTION("""COMPUTED_VALUE"""),"Y")</f>
        <v>Y</v>
      </c>
      <c r="R233" s="5"/>
      <c r="S233" s="5" t="str">
        <f>IFERROR(__xludf.DUMMYFUNCTION("""COMPUTED_VALUE"""),"ขึ้นของมหาชัย")</f>
        <v>ขึ้นของมหาชัย</v>
      </c>
      <c r="T233" s="5">
        <f>IFERROR(__xludf.DUMMYFUNCTION("""COMPUTED_VALUE"""),1380.0)</f>
        <v>1380</v>
      </c>
      <c r="U233" s="5" t="str">
        <f>IFERROR(__xludf.DUMMYFUNCTION("""COMPUTED_VALUE"""),"Y")</f>
        <v>Y</v>
      </c>
      <c r="V233" s="5">
        <f>IFERROR(__xludf.DUMMYFUNCTION("""COMPUTED_VALUE"""),1530.0)</f>
        <v>1530</v>
      </c>
      <c r="W233" s="5">
        <f>IFERROR(__xludf.DUMMYFUNCTION("""COMPUTED_VALUE"""),0.0)</f>
        <v>0</v>
      </c>
      <c r="X233" s="5">
        <f>IFERROR(__xludf.DUMMYFUNCTION("""COMPUTED_VALUE"""),1.0)</f>
        <v>1</v>
      </c>
      <c r="Y233" s="5">
        <f>IFERROR(__xludf.DUMMYFUNCTION("""COMPUTED_VALUE"""),6.0)</f>
        <v>6</v>
      </c>
      <c r="Z233" s="5"/>
    </row>
    <row r="234">
      <c r="A234" s="5" t="str">
        <f>IFERROR(__xludf.DUMMYFUNCTION("""COMPUTED_VALUE"""),"ท้องม่อน-1kg-1")</f>
        <v>ท้องม่อน-1kg-1</v>
      </c>
      <c r="B234" s="5">
        <f>IFERROR(__xludf.DUMMYFUNCTION("""COMPUTED_VALUE"""),10103.0)</f>
        <v>10103</v>
      </c>
      <c r="C234" s="5" t="str">
        <f>IFERROR(__xludf.DUMMYFUNCTION("""COMPUTED_VALUE"""),"ท้องม่อน 1Kg")</f>
        <v>ท้องม่อน 1Kg</v>
      </c>
      <c r="D234" s="5" t="str">
        <f>IFERROR(__xludf.DUMMYFUNCTION("""COMPUTED_VALUE"""),"**ลัง มหาชัย")</f>
        <v>**ลัง มหาชัย</v>
      </c>
      <c r="E234" s="5" t="str">
        <f>IFERROR(__xludf.DUMMYFUNCTION("""COMPUTED_VALUE"""),"&lt;p&gt;1&lt;/p&gt;")</f>
        <v>&lt;p&gt;1&lt;/p&gt;</v>
      </c>
      <c r="F234" s="5" t="str">
        <f>IFERROR(__xludf.DUMMYFUNCTION("""COMPUTED_VALUE"""),"N")</f>
        <v>N</v>
      </c>
      <c r="G234" s="5"/>
      <c r="H234" s="5"/>
      <c r="I234" s="5"/>
      <c r="J234" s="5"/>
      <c r="K234" s="5"/>
      <c r="L234" s="5"/>
      <c r="M234" s="5">
        <f>IFERROR(__xludf.DUMMYFUNCTION("""COMPUTED_VALUE"""),59.55)</f>
        <v>59.55</v>
      </c>
      <c r="N234" s="5">
        <f>IFERROR(__xludf.DUMMYFUNCTION("""COMPUTED_VALUE"""),10103.0)</f>
        <v>10103</v>
      </c>
      <c r="O234" s="5"/>
      <c r="P234" s="5"/>
      <c r="Q234" s="5" t="str">
        <f>IFERROR(__xludf.DUMMYFUNCTION("""COMPUTED_VALUE"""),"Y")</f>
        <v>Y</v>
      </c>
      <c r="R234" s="5"/>
      <c r="S234" s="5" t="str">
        <f>IFERROR(__xludf.DUMMYFUNCTION("""COMPUTED_VALUE"""),"ขึ้นของมหาชัย")</f>
        <v>ขึ้นของมหาชัย</v>
      </c>
      <c r="T234" s="5">
        <f>IFERROR(__xludf.DUMMYFUNCTION("""COMPUTED_VALUE"""),58.0)</f>
        <v>58</v>
      </c>
      <c r="U234" s="5" t="str">
        <f>IFERROR(__xludf.DUMMYFUNCTION("""COMPUTED_VALUE"""),"Y")</f>
        <v>Y</v>
      </c>
      <c r="V234" s="5">
        <f>IFERROR(__xludf.DUMMYFUNCTION("""COMPUTED_VALUE"""),90.0)</f>
        <v>90</v>
      </c>
      <c r="W234" s="5">
        <f>IFERROR(__xludf.DUMMYFUNCTION("""COMPUTED_VALUE"""),206.0)</f>
        <v>206</v>
      </c>
      <c r="X234" s="5">
        <f>IFERROR(__xludf.DUMMYFUNCTION("""COMPUTED_VALUE"""),30.0)</f>
        <v>30</v>
      </c>
      <c r="Y234" s="5">
        <f>IFERROR(__xludf.DUMMYFUNCTION("""COMPUTED_VALUE"""),80.0)</f>
        <v>80</v>
      </c>
      <c r="Z234" s="5"/>
    </row>
    <row r="235">
      <c r="A235" s="5" t="str">
        <f>IFERROR(__xludf.DUMMYFUNCTION("""COMPUTED_VALUE"""),"ท้องม่อน-1*15-kg-(ลัง)")</f>
        <v>ท้องม่อน-1*15-kg-(ลัง)</v>
      </c>
      <c r="B235" s="5">
        <f>IFERROR(__xludf.DUMMYFUNCTION("""COMPUTED_VALUE"""),10502.0)</f>
        <v>10502</v>
      </c>
      <c r="C235" s="5" t="str">
        <f>IFERROR(__xludf.DUMMYFUNCTION("""COMPUTED_VALUE"""),"ท้องม่อน 20 กก.(ลัง)")</f>
        <v>ท้องม่อน 20 กก.(ลัง)</v>
      </c>
      <c r="D235" s="5"/>
      <c r="E235" s="5"/>
      <c r="F235" s="5" t="str">
        <f>IFERROR(__xludf.DUMMYFUNCTION("""COMPUTED_VALUE"""),"N")</f>
        <v>N</v>
      </c>
      <c r="G235" s="5"/>
      <c r="H235" s="5"/>
      <c r="I235" s="5"/>
      <c r="J235" s="5"/>
      <c r="K235" s="5"/>
      <c r="L235" s="5"/>
      <c r="M235" s="5">
        <f>IFERROR(__xludf.DUMMYFUNCTION("""COMPUTED_VALUE"""),2159.62)</f>
        <v>2159.62</v>
      </c>
      <c r="N235" s="5"/>
      <c r="O235" s="5"/>
      <c r="P235" s="5"/>
      <c r="Q235" s="5" t="str">
        <f>IFERROR(__xludf.DUMMYFUNCTION("""COMPUTED_VALUE"""),"Y")</f>
        <v>Y</v>
      </c>
      <c r="R235" s="5"/>
      <c r="S235" s="5" t="str">
        <f>IFERROR(__xludf.DUMMYFUNCTION("""COMPUTED_VALUE"""),"ขึ้นของมหาชัย")</f>
        <v>ขึ้นของมหาชัย</v>
      </c>
      <c r="T235" s="5">
        <f>IFERROR(__xludf.DUMMYFUNCTION("""COMPUTED_VALUE"""),2060.0)</f>
        <v>2060</v>
      </c>
      <c r="U235" s="5" t="str">
        <f>IFERROR(__xludf.DUMMYFUNCTION("""COMPUTED_VALUE"""),"Y")</f>
        <v>Y</v>
      </c>
      <c r="V235" s="5">
        <f>IFERROR(__xludf.DUMMYFUNCTION("""COMPUTED_VALUE"""),2300.0)</f>
        <v>2300</v>
      </c>
      <c r="W235" s="5">
        <f>IFERROR(__xludf.DUMMYFUNCTION("""COMPUTED_VALUE"""),4.5)</f>
        <v>4.5</v>
      </c>
      <c r="X235" s="5"/>
      <c r="Y235" s="5"/>
      <c r="Z235" s="5"/>
    </row>
    <row r="236">
      <c r="A236" s="5" t="str">
        <f>IFERROR(__xludf.DUMMYFUNCTION("""COMPUTED_VALUE"""),"ทอร์นาโดปลาไส้ไข่กุ้ง-10*500-กรัม-(ลัง)")</f>
        <v>ทอร์นาโดปลาไส้ไข่กุ้ง-10*500-กรัม-(ลัง)</v>
      </c>
      <c r="B236" s="5">
        <f>IFERROR(__xludf.DUMMYFUNCTION("""COMPUTED_VALUE"""),10086.0)</f>
        <v>10086</v>
      </c>
      <c r="C236" s="5" t="str">
        <f>IFERROR(__xludf.DUMMYFUNCTION("""COMPUTED_VALUE"""),"ทอร์นาโดปลาไส้ไข่กุ้ง 10*500 กรัม (ลัง)")</f>
        <v>ทอร์นาโดปลาไส้ไข่กุ้ง 10*500 กรัม (ลัง)</v>
      </c>
      <c r="D236" s="5"/>
      <c r="E236" s="5"/>
      <c r="F236" s="5" t="str">
        <f>IFERROR(__xludf.DUMMYFUNCTION("""COMPUTED_VALUE"""),"N")</f>
        <v>N</v>
      </c>
      <c r="G236" s="5"/>
      <c r="H236" s="5"/>
      <c r="I236" s="5"/>
      <c r="J236" s="5"/>
      <c r="K236" s="5"/>
      <c r="L236" s="5"/>
      <c r="M236" s="5">
        <f>IFERROR(__xludf.DUMMYFUNCTION("""COMPUTED_VALUE"""),625.0)</f>
        <v>625</v>
      </c>
      <c r="N236" s="5"/>
      <c r="O236" s="5"/>
      <c r="P236" s="5"/>
      <c r="Q236" s="5" t="str">
        <f>IFERROR(__xludf.DUMMYFUNCTION("""COMPUTED_VALUE"""),"Y")</f>
        <v>Y</v>
      </c>
      <c r="R236" s="5"/>
      <c r="S236" s="5" t="str">
        <f>IFERROR(__xludf.DUMMYFUNCTION("""COMPUTED_VALUE"""),"ทวีวงษ์")</f>
        <v>ทวีวงษ์</v>
      </c>
      <c r="T236" s="5">
        <f>IFERROR(__xludf.DUMMYFUNCTION("""COMPUTED_VALUE"""),625.0)</f>
        <v>625</v>
      </c>
      <c r="U236" s="5" t="str">
        <f>IFERROR(__xludf.DUMMYFUNCTION("""COMPUTED_VALUE"""),"Y")</f>
        <v>Y</v>
      </c>
      <c r="V236" s="5">
        <f>IFERROR(__xludf.DUMMYFUNCTION("""COMPUTED_VALUE"""),705.0)</f>
        <v>705</v>
      </c>
      <c r="W236" s="5">
        <f>IFERROR(__xludf.DUMMYFUNCTION("""COMPUTED_VALUE"""),0.0)</f>
        <v>0</v>
      </c>
      <c r="X236" s="5"/>
      <c r="Y236" s="5"/>
      <c r="Z236" s="5"/>
    </row>
    <row r="237">
      <c r="A237" s="5" t="str">
        <f>IFERROR(__xludf.DUMMYFUNCTION("""COMPUTED_VALUE"""),"นมหมู--ชั่งน้ำหนัก")</f>
        <v>นมหมู--ชั่งน้ำหนัก</v>
      </c>
      <c r="B237" s="5">
        <f>IFERROR(__xludf.DUMMYFUNCTION("""COMPUTED_VALUE"""),10034.0)</f>
        <v>10034</v>
      </c>
      <c r="C237" s="5" t="str">
        <f>IFERROR(__xludf.DUMMYFUNCTION("""COMPUTED_VALUE"""),"นมหมู  1 กก.")</f>
        <v>นมหมู  1 กก.</v>
      </c>
      <c r="D237" s="5" t="str">
        <f>IFERROR(__xludf.DUMMYFUNCTION("""COMPUTED_VALUE"""),"วีเจ")</f>
        <v>วีเจ</v>
      </c>
      <c r="E237" s="5"/>
      <c r="F237" s="5" t="str">
        <f>IFERROR(__xludf.DUMMYFUNCTION("""COMPUTED_VALUE"""),"N")</f>
        <v>N</v>
      </c>
      <c r="G237" s="5"/>
      <c r="H237" s="5"/>
      <c r="I237" s="5"/>
      <c r="J237" s="5"/>
      <c r="K237" s="5"/>
      <c r="L237" s="5"/>
      <c r="M237" s="5">
        <f>IFERROR(__xludf.DUMMYFUNCTION("""COMPUTED_VALUE"""),185.0)</f>
        <v>185</v>
      </c>
      <c r="N237" s="5"/>
      <c r="O237" s="5"/>
      <c r="P237" s="5"/>
      <c r="Q237" s="5" t="str">
        <f>IFERROR(__xludf.DUMMYFUNCTION("""COMPUTED_VALUE"""),"Y")</f>
        <v>Y</v>
      </c>
      <c r="R237" s="5"/>
      <c r="S237" s="5" t="str">
        <f>IFERROR(__xludf.DUMMYFUNCTION("""COMPUTED_VALUE"""),"บจก.วีเจ.กรุ๊ป (หมูวีเจ)")</f>
        <v>บจก.วีเจ.กรุ๊ป (หมูวีเจ)</v>
      </c>
      <c r="T237" s="5">
        <f>IFERROR(__xludf.DUMMYFUNCTION("""COMPUTED_VALUE"""),185.0)</f>
        <v>185</v>
      </c>
      <c r="U237" s="5" t="str">
        <f>IFERROR(__xludf.DUMMYFUNCTION("""COMPUTED_VALUE"""),"Y")</f>
        <v>Y</v>
      </c>
      <c r="V237" s="5">
        <f>IFERROR(__xludf.DUMMYFUNCTION("""COMPUTED_VALUE"""),200.0)</f>
        <v>200</v>
      </c>
      <c r="W237" s="5">
        <f>IFERROR(__xludf.DUMMYFUNCTION("""COMPUTED_VALUE"""),13.0)</f>
        <v>13</v>
      </c>
      <c r="X237" s="5"/>
      <c r="Y237" s="5"/>
      <c r="Z237" s="5"/>
    </row>
    <row r="238">
      <c r="A238" s="5" t="str">
        <f>IFERROR(__xludf.DUMMYFUNCTION("""COMPUTED_VALUE"""),"นักเก็ต-topsfood-ลัง-10kg(85)")</f>
        <v>นักเก็ต-topsfood-ลัง-10kg(85)</v>
      </c>
      <c r="B238" s="5">
        <f>IFERROR(__xludf.DUMMYFUNCTION("""COMPUTED_VALUE"""),10799.0)</f>
        <v>10799</v>
      </c>
      <c r="C238" s="5" t="str">
        <f>IFERROR(__xludf.DUMMYFUNCTION("""COMPUTED_VALUE"""),"นักเก็ต Topsfood ลัง 10Kg(85)")</f>
        <v>นักเก็ต Topsfood ลัง 10Kg(85)</v>
      </c>
      <c r="D238" s="5" t="str">
        <f>IFERROR(__xludf.DUMMYFUNCTION("""COMPUTED_VALUE"""),"**ลัง มหาชัย")</f>
        <v>**ลัง มหาชัย</v>
      </c>
      <c r="E238" s="5" t="str">
        <f>IFERROR(__xludf.DUMMYFUNCTION("""COMPUTED_VALUE"""),"&lt;p&gt;10&lt;/p&gt;")</f>
        <v>&lt;p&gt;10&lt;/p&gt;</v>
      </c>
      <c r="F238" s="5" t="str">
        <f>IFERROR(__xludf.DUMMYFUNCTION("""COMPUTED_VALUE"""),"N")</f>
        <v>N</v>
      </c>
      <c r="G238" s="5"/>
      <c r="H238" s="5"/>
      <c r="I238" s="5"/>
      <c r="J238" s="5"/>
      <c r="K238" s="5"/>
      <c r="L238" s="5"/>
      <c r="M238" s="5">
        <f>IFERROR(__xludf.DUMMYFUNCTION("""COMPUTED_VALUE"""),757.26)</f>
        <v>757.26</v>
      </c>
      <c r="N238" s="5"/>
      <c r="O238" s="5"/>
      <c r="P238" s="5"/>
      <c r="Q238" s="5" t="str">
        <f>IFERROR(__xludf.DUMMYFUNCTION("""COMPUTED_VALUE"""),"Y")</f>
        <v>Y</v>
      </c>
      <c r="R238" s="5"/>
      <c r="S238" s="5" t="str">
        <f>IFERROR(__xludf.DUMMYFUNCTION("""COMPUTED_VALUE"""),"ขึ้นของมหาชัย")</f>
        <v>ขึ้นของมหาชัย</v>
      </c>
      <c r="T238" s="5">
        <f>IFERROR(__xludf.DUMMYFUNCTION("""COMPUTED_VALUE"""),730.0)</f>
        <v>730</v>
      </c>
      <c r="U238" s="5" t="str">
        <f>IFERROR(__xludf.DUMMYFUNCTION("""COMPUTED_VALUE"""),"Y")</f>
        <v>Y</v>
      </c>
      <c r="V238" s="5">
        <f>IFERROR(__xludf.DUMMYFUNCTION("""COMPUTED_VALUE"""),850.0)</f>
        <v>850</v>
      </c>
      <c r="W238" s="5">
        <f>IFERROR(__xludf.DUMMYFUNCTION("""COMPUTED_VALUE"""),2.0)</f>
        <v>2</v>
      </c>
      <c r="X238" s="5">
        <f>IFERROR(__xludf.DUMMYFUNCTION("""COMPUTED_VALUE"""),2.0)</f>
        <v>2</v>
      </c>
      <c r="Y238" s="5">
        <f>IFERROR(__xludf.DUMMYFUNCTION("""COMPUTED_VALUE"""),7.0)</f>
        <v>7</v>
      </c>
      <c r="Z238" s="5"/>
    </row>
    <row r="239">
      <c r="A239" s="5" t="str">
        <f>IFERROR(__xludf.DUMMYFUNCTION("""COMPUTED_VALUE"""),"นักเก็ตถุงชมพู-8-กก.(ลัง)")</f>
        <v>นักเก็ตถุงชมพู-8-กก.(ลัง)</v>
      </c>
      <c r="B239" s="5">
        <f>IFERROR(__xludf.DUMMYFUNCTION("""COMPUTED_VALUE"""),10112.0)</f>
        <v>10112</v>
      </c>
      <c r="C239" s="5" t="str">
        <f>IFERROR(__xludf.DUMMYFUNCTION("""COMPUTED_VALUE"""),"นักเก็ต ถุงชมพู 8 กก.  (ลัง)")</f>
        <v>นักเก็ต ถุงชมพู 8 กก.  (ลัง)</v>
      </c>
      <c r="D239" s="5" t="str">
        <f>IFERROR(__xludf.DUMMYFUNCTION("""COMPUTED_VALUE"""),"**ลัง มหาชัย")</f>
        <v>**ลัง มหาชัย</v>
      </c>
      <c r="E239" s="5" t="str">
        <f>IFERROR(__xludf.DUMMYFUNCTION("""COMPUTED_VALUE"""),"8")</f>
        <v>8</v>
      </c>
      <c r="F239" s="5" t="str">
        <f>IFERROR(__xludf.DUMMYFUNCTION("""COMPUTED_VALUE"""),"N")</f>
        <v>N</v>
      </c>
      <c r="G239" s="5"/>
      <c r="H239" s="5"/>
      <c r="I239" s="5"/>
      <c r="J239" s="5"/>
      <c r="K239" s="5"/>
      <c r="L239" s="5"/>
      <c r="M239" s="5">
        <f>IFERROR(__xludf.DUMMYFUNCTION("""COMPUTED_VALUE"""),732.54)</f>
        <v>732.54</v>
      </c>
      <c r="N239" s="5"/>
      <c r="O239" s="5"/>
      <c r="P239" s="5"/>
      <c r="Q239" s="5" t="str">
        <f>IFERROR(__xludf.DUMMYFUNCTION("""COMPUTED_VALUE"""),"Y")</f>
        <v>Y</v>
      </c>
      <c r="R239" s="5"/>
      <c r="S239" s="5" t="str">
        <f>IFERROR(__xludf.DUMMYFUNCTION("""COMPUTED_VALUE"""),"ขึ้นของมหาชัย")</f>
        <v>ขึ้นของมหาชัย</v>
      </c>
      <c r="T239" s="5">
        <f>IFERROR(__xludf.DUMMYFUNCTION("""COMPUTED_VALUE"""),704.0)</f>
        <v>704</v>
      </c>
      <c r="U239" s="5" t="str">
        <f>IFERROR(__xludf.DUMMYFUNCTION("""COMPUTED_VALUE"""),"N")</f>
        <v>N</v>
      </c>
      <c r="V239" s="5">
        <f>IFERROR(__xludf.DUMMYFUNCTION("""COMPUTED_VALUE"""),800.0)</f>
        <v>800</v>
      </c>
      <c r="W239" s="5">
        <f>IFERROR(__xludf.DUMMYFUNCTION("""COMPUTED_VALUE"""),0.0)</f>
        <v>0</v>
      </c>
      <c r="X239" s="5">
        <f>IFERROR(__xludf.DUMMYFUNCTION("""COMPUTED_VALUE"""),2.0)</f>
        <v>2</v>
      </c>
      <c r="Y239" s="5">
        <f>IFERROR(__xludf.DUMMYFUNCTION("""COMPUTED_VALUE"""),7.0)</f>
        <v>7</v>
      </c>
      <c r="Z239" s="5"/>
    </row>
    <row r="240">
      <c r="A240" s="5" t="str">
        <f>IFERROR(__xludf.DUMMYFUNCTION("""COMPUTED_VALUE"""),"นักเก็ต(ถุงชมพู)-10-กก-ลัง")</f>
        <v>นักเก็ต(ถุงชมพู)-10-กก-ลัง</v>
      </c>
      <c r="B240" s="5">
        <f>IFERROR(__xludf.DUMMYFUNCTION("""COMPUTED_VALUE"""),10727.0)</f>
        <v>10727</v>
      </c>
      <c r="C240" s="5" t="str">
        <f>IFERROR(__xludf.DUMMYFUNCTION("""COMPUTED_VALUE"""),"นักเก็ตถุงชมพู 10 กก ลัง")</f>
        <v>นักเก็ตถุงชมพู 10 กก ลัง</v>
      </c>
      <c r="D240" s="5" t="str">
        <f>IFERROR(__xludf.DUMMYFUNCTION("""COMPUTED_VALUE"""),"**ลัง มหาชัย")</f>
        <v>**ลัง มหาชัย</v>
      </c>
      <c r="E240" s="5" t="str">
        <f>IFERROR(__xludf.DUMMYFUNCTION("""COMPUTED_VALUE"""),"&lt;p&gt;10&lt;/p&gt;")</f>
        <v>&lt;p&gt;10&lt;/p&gt;</v>
      </c>
      <c r="F240" s="5" t="str">
        <f>IFERROR(__xludf.DUMMYFUNCTION("""COMPUTED_VALUE"""),"N")</f>
        <v>N</v>
      </c>
      <c r="G240" s="5"/>
      <c r="H240" s="5"/>
      <c r="I240" s="5"/>
      <c r="J240" s="5"/>
      <c r="K240" s="5"/>
      <c r="L240" s="5"/>
      <c r="M240" s="5">
        <f>IFERROR(__xludf.DUMMYFUNCTION("""COMPUTED_VALUE"""),976.03)</f>
        <v>976.03</v>
      </c>
      <c r="N240" s="5">
        <f>IFERROR(__xludf.DUMMYFUNCTION("""COMPUTED_VALUE"""),10727.0)</f>
        <v>10727</v>
      </c>
      <c r="O240" s="5"/>
      <c r="P240" s="5"/>
      <c r="Q240" s="5" t="str">
        <f>IFERROR(__xludf.DUMMYFUNCTION("""COMPUTED_VALUE"""),"Y")</f>
        <v>Y</v>
      </c>
      <c r="R240" s="5"/>
      <c r="S240" s="5" t="str">
        <f>IFERROR(__xludf.DUMMYFUNCTION("""COMPUTED_VALUE"""),"ขึ้นของมหาชัย")</f>
        <v>ขึ้นของมหาชัย</v>
      </c>
      <c r="T240" s="5">
        <f>IFERROR(__xludf.DUMMYFUNCTION("""COMPUTED_VALUE"""),100.0)</f>
        <v>100</v>
      </c>
      <c r="U240" s="5" t="str">
        <f>IFERROR(__xludf.DUMMYFUNCTION("""COMPUTED_VALUE"""),"N")</f>
        <v>N</v>
      </c>
      <c r="V240" s="5">
        <f>IFERROR(__xludf.DUMMYFUNCTION("""COMPUTED_VALUE"""),1080.0)</f>
        <v>1080</v>
      </c>
      <c r="W240" s="5">
        <f>IFERROR(__xludf.DUMMYFUNCTION("""COMPUTED_VALUE"""),0.0)</f>
        <v>0</v>
      </c>
      <c r="X240" s="5">
        <f>IFERROR(__xludf.DUMMYFUNCTION("""COMPUTED_VALUE"""),2.0)</f>
        <v>2</v>
      </c>
      <c r="Y240" s="5">
        <f>IFERROR(__xludf.DUMMYFUNCTION("""COMPUTED_VALUE"""),7.0)</f>
        <v>7</v>
      </c>
      <c r="Z240" s="5"/>
    </row>
    <row r="241">
      <c r="A241" s="5" t="str">
        <f>IFERROR(__xludf.DUMMYFUNCTION("""COMPUTED_VALUE"""),"นักเก็ตไก่-ลัง-10kg-1")</f>
        <v>นักเก็ตไก่-ลัง-10kg-1</v>
      </c>
      <c r="B241" s="5">
        <f>IFERROR(__xludf.DUMMYFUNCTION("""COMPUTED_VALUE"""),10090.0)</f>
        <v>10090</v>
      </c>
      <c r="C241" s="5" t="str">
        <f>IFERROR(__xludf.DUMMYFUNCTION("""COMPUTED_VALUE"""),"นักเก็ตไก่ ซันเวลเล่  (ลัง) - 115")</f>
        <v>นักเก็ตไก่ ซันเวลเล่  (ลัง) - 115</v>
      </c>
      <c r="D241" s="5"/>
      <c r="E241" s="5" t="str">
        <f>IFERROR(__xludf.DUMMYFUNCTION("""COMPUTED_VALUE"""),"&lt;p&gt;S&lt;/p&gt;")</f>
        <v>&lt;p&gt;S&lt;/p&gt;</v>
      </c>
      <c r="F241" s="5" t="str">
        <f>IFERROR(__xludf.DUMMYFUNCTION("""COMPUTED_VALUE"""),"N")</f>
        <v>N</v>
      </c>
      <c r="G241" s="5"/>
      <c r="H241" s="5"/>
      <c r="I241" s="5"/>
      <c r="J241" s="5"/>
      <c r="K241" s="5"/>
      <c r="L241" s="5"/>
      <c r="M241" s="5"/>
      <c r="N241" s="5">
        <f>IFERROR(__xludf.DUMMYFUNCTION("""COMPUTED_VALUE"""),10090.0)</f>
        <v>10090</v>
      </c>
      <c r="O241" s="5">
        <f>IFERROR(__xludf.DUMMYFUNCTION("""COMPUTED_VALUE"""),10089.0)</f>
        <v>10089</v>
      </c>
      <c r="P241" s="5">
        <f>IFERROR(__xludf.DUMMYFUNCTION("""COMPUTED_VALUE"""),10.0)</f>
        <v>10</v>
      </c>
      <c r="Q241" s="5" t="str">
        <f>IFERROR(__xludf.DUMMYFUNCTION("""COMPUTED_VALUE"""),"N")</f>
        <v>N</v>
      </c>
      <c r="R241" s="5" t="str">
        <f>IFERROR(__xludf.DUMMYFUNCTION("""COMPUTED_VALUE"""),"N")</f>
        <v>N</v>
      </c>
      <c r="S241" s="5"/>
      <c r="T241" s="5"/>
      <c r="U241" s="5" t="str">
        <f>IFERROR(__xludf.DUMMYFUNCTION("""COMPUTED_VALUE"""),"Y")</f>
        <v>Y</v>
      </c>
      <c r="V241" s="5">
        <f>IFERROR(__xludf.DUMMYFUNCTION("""COMPUTED_VALUE"""),1150.0)</f>
        <v>1150</v>
      </c>
      <c r="W241" s="5"/>
      <c r="X241" s="5"/>
      <c r="Y241" s="5"/>
      <c r="Z241" s="5"/>
    </row>
    <row r="242">
      <c r="A242" s="5" t="str">
        <f>IFERROR(__xludf.DUMMYFUNCTION("""COMPUTED_VALUE"""),"นักเก็ตไก่-1kg-1")</f>
        <v>นักเก็ตไก่-1kg-1</v>
      </c>
      <c r="B242" s="5">
        <f>IFERROR(__xludf.DUMMYFUNCTION("""COMPUTED_VALUE"""),10089.0)</f>
        <v>10089</v>
      </c>
      <c r="C242" s="5" t="str">
        <f>IFERROR(__xludf.DUMMYFUNCTION("""COMPUTED_VALUE"""),"นักเก็ตไก่ ซันเวลเล่  1Kg")</f>
        <v>นักเก็ตไก่ ซันเวลเล่  1Kg</v>
      </c>
      <c r="D242" s="5" t="str">
        <f>IFERROR(__xludf.DUMMYFUNCTION("""COMPUTED_VALUE"""),"**ลัง ร้อยเอ็ด")</f>
        <v>**ลัง ร้อยเอ็ด</v>
      </c>
      <c r="E242" s="5" t="str">
        <f>IFERROR(__xludf.DUMMYFUNCTION("""COMPUTED_VALUE"""),"&lt;p&gt;B&lt;/p&gt;")</f>
        <v>&lt;p&gt;B&lt;/p&gt;</v>
      </c>
      <c r="F242" s="5" t="str">
        <f>IFERROR(__xludf.DUMMYFUNCTION("""COMPUTED_VALUE"""),"N")</f>
        <v>N</v>
      </c>
      <c r="G242" s="5"/>
      <c r="H242" s="5"/>
      <c r="I242" s="5"/>
      <c r="J242" s="5"/>
      <c r="K242" s="5"/>
      <c r="L242" s="5"/>
      <c r="M242" s="5">
        <f>IFERROR(__xludf.DUMMYFUNCTION("""COMPUTED_VALUE"""),105.99)</f>
        <v>105.99</v>
      </c>
      <c r="N242" s="5">
        <f>IFERROR(__xludf.DUMMYFUNCTION("""COMPUTED_VALUE"""),10089.0)</f>
        <v>10089</v>
      </c>
      <c r="O242" s="5"/>
      <c r="P242" s="5"/>
      <c r="Q242" s="5" t="str">
        <f>IFERROR(__xludf.DUMMYFUNCTION("""COMPUTED_VALUE"""),"Y")</f>
        <v>Y</v>
      </c>
      <c r="R242" s="5"/>
      <c r="S242" s="5" t="str">
        <f>IFERROR(__xludf.DUMMYFUNCTION("""COMPUTED_VALUE"""),"Cargill-ซัลวัลเล่ย์")</f>
        <v>Cargill-ซัลวัลเล่ย์</v>
      </c>
      <c r="T242" s="5">
        <f>IFERROR(__xludf.DUMMYFUNCTION("""COMPUTED_VALUE"""),105.99)</f>
        <v>105.99</v>
      </c>
      <c r="U242" s="5" t="str">
        <f>IFERROR(__xludf.DUMMYFUNCTION("""COMPUTED_VALUE"""),"Y")</f>
        <v>Y</v>
      </c>
      <c r="V242" s="5">
        <f>IFERROR(__xludf.DUMMYFUNCTION("""COMPUTED_VALUE"""),120.0)</f>
        <v>120</v>
      </c>
      <c r="W242" s="5">
        <f>IFERROR(__xludf.DUMMYFUNCTION("""COMPUTED_VALUE"""),106.0)</f>
        <v>106</v>
      </c>
      <c r="X242" s="5">
        <f>IFERROR(__xludf.DUMMYFUNCTION("""COMPUTED_VALUE"""),65.0)</f>
        <v>65</v>
      </c>
      <c r="Y242" s="5">
        <f>IFERROR(__xludf.DUMMYFUNCTION("""COMPUTED_VALUE"""),123.0)</f>
        <v>123</v>
      </c>
      <c r="Z242" s="5"/>
    </row>
    <row r="243">
      <c r="A243" s="5" t="str">
        <f>IFERROR(__xludf.DUMMYFUNCTION("""COMPUTED_VALUE"""),"น้ำจิ้มสุกี้ล้อมวง-สูตรหม่าล่า")</f>
        <v>น้ำจิ้มสุกี้ล้อมวง-สูตรหม่าล่า</v>
      </c>
      <c r="B243" s="5">
        <f>IFERROR(__xludf.DUMMYFUNCTION("""COMPUTED_VALUE"""),10533.0)</f>
        <v>10533</v>
      </c>
      <c r="C243" s="5" t="str">
        <f>IFERROR(__xludf.DUMMYFUNCTION("""COMPUTED_VALUE"""),"น้ำจิ้มสุกี้ล้อมวง สูตรหม่าล่า")</f>
        <v>น้ำจิ้มสุกี้ล้อมวง สูตรหม่าล่า</v>
      </c>
      <c r="D243" s="5"/>
      <c r="E243" s="5"/>
      <c r="F243" s="5" t="str">
        <f>IFERROR(__xludf.DUMMYFUNCTION("""COMPUTED_VALUE"""),"N")</f>
        <v>N</v>
      </c>
      <c r="G243" s="5"/>
      <c r="H243" s="5"/>
      <c r="I243" s="5"/>
      <c r="J243" s="5"/>
      <c r="K243" s="5"/>
      <c r="L243" s="5"/>
      <c r="M243" s="5">
        <f>IFERROR(__xludf.DUMMYFUNCTION("""COMPUTED_VALUE"""),42.0)</f>
        <v>42</v>
      </c>
      <c r="N243" s="5">
        <f>IFERROR(__xludf.DUMMYFUNCTION("""COMPUTED_VALUE"""),8.85712899177E12)</f>
        <v>8857128991770</v>
      </c>
      <c r="O243" s="5"/>
      <c r="P243" s="5"/>
      <c r="Q243" s="5" t="str">
        <f>IFERROR(__xludf.DUMMYFUNCTION("""COMPUTED_VALUE"""),"N")</f>
        <v>N</v>
      </c>
      <c r="R243" s="5"/>
      <c r="S243" s="5"/>
      <c r="T243" s="5"/>
      <c r="U243" s="5" t="str">
        <f>IFERROR(__xludf.DUMMYFUNCTION("""COMPUTED_VALUE"""),"Y")</f>
        <v>Y</v>
      </c>
      <c r="V243" s="5">
        <f>IFERROR(__xludf.DUMMYFUNCTION("""COMPUTED_VALUE"""),45.0)</f>
        <v>45</v>
      </c>
      <c r="W243" s="5"/>
      <c r="X243" s="5"/>
      <c r="Y243" s="5"/>
      <c r="Z243" s="5"/>
    </row>
    <row r="244">
      <c r="A244" s="5" t="str">
        <f>IFERROR(__xludf.DUMMYFUNCTION("""COMPUTED_VALUE"""),"น้ำจิ้มสุกี้ล้อมวง-สูตรแจ่วฮ้อน")</f>
        <v>น้ำจิ้มสุกี้ล้อมวง-สูตรแจ่วฮ้อน</v>
      </c>
      <c r="B244" s="5">
        <f>IFERROR(__xludf.DUMMYFUNCTION("""COMPUTED_VALUE"""),10554.0)</f>
        <v>10554</v>
      </c>
      <c r="C244" s="5" t="str">
        <f>IFERROR(__xludf.DUMMYFUNCTION("""COMPUTED_VALUE"""),"น้ำจิ้มสุกี้ล้อมวง สูตรแจ่วฮ้อน")</f>
        <v>น้ำจิ้มสุกี้ล้อมวง สูตรแจ่วฮ้อน</v>
      </c>
      <c r="D244" s="5" t="str">
        <f>IFERROR(__xludf.DUMMYFUNCTION("""COMPUTED_VALUE"""),"**ของหิ้ว ร้อยเอ็ด")</f>
        <v>**ของหิ้ว ร้อยเอ็ด</v>
      </c>
      <c r="E244" s="5"/>
      <c r="F244" s="5" t="str">
        <f>IFERROR(__xludf.DUMMYFUNCTION("""COMPUTED_VALUE"""),"N")</f>
        <v>N</v>
      </c>
      <c r="G244" s="5"/>
      <c r="H244" s="5"/>
      <c r="I244" s="5"/>
      <c r="J244" s="5"/>
      <c r="K244" s="5"/>
      <c r="L244" s="5"/>
      <c r="M244" s="5">
        <f>IFERROR(__xludf.DUMMYFUNCTION("""COMPUTED_VALUE"""),42.0)</f>
        <v>42</v>
      </c>
      <c r="N244" s="5">
        <f>IFERROR(__xludf.DUMMYFUNCTION("""COMPUTED_VALUE"""),8.857128991312E12)</f>
        <v>8857128991312</v>
      </c>
      <c r="O244" s="5"/>
      <c r="P244" s="5"/>
      <c r="Q244" s="5" t="str">
        <f>IFERROR(__xludf.DUMMYFUNCTION("""COMPUTED_VALUE"""),"N")</f>
        <v>N</v>
      </c>
      <c r="R244" s="5"/>
      <c r="S244" s="5"/>
      <c r="T244" s="5"/>
      <c r="U244" s="5" t="str">
        <f>IFERROR(__xludf.DUMMYFUNCTION("""COMPUTED_VALUE"""),"Y")</f>
        <v>Y</v>
      </c>
      <c r="V244" s="5">
        <f>IFERROR(__xludf.DUMMYFUNCTION("""COMPUTED_VALUE"""),45.0)</f>
        <v>45</v>
      </c>
      <c r="W244" s="5"/>
      <c r="X244" s="5"/>
      <c r="Y244" s="5"/>
      <c r="Z244" s="5"/>
    </row>
    <row r="245">
      <c r="A245" s="5" t="str">
        <f>IFERROR(__xludf.DUMMYFUNCTION("""COMPUTED_VALUE"""),"น้ำจิ้มเผ็ด--5-กก.")</f>
        <v>น้ำจิ้มเผ็ด--5-กก.</v>
      </c>
      <c r="B245" s="5">
        <f>IFERROR(__xludf.DUMMYFUNCTION("""COMPUTED_VALUE"""),10455.0)</f>
        <v>10455</v>
      </c>
      <c r="C245" s="5" t="str">
        <f>IFERROR(__xludf.DUMMYFUNCTION("""COMPUTED_VALUE"""),"น้ำจิ้มเผ็ด  5 กก.")</f>
        <v>น้ำจิ้มเผ็ด  5 กก.</v>
      </c>
      <c r="D245" s="5"/>
      <c r="E245" s="5"/>
      <c r="F245" s="5" t="str">
        <f>IFERROR(__xludf.DUMMYFUNCTION("""COMPUTED_VALUE"""),"N")</f>
        <v>N</v>
      </c>
      <c r="G245" s="5"/>
      <c r="H245" s="5"/>
      <c r="I245" s="5"/>
      <c r="J245" s="5"/>
      <c r="K245" s="5"/>
      <c r="L245" s="5"/>
      <c r="M245" s="5">
        <f>IFERROR(__xludf.DUMMYFUNCTION("""COMPUTED_VALUE"""),280.0)</f>
        <v>280</v>
      </c>
      <c r="N245" s="5"/>
      <c r="O245" s="5"/>
      <c r="P245" s="5"/>
      <c r="Q245" s="5" t="str">
        <f>IFERROR(__xludf.DUMMYFUNCTION("""COMPUTED_VALUE"""),"N")</f>
        <v>N</v>
      </c>
      <c r="R245" s="5"/>
      <c r="S245" s="5"/>
      <c r="T245" s="5"/>
      <c r="U245" s="5" t="str">
        <f>IFERROR(__xludf.DUMMYFUNCTION("""COMPUTED_VALUE"""),"Y")</f>
        <v>Y</v>
      </c>
      <c r="V245" s="5"/>
      <c r="W245" s="5"/>
      <c r="X245" s="5"/>
      <c r="Y245" s="5"/>
      <c r="Z245" s="5"/>
    </row>
    <row r="246">
      <c r="A246" s="5" t="str">
        <f>IFERROR(__xludf.DUMMYFUNCTION("""COMPUTED_VALUE"""),"น้ำจิ้มแชมป์--กลาง-500ml")</f>
        <v>น้ำจิ้มแชมป์--กลาง-500ml</v>
      </c>
      <c r="B246" s="5">
        <f>IFERROR(__xludf.DUMMYFUNCTION("""COMPUTED_VALUE"""),10193.0)</f>
        <v>10193</v>
      </c>
      <c r="C246" s="5" t="str">
        <f>IFERROR(__xludf.DUMMYFUNCTION("""COMPUTED_VALUE"""),"น้ำจิ้มแชมป์  กลาง (ขวด)")</f>
        <v>น้ำจิ้มแชมป์  กลาง (ขวด)</v>
      </c>
      <c r="D246" s="5" t="str">
        <f>IFERROR(__xludf.DUMMYFUNCTION("""COMPUTED_VALUE"""),"**ของแห้ง")</f>
        <v>**ของแห้ง</v>
      </c>
      <c r="E246" s="5"/>
      <c r="F246" s="5" t="str">
        <f>IFERROR(__xludf.DUMMYFUNCTION("""COMPUTED_VALUE"""),"N")</f>
        <v>N</v>
      </c>
      <c r="G246" s="5"/>
      <c r="H246" s="5"/>
      <c r="I246" s="5"/>
      <c r="J246" s="5"/>
      <c r="K246" s="5"/>
      <c r="L246" s="5"/>
      <c r="M246" s="5">
        <f>IFERROR(__xludf.DUMMYFUNCTION("""COMPUTED_VALUE"""),32.08)</f>
        <v>32.08</v>
      </c>
      <c r="N246" s="5">
        <f>IFERROR(__xludf.DUMMYFUNCTION("""COMPUTED_VALUE"""),8.857122709012E12)</f>
        <v>8857122709012</v>
      </c>
      <c r="O246" s="5"/>
      <c r="P246" s="5"/>
      <c r="Q246" s="5" t="str">
        <f>IFERROR(__xludf.DUMMYFUNCTION("""COMPUTED_VALUE"""),"Y")</f>
        <v>Y</v>
      </c>
      <c r="R246" s="5"/>
      <c r="S246" s="5" t="str">
        <f>IFERROR(__xludf.DUMMYFUNCTION("""COMPUTED_VALUE"""),"อำนวยฟู้ดส์")</f>
        <v>อำนวยฟู้ดส์</v>
      </c>
      <c r="T246" s="5">
        <f>IFERROR(__xludf.DUMMYFUNCTION("""COMPUTED_VALUE"""),32.08)</f>
        <v>32.08</v>
      </c>
      <c r="U246" s="5" t="str">
        <f>IFERROR(__xludf.DUMMYFUNCTION("""COMPUTED_VALUE"""),"Y")</f>
        <v>Y</v>
      </c>
      <c r="V246" s="5">
        <f>IFERROR(__xludf.DUMMYFUNCTION("""COMPUTED_VALUE"""),45.0)</f>
        <v>45</v>
      </c>
      <c r="W246" s="5">
        <f>IFERROR(__xludf.DUMMYFUNCTION("""COMPUTED_VALUE"""),1228.0)</f>
        <v>1228</v>
      </c>
      <c r="X246" s="5"/>
      <c r="Y246" s="5"/>
      <c r="Z246" s="5"/>
    </row>
    <row r="247">
      <c r="A247" s="5" t="str">
        <f>IFERROR(__xludf.DUMMYFUNCTION("""COMPUTED_VALUE"""),"น้ําจิ้มแชมป์--เล็ก--(ลัง)")</f>
        <v>น้ําจิ้มแชมป์--เล็ก--(ลัง)</v>
      </c>
      <c r="B247" s="5">
        <f>IFERROR(__xludf.DUMMYFUNCTION("""COMPUTED_VALUE"""),10355.0)</f>
        <v>10355</v>
      </c>
      <c r="C247" s="5" t="str">
        <f>IFERROR(__xludf.DUMMYFUNCTION("""COMPUTED_VALUE"""),"น้ำจิ้มแชมป์  เล็ก  (ขวด)")</f>
        <v>น้ำจิ้มแชมป์  เล็ก  (ขวด)</v>
      </c>
      <c r="D247" s="5" t="str">
        <f>IFERROR(__xludf.DUMMYFUNCTION("""COMPUTED_VALUE"""),"**ของแห้ง")</f>
        <v>**ของแห้ง</v>
      </c>
      <c r="E247" s="5" t="str">
        <f>IFERROR(__xludf.DUMMYFUNCTION("""COMPUTED_VALUE"""),"&lt;p&gt;B&lt;/p&gt;")</f>
        <v>&lt;p&gt;B&lt;/p&gt;</v>
      </c>
      <c r="F247" s="5" t="str">
        <f>IFERROR(__xludf.DUMMYFUNCTION("""COMPUTED_VALUE"""),"N")</f>
        <v>N</v>
      </c>
      <c r="G247" s="5"/>
      <c r="H247" s="5"/>
      <c r="I247" s="5"/>
      <c r="J247" s="5"/>
      <c r="K247" s="5"/>
      <c r="L247" s="5"/>
      <c r="M247" s="5">
        <f>IFERROR(__xludf.DUMMYFUNCTION("""COMPUTED_VALUE"""),16.32)</f>
        <v>16.32</v>
      </c>
      <c r="N247" s="5">
        <f>IFERROR(__xludf.DUMMYFUNCTION("""COMPUTED_VALUE"""),8.857122709005E12)</f>
        <v>8857122709005</v>
      </c>
      <c r="O247" s="5"/>
      <c r="P247" s="5"/>
      <c r="Q247" s="5" t="str">
        <f>IFERROR(__xludf.DUMMYFUNCTION("""COMPUTED_VALUE"""),"Y")</f>
        <v>Y</v>
      </c>
      <c r="R247" s="5"/>
      <c r="S247" s="5" t="str">
        <f>IFERROR(__xludf.DUMMYFUNCTION("""COMPUTED_VALUE"""),"อำนวยฟู้ดส์")</f>
        <v>อำนวยฟู้ดส์</v>
      </c>
      <c r="T247" s="5">
        <f>IFERROR(__xludf.DUMMYFUNCTION("""COMPUTED_VALUE"""),16.87)</f>
        <v>16.87</v>
      </c>
      <c r="U247" s="5" t="str">
        <f>IFERROR(__xludf.DUMMYFUNCTION("""COMPUTED_VALUE"""),"Y")</f>
        <v>Y</v>
      </c>
      <c r="V247" s="5">
        <f>IFERROR(__xludf.DUMMYFUNCTION("""COMPUTED_VALUE"""),25.0)</f>
        <v>25</v>
      </c>
      <c r="W247" s="5">
        <f>IFERROR(__xludf.DUMMYFUNCTION("""COMPUTED_VALUE"""),1250.0)</f>
        <v>1250</v>
      </c>
      <c r="X247" s="5">
        <f>IFERROR(__xludf.DUMMYFUNCTION("""COMPUTED_VALUE"""),50.0)</f>
        <v>50</v>
      </c>
      <c r="Y247" s="5"/>
      <c r="Z247" s="5"/>
    </row>
    <row r="248">
      <c r="A248" s="5" t="str">
        <f>IFERROR(__xludf.DUMMYFUNCTION("""COMPUTED_VALUE"""),"น้ําจิ้มแชมป์--ใหญ่--(ลัง)")</f>
        <v>น้ําจิ้มแชมป์--ใหญ่--(ลัง)</v>
      </c>
      <c r="B248" s="5">
        <f>IFERROR(__xludf.DUMMYFUNCTION("""COMPUTED_VALUE"""),10365.0)</f>
        <v>10365</v>
      </c>
      <c r="C248" s="5" t="str">
        <f>IFERROR(__xludf.DUMMYFUNCTION("""COMPUTED_VALUE"""),"น้ำจิ้มแชมป์  ใหญ่  (ขวด)")</f>
        <v>น้ำจิ้มแชมป์  ใหญ่  (ขวด)</v>
      </c>
      <c r="D248" s="5" t="str">
        <f>IFERROR(__xludf.DUMMYFUNCTION("""COMPUTED_VALUE"""),"**ของแห้ง")</f>
        <v>**ของแห้ง</v>
      </c>
      <c r="E248" s="5"/>
      <c r="F248" s="5" t="str">
        <f>IFERROR(__xludf.DUMMYFUNCTION("""COMPUTED_VALUE"""),"N")</f>
        <v>N</v>
      </c>
      <c r="G248" s="5"/>
      <c r="H248" s="5"/>
      <c r="I248" s="5"/>
      <c r="J248" s="5"/>
      <c r="K248" s="5"/>
      <c r="L248" s="5"/>
      <c r="M248" s="5">
        <f>IFERROR(__xludf.DUMMYFUNCTION("""COMPUTED_VALUE"""),62.5)</f>
        <v>62.5</v>
      </c>
      <c r="N248" s="5">
        <f>IFERROR(__xludf.DUMMYFUNCTION("""COMPUTED_VALUE"""),10365.0)</f>
        <v>10365</v>
      </c>
      <c r="O248" s="5"/>
      <c r="P248" s="5"/>
      <c r="Q248" s="5" t="str">
        <f>IFERROR(__xludf.DUMMYFUNCTION("""COMPUTED_VALUE"""),"Y")</f>
        <v>Y</v>
      </c>
      <c r="R248" s="5"/>
      <c r="S248" s="5" t="str">
        <f>IFERROR(__xludf.DUMMYFUNCTION("""COMPUTED_VALUE"""),"อำนวยฟู้ดส์")</f>
        <v>อำนวยฟู้ดส์</v>
      </c>
      <c r="T248" s="5">
        <f>IFERROR(__xludf.DUMMYFUNCTION("""COMPUTED_VALUE"""),62.5)</f>
        <v>62.5</v>
      </c>
      <c r="U248" s="5" t="str">
        <f>IFERROR(__xludf.DUMMYFUNCTION("""COMPUTED_VALUE"""),"Y")</f>
        <v>Y</v>
      </c>
      <c r="V248" s="5">
        <f>IFERROR(__xludf.DUMMYFUNCTION("""COMPUTED_VALUE"""),80.0)</f>
        <v>80</v>
      </c>
      <c r="W248" s="5">
        <f>IFERROR(__xludf.DUMMYFUNCTION("""COMPUTED_VALUE"""),295.0)</f>
        <v>295</v>
      </c>
      <c r="X248" s="5"/>
      <c r="Y248" s="5"/>
      <c r="Z248" s="5"/>
    </row>
    <row r="249">
      <c r="A249" s="5" t="str">
        <f>IFERROR(__xludf.DUMMYFUNCTION("""COMPUTED_VALUE"""),"น้ําจิ้มแชมป์--ใหญ่-6ขวด(แพ็ค)")</f>
        <v>น้ําจิ้มแชมป์--ใหญ่-6ขวด(แพ็ค)</v>
      </c>
      <c r="B249" s="5">
        <f>IFERROR(__xludf.DUMMYFUNCTION("""COMPUTED_VALUE"""),10366.0)</f>
        <v>10366</v>
      </c>
      <c r="C249" s="5" t="str">
        <f>IFERROR(__xludf.DUMMYFUNCTION("""COMPUTED_VALUE"""),"น้ำจิ้มแชมป์  ใหญ่ 1*6ขวด(แพ็ค)")</f>
        <v>น้ำจิ้มแชมป์  ใหญ่ 1*6ขวด(แพ็ค)</v>
      </c>
      <c r="D249" s="5"/>
      <c r="E249" s="5"/>
      <c r="F249" s="5" t="str">
        <f>IFERROR(__xludf.DUMMYFUNCTION("""COMPUTED_VALUE"""),"N")</f>
        <v>N</v>
      </c>
      <c r="G249" s="5"/>
      <c r="H249" s="5"/>
      <c r="I249" s="5"/>
      <c r="J249" s="5"/>
      <c r="K249" s="5"/>
      <c r="L249" s="5"/>
      <c r="M249" s="5"/>
      <c r="N249" s="5">
        <f>IFERROR(__xludf.DUMMYFUNCTION("""COMPUTED_VALUE"""),10366.0)</f>
        <v>10366</v>
      </c>
      <c r="O249" s="5">
        <f>IFERROR(__xludf.DUMMYFUNCTION("""COMPUTED_VALUE"""),10365.0)</f>
        <v>10365</v>
      </c>
      <c r="P249" s="5">
        <f>IFERROR(__xludf.DUMMYFUNCTION("""COMPUTED_VALUE"""),6.0)</f>
        <v>6</v>
      </c>
      <c r="Q249" s="5" t="str">
        <f>IFERROR(__xludf.DUMMYFUNCTION("""COMPUTED_VALUE"""),"N")</f>
        <v>N</v>
      </c>
      <c r="R249" s="5" t="str">
        <f>IFERROR(__xludf.DUMMYFUNCTION("""COMPUTED_VALUE"""),"N")</f>
        <v>N</v>
      </c>
      <c r="S249" s="5"/>
      <c r="T249" s="5"/>
      <c r="U249" s="5" t="str">
        <f>IFERROR(__xludf.DUMMYFUNCTION("""COMPUTED_VALUE"""),"Y")</f>
        <v>Y</v>
      </c>
      <c r="V249" s="5">
        <f>IFERROR(__xludf.DUMMYFUNCTION("""COMPUTED_VALUE"""),405.0)</f>
        <v>405</v>
      </c>
      <c r="W249" s="5"/>
      <c r="X249" s="5"/>
      <c r="Y249" s="5"/>
      <c r="Z249" s="5"/>
    </row>
    <row r="250">
      <c r="A250" s="5" t="str">
        <f>IFERROR(__xludf.DUMMYFUNCTION("""COMPUTED_VALUE"""),"น้ำจิ้มแชมป์--กลาง--(ลัง)")</f>
        <v>น้ำจิ้มแชมป์--กลาง--(ลัง)</v>
      </c>
      <c r="B250" s="5">
        <f>IFERROR(__xludf.DUMMYFUNCTION("""COMPUTED_VALUE"""),10324.0)</f>
        <v>10324</v>
      </c>
      <c r="C250" s="5" t="str">
        <f>IFERROR(__xludf.DUMMYFUNCTION("""COMPUTED_VALUE"""),"น้ำจิ้มแชมป์ กลาง (ลัง)")</f>
        <v>น้ำจิ้มแชมป์ กลาง (ลัง)</v>
      </c>
      <c r="D250" s="5"/>
      <c r="E250" s="5"/>
      <c r="F250" s="5" t="str">
        <f>IFERROR(__xludf.DUMMYFUNCTION("""COMPUTED_VALUE"""),"N")</f>
        <v>N</v>
      </c>
      <c r="G250" s="5"/>
      <c r="H250" s="5"/>
      <c r="I250" s="5"/>
      <c r="J250" s="5"/>
      <c r="K250" s="5"/>
      <c r="L250" s="5"/>
      <c r="M250" s="5"/>
      <c r="N250" s="5"/>
      <c r="O250" s="5">
        <f>IFERROR(__xludf.DUMMYFUNCTION("""COMPUTED_VALUE"""),10193.0)</f>
        <v>10193</v>
      </c>
      <c r="P250" s="5">
        <f>IFERROR(__xludf.DUMMYFUNCTION("""COMPUTED_VALUE"""),24.0)</f>
        <v>24</v>
      </c>
      <c r="Q250" s="5" t="str">
        <f>IFERROR(__xludf.DUMMYFUNCTION("""COMPUTED_VALUE"""),"N")</f>
        <v>N</v>
      </c>
      <c r="R250" s="5" t="str">
        <f>IFERROR(__xludf.DUMMYFUNCTION("""COMPUTED_VALUE"""),"N")</f>
        <v>N</v>
      </c>
      <c r="S250" s="5"/>
      <c r="T250" s="5"/>
      <c r="U250" s="5" t="str">
        <f>IFERROR(__xludf.DUMMYFUNCTION("""COMPUTED_VALUE"""),"Y")</f>
        <v>Y</v>
      </c>
      <c r="V250" s="5">
        <f>IFERROR(__xludf.DUMMYFUNCTION("""COMPUTED_VALUE"""),800.0)</f>
        <v>800</v>
      </c>
      <c r="W250" s="5"/>
      <c r="X250" s="5"/>
      <c r="Y250" s="5"/>
      <c r="Z250" s="5"/>
    </row>
    <row r="251">
      <c r="A251" s="5" t="str">
        <f>IFERROR(__xludf.DUMMYFUNCTION("""COMPUTED_VALUE"""),"น้ําจิ้มแชมป์--เล็ก-250ml-/ขวด")</f>
        <v>น้ําจิ้มแชมป์--เล็ก-250ml-/ขวด</v>
      </c>
      <c r="B251" s="5">
        <f>IFERROR(__xludf.DUMMYFUNCTION("""COMPUTED_VALUE"""),10364.0)</f>
        <v>10364</v>
      </c>
      <c r="C251" s="5" t="str">
        <f>IFERROR(__xludf.DUMMYFUNCTION("""COMPUTED_VALUE"""),"น้ำจิ้มแชมป์ เล็ก (ลัง)")</f>
        <v>น้ำจิ้มแชมป์ เล็ก (ลัง)</v>
      </c>
      <c r="D251" s="5"/>
      <c r="E251" s="5"/>
      <c r="F251" s="5" t="str">
        <f>IFERROR(__xludf.DUMMYFUNCTION("""COMPUTED_VALUE"""),"N")</f>
        <v>N</v>
      </c>
      <c r="G251" s="5"/>
      <c r="H251" s="5"/>
      <c r="I251" s="5"/>
      <c r="J251" s="5"/>
      <c r="K251" s="5"/>
      <c r="L251" s="5"/>
      <c r="M251" s="5"/>
      <c r="N251" s="5"/>
      <c r="O251" s="5">
        <f>IFERROR(__xludf.DUMMYFUNCTION("""COMPUTED_VALUE"""),10355.0)</f>
        <v>10355</v>
      </c>
      <c r="P251" s="5">
        <f>IFERROR(__xludf.DUMMYFUNCTION("""COMPUTED_VALUE"""),48.0)</f>
        <v>48</v>
      </c>
      <c r="Q251" s="5" t="str">
        <f>IFERROR(__xludf.DUMMYFUNCTION("""COMPUTED_VALUE"""),"N")</f>
        <v>N</v>
      </c>
      <c r="R251" s="5" t="str">
        <f>IFERROR(__xludf.DUMMYFUNCTION("""COMPUTED_VALUE"""),"N")</f>
        <v>N</v>
      </c>
      <c r="S251" s="5"/>
      <c r="T251" s="5"/>
      <c r="U251" s="5" t="str">
        <f>IFERROR(__xludf.DUMMYFUNCTION("""COMPUTED_VALUE"""),"Y")</f>
        <v>Y</v>
      </c>
      <c r="V251" s="5">
        <f>IFERROR(__xludf.DUMMYFUNCTION("""COMPUTED_VALUE"""),840.0)</f>
        <v>840</v>
      </c>
      <c r="W251" s="5"/>
      <c r="X251" s="5"/>
      <c r="Y251" s="5"/>
      <c r="Z251" s="5"/>
    </row>
    <row r="252">
      <c r="A252" s="5" t="str">
        <f>IFERROR(__xludf.DUMMYFUNCTION("""COMPUTED_VALUE"""),"น้ําจิ้มแชมป์--ใหญ่-1000ml-/ขวด")</f>
        <v>น้ําจิ้มแชมป์--ใหญ่-1000ml-/ขวด</v>
      </c>
      <c r="B252" s="5">
        <f>IFERROR(__xludf.DUMMYFUNCTION("""COMPUTED_VALUE"""),10367.0)</f>
        <v>10367</v>
      </c>
      <c r="C252" s="5" t="str">
        <f>IFERROR(__xludf.DUMMYFUNCTION("""COMPUTED_VALUE"""),"น้ำจิ้มแชมป์ ใหญ่ (ลัง)")</f>
        <v>น้ำจิ้มแชมป์ ใหญ่ (ลัง)</v>
      </c>
      <c r="D252" s="5"/>
      <c r="E252" s="5"/>
      <c r="F252" s="5" t="str">
        <f>IFERROR(__xludf.DUMMYFUNCTION("""COMPUTED_VALUE"""),"N")</f>
        <v>N</v>
      </c>
      <c r="G252" s="5"/>
      <c r="H252" s="5"/>
      <c r="I252" s="5"/>
      <c r="J252" s="5"/>
      <c r="K252" s="5"/>
      <c r="L252" s="5"/>
      <c r="M252" s="5"/>
      <c r="N252" s="5">
        <f>IFERROR(__xludf.DUMMYFUNCTION("""COMPUTED_VALUE"""),10367.0)</f>
        <v>10367</v>
      </c>
      <c r="O252" s="5">
        <f>IFERROR(__xludf.DUMMYFUNCTION("""COMPUTED_VALUE"""),10365.0)</f>
        <v>10365</v>
      </c>
      <c r="P252" s="5">
        <f>IFERROR(__xludf.DUMMYFUNCTION("""COMPUTED_VALUE"""),12.0)</f>
        <v>12</v>
      </c>
      <c r="Q252" s="5" t="str">
        <f>IFERROR(__xludf.DUMMYFUNCTION("""COMPUTED_VALUE"""),"N")</f>
        <v>N</v>
      </c>
      <c r="R252" s="5" t="str">
        <f>IFERROR(__xludf.DUMMYFUNCTION("""COMPUTED_VALUE"""),"N")</f>
        <v>N</v>
      </c>
      <c r="S252" s="5"/>
      <c r="T252" s="5"/>
      <c r="U252" s="5" t="str">
        <f>IFERROR(__xludf.DUMMYFUNCTION("""COMPUTED_VALUE"""),"Y")</f>
        <v>Y</v>
      </c>
      <c r="V252" s="5">
        <f>IFERROR(__xludf.DUMMYFUNCTION("""COMPUTED_VALUE"""),780.0)</f>
        <v>780</v>
      </c>
      <c r="W252" s="5"/>
      <c r="X252" s="5"/>
      <c r="Y252" s="5"/>
      <c r="Z252" s="5"/>
    </row>
    <row r="253">
      <c r="A253" s="5" t="str">
        <f>IFERROR(__xludf.DUMMYFUNCTION("""COMPUTED_VALUE"""),"น้ําจิ้มแม่อมร-350g")</f>
        <v>น้ําจิ้มแม่อมร-350g</v>
      </c>
      <c r="B253" s="5">
        <f>IFERROR(__xludf.DUMMYFUNCTION("""COMPUTED_VALUE"""),10117.0)</f>
        <v>10117</v>
      </c>
      <c r="C253" s="5" t="str">
        <f>IFERROR(__xludf.DUMMYFUNCTION("""COMPUTED_VALUE"""),"น้ำจิ้มแม่อมร  (ลัง)")</f>
        <v>น้ำจิ้มแม่อมร  (ลัง)</v>
      </c>
      <c r="D253" s="5"/>
      <c r="E253" s="5"/>
      <c r="F253" s="5" t="str">
        <f>IFERROR(__xludf.DUMMYFUNCTION("""COMPUTED_VALUE"""),"N")</f>
        <v>N</v>
      </c>
      <c r="G253" s="5"/>
      <c r="H253" s="5"/>
      <c r="I253" s="5"/>
      <c r="J253" s="5"/>
      <c r="K253" s="5"/>
      <c r="L253" s="5"/>
      <c r="M253" s="5"/>
      <c r="N253" s="5"/>
      <c r="O253" s="5">
        <f>IFERROR(__xludf.DUMMYFUNCTION("""COMPUTED_VALUE"""),10036.0)</f>
        <v>10036</v>
      </c>
      <c r="P253" s="5">
        <f>IFERROR(__xludf.DUMMYFUNCTION("""COMPUTED_VALUE"""),24.0)</f>
        <v>24</v>
      </c>
      <c r="Q253" s="5" t="str">
        <f>IFERROR(__xludf.DUMMYFUNCTION("""COMPUTED_VALUE"""),"N")</f>
        <v>N</v>
      </c>
      <c r="R253" s="5" t="str">
        <f>IFERROR(__xludf.DUMMYFUNCTION("""COMPUTED_VALUE"""),"N")</f>
        <v>N</v>
      </c>
      <c r="S253" s="5"/>
      <c r="T253" s="5"/>
      <c r="U253" s="5" t="str">
        <f>IFERROR(__xludf.DUMMYFUNCTION("""COMPUTED_VALUE"""),"Y")</f>
        <v>Y</v>
      </c>
      <c r="V253" s="5">
        <f>IFERROR(__xludf.DUMMYFUNCTION("""COMPUTED_VALUE"""),820.0)</f>
        <v>820</v>
      </c>
      <c r="W253" s="5"/>
      <c r="X253" s="5"/>
      <c r="Y253" s="5"/>
      <c r="Z253" s="5"/>
    </row>
    <row r="254">
      <c r="A254" s="5" t="str">
        <f>IFERROR(__xludf.DUMMYFUNCTION("""COMPUTED_VALUE"""),"น้ําจิ้มแม่อมร-ลัง")</f>
        <v>น้ําจิ้มแม่อมร-ลัง</v>
      </c>
      <c r="B254" s="5">
        <f>IFERROR(__xludf.DUMMYFUNCTION("""COMPUTED_VALUE"""),10036.0)</f>
        <v>10036</v>
      </c>
      <c r="C254" s="5" t="str">
        <f>IFERROR(__xludf.DUMMYFUNCTION("""COMPUTED_VALUE"""),"น้ำจิ้มแม่อมร  350 g ขวด")</f>
        <v>น้ำจิ้มแม่อมร  350 g ขวด</v>
      </c>
      <c r="D254" s="5" t="str">
        <f>IFERROR(__xludf.DUMMYFUNCTION("""COMPUTED_VALUE"""),"**ของแห้ง")</f>
        <v>**ของแห้ง</v>
      </c>
      <c r="E254" s="5"/>
      <c r="F254" s="5" t="str">
        <f>IFERROR(__xludf.DUMMYFUNCTION("""COMPUTED_VALUE"""),"N")</f>
        <v>N</v>
      </c>
      <c r="G254" s="5"/>
      <c r="H254" s="5"/>
      <c r="I254" s="5"/>
      <c r="J254" s="5"/>
      <c r="K254" s="5"/>
      <c r="L254" s="5"/>
      <c r="M254" s="5">
        <f>IFERROR(__xludf.DUMMYFUNCTION("""COMPUTED_VALUE"""),30.41)</f>
        <v>30.41</v>
      </c>
      <c r="N254" s="5">
        <f>IFERROR(__xludf.DUMMYFUNCTION("""COMPUTED_VALUE"""),8.85045803001E12)</f>
        <v>8850458030010</v>
      </c>
      <c r="O254" s="5"/>
      <c r="P254" s="5"/>
      <c r="Q254" s="5" t="str">
        <f>IFERROR(__xludf.DUMMYFUNCTION("""COMPUTED_VALUE"""),"Y")</f>
        <v>Y</v>
      </c>
      <c r="R254" s="5"/>
      <c r="S254" s="5" t="str">
        <f>IFERROR(__xludf.DUMMYFUNCTION("""COMPUTED_VALUE"""),"แม่อมร")</f>
        <v>แม่อมร</v>
      </c>
      <c r="T254" s="5">
        <f>IFERROR(__xludf.DUMMYFUNCTION("""COMPUTED_VALUE"""),31.67)</f>
        <v>31.67</v>
      </c>
      <c r="U254" s="5" t="str">
        <f>IFERROR(__xludf.DUMMYFUNCTION("""COMPUTED_VALUE"""),"Y")</f>
        <v>Y</v>
      </c>
      <c r="V254" s="5">
        <f>IFERROR(__xludf.DUMMYFUNCTION("""COMPUTED_VALUE"""),43.0)</f>
        <v>43</v>
      </c>
      <c r="W254" s="5">
        <f>IFERROR(__xludf.DUMMYFUNCTION("""COMPUTED_VALUE"""),348.0)</f>
        <v>348</v>
      </c>
      <c r="X254" s="5">
        <f>IFERROR(__xludf.DUMMYFUNCTION("""COMPUTED_VALUE"""),0.0)</f>
        <v>0</v>
      </c>
      <c r="Y254" s="5"/>
      <c r="Z254" s="5"/>
    </row>
    <row r="255">
      <c r="A255" s="5" t="str">
        <f>IFERROR(__xludf.DUMMYFUNCTION("""COMPUTED_VALUE"""),"น้ำซุปแจ่วฮ้อนล้อมวง")</f>
        <v>น้ำซุปแจ่วฮ้อนล้อมวง</v>
      </c>
      <c r="B255" s="5">
        <f>IFERROR(__xludf.DUMMYFUNCTION("""COMPUTED_VALUE"""),10819.0)</f>
        <v>10819</v>
      </c>
      <c r="C255" s="5" t="str">
        <f>IFERROR(__xludf.DUMMYFUNCTION("""COMPUTED_VALUE"""),"น้ำซุปแจ่วฮ้อนล้อมวง")</f>
        <v>น้ำซุปแจ่วฮ้อนล้อมวง</v>
      </c>
      <c r="D255" s="5"/>
      <c r="E255" s="5"/>
      <c r="F255" s="5" t="str">
        <f>IFERROR(__xludf.DUMMYFUNCTION("""COMPUTED_VALUE"""),"N")</f>
        <v>N</v>
      </c>
      <c r="G255" s="5"/>
      <c r="H255" s="5"/>
      <c r="I255" s="5"/>
      <c r="J255" s="5"/>
      <c r="K255" s="5"/>
      <c r="L255" s="5"/>
      <c r="M255" s="5">
        <f>IFERROR(__xludf.DUMMYFUNCTION("""COMPUTED_VALUE"""),42.0)</f>
        <v>42</v>
      </c>
      <c r="N255" s="5">
        <f>IFERROR(__xludf.DUMMYFUNCTION("""COMPUTED_VALUE"""),8.85720060611E12)</f>
        <v>8857200606110</v>
      </c>
      <c r="O255" s="5"/>
      <c r="P255" s="5"/>
      <c r="Q255" s="5" t="str">
        <f>IFERROR(__xludf.DUMMYFUNCTION("""COMPUTED_VALUE"""),"N")</f>
        <v>N</v>
      </c>
      <c r="R255" s="5"/>
      <c r="S255" s="5"/>
      <c r="T255" s="5"/>
      <c r="U255" s="5" t="str">
        <f>IFERROR(__xludf.DUMMYFUNCTION("""COMPUTED_VALUE"""),"Y")</f>
        <v>Y</v>
      </c>
      <c r="V255" s="5">
        <f>IFERROR(__xludf.DUMMYFUNCTION("""COMPUTED_VALUE"""),45.0)</f>
        <v>45</v>
      </c>
      <c r="W255" s="5"/>
      <c r="X255" s="5"/>
      <c r="Y255" s="5"/>
      <c r="Z255" s="5"/>
    </row>
    <row r="256">
      <c r="A256" s="5" t="str">
        <f>IFERROR(__xludf.DUMMYFUNCTION("""COMPUTED_VALUE"""),"น้ำดื่ม-เพียวไลฟ์")</f>
        <v>น้ำดื่ม-เพียวไลฟ์</v>
      </c>
      <c r="B256" s="5">
        <f>IFERROR(__xludf.DUMMYFUNCTION("""COMPUTED_VALUE"""),10005.0)</f>
        <v>10005</v>
      </c>
      <c r="C256" s="5" t="str">
        <f>IFERROR(__xludf.DUMMYFUNCTION("""COMPUTED_VALUE"""),"น้ำดื่ม เพียวไลฟ์ 600 มล")</f>
        <v>น้ำดื่ม เพียวไลฟ์ 600 มล</v>
      </c>
      <c r="D256" s="5"/>
      <c r="E256" s="5"/>
      <c r="F256" s="5" t="str">
        <f>IFERROR(__xludf.DUMMYFUNCTION("""COMPUTED_VALUE"""),"N")</f>
        <v>N</v>
      </c>
      <c r="G256" s="5"/>
      <c r="H256" s="5"/>
      <c r="I256" s="5"/>
      <c r="J256" s="5"/>
      <c r="K256" s="5"/>
      <c r="L256" s="5"/>
      <c r="M256" s="5">
        <f>IFERROR(__xludf.DUMMYFUNCTION("""COMPUTED_VALUE"""),4.08)</f>
        <v>4.08</v>
      </c>
      <c r="N256" s="5"/>
      <c r="O256" s="5"/>
      <c r="P256" s="5"/>
      <c r="Q256" s="5" t="str">
        <f>IFERROR(__xludf.DUMMYFUNCTION("""COMPUTED_VALUE"""),"N")</f>
        <v>N</v>
      </c>
      <c r="R256" s="5"/>
      <c r="S256" s="5"/>
      <c r="T256" s="5"/>
      <c r="U256" s="5" t="str">
        <f>IFERROR(__xludf.DUMMYFUNCTION("""COMPUTED_VALUE"""),"Y")</f>
        <v>Y</v>
      </c>
      <c r="V256" s="5">
        <f>IFERROR(__xludf.DUMMYFUNCTION("""COMPUTED_VALUE"""),10.0)</f>
        <v>10</v>
      </c>
      <c r="W256" s="5"/>
      <c r="X256" s="5"/>
      <c r="Y256" s="5"/>
      <c r="Z256" s="5"/>
    </row>
    <row r="257">
      <c r="A257" s="5" t="str">
        <f>IFERROR(__xludf.DUMMYFUNCTION("""COMPUTED_VALUE"""),"น้ำดื่มสิงห์-330-มล.")</f>
        <v>น้ำดื่มสิงห์-330-มล.</v>
      </c>
      <c r="B257" s="5">
        <f>IFERROR(__xludf.DUMMYFUNCTION("""COMPUTED_VALUE"""),10603.0)</f>
        <v>10603</v>
      </c>
      <c r="C257" s="5" t="str">
        <f>IFERROR(__xludf.DUMMYFUNCTION("""COMPUTED_VALUE"""),"น้ำดื่มสิงห์ 500 มล.")</f>
        <v>น้ำดื่มสิงห์ 500 มล.</v>
      </c>
      <c r="D257" s="5"/>
      <c r="E257" s="5"/>
      <c r="F257" s="5" t="str">
        <f>IFERROR(__xludf.DUMMYFUNCTION("""COMPUTED_VALUE"""),"N")</f>
        <v>N</v>
      </c>
      <c r="G257" s="5"/>
      <c r="H257" s="5"/>
      <c r="I257" s="5"/>
      <c r="J257" s="5"/>
      <c r="K257" s="5"/>
      <c r="L257" s="5"/>
      <c r="M257" s="5">
        <f>IFERROR(__xludf.DUMMYFUNCTION("""COMPUTED_VALUE"""),16.36)</f>
        <v>16.36</v>
      </c>
      <c r="N257" s="5"/>
      <c r="O257" s="5"/>
      <c r="P257" s="5"/>
      <c r="Q257" s="5" t="str">
        <f>IFERROR(__xludf.DUMMYFUNCTION("""COMPUTED_VALUE"""),"Y")</f>
        <v>Y</v>
      </c>
      <c r="R257" s="5"/>
      <c r="S257" s="5"/>
      <c r="T257" s="5">
        <f>IFERROR(__xludf.DUMMYFUNCTION("""COMPUTED_VALUE"""),16.36)</f>
        <v>16.36</v>
      </c>
      <c r="U257" s="5" t="str">
        <f>IFERROR(__xludf.DUMMYFUNCTION("""COMPUTED_VALUE"""),"Y")</f>
        <v>Y</v>
      </c>
      <c r="V257" s="5">
        <f>IFERROR(__xludf.DUMMYFUNCTION("""COMPUTED_VALUE"""),20.0)</f>
        <v>20</v>
      </c>
      <c r="W257" s="5">
        <f>IFERROR(__xludf.DUMMYFUNCTION("""COMPUTED_VALUE"""),0.0)</f>
        <v>0</v>
      </c>
      <c r="X257" s="5"/>
      <c r="Y257" s="5"/>
      <c r="Z257" s="5"/>
    </row>
    <row r="258">
      <c r="A258" s="5" t="str">
        <f>IFERROR(__xludf.DUMMYFUNCTION("""COMPUTED_VALUE"""),"น้ำแข็ง-สอบ")</f>
        <v>น้ำแข็ง-สอบ</v>
      </c>
      <c r="B258" s="5">
        <f>IFERROR(__xludf.DUMMYFUNCTION("""COMPUTED_VALUE"""),10317.0)</f>
        <v>10317</v>
      </c>
      <c r="C258" s="5" t="str">
        <f>IFERROR(__xludf.DUMMYFUNCTION("""COMPUTED_VALUE"""),"น้ำแข็ง สอบ")</f>
        <v>น้ำแข็ง สอบ</v>
      </c>
      <c r="D258" s="5"/>
      <c r="E258" s="5"/>
      <c r="F258" s="5" t="str">
        <f>IFERROR(__xludf.DUMMYFUNCTION("""COMPUTED_VALUE"""),"N")</f>
        <v>N</v>
      </c>
      <c r="G258" s="5"/>
      <c r="H258" s="5"/>
      <c r="I258" s="5"/>
      <c r="J258" s="5"/>
      <c r="K258" s="5"/>
      <c r="L258" s="5"/>
      <c r="M258" s="5">
        <f>IFERROR(__xludf.DUMMYFUNCTION("""COMPUTED_VALUE"""),40.0)</f>
        <v>40</v>
      </c>
      <c r="N258" s="5"/>
      <c r="O258" s="5"/>
      <c r="P258" s="5"/>
      <c r="Q258" s="5" t="str">
        <f>IFERROR(__xludf.DUMMYFUNCTION("""COMPUTED_VALUE"""),"N")</f>
        <v>N</v>
      </c>
      <c r="R258" s="5"/>
      <c r="S258" s="5"/>
      <c r="T258" s="5"/>
      <c r="U258" s="5" t="str">
        <f>IFERROR(__xludf.DUMMYFUNCTION("""COMPUTED_VALUE"""),"Y")</f>
        <v>Y</v>
      </c>
      <c r="V258" s="5">
        <f>IFERROR(__xludf.DUMMYFUNCTION("""COMPUTED_VALUE"""),45.0)</f>
        <v>45</v>
      </c>
      <c r="W258" s="5"/>
      <c r="X258" s="5"/>
      <c r="Y258" s="5"/>
      <c r="Z258" s="5"/>
    </row>
    <row r="259">
      <c r="A259" s="5" t="str">
        <f>IFERROR(__xludf.DUMMYFUNCTION("""COMPUTED_VALUE"""),"น้ําจิ้มแชมป์--กลาง-6ขวด-/-แพ็ค")</f>
        <v>น้ําจิ้มแชมป์--กลาง-6ขวด-/-แพ็ค</v>
      </c>
      <c r="B259" s="5">
        <f>IFERROR(__xludf.DUMMYFUNCTION("""COMPUTED_VALUE"""),10199.0)</f>
        <v>10199</v>
      </c>
      <c r="C259" s="5" t="str">
        <f>IFERROR(__xludf.DUMMYFUNCTION("""COMPUTED_VALUE"""),"น้ําจิ้มแชมป์  กลาง 1*6ขวด(แพ็ค)")</f>
        <v>น้ําจิ้มแชมป์  กลาง 1*6ขวด(แพ็ค)</v>
      </c>
      <c r="D259" s="5"/>
      <c r="E259" s="5"/>
      <c r="F259" s="5" t="str">
        <f>IFERROR(__xludf.DUMMYFUNCTION("""COMPUTED_VALUE"""),"N")</f>
        <v>N</v>
      </c>
      <c r="G259" s="5"/>
      <c r="H259" s="5"/>
      <c r="I259" s="5"/>
      <c r="J259" s="5"/>
      <c r="K259" s="5"/>
      <c r="L259" s="5"/>
      <c r="M259" s="5"/>
      <c r="N259" s="5"/>
      <c r="O259" s="5">
        <f>IFERROR(__xludf.DUMMYFUNCTION("""COMPUTED_VALUE"""),10193.0)</f>
        <v>10193</v>
      </c>
      <c r="P259" s="5">
        <f>IFERROR(__xludf.DUMMYFUNCTION("""COMPUTED_VALUE"""),6.0)</f>
        <v>6</v>
      </c>
      <c r="Q259" s="5" t="str">
        <f>IFERROR(__xludf.DUMMYFUNCTION("""COMPUTED_VALUE"""),"N")</f>
        <v>N</v>
      </c>
      <c r="R259" s="5" t="str">
        <f>IFERROR(__xludf.DUMMYFUNCTION("""COMPUTED_VALUE"""),"N")</f>
        <v>N</v>
      </c>
      <c r="S259" s="5"/>
      <c r="T259" s="5"/>
      <c r="U259" s="5" t="str">
        <f>IFERROR(__xludf.DUMMYFUNCTION("""COMPUTED_VALUE"""),"Y")</f>
        <v>Y</v>
      </c>
      <c r="V259" s="5">
        <f>IFERROR(__xludf.DUMMYFUNCTION("""COMPUTED_VALUE"""),225.0)</f>
        <v>225</v>
      </c>
      <c r="W259" s="5"/>
      <c r="X259" s="5"/>
      <c r="Y259" s="5"/>
      <c r="Z259" s="5"/>
    </row>
    <row r="260">
      <c r="A260" s="5" t="str">
        <f>IFERROR(__xludf.DUMMYFUNCTION("""COMPUTED_VALUE"""),"น้ําจิ้มแชมป์--เล็ก-12ขวด(แพ็ค)")</f>
        <v>น้ําจิ้มแชมป์--เล็ก-12ขวด(แพ็ค)</v>
      </c>
      <c r="B260" s="5">
        <f>IFERROR(__xludf.DUMMYFUNCTION("""COMPUTED_VALUE"""),10357.0)</f>
        <v>10357</v>
      </c>
      <c r="C260" s="5" t="str">
        <f>IFERROR(__xludf.DUMMYFUNCTION("""COMPUTED_VALUE"""),"น้ําจิ้มแชมป์  เล็ก 1*12ขวด(แพ็ค)")</f>
        <v>น้ําจิ้มแชมป์  เล็ก 1*12ขวด(แพ็ค)</v>
      </c>
      <c r="D260" s="5"/>
      <c r="E260" s="5"/>
      <c r="F260" s="5" t="str">
        <f>IFERROR(__xludf.DUMMYFUNCTION("""COMPUTED_VALUE"""),"N")</f>
        <v>N</v>
      </c>
      <c r="G260" s="5"/>
      <c r="H260" s="5"/>
      <c r="I260" s="5"/>
      <c r="J260" s="5"/>
      <c r="K260" s="5"/>
      <c r="L260" s="5"/>
      <c r="M260" s="5"/>
      <c r="N260" s="5">
        <f>IFERROR(__xludf.DUMMYFUNCTION("""COMPUTED_VALUE"""),10357.0)</f>
        <v>10357</v>
      </c>
      <c r="O260" s="5">
        <f>IFERROR(__xludf.DUMMYFUNCTION("""COMPUTED_VALUE"""),10355.0)</f>
        <v>10355</v>
      </c>
      <c r="P260" s="5">
        <f>IFERROR(__xludf.DUMMYFUNCTION("""COMPUTED_VALUE"""),12.0)</f>
        <v>12</v>
      </c>
      <c r="Q260" s="5" t="str">
        <f>IFERROR(__xludf.DUMMYFUNCTION("""COMPUTED_VALUE"""),"N")</f>
        <v>N</v>
      </c>
      <c r="R260" s="5" t="str">
        <f>IFERROR(__xludf.DUMMYFUNCTION("""COMPUTED_VALUE"""),"N")</f>
        <v>N</v>
      </c>
      <c r="S260" s="5"/>
      <c r="T260" s="5"/>
      <c r="U260" s="5" t="str">
        <f>IFERROR(__xludf.DUMMYFUNCTION("""COMPUTED_VALUE"""),"Y")</f>
        <v>Y</v>
      </c>
      <c r="V260" s="5">
        <f>IFERROR(__xludf.DUMMYFUNCTION("""COMPUTED_VALUE"""),215.0)</f>
        <v>215</v>
      </c>
      <c r="W260" s="5"/>
      <c r="X260" s="5"/>
      <c r="Y260" s="5"/>
      <c r="Z260" s="5"/>
    </row>
    <row r="261">
      <c r="A261" s="5" t="str">
        <f>IFERROR(__xludf.DUMMYFUNCTION("""COMPUTED_VALUE"""),"น้ําจิ้มแม่อมร-แพ็ค")</f>
        <v>น้ําจิ้มแม่อมร-แพ็ค</v>
      </c>
      <c r="B261" s="5">
        <f>IFERROR(__xludf.DUMMYFUNCTION("""COMPUTED_VALUE"""),10050.0)</f>
        <v>10050</v>
      </c>
      <c r="C261" s="5" t="str">
        <f>IFERROR(__xludf.DUMMYFUNCTION("""COMPUTED_VALUE"""),"น้ําจิ้มแม่อมร1*6 (แพ็ค)")</f>
        <v>น้ําจิ้มแม่อมร1*6 (แพ็ค)</v>
      </c>
      <c r="D261" s="5"/>
      <c r="E261" s="5"/>
      <c r="F261" s="5" t="str">
        <f>IFERROR(__xludf.DUMMYFUNCTION("""COMPUTED_VALUE"""),"N")</f>
        <v>N</v>
      </c>
      <c r="G261" s="5"/>
      <c r="H261" s="5"/>
      <c r="I261" s="5"/>
      <c r="J261" s="5"/>
      <c r="K261" s="5"/>
      <c r="L261" s="5"/>
      <c r="M261" s="5"/>
      <c r="N261" s="5">
        <f>IFERROR(__xludf.DUMMYFUNCTION("""COMPUTED_VALUE"""),10050.0)</f>
        <v>10050</v>
      </c>
      <c r="O261" s="5">
        <f>IFERROR(__xludf.DUMMYFUNCTION("""COMPUTED_VALUE"""),10036.0)</f>
        <v>10036</v>
      </c>
      <c r="P261" s="5">
        <f>IFERROR(__xludf.DUMMYFUNCTION("""COMPUTED_VALUE"""),6.0)</f>
        <v>6</v>
      </c>
      <c r="Q261" s="5" t="str">
        <f>IFERROR(__xludf.DUMMYFUNCTION("""COMPUTED_VALUE"""),"N")</f>
        <v>N</v>
      </c>
      <c r="R261" s="5" t="str">
        <f>IFERROR(__xludf.DUMMYFUNCTION("""COMPUTED_VALUE"""),"N")</f>
        <v>N</v>
      </c>
      <c r="S261" s="5"/>
      <c r="T261" s="5"/>
      <c r="U261" s="5" t="str">
        <f>IFERROR(__xludf.DUMMYFUNCTION("""COMPUTED_VALUE"""),"Y")</f>
        <v>Y</v>
      </c>
      <c r="V261" s="5">
        <f>IFERROR(__xludf.DUMMYFUNCTION("""COMPUTED_VALUE"""),210.0)</f>
        <v>210</v>
      </c>
      <c r="W261" s="5"/>
      <c r="X261" s="5"/>
      <c r="Y261" s="5"/>
      <c r="Z261" s="5"/>
    </row>
    <row r="262">
      <c r="A262" s="5" t="str">
        <f>IFERROR(__xludf.DUMMYFUNCTION("""COMPUTED_VALUE"""),"บุกขาว-10*1kg-ลัง-1")</f>
        <v>บุกขาว-10*1kg-ลัง-1</v>
      </c>
      <c r="B262" s="5">
        <f>IFERROR(__xludf.DUMMYFUNCTION("""COMPUTED_VALUE"""),10435.0)</f>
        <v>10435</v>
      </c>
      <c r="C262" s="5" t="str">
        <f>IFERROR(__xludf.DUMMYFUNCTION("""COMPUTED_VALUE"""),"บุกขาว (ลัง)")</f>
        <v>บุกขาว (ลัง)</v>
      </c>
      <c r="D262" s="5"/>
      <c r="E262" s="5" t="str">
        <f>IFERROR(__xludf.DUMMYFUNCTION("""COMPUTED_VALUE"""),"&lt;p&gt;S&lt;/p&gt;")</f>
        <v>&lt;p&gt;S&lt;/p&gt;</v>
      </c>
      <c r="F262" s="5" t="str">
        <f>IFERROR(__xludf.DUMMYFUNCTION("""COMPUTED_VALUE"""),"N")</f>
        <v>N</v>
      </c>
      <c r="G262" s="5"/>
      <c r="H262" s="5"/>
      <c r="I262" s="5"/>
      <c r="J262" s="5"/>
      <c r="K262" s="5"/>
      <c r="L262" s="5"/>
      <c r="M262" s="5"/>
      <c r="N262" s="5">
        <f>IFERROR(__xludf.DUMMYFUNCTION("""COMPUTED_VALUE"""),10435.0)</f>
        <v>10435</v>
      </c>
      <c r="O262" s="5">
        <f>IFERROR(__xludf.DUMMYFUNCTION("""COMPUTED_VALUE"""),20146.0)</f>
        <v>20146</v>
      </c>
      <c r="P262" s="5">
        <f>IFERROR(__xludf.DUMMYFUNCTION("""COMPUTED_VALUE"""),10.0)</f>
        <v>10</v>
      </c>
      <c r="Q262" s="5" t="str">
        <f>IFERROR(__xludf.DUMMYFUNCTION("""COMPUTED_VALUE"""),"N")</f>
        <v>N</v>
      </c>
      <c r="R262" s="5" t="str">
        <f>IFERROR(__xludf.DUMMYFUNCTION("""COMPUTED_VALUE"""),"N")</f>
        <v>N</v>
      </c>
      <c r="S262" s="5"/>
      <c r="T262" s="5"/>
      <c r="U262" s="5" t="str">
        <f>IFERROR(__xludf.DUMMYFUNCTION("""COMPUTED_VALUE"""),"Y")</f>
        <v>Y</v>
      </c>
      <c r="V262" s="5">
        <f>IFERROR(__xludf.DUMMYFUNCTION("""COMPUTED_VALUE"""),530.0)</f>
        <v>530</v>
      </c>
      <c r="W262" s="5"/>
      <c r="X262" s="5"/>
      <c r="Y262" s="5"/>
      <c r="Z262" s="5"/>
    </row>
    <row r="263">
      <c r="A263" s="5" t="str">
        <f>IFERROR(__xludf.DUMMYFUNCTION("""COMPUTED_VALUE"""),"บุกขาว-1kg-1")</f>
        <v>บุกขาว-1kg-1</v>
      </c>
      <c r="B263" s="5">
        <f>IFERROR(__xludf.DUMMYFUNCTION("""COMPUTED_VALUE"""),20146.0)</f>
        <v>20146</v>
      </c>
      <c r="C263" s="5" t="str">
        <f>IFERROR(__xludf.DUMMYFUNCTION("""COMPUTED_VALUE"""),"บุกขาว 1Kg")</f>
        <v>บุกขาว 1Kg</v>
      </c>
      <c r="D263" s="5" t="str">
        <f>IFERROR(__xludf.DUMMYFUNCTION("""COMPUTED_VALUE"""),"อร่อย")</f>
        <v>อร่อย</v>
      </c>
      <c r="E263" s="5" t="str">
        <f>IFERROR(__xludf.DUMMYFUNCTION("""COMPUTED_VALUE"""),"&lt;p&gt;B&lt;/p&gt;")</f>
        <v>&lt;p&gt;B&lt;/p&gt;</v>
      </c>
      <c r="F263" s="5" t="str">
        <f>IFERROR(__xludf.DUMMYFUNCTION("""COMPUTED_VALUE"""),"N")</f>
        <v>N</v>
      </c>
      <c r="G263" s="5"/>
      <c r="H263" s="5"/>
      <c r="I263" s="5"/>
      <c r="J263" s="5"/>
      <c r="K263" s="5"/>
      <c r="L263" s="5"/>
      <c r="M263" s="5">
        <f>IFERROR(__xludf.DUMMYFUNCTION("""COMPUTED_VALUE"""),43.0)</f>
        <v>43</v>
      </c>
      <c r="N263" s="5">
        <f>IFERROR(__xludf.DUMMYFUNCTION("""COMPUTED_VALUE"""),8.859849200025E12)</f>
        <v>8859849200025</v>
      </c>
      <c r="O263" s="5"/>
      <c r="P263" s="5"/>
      <c r="Q263" s="5" t="str">
        <f>IFERROR(__xludf.DUMMYFUNCTION("""COMPUTED_VALUE"""),"Y")</f>
        <v>Y</v>
      </c>
      <c r="R263" s="5"/>
      <c r="S263" s="5" t="str">
        <f>IFERROR(__xludf.DUMMYFUNCTION("""COMPUTED_VALUE"""),"หมูอร่อย")</f>
        <v>หมูอร่อย</v>
      </c>
      <c r="T263" s="5">
        <f>IFERROR(__xludf.DUMMYFUNCTION("""COMPUTED_VALUE"""),43.0)</f>
        <v>43</v>
      </c>
      <c r="U263" s="5" t="str">
        <f>IFERROR(__xludf.DUMMYFUNCTION("""COMPUTED_VALUE"""),"Y")</f>
        <v>Y</v>
      </c>
      <c r="V263" s="5">
        <f>IFERROR(__xludf.DUMMYFUNCTION("""COMPUTED_VALUE"""),60.0)</f>
        <v>60</v>
      </c>
      <c r="W263" s="5">
        <f>IFERROR(__xludf.DUMMYFUNCTION("""COMPUTED_VALUE"""),105.0)</f>
        <v>105</v>
      </c>
      <c r="X263" s="5">
        <f>IFERROR(__xludf.DUMMYFUNCTION("""COMPUTED_VALUE"""),16.0)</f>
        <v>16</v>
      </c>
      <c r="Y263" s="5">
        <f>IFERROR(__xludf.DUMMYFUNCTION("""COMPUTED_VALUE"""),24.0)</f>
        <v>24</v>
      </c>
      <c r="Z263" s="5"/>
    </row>
    <row r="264">
      <c r="A264" s="5" t="str">
        <f>IFERROR(__xludf.DUMMYFUNCTION("""COMPUTED_VALUE"""),"บุกม้วน-10*1-kg-ลัง")</f>
        <v>บุกม้วน-10*1-kg-ลัง</v>
      </c>
      <c r="B264" s="5">
        <f>IFERROR(__xludf.DUMMYFUNCTION("""COMPUTED_VALUE"""),11553.0)</f>
        <v>11553</v>
      </c>
      <c r="C264" s="5" t="str">
        <f>IFERROR(__xludf.DUMMYFUNCTION("""COMPUTED_VALUE"""),"บุกม้วน (ลัง)")</f>
        <v>บุกม้วน (ลัง)</v>
      </c>
      <c r="D264" s="5"/>
      <c r="E264" s="5" t="str">
        <f>IFERROR(__xludf.DUMMYFUNCTION("""COMPUTED_VALUE"""),"&lt;p&gt;S&lt;/p&gt;")</f>
        <v>&lt;p&gt;S&lt;/p&gt;</v>
      </c>
      <c r="F264" s="5" t="str">
        <f>IFERROR(__xludf.DUMMYFUNCTION("""COMPUTED_VALUE"""),"N")</f>
        <v>N</v>
      </c>
      <c r="G264" s="5"/>
      <c r="H264" s="5"/>
      <c r="I264" s="5"/>
      <c r="J264" s="5"/>
      <c r="K264" s="5"/>
      <c r="L264" s="5"/>
      <c r="M264" s="5"/>
      <c r="N264" s="5">
        <f>IFERROR(__xludf.DUMMYFUNCTION("""COMPUTED_VALUE"""),11553.0)</f>
        <v>11553</v>
      </c>
      <c r="O264" s="5">
        <f>IFERROR(__xludf.DUMMYFUNCTION("""COMPUTED_VALUE"""),11513.0)</f>
        <v>11513</v>
      </c>
      <c r="P264" s="5">
        <f>IFERROR(__xludf.DUMMYFUNCTION("""COMPUTED_VALUE"""),10.0)</f>
        <v>10</v>
      </c>
      <c r="Q264" s="5" t="str">
        <f>IFERROR(__xludf.DUMMYFUNCTION("""COMPUTED_VALUE"""),"N")</f>
        <v>N</v>
      </c>
      <c r="R264" s="5" t="str">
        <f>IFERROR(__xludf.DUMMYFUNCTION("""COMPUTED_VALUE"""),"N")</f>
        <v>N</v>
      </c>
      <c r="S264" s="5"/>
      <c r="T264" s="5"/>
      <c r="U264" s="5" t="str">
        <f>IFERROR(__xludf.DUMMYFUNCTION("""COMPUTED_VALUE"""),"Y")</f>
        <v>Y</v>
      </c>
      <c r="V264" s="5">
        <f>IFERROR(__xludf.DUMMYFUNCTION("""COMPUTED_VALUE"""),830.0)</f>
        <v>830</v>
      </c>
      <c r="W264" s="5"/>
      <c r="X264" s="5"/>
      <c r="Y264" s="5"/>
      <c r="Z264" s="5"/>
    </row>
    <row r="265">
      <c r="A265" s="5" t="str">
        <f>IFERROR(__xludf.DUMMYFUNCTION("""COMPUTED_VALUE"""),"บุกม้วน-1-kg")</f>
        <v>บุกม้วน-1-kg</v>
      </c>
      <c r="B265" s="5">
        <f>IFERROR(__xludf.DUMMYFUNCTION("""COMPUTED_VALUE"""),11513.0)</f>
        <v>11513</v>
      </c>
      <c r="C265" s="5" t="str">
        <f>IFERROR(__xludf.DUMMYFUNCTION("""COMPUTED_VALUE"""),"บุกม้วน 1 Kg")</f>
        <v>บุกม้วน 1 Kg</v>
      </c>
      <c r="D265" s="5" t="str">
        <f>IFERROR(__xludf.DUMMYFUNCTION("""COMPUTED_VALUE"""),"**ของแห้ง")</f>
        <v>**ของแห้ง</v>
      </c>
      <c r="E265" s="5" t="str">
        <f>IFERROR(__xludf.DUMMYFUNCTION("""COMPUTED_VALUE"""),"&lt;p&gt;X&lt;/p&gt;")</f>
        <v>&lt;p&gt;X&lt;/p&gt;</v>
      </c>
      <c r="F265" s="5" t="str">
        <f>IFERROR(__xludf.DUMMYFUNCTION("""COMPUTED_VALUE"""),"N")</f>
        <v>N</v>
      </c>
      <c r="G265" s="5"/>
      <c r="H265" s="5"/>
      <c r="I265" s="5"/>
      <c r="J265" s="5"/>
      <c r="K265" s="5"/>
      <c r="L265" s="5"/>
      <c r="M265" s="5">
        <f>IFERROR(__xludf.DUMMYFUNCTION("""COMPUTED_VALUE"""),74.9)</f>
        <v>74.9</v>
      </c>
      <c r="N265" s="5">
        <f>IFERROR(__xludf.DUMMYFUNCTION("""COMPUTED_VALUE"""),11513.0)</f>
        <v>11513</v>
      </c>
      <c r="O265" s="5"/>
      <c r="P265" s="5"/>
      <c r="Q265" s="5" t="str">
        <f>IFERROR(__xludf.DUMMYFUNCTION("""COMPUTED_VALUE"""),"Y")</f>
        <v>Y</v>
      </c>
      <c r="R265" s="5"/>
      <c r="S265" s="5"/>
      <c r="T265" s="5">
        <f>IFERROR(__xludf.DUMMYFUNCTION("""COMPUTED_VALUE"""),74.9)</f>
        <v>74.9</v>
      </c>
      <c r="U265" s="5" t="str">
        <f>IFERROR(__xludf.DUMMYFUNCTION("""COMPUTED_VALUE"""),"Y")</f>
        <v>Y</v>
      </c>
      <c r="V265" s="5">
        <f>IFERROR(__xludf.DUMMYFUNCTION("""COMPUTED_VALUE"""),85.0)</f>
        <v>85</v>
      </c>
      <c r="W265" s="5">
        <f>IFERROR(__xludf.DUMMYFUNCTION("""COMPUTED_VALUE"""),43.0)</f>
        <v>43</v>
      </c>
      <c r="X265" s="5"/>
      <c r="Y265" s="5"/>
      <c r="Z265" s="5"/>
    </row>
    <row r="266">
      <c r="A266" s="5" t="str">
        <f>IFERROR(__xludf.DUMMYFUNCTION("""COMPUTED_VALUE"""),"บุกไข่-10*1kg-ลัง-1")</f>
        <v>บุกไข่-10*1kg-ลัง-1</v>
      </c>
      <c r="B266" s="5">
        <f>IFERROR(__xludf.DUMMYFUNCTION("""COMPUTED_VALUE"""),10417.0)</f>
        <v>10417</v>
      </c>
      <c r="C266" s="5" t="str">
        <f>IFERROR(__xludf.DUMMYFUNCTION("""COMPUTED_VALUE"""),"บุกไข่  (ลัง)")</f>
        <v>บุกไข่  (ลัง)</v>
      </c>
      <c r="D266" s="5"/>
      <c r="E266" s="5" t="str">
        <f>IFERROR(__xludf.DUMMYFUNCTION("""COMPUTED_VALUE"""),"&lt;p&gt;X&lt;/p&gt;")</f>
        <v>&lt;p&gt;X&lt;/p&gt;</v>
      </c>
      <c r="F266" s="5" t="str">
        <f>IFERROR(__xludf.DUMMYFUNCTION("""COMPUTED_VALUE"""),"N")</f>
        <v>N</v>
      </c>
      <c r="G266" s="5"/>
      <c r="H266" s="5"/>
      <c r="I266" s="5"/>
      <c r="J266" s="5"/>
      <c r="K266" s="5"/>
      <c r="L266" s="5"/>
      <c r="M266" s="5"/>
      <c r="N266" s="5">
        <f>IFERROR(__xludf.DUMMYFUNCTION("""COMPUTED_VALUE"""),8.859849200032E12)</f>
        <v>8859849200032</v>
      </c>
      <c r="O266" s="5">
        <f>IFERROR(__xludf.DUMMYFUNCTION("""COMPUTED_VALUE"""),20147.0)</f>
        <v>20147</v>
      </c>
      <c r="P266" s="5">
        <f>IFERROR(__xludf.DUMMYFUNCTION("""COMPUTED_VALUE"""),10.0)</f>
        <v>10</v>
      </c>
      <c r="Q266" s="5" t="str">
        <f>IFERROR(__xludf.DUMMYFUNCTION("""COMPUTED_VALUE"""),"N")</f>
        <v>N</v>
      </c>
      <c r="R266" s="5" t="str">
        <f>IFERROR(__xludf.DUMMYFUNCTION("""COMPUTED_VALUE"""),"N")</f>
        <v>N</v>
      </c>
      <c r="S266" s="5"/>
      <c r="T266" s="5"/>
      <c r="U266" s="5" t="str">
        <f>IFERROR(__xludf.DUMMYFUNCTION("""COMPUTED_VALUE"""),"Y")</f>
        <v>Y</v>
      </c>
      <c r="V266" s="5">
        <f>IFERROR(__xludf.DUMMYFUNCTION("""COMPUTED_VALUE"""),670.0)</f>
        <v>670</v>
      </c>
      <c r="W266" s="5"/>
      <c r="X266" s="5"/>
      <c r="Y266" s="5"/>
      <c r="Z266" s="5"/>
    </row>
    <row r="267">
      <c r="A267" s="5" t="str">
        <f>IFERROR(__xludf.DUMMYFUNCTION("""COMPUTED_VALUE"""),"บุกไข่-1kg-1")</f>
        <v>บุกไข่-1kg-1</v>
      </c>
      <c r="B267" s="5">
        <f>IFERROR(__xludf.DUMMYFUNCTION("""COMPUTED_VALUE"""),20147.0)</f>
        <v>20147</v>
      </c>
      <c r="C267" s="5" t="str">
        <f>IFERROR(__xludf.DUMMYFUNCTION("""COMPUTED_VALUE"""),"บุกไข่ 1Kg")</f>
        <v>บุกไข่ 1Kg</v>
      </c>
      <c r="D267" s="5" t="str">
        <f>IFERROR(__xludf.DUMMYFUNCTION("""COMPUTED_VALUE"""),"อร่อย")</f>
        <v>อร่อย</v>
      </c>
      <c r="E267" s="5" t="str">
        <f>IFERROR(__xludf.DUMMYFUNCTION("""COMPUTED_VALUE"""),"&lt;p&gt;X&lt;/p&gt;")</f>
        <v>&lt;p&gt;X&lt;/p&gt;</v>
      </c>
      <c r="F267" s="5" t="str">
        <f>IFERROR(__xludf.DUMMYFUNCTION("""COMPUTED_VALUE"""),"N")</f>
        <v>N</v>
      </c>
      <c r="G267" s="5"/>
      <c r="H267" s="5"/>
      <c r="I267" s="5"/>
      <c r="J267" s="5"/>
      <c r="K267" s="5"/>
      <c r="L267" s="5"/>
      <c r="M267" s="5">
        <f>IFERROR(__xludf.DUMMYFUNCTION("""COMPUTED_VALUE"""),57.01)</f>
        <v>57.01</v>
      </c>
      <c r="N267" s="5">
        <f>IFERROR(__xludf.DUMMYFUNCTION("""COMPUTED_VALUE"""),20147.0)</f>
        <v>20147</v>
      </c>
      <c r="O267" s="5"/>
      <c r="P267" s="5"/>
      <c r="Q267" s="5" t="str">
        <f>IFERROR(__xludf.DUMMYFUNCTION("""COMPUTED_VALUE"""),"Y")</f>
        <v>Y</v>
      </c>
      <c r="R267" s="5"/>
      <c r="S267" s="5" t="str">
        <f>IFERROR(__xludf.DUMMYFUNCTION("""COMPUTED_VALUE"""),"หมูอร่อย")</f>
        <v>หมูอร่อย</v>
      </c>
      <c r="T267" s="5">
        <f>IFERROR(__xludf.DUMMYFUNCTION("""COMPUTED_VALUE"""),57.0)</f>
        <v>57</v>
      </c>
      <c r="U267" s="5" t="str">
        <f>IFERROR(__xludf.DUMMYFUNCTION("""COMPUTED_VALUE"""),"Y")</f>
        <v>Y</v>
      </c>
      <c r="V267" s="5">
        <f>IFERROR(__xludf.DUMMYFUNCTION("""COMPUTED_VALUE"""),74.0)</f>
        <v>74</v>
      </c>
      <c r="W267" s="5">
        <f>IFERROR(__xludf.DUMMYFUNCTION("""COMPUTED_VALUE"""),93.0)</f>
        <v>93</v>
      </c>
      <c r="X267" s="5">
        <f>IFERROR(__xludf.DUMMYFUNCTION("""COMPUTED_VALUE"""),30.0)</f>
        <v>30</v>
      </c>
      <c r="Y267" s="5">
        <f>IFERROR(__xludf.DUMMYFUNCTION("""COMPUTED_VALUE"""),60.0)</f>
        <v>60</v>
      </c>
      <c r="Z267" s="5"/>
    </row>
    <row r="268">
      <c r="A268" s="5" t="str">
        <f>IFERROR(__xludf.DUMMYFUNCTION("""COMPUTED_VALUE"""),"ปลาการ์ตูน--ถุง-500-กรัม")</f>
        <v>ปลาการ์ตูน--ถุง-500-กรัม</v>
      </c>
      <c r="B268" s="5">
        <f>IFERROR(__xludf.DUMMYFUNCTION("""COMPUTED_VALUE"""),10860.0)</f>
        <v>10860</v>
      </c>
      <c r="C268" s="5" t="str">
        <f>IFERROR(__xludf.DUMMYFUNCTION("""COMPUTED_VALUE"""),"ปลาการ์ตูน  ถุง 500 กรัม")</f>
        <v>ปลาการ์ตูน  ถุง 500 กรัม</v>
      </c>
      <c r="D268" s="5"/>
      <c r="E268" s="5"/>
      <c r="F268" s="5" t="str">
        <f>IFERROR(__xludf.DUMMYFUNCTION("""COMPUTED_VALUE"""),"N")</f>
        <v>N</v>
      </c>
      <c r="G268" s="5"/>
      <c r="H268" s="5"/>
      <c r="I268" s="5"/>
      <c r="J268" s="5"/>
      <c r="K268" s="5"/>
      <c r="L268" s="5"/>
      <c r="M268" s="5"/>
      <c r="N268" s="5"/>
      <c r="O268" s="5">
        <f>IFERROR(__xludf.DUMMYFUNCTION("""COMPUTED_VALUE"""),10859.0)</f>
        <v>10859</v>
      </c>
      <c r="P268" s="5">
        <f>IFERROR(__xludf.DUMMYFUNCTION("""COMPUTED_VALUE"""),0.05)</f>
        <v>0.05</v>
      </c>
      <c r="Q268" s="5" t="str">
        <f>IFERROR(__xludf.DUMMYFUNCTION("""COMPUTED_VALUE"""),"N")</f>
        <v>N</v>
      </c>
      <c r="R268" s="5" t="str">
        <f>IFERROR(__xludf.DUMMYFUNCTION("""COMPUTED_VALUE"""),"N")</f>
        <v>N</v>
      </c>
      <c r="S268" s="5"/>
      <c r="T268" s="5"/>
      <c r="U268" s="5" t="str">
        <f>IFERROR(__xludf.DUMMYFUNCTION("""COMPUTED_VALUE"""),"Y")</f>
        <v>Y</v>
      </c>
      <c r="V268" s="5">
        <f>IFERROR(__xludf.DUMMYFUNCTION("""COMPUTED_VALUE"""),68.0)</f>
        <v>68</v>
      </c>
      <c r="W268" s="5"/>
      <c r="X268" s="5"/>
      <c r="Y268" s="5"/>
      <c r="Z268" s="5"/>
    </row>
    <row r="269">
      <c r="A269" s="5" t="str">
        <f>IFERROR(__xludf.DUMMYFUNCTION("""COMPUTED_VALUE"""),"ปลาการ์ตูน--1-ลัง")</f>
        <v>ปลาการ์ตูน--1-ลัง</v>
      </c>
      <c r="B269" s="5">
        <f>IFERROR(__xludf.DUMMYFUNCTION("""COMPUTED_VALUE"""),10859.0)</f>
        <v>10859</v>
      </c>
      <c r="C269" s="5" t="str">
        <f>IFERROR(__xludf.DUMMYFUNCTION("""COMPUTED_VALUE"""),"ปลาการ์ตูน 500g*20 (ลัง)")</f>
        <v>ปลาการ์ตูน 500g*20 (ลัง)</v>
      </c>
      <c r="D269" s="5" t="str">
        <f>IFERROR(__xludf.DUMMYFUNCTION("""COMPUTED_VALUE"""),"ทวีวงษ์-PFP")</f>
        <v>ทวีวงษ์-PFP</v>
      </c>
      <c r="E269" s="5"/>
      <c r="F269" s="5" t="str">
        <f>IFERROR(__xludf.DUMMYFUNCTION("""COMPUTED_VALUE"""),"N")</f>
        <v>N</v>
      </c>
      <c r="G269" s="5"/>
      <c r="H269" s="5"/>
      <c r="I269" s="5"/>
      <c r="J269" s="5"/>
      <c r="K269" s="5"/>
      <c r="L269" s="5"/>
      <c r="M269" s="5">
        <f>IFERROR(__xludf.DUMMYFUNCTION("""COMPUTED_VALUE"""),1140.0)</f>
        <v>1140</v>
      </c>
      <c r="N269" s="5"/>
      <c r="O269" s="5"/>
      <c r="P269" s="5"/>
      <c r="Q269" s="5" t="str">
        <f>IFERROR(__xludf.DUMMYFUNCTION("""COMPUTED_VALUE"""),"Y")</f>
        <v>Y</v>
      </c>
      <c r="R269" s="5"/>
      <c r="S269" s="5" t="str">
        <f>IFERROR(__xludf.DUMMYFUNCTION("""COMPUTED_VALUE"""),"ทวีวงษ์")</f>
        <v>ทวีวงษ์</v>
      </c>
      <c r="T269" s="5">
        <f>IFERROR(__xludf.DUMMYFUNCTION("""COMPUTED_VALUE"""),1120.0)</f>
        <v>1120</v>
      </c>
      <c r="U269" s="5" t="str">
        <f>IFERROR(__xludf.DUMMYFUNCTION("""COMPUTED_VALUE"""),"Y")</f>
        <v>Y</v>
      </c>
      <c r="V269" s="5">
        <f>IFERROR(__xludf.DUMMYFUNCTION("""COMPUTED_VALUE"""),1200.0)</f>
        <v>1200</v>
      </c>
      <c r="W269" s="5">
        <f>IFERROR(__xludf.DUMMYFUNCTION("""COMPUTED_VALUE"""),1.7)</f>
        <v>1.7</v>
      </c>
      <c r="X269" s="5"/>
      <c r="Y269" s="5"/>
      <c r="Z269" s="5"/>
    </row>
    <row r="270">
      <c r="A270" s="5" t="str">
        <f>IFERROR(__xludf.DUMMYFUNCTION("""COMPUTED_VALUE"""),"ปลาดุกหั่นชิ้น-1kg")</f>
        <v>ปลาดุกหั่นชิ้น-1kg</v>
      </c>
      <c r="B270" s="5">
        <f>IFERROR(__xludf.DUMMYFUNCTION("""COMPUTED_VALUE"""),11036.0)</f>
        <v>11036</v>
      </c>
      <c r="C270" s="5" t="str">
        <f>IFERROR(__xludf.DUMMYFUNCTION("""COMPUTED_VALUE"""),"ปลาดุกหั่นชิ้น 1Kg")</f>
        <v>ปลาดุกหั่นชิ้น 1Kg</v>
      </c>
      <c r="D270" s="5" t="str">
        <f>IFERROR(__xludf.DUMMYFUNCTION("""COMPUTED_VALUE"""),"**ของหิ้ว ร้อยเอ็ด")</f>
        <v>**ของหิ้ว ร้อยเอ็ด</v>
      </c>
      <c r="E270" s="5" t="str">
        <f>IFERROR(__xludf.DUMMYFUNCTION("""COMPUTED_VALUE"""),"&lt;p&gt;X&lt;/p&gt;")</f>
        <v>&lt;p&gt;X&lt;/p&gt;</v>
      </c>
      <c r="F270" s="5" t="str">
        <f>IFERROR(__xludf.DUMMYFUNCTION("""COMPUTED_VALUE"""),"N")</f>
        <v>N</v>
      </c>
      <c r="G270" s="5"/>
      <c r="H270" s="5"/>
      <c r="I270" s="5"/>
      <c r="J270" s="5"/>
      <c r="K270" s="5"/>
      <c r="L270" s="5"/>
      <c r="M270" s="5">
        <f>IFERROR(__xludf.DUMMYFUNCTION("""COMPUTED_VALUE"""),60.0)</f>
        <v>60</v>
      </c>
      <c r="N270" s="5">
        <f>IFERROR(__xludf.DUMMYFUNCTION("""COMPUTED_VALUE"""),11036.0)</f>
        <v>11036</v>
      </c>
      <c r="O270" s="5"/>
      <c r="P270" s="5"/>
      <c r="Q270" s="5" t="str">
        <f>IFERROR(__xludf.DUMMYFUNCTION("""COMPUTED_VALUE"""),"Y")</f>
        <v>Y</v>
      </c>
      <c r="R270" s="5"/>
      <c r="S270" s="5" t="str">
        <f>IFERROR(__xludf.DUMMYFUNCTION("""COMPUTED_VALUE"""),"ปลาดุกหั่นชิ้น")</f>
        <v>ปลาดุกหั่นชิ้น</v>
      </c>
      <c r="T270" s="5">
        <f>IFERROR(__xludf.DUMMYFUNCTION("""COMPUTED_VALUE"""),60.0)</f>
        <v>60</v>
      </c>
      <c r="U270" s="5" t="str">
        <f>IFERROR(__xludf.DUMMYFUNCTION("""COMPUTED_VALUE"""),"Y")</f>
        <v>Y</v>
      </c>
      <c r="V270" s="5">
        <f>IFERROR(__xludf.DUMMYFUNCTION("""COMPUTED_VALUE"""),68.0)</f>
        <v>68</v>
      </c>
      <c r="W270" s="5">
        <f>IFERROR(__xludf.DUMMYFUNCTION("""COMPUTED_VALUE"""),20.0)</f>
        <v>20</v>
      </c>
      <c r="X270" s="5"/>
      <c r="Y270" s="5"/>
      <c r="Z270" s="5"/>
    </row>
    <row r="271">
      <c r="A271" s="5" t="str">
        <f>IFERROR(__xludf.DUMMYFUNCTION("""COMPUTED_VALUE"""),"ปลาทูตาโต-6/8-ลัง-10kg")</f>
        <v>ปลาทูตาโต-6/8-ลัง-10kg</v>
      </c>
      <c r="B271" s="5">
        <f>IFERROR(__xludf.DUMMYFUNCTION("""COMPUTED_VALUE"""),10555.0)</f>
        <v>10555</v>
      </c>
      <c r="C271" s="5" t="str">
        <f>IFERROR(__xludf.DUMMYFUNCTION("""COMPUTED_VALUE"""),"ปลาทู 4/6 10Kg  (ลัง)")</f>
        <v>ปลาทู 4/6 10Kg  (ลัง)</v>
      </c>
      <c r="D271" s="5" t="str">
        <f>IFERROR(__xludf.DUMMYFUNCTION("""COMPUTED_VALUE"""),"**ลัง มหาชัย")</f>
        <v>**ลัง มหาชัย</v>
      </c>
      <c r="E271" s="5" t="str">
        <f>IFERROR(__xludf.DUMMYFUNCTION("""COMPUTED_VALUE"""),"&lt;p&gt;10&lt;/p&gt;")</f>
        <v>&lt;p&gt;10&lt;/p&gt;</v>
      </c>
      <c r="F271" s="5" t="str">
        <f>IFERROR(__xludf.DUMMYFUNCTION("""COMPUTED_VALUE"""),"N")</f>
        <v>N</v>
      </c>
      <c r="G271" s="5"/>
      <c r="H271" s="5"/>
      <c r="I271" s="5"/>
      <c r="J271" s="5"/>
      <c r="K271" s="5"/>
      <c r="L271" s="5"/>
      <c r="M271" s="5">
        <f>IFERROR(__xludf.DUMMYFUNCTION("""COMPUTED_VALUE"""),640.0)</f>
        <v>640</v>
      </c>
      <c r="N271" s="5">
        <f>IFERROR(__xludf.DUMMYFUNCTION("""COMPUTED_VALUE"""),10555.0)</f>
        <v>10555</v>
      </c>
      <c r="O271" s="5"/>
      <c r="P271" s="5"/>
      <c r="Q271" s="5" t="str">
        <f>IFERROR(__xludf.DUMMYFUNCTION("""COMPUTED_VALUE"""),"Y")</f>
        <v>Y</v>
      </c>
      <c r="R271" s="5"/>
      <c r="S271" s="5" t="str">
        <f>IFERROR(__xludf.DUMMYFUNCTION("""COMPUTED_VALUE"""),"ขึ้นของมหาชัย")</f>
        <v>ขึ้นของมหาชัย</v>
      </c>
      <c r="T271" s="5">
        <f>IFERROR(__xludf.DUMMYFUNCTION("""COMPUTED_VALUE"""),640.0)</f>
        <v>640</v>
      </c>
      <c r="U271" s="5" t="str">
        <f>IFERROR(__xludf.DUMMYFUNCTION("""COMPUTED_VALUE"""),"Y")</f>
        <v>Y</v>
      </c>
      <c r="V271" s="5">
        <f>IFERROR(__xludf.DUMMYFUNCTION("""COMPUTED_VALUE"""),850.0)</f>
        <v>850</v>
      </c>
      <c r="W271" s="5">
        <f>IFERROR(__xludf.DUMMYFUNCTION("""COMPUTED_VALUE"""),0.0)</f>
        <v>0</v>
      </c>
      <c r="X271" s="5">
        <f>IFERROR(__xludf.DUMMYFUNCTION("""COMPUTED_VALUE"""),4.0)</f>
        <v>4</v>
      </c>
      <c r="Y271" s="5">
        <f>IFERROR(__xludf.DUMMYFUNCTION("""COMPUTED_VALUE"""),14.0)</f>
        <v>14</v>
      </c>
      <c r="Z271" s="5"/>
    </row>
    <row r="272">
      <c r="A272" s="5" t="str">
        <f>IFERROR(__xludf.DUMMYFUNCTION("""COMPUTED_VALUE"""),"ปลาทูเค็ม-1แพ็ค")</f>
        <v>ปลาทูเค็ม-1แพ็ค</v>
      </c>
      <c r="B272" s="5">
        <f>IFERROR(__xludf.DUMMYFUNCTION("""COMPUTED_VALUE"""),10027.0)</f>
        <v>10027</v>
      </c>
      <c r="C272" s="5" t="str">
        <f>IFERROR(__xludf.DUMMYFUNCTION("""COMPUTED_VALUE"""),"ปลาทู แพ็ค 1 กก")</f>
        <v>ปลาทู แพ็ค 1 กก</v>
      </c>
      <c r="D272" s="5" t="str">
        <f>IFERROR(__xludf.DUMMYFUNCTION("""COMPUTED_VALUE"""),"**ของสด-ทำใหม่")</f>
        <v>**ของสด-ทำใหม่</v>
      </c>
      <c r="E272" s="5" t="str">
        <f>IFERROR(__xludf.DUMMYFUNCTION("""COMPUTED_VALUE"""),"&lt;p&gt;X&lt;/p&gt;")</f>
        <v>&lt;p&gt;X&lt;/p&gt;</v>
      </c>
      <c r="F272" s="5" t="str">
        <f>IFERROR(__xludf.DUMMYFUNCTION("""COMPUTED_VALUE"""),"N")</f>
        <v>N</v>
      </c>
      <c r="G272" s="5"/>
      <c r="H272" s="5"/>
      <c r="I272" s="5"/>
      <c r="J272" s="5"/>
      <c r="K272" s="5"/>
      <c r="L272" s="5"/>
      <c r="M272" s="5"/>
      <c r="N272" s="5">
        <f>IFERROR(__xludf.DUMMYFUNCTION("""COMPUTED_VALUE"""),10027.0)</f>
        <v>10027</v>
      </c>
      <c r="O272" s="5">
        <f>IFERROR(__xludf.DUMMYFUNCTION("""COMPUTED_VALUE"""),10555.0)</f>
        <v>10555</v>
      </c>
      <c r="P272" s="5">
        <f>IFERROR(__xludf.DUMMYFUNCTION("""COMPUTED_VALUE"""),0.1)</f>
        <v>0.1</v>
      </c>
      <c r="Q272" s="5" t="str">
        <f>IFERROR(__xludf.DUMMYFUNCTION("""COMPUTED_VALUE"""),"N")</f>
        <v>N</v>
      </c>
      <c r="R272" s="5" t="str">
        <f>IFERROR(__xludf.DUMMYFUNCTION("""COMPUTED_VALUE"""),"N")</f>
        <v>N</v>
      </c>
      <c r="S272" s="5"/>
      <c r="T272" s="5"/>
      <c r="U272" s="5" t="str">
        <f>IFERROR(__xludf.DUMMYFUNCTION("""COMPUTED_VALUE"""),"Y")</f>
        <v>Y</v>
      </c>
      <c r="V272" s="5">
        <f>IFERROR(__xludf.DUMMYFUNCTION("""COMPUTED_VALUE"""),85.0)</f>
        <v>85</v>
      </c>
      <c r="W272" s="5"/>
      <c r="X272" s="5"/>
      <c r="Y272" s="5"/>
      <c r="Z272" s="5"/>
    </row>
    <row r="273">
      <c r="A273" s="5" t="str">
        <f>IFERROR(__xludf.DUMMYFUNCTION("""COMPUTED_VALUE"""),"ปลาทู(เค็ม)")</f>
        <v>ปลาทู(เค็ม)</v>
      </c>
      <c r="B273" s="5">
        <f>IFERROR(__xludf.DUMMYFUNCTION("""COMPUTED_VALUE"""),10846.0)</f>
        <v>10846</v>
      </c>
      <c r="C273" s="5" t="str">
        <f>IFERROR(__xludf.DUMMYFUNCTION("""COMPUTED_VALUE"""),"ปลาทู(หอม)")</f>
        <v>ปลาทู(หอม)</v>
      </c>
      <c r="D273" s="5" t="str">
        <f>IFERROR(__xludf.DUMMYFUNCTION("""COMPUTED_VALUE"""),"**ของหิ้ว มหาชัย")</f>
        <v>**ของหิ้ว มหาชัย</v>
      </c>
      <c r="E273" s="5" t="str">
        <f>IFERROR(__xludf.DUMMYFUNCTION("""COMPUTED_VALUE"""),"5")</f>
        <v>5</v>
      </c>
      <c r="F273" s="5" t="str">
        <f>IFERROR(__xludf.DUMMYFUNCTION("""COMPUTED_VALUE"""),"N")</f>
        <v>N</v>
      </c>
      <c r="G273" s="5"/>
      <c r="H273" s="5"/>
      <c r="I273" s="5"/>
      <c r="J273" s="5"/>
      <c r="K273" s="5"/>
      <c r="L273" s="5"/>
      <c r="M273" s="5">
        <f>IFERROR(__xludf.DUMMYFUNCTION("""COMPUTED_VALUE"""),12.46)</f>
        <v>12.46</v>
      </c>
      <c r="N273" s="5"/>
      <c r="O273" s="5"/>
      <c r="P273" s="5"/>
      <c r="Q273" s="5" t="str">
        <f>IFERROR(__xludf.DUMMYFUNCTION("""COMPUTED_VALUE"""),"Y")</f>
        <v>Y</v>
      </c>
      <c r="R273" s="5"/>
      <c r="S273" s="5" t="str">
        <f>IFERROR(__xludf.DUMMYFUNCTION("""COMPUTED_VALUE"""),"ขึ้นของมหาชัย")</f>
        <v>ขึ้นของมหาชัย</v>
      </c>
      <c r="T273" s="5">
        <f>IFERROR(__xludf.DUMMYFUNCTION("""COMPUTED_VALUE"""),12.0)</f>
        <v>12</v>
      </c>
      <c r="U273" s="5" t="str">
        <f>IFERROR(__xludf.DUMMYFUNCTION("""COMPUTED_VALUE"""),"Y")</f>
        <v>Y</v>
      </c>
      <c r="V273" s="5">
        <f>IFERROR(__xludf.DUMMYFUNCTION("""COMPUTED_VALUE"""),20.0)</f>
        <v>20</v>
      </c>
      <c r="W273" s="5">
        <f>IFERROR(__xludf.DUMMYFUNCTION("""COMPUTED_VALUE"""),9.0)</f>
        <v>9</v>
      </c>
      <c r="X273" s="5">
        <f>IFERROR(__xludf.DUMMYFUNCTION("""COMPUTED_VALUE"""),0.0)</f>
        <v>0</v>
      </c>
      <c r="Y273" s="5">
        <f>IFERROR(__xludf.DUMMYFUNCTION("""COMPUTED_VALUE"""),0.0)</f>
        <v>0</v>
      </c>
      <c r="Z273" s="5"/>
    </row>
    <row r="274">
      <c r="A274" s="5" t="str">
        <f>IFERROR(__xludf.DUMMYFUNCTION("""COMPUTED_VALUE"""),"ปลาทู(เค็ม)-10แพ็ค/หิ้ว")</f>
        <v>ปลาทู(เค็ม)-10แพ็ค/หิ้ว</v>
      </c>
      <c r="B274" s="5">
        <f>IFERROR(__xludf.DUMMYFUNCTION("""COMPUTED_VALUE"""),10848.0)</f>
        <v>10848</v>
      </c>
      <c r="C274" s="5" t="str">
        <f>IFERROR(__xludf.DUMMYFUNCTION("""COMPUTED_VALUE"""),"ปลาทู(หอม) 10แพ็ค/หิ้ว")</f>
        <v>ปลาทู(หอม) 10แพ็ค/หิ้ว</v>
      </c>
      <c r="D274" s="5"/>
      <c r="E274" s="5"/>
      <c r="F274" s="5" t="str">
        <f>IFERROR(__xludf.DUMMYFUNCTION("""COMPUTED_VALUE"""),"N")</f>
        <v>N</v>
      </c>
      <c r="G274" s="5"/>
      <c r="H274" s="5"/>
      <c r="I274" s="5"/>
      <c r="J274" s="5"/>
      <c r="K274" s="5"/>
      <c r="L274" s="5"/>
      <c r="M274" s="5"/>
      <c r="N274" s="5"/>
      <c r="O274" s="5">
        <f>IFERROR(__xludf.DUMMYFUNCTION("""COMPUTED_VALUE"""),10846.0)</f>
        <v>10846</v>
      </c>
      <c r="P274" s="5">
        <f>IFERROR(__xludf.DUMMYFUNCTION("""COMPUTED_VALUE"""),10.0)</f>
        <v>10</v>
      </c>
      <c r="Q274" s="5" t="str">
        <f>IFERROR(__xludf.DUMMYFUNCTION("""COMPUTED_VALUE"""),"N")</f>
        <v>N</v>
      </c>
      <c r="R274" s="5" t="str">
        <f>IFERROR(__xludf.DUMMYFUNCTION("""COMPUTED_VALUE"""),"N")</f>
        <v>N</v>
      </c>
      <c r="S274" s="5"/>
      <c r="T274" s="5"/>
      <c r="U274" s="5" t="str">
        <f>IFERROR(__xludf.DUMMYFUNCTION("""COMPUTED_VALUE"""),"Y")</f>
        <v>Y</v>
      </c>
      <c r="V274" s="5">
        <f>IFERROR(__xludf.DUMMYFUNCTION("""COMPUTED_VALUE"""),150.0)</f>
        <v>150</v>
      </c>
      <c r="W274" s="5"/>
      <c r="X274" s="5"/>
      <c r="Y274" s="5"/>
      <c r="Z274" s="5"/>
    </row>
    <row r="275">
      <c r="A275" s="5" t="str">
        <f>IFERROR(__xludf.DUMMYFUNCTION("""COMPUTED_VALUE"""),"ปลาทูเยเมน-4/6-ลัง-10kg")</f>
        <v>ปลาทูเยเมน-4/6-ลัง-10kg</v>
      </c>
      <c r="B275" s="5">
        <f>IFERROR(__xludf.DUMMYFUNCTION("""COMPUTED_VALUE"""),10074.0)</f>
        <v>10074</v>
      </c>
      <c r="C275" s="5" t="str">
        <f>IFERROR(__xludf.DUMMYFUNCTION("""COMPUTED_VALUE"""),"ปลาทูตาโต 10Kg")</f>
        <v>ปลาทูตาโต 10Kg</v>
      </c>
      <c r="D275" s="5" t="str">
        <f>IFERROR(__xludf.DUMMYFUNCTION("""COMPUTED_VALUE"""),"**ลัง ร้อยเอ็ด")</f>
        <v>**ลัง ร้อยเอ็ด</v>
      </c>
      <c r="E275" s="5" t="str">
        <f>IFERROR(__xludf.DUMMYFUNCTION("""COMPUTED_VALUE"""),"&lt;p&gt;เอ็กซ์&lt;/p&gt;")</f>
        <v>&lt;p&gt;เอ็กซ์&lt;/p&gt;</v>
      </c>
      <c r="F275" s="5" t="str">
        <f>IFERROR(__xludf.DUMMYFUNCTION("""COMPUTED_VALUE"""),"N")</f>
        <v>N</v>
      </c>
      <c r="G275" s="5"/>
      <c r="H275" s="5"/>
      <c r="I275" s="5"/>
      <c r="J275" s="5"/>
      <c r="K275" s="5"/>
      <c r="L275" s="5"/>
      <c r="M275" s="5">
        <f>IFERROR(__xludf.DUMMYFUNCTION("""COMPUTED_VALUE"""),540.0)</f>
        <v>540</v>
      </c>
      <c r="N275" s="5">
        <f>IFERROR(__xludf.DUMMYFUNCTION("""COMPUTED_VALUE"""),10074.0)</f>
        <v>10074</v>
      </c>
      <c r="O275" s="5"/>
      <c r="P275" s="5"/>
      <c r="Q275" s="5" t="str">
        <f>IFERROR(__xludf.DUMMYFUNCTION("""COMPUTED_VALUE"""),"Y")</f>
        <v>Y</v>
      </c>
      <c r="R275" s="5"/>
      <c r="S275" s="5" t="str">
        <f>IFERROR(__xludf.DUMMYFUNCTION("""COMPUTED_VALUE"""),"บุญศิริ")</f>
        <v>บุญศิริ</v>
      </c>
      <c r="T275" s="5">
        <f>IFERROR(__xludf.DUMMYFUNCTION("""COMPUTED_VALUE"""),560.0)</f>
        <v>560</v>
      </c>
      <c r="U275" s="5" t="str">
        <f>IFERROR(__xludf.DUMMYFUNCTION("""COMPUTED_VALUE"""),"Y")</f>
        <v>Y</v>
      </c>
      <c r="V275" s="5">
        <f>IFERROR(__xludf.DUMMYFUNCTION("""COMPUTED_VALUE"""),690.0)</f>
        <v>690</v>
      </c>
      <c r="W275" s="5">
        <f>IFERROR(__xludf.DUMMYFUNCTION("""COMPUTED_VALUE"""),2.0)</f>
        <v>2</v>
      </c>
      <c r="X275" s="5">
        <f>IFERROR(__xludf.DUMMYFUNCTION("""COMPUTED_VALUE"""),2.0)</f>
        <v>2</v>
      </c>
      <c r="Y275" s="5">
        <f>IFERROR(__xludf.DUMMYFUNCTION("""COMPUTED_VALUE"""),10.0)</f>
        <v>10</v>
      </c>
      <c r="Z275" s="5"/>
    </row>
    <row r="276">
      <c r="A276" s="5" t="str">
        <f>IFERROR(__xludf.DUMMYFUNCTION("""COMPUTED_VALUE"""),"ปลายหนวด-(แพนด้า)")</f>
        <v>ปลายหนวด-(แพนด้า)</v>
      </c>
      <c r="B276" s="5">
        <f>IFERROR(__xludf.DUMMYFUNCTION("""COMPUTED_VALUE"""),11236.0)</f>
        <v>11236</v>
      </c>
      <c r="C276" s="5" t="str">
        <f>IFERROR(__xludf.DUMMYFUNCTION("""COMPUTED_VALUE"""),"ปลายหนวด A  (ลัง)")</f>
        <v>ปลายหนวด A  (ลัง)</v>
      </c>
      <c r="D276" s="5" t="str">
        <f>IFERROR(__xludf.DUMMYFUNCTION("""COMPUTED_VALUE"""),"**ลัง มหาชัย")</f>
        <v>**ลัง มหาชัย</v>
      </c>
      <c r="E276" s="5" t="str">
        <f>IFERROR(__xludf.DUMMYFUNCTION("""COMPUTED_VALUE"""),"10")</f>
        <v>10</v>
      </c>
      <c r="F276" s="5" t="str">
        <f>IFERROR(__xludf.DUMMYFUNCTION("""COMPUTED_VALUE"""),"N")</f>
        <v>N</v>
      </c>
      <c r="G276" s="5"/>
      <c r="H276" s="5"/>
      <c r="I276" s="5"/>
      <c r="J276" s="5"/>
      <c r="K276" s="5"/>
      <c r="L276" s="5"/>
      <c r="M276" s="5">
        <f>IFERROR(__xludf.DUMMYFUNCTION("""COMPUTED_VALUE"""),665.32)</f>
        <v>665.32</v>
      </c>
      <c r="N276" s="5">
        <f>IFERROR(__xludf.DUMMYFUNCTION("""COMPUTED_VALUE"""),11236.0)</f>
        <v>11236</v>
      </c>
      <c r="O276" s="5"/>
      <c r="P276" s="5"/>
      <c r="Q276" s="5" t="str">
        <f>IFERROR(__xludf.DUMMYFUNCTION("""COMPUTED_VALUE"""),"Y")</f>
        <v>Y</v>
      </c>
      <c r="R276" s="5"/>
      <c r="S276" s="5" t="str">
        <f>IFERROR(__xludf.DUMMYFUNCTION("""COMPUTED_VALUE"""),"ขึ้นของมหาชัย")</f>
        <v>ขึ้นของมหาชัย</v>
      </c>
      <c r="T276" s="5">
        <f>IFERROR(__xludf.DUMMYFUNCTION("""COMPUTED_VALUE"""),650.0)</f>
        <v>650</v>
      </c>
      <c r="U276" s="5" t="str">
        <f>IFERROR(__xludf.DUMMYFUNCTION("""COMPUTED_VALUE"""),"Y")</f>
        <v>Y</v>
      </c>
      <c r="V276" s="5">
        <f>IFERROR(__xludf.DUMMYFUNCTION("""COMPUTED_VALUE"""),830.0)</f>
        <v>830</v>
      </c>
      <c r="W276" s="5">
        <f>IFERROR(__xludf.DUMMYFUNCTION("""COMPUTED_VALUE"""),11.0)</f>
        <v>11</v>
      </c>
      <c r="X276" s="5">
        <f>IFERROR(__xludf.DUMMYFUNCTION("""COMPUTED_VALUE"""),1.0)</f>
        <v>1</v>
      </c>
      <c r="Y276" s="5">
        <f>IFERROR(__xludf.DUMMYFUNCTION("""COMPUTED_VALUE"""),6.0)</f>
        <v>6</v>
      </c>
      <c r="Z276" s="5"/>
    </row>
    <row r="277">
      <c r="A277" s="5" t="str">
        <f>IFERROR(__xludf.DUMMYFUNCTION("""COMPUTED_VALUE"""),"ปลายหนวด-a-แพ็ค-1-กก")</f>
        <v>ปลายหนวด-a-แพ็ค-1-กก</v>
      </c>
      <c r="B277" s="5">
        <f>IFERROR(__xludf.DUMMYFUNCTION("""COMPUTED_VALUE"""),10253.0)</f>
        <v>10253</v>
      </c>
      <c r="C277" s="5" t="str">
        <f>IFERROR(__xludf.DUMMYFUNCTION("""COMPUTED_VALUE"""),"ปลายหนวด A แพ็ค 1 กก")</f>
        <v>ปลายหนวด A แพ็ค 1 กก</v>
      </c>
      <c r="D277" s="5"/>
      <c r="E277" s="5"/>
      <c r="F277" s="5" t="str">
        <f>IFERROR(__xludf.DUMMYFUNCTION("""COMPUTED_VALUE"""),"N")</f>
        <v>N</v>
      </c>
      <c r="G277" s="5"/>
      <c r="H277" s="5"/>
      <c r="I277" s="5"/>
      <c r="J277" s="5"/>
      <c r="K277" s="5"/>
      <c r="L277" s="5"/>
      <c r="M277" s="5"/>
      <c r="N277" s="5">
        <f>IFERROR(__xludf.DUMMYFUNCTION("""COMPUTED_VALUE"""),10253.0)</f>
        <v>10253</v>
      </c>
      <c r="O277" s="5">
        <f>IFERROR(__xludf.DUMMYFUNCTION("""COMPUTED_VALUE"""),11236.0)</f>
        <v>11236</v>
      </c>
      <c r="P277" s="5">
        <f>IFERROR(__xludf.DUMMYFUNCTION("""COMPUTED_VALUE"""),0.1)</f>
        <v>0.1</v>
      </c>
      <c r="Q277" s="5" t="str">
        <f>IFERROR(__xludf.DUMMYFUNCTION("""COMPUTED_VALUE"""),"N")</f>
        <v>N</v>
      </c>
      <c r="R277" s="5" t="str">
        <f>IFERROR(__xludf.DUMMYFUNCTION("""COMPUTED_VALUE"""),"N")</f>
        <v>N</v>
      </c>
      <c r="S277" s="5"/>
      <c r="T277" s="5"/>
      <c r="U277" s="5" t="str">
        <f>IFERROR(__xludf.DUMMYFUNCTION("""COMPUTED_VALUE"""),"N")</f>
        <v>N</v>
      </c>
      <c r="V277" s="5">
        <f>IFERROR(__xludf.DUMMYFUNCTION("""COMPUTED_VALUE"""),85.0)</f>
        <v>85</v>
      </c>
      <c r="W277" s="5"/>
      <c r="X277" s="5"/>
      <c r="Y277" s="5"/>
      <c r="Z277" s="5"/>
    </row>
    <row r="278">
      <c r="A278" s="5" t="str">
        <f>IFERROR(__xludf.DUMMYFUNCTION("""COMPUTED_VALUE"""),"ปลายหนวด-ติดโคน(ลังเขียว)-ลัง-10-กก")</f>
        <v>ปลายหนวด-ติดโคน(ลังเขียว)-ลัง-10-กก</v>
      </c>
      <c r="B278" s="5">
        <f>IFERROR(__xludf.DUMMYFUNCTION("""COMPUTED_VALUE"""),11420.0)</f>
        <v>11420</v>
      </c>
      <c r="C278" s="5" t="str">
        <f>IFERROR(__xludf.DUMMYFUNCTION("""COMPUTED_VALUE"""),"ปลายหนวด ติดโคน  (ลัง)")</f>
        <v>ปลายหนวด ติดโคน  (ลัง)</v>
      </c>
      <c r="D278" s="5"/>
      <c r="E278" s="5" t="str">
        <f>IFERROR(__xludf.DUMMYFUNCTION("""COMPUTED_VALUE"""),"&lt;p&gt;ส&lt;/p&gt;")</f>
        <v>&lt;p&gt;ส&lt;/p&gt;</v>
      </c>
      <c r="F278" s="5" t="str">
        <f>IFERROR(__xludf.DUMMYFUNCTION("""COMPUTED_VALUE"""),"N")</f>
        <v>N</v>
      </c>
      <c r="G278" s="5"/>
      <c r="H278" s="5"/>
      <c r="I278" s="5"/>
      <c r="J278" s="5"/>
      <c r="K278" s="5"/>
      <c r="L278" s="5"/>
      <c r="M278" s="5"/>
      <c r="N278" s="5">
        <f>IFERROR(__xludf.DUMMYFUNCTION("""COMPUTED_VALUE"""),11420.0)</f>
        <v>11420</v>
      </c>
      <c r="O278" s="5">
        <f>IFERROR(__xludf.DUMMYFUNCTION("""COMPUTED_VALUE"""),11419.0)</f>
        <v>11419</v>
      </c>
      <c r="P278" s="5">
        <f>IFERROR(__xludf.DUMMYFUNCTION("""COMPUTED_VALUE"""),10.0)</f>
        <v>10</v>
      </c>
      <c r="Q278" s="5" t="str">
        <f>IFERROR(__xludf.DUMMYFUNCTION("""COMPUTED_VALUE"""),"N")</f>
        <v>N</v>
      </c>
      <c r="R278" s="5" t="str">
        <f>IFERROR(__xludf.DUMMYFUNCTION("""COMPUTED_VALUE"""),"N")</f>
        <v>N</v>
      </c>
      <c r="S278" s="5"/>
      <c r="T278" s="5"/>
      <c r="U278" s="5" t="str">
        <f>IFERROR(__xludf.DUMMYFUNCTION("""COMPUTED_VALUE"""),"Y")</f>
        <v>Y</v>
      </c>
      <c r="V278" s="5">
        <f>IFERROR(__xludf.DUMMYFUNCTION("""COMPUTED_VALUE"""),770.0)</f>
        <v>770</v>
      </c>
      <c r="W278" s="5"/>
      <c r="X278" s="5"/>
      <c r="Y278" s="5"/>
      <c r="Z278" s="5"/>
    </row>
    <row r="279">
      <c r="A279" s="5" t="str">
        <f>IFERROR(__xludf.DUMMYFUNCTION("""COMPUTED_VALUE"""),"ปลายหนวด-a--r100-(ลัง)")</f>
        <v>ปลายหนวด-a--r100-(ลัง)</v>
      </c>
      <c r="B279" s="5">
        <f>IFERROR(__xludf.DUMMYFUNCTION("""COMPUTED_VALUE"""),10187.0)</f>
        <v>10187</v>
      </c>
      <c r="C279" s="5" t="str">
        <f>IFERROR(__xludf.DUMMYFUNCTION("""COMPUTED_VALUE"""),"ปลายหนวด ติดโคน 10*1ลัง  R100")</f>
        <v>ปลายหนวด ติดโคน 10*1ลัง  R100</v>
      </c>
      <c r="D279" s="5" t="str">
        <f>IFERROR(__xludf.DUMMYFUNCTION("""COMPUTED_VALUE"""),"**ร้านค้า ราคาพิเศษ")</f>
        <v>**ร้านค้า ราคาพิเศษ</v>
      </c>
      <c r="E279" s="5"/>
      <c r="F279" s="5" t="str">
        <f>IFERROR(__xludf.DUMMYFUNCTION("""COMPUTED_VALUE"""),"N")</f>
        <v>N</v>
      </c>
      <c r="G279" s="5"/>
      <c r="H279" s="5"/>
      <c r="I279" s="5"/>
      <c r="J279" s="5"/>
      <c r="K279" s="5"/>
      <c r="L279" s="5"/>
      <c r="M279" s="5"/>
      <c r="N279" s="5"/>
      <c r="O279" s="5">
        <f>IFERROR(__xludf.DUMMYFUNCTION("""COMPUTED_VALUE"""),11419.0)</f>
        <v>11419</v>
      </c>
      <c r="P279" s="5">
        <f>IFERROR(__xludf.DUMMYFUNCTION("""COMPUTED_VALUE"""),10.0)</f>
        <v>10</v>
      </c>
      <c r="Q279" s="5" t="str">
        <f>IFERROR(__xludf.DUMMYFUNCTION("""COMPUTED_VALUE"""),"N")</f>
        <v>N</v>
      </c>
      <c r="R279" s="5" t="str">
        <f>IFERROR(__xludf.DUMMYFUNCTION("""COMPUTED_VALUE"""),"N")</f>
        <v>N</v>
      </c>
      <c r="S279" s="5"/>
      <c r="T279" s="5"/>
      <c r="U279" s="5" t="str">
        <f>IFERROR(__xludf.DUMMYFUNCTION("""COMPUTED_VALUE"""),"Y")</f>
        <v>Y</v>
      </c>
      <c r="V279" s="5">
        <f>IFERROR(__xludf.DUMMYFUNCTION("""COMPUTED_VALUE"""),700.0)</f>
        <v>700</v>
      </c>
      <c r="W279" s="5"/>
      <c r="X279" s="5"/>
      <c r="Y279" s="5"/>
      <c r="Z279" s="5"/>
    </row>
    <row r="280">
      <c r="A280" s="5" t="str">
        <f>IFERROR(__xludf.DUMMYFUNCTION("""COMPUTED_VALUE"""),"ปลายหนวด-ติดโคน(ลังเขียว)-1กก")</f>
        <v>ปลายหนวด-ติดโคน(ลังเขียว)-1กก</v>
      </c>
      <c r="B280" s="5">
        <f>IFERROR(__xludf.DUMMYFUNCTION("""COMPUTED_VALUE"""),11419.0)</f>
        <v>11419</v>
      </c>
      <c r="C280" s="5" t="str">
        <f>IFERROR(__xludf.DUMMYFUNCTION("""COMPUTED_VALUE"""),"ปลายหนวด ติดโคน 1กก")</f>
        <v>ปลายหนวด ติดโคน 1กก</v>
      </c>
      <c r="D280" s="5" t="str">
        <f>IFERROR(__xludf.DUMMYFUNCTION("""COMPUTED_VALUE"""),"**ลัง มหาชัย")</f>
        <v>**ลัง มหาชัย</v>
      </c>
      <c r="E280" s="5" t="str">
        <f>IFERROR(__xludf.DUMMYFUNCTION("""COMPUTED_VALUE"""),"1")</f>
        <v>1</v>
      </c>
      <c r="F280" s="5" t="str">
        <f>IFERROR(__xludf.DUMMYFUNCTION("""COMPUTED_VALUE"""),"N")</f>
        <v>N</v>
      </c>
      <c r="G280" s="5"/>
      <c r="H280" s="5"/>
      <c r="I280" s="5"/>
      <c r="J280" s="5"/>
      <c r="K280" s="5"/>
      <c r="L280" s="5"/>
      <c r="M280" s="5">
        <f>IFERROR(__xludf.DUMMYFUNCTION("""COMPUTED_VALUE"""),65.96)</f>
        <v>65.96</v>
      </c>
      <c r="N280" s="5">
        <f>IFERROR(__xludf.DUMMYFUNCTION("""COMPUTED_VALUE"""),11419.0)</f>
        <v>11419</v>
      </c>
      <c r="O280" s="5"/>
      <c r="P280" s="5"/>
      <c r="Q280" s="5" t="str">
        <f>IFERROR(__xludf.DUMMYFUNCTION("""COMPUTED_VALUE"""),"Y")</f>
        <v>Y</v>
      </c>
      <c r="R280" s="5"/>
      <c r="S280" s="5" t="str">
        <f>IFERROR(__xludf.DUMMYFUNCTION("""COMPUTED_VALUE"""),"ขึ้นของมหาชัย")</f>
        <v>ขึ้นของมหาชัย</v>
      </c>
      <c r="T280" s="5">
        <f>IFERROR(__xludf.DUMMYFUNCTION("""COMPUTED_VALUE"""),63.0)</f>
        <v>63</v>
      </c>
      <c r="U280" s="5" t="str">
        <f>IFERROR(__xludf.DUMMYFUNCTION("""COMPUTED_VALUE"""),"Y")</f>
        <v>Y</v>
      </c>
      <c r="V280" s="5">
        <f>IFERROR(__xludf.DUMMYFUNCTION("""COMPUTED_VALUE"""),85.0)</f>
        <v>85</v>
      </c>
      <c r="W280" s="5">
        <f>IFERROR(__xludf.DUMMYFUNCTION("""COMPUTED_VALUE"""),69.0)</f>
        <v>69</v>
      </c>
      <c r="X280" s="5">
        <f>IFERROR(__xludf.DUMMYFUNCTION("""COMPUTED_VALUE"""),40.0)</f>
        <v>40</v>
      </c>
      <c r="Y280" s="5">
        <f>IFERROR(__xludf.DUMMYFUNCTION("""COMPUTED_VALUE"""),90.0)</f>
        <v>90</v>
      </c>
      <c r="Z280" s="5"/>
    </row>
    <row r="281">
      <c r="A281" s="5" t="str">
        <f>IFERROR(__xludf.DUMMYFUNCTION("""COMPUTED_VALUE"""),"เรด้ามิกซ์---ลัง-10-กก-r100")</f>
        <v>เรด้ามิกซ์---ลัง-10-กก-r100</v>
      </c>
      <c r="B281" s="5">
        <f>IFERROR(__xludf.DUMMYFUNCTION("""COMPUTED_VALUE"""),10255.0)</f>
        <v>10255</v>
      </c>
      <c r="C281" s="5" t="str">
        <f>IFERROR(__xludf.DUMMYFUNCTION("""COMPUTED_VALUE"""),"ปลายหนวด เรด้ามิกซ์   ลัง 10 กก R100")</f>
        <v>ปลายหนวด เรด้ามิกซ์   ลัง 10 กก R100</v>
      </c>
      <c r="D281" s="5" t="str">
        <f>IFERROR(__xludf.DUMMYFUNCTION("""COMPUTED_VALUE"""),"**ร้านค้า ราคาพิเศษ")</f>
        <v>**ร้านค้า ราคาพิเศษ</v>
      </c>
      <c r="E281" s="5"/>
      <c r="F281" s="5" t="str">
        <f>IFERROR(__xludf.DUMMYFUNCTION("""COMPUTED_VALUE"""),"N")</f>
        <v>N</v>
      </c>
      <c r="G281" s="5"/>
      <c r="H281" s="5"/>
      <c r="I281" s="5"/>
      <c r="J281" s="5"/>
      <c r="K281" s="5"/>
      <c r="L281" s="5"/>
      <c r="M281" s="5"/>
      <c r="N281" s="5">
        <f>IFERROR(__xludf.DUMMYFUNCTION("""COMPUTED_VALUE"""),10255.0)</f>
        <v>10255</v>
      </c>
      <c r="O281" s="5">
        <f>IFERROR(__xludf.DUMMYFUNCTION("""COMPUTED_VALUE"""),11356.0)</f>
        <v>11356</v>
      </c>
      <c r="P281" s="5">
        <f>IFERROR(__xludf.DUMMYFUNCTION("""COMPUTED_VALUE"""),1.0)</f>
        <v>1</v>
      </c>
      <c r="Q281" s="5" t="str">
        <f>IFERROR(__xludf.DUMMYFUNCTION("""COMPUTED_VALUE"""),"N")</f>
        <v>N</v>
      </c>
      <c r="R281" s="5" t="str">
        <f>IFERROR(__xludf.DUMMYFUNCTION("""COMPUTED_VALUE"""),"N")</f>
        <v>N</v>
      </c>
      <c r="S281" s="5"/>
      <c r="T281" s="5"/>
      <c r="U281" s="5" t="str">
        <f>IFERROR(__xludf.DUMMYFUNCTION("""COMPUTED_VALUE"""),"Y")</f>
        <v>Y</v>
      </c>
      <c r="V281" s="5">
        <f>IFERROR(__xludf.DUMMYFUNCTION("""COMPUTED_VALUE"""),550.0)</f>
        <v>550</v>
      </c>
      <c r="W281" s="5"/>
      <c r="X281" s="5"/>
      <c r="Y281" s="5"/>
      <c r="Z281" s="5"/>
    </row>
    <row r="282">
      <c r="A282" s="5" t="str">
        <f>IFERROR(__xludf.DUMMYFUNCTION("""COMPUTED_VALUE"""),"ปลายหนวดเล็ก-กล่องส้ม-ลัง-10-กก")</f>
        <v>ปลายหนวดเล็ก-กล่องส้ม-ลัง-10-กก</v>
      </c>
      <c r="B282" s="5">
        <f>IFERROR(__xludf.DUMMYFUNCTION("""COMPUTED_VALUE"""),11356.0)</f>
        <v>11356</v>
      </c>
      <c r="C282" s="5" t="str">
        <f>IFERROR(__xludf.DUMMYFUNCTION("""COMPUTED_VALUE"""),"ปลายหนวด เรด้ามิกซ์ (ลัง)")</f>
        <v>ปลายหนวด เรด้ามิกซ์ (ลัง)</v>
      </c>
      <c r="D282" s="5" t="str">
        <f>IFERROR(__xludf.DUMMYFUNCTION("""COMPUTED_VALUE"""),"**ลัง มหาชัย")</f>
        <v>**ลัง มหาชัย</v>
      </c>
      <c r="E282" s="5" t="str">
        <f>IFERROR(__xludf.DUMMYFUNCTION("""COMPUTED_VALUE"""),"10")</f>
        <v>10</v>
      </c>
      <c r="F282" s="5" t="str">
        <f>IFERROR(__xludf.DUMMYFUNCTION("""COMPUTED_VALUE"""),"N")</f>
        <v>N</v>
      </c>
      <c r="G282" s="5"/>
      <c r="H282" s="5"/>
      <c r="I282" s="5"/>
      <c r="J282" s="5"/>
      <c r="K282" s="5"/>
      <c r="L282" s="5"/>
      <c r="M282" s="5">
        <f>IFERROR(__xludf.DUMMYFUNCTION("""COMPUTED_VALUE"""),446.29)</f>
        <v>446.29</v>
      </c>
      <c r="N282" s="5">
        <f>IFERROR(__xludf.DUMMYFUNCTION("""COMPUTED_VALUE"""),11356.0)</f>
        <v>11356</v>
      </c>
      <c r="O282" s="5"/>
      <c r="P282" s="5"/>
      <c r="Q282" s="5" t="str">
        <f>IFERROR(__xludf.DUMMYFUNCTION("""COMPUTED_VALUE"""),"Y")</f>
        <v>Y</v>
      </c>
      <c r="R282" s="5"/>
      <c r="S282" s="5" t="str">
        <f>IFERROR(__xludf.DUMMYFUNCTION("""COMPUTED_VALUE"""),"ขึ้นของมหาชัย")</f>
        <v>ขึ้นของมหาชัย</v>
      </c>
      <c r="T282" s="5">
        <f>IFERROR(__xludf.DUMMYFUNCTION("""COMPUTED_VALUE"""),430.0)</f>
        <v>430</v>
      </c>
      <c r="U282" s="5" t="str">
        <f>IFERROR(__xludf.DUMMYFUNCTION("""COMPUTED_VALUE"""),"Y")</f>
        <v>Y</v>
      </c>
      <c r="V282" s="5">
        <f>IFERROR(__xludf.DUMMYFUNCTION("""COMPUTED_VALUE"""),630.0)</f>
        <v>630</v>
      </c>
      <c r="W282" s="5">
        <f>IFERROR(__xludf.DUMMYFUNCTION("""COMPUTED_VALUE"""),8.0)</f>
        <v>8</v>
      </c>
      <c r="X282" s="5">
        <f>IFERROR(__xludf.DUMMYFUNCTION("""COMPUTED_VALUE"""),2.0)</f>
        <v>2</v>
      </c>
      <c r="Y282" s="5">
        <f>IFERROR(__xludf.DUMMYFUNCTION("""COMPUTED_VALUE"""),7.0)</f>
        <v>7</v>
      </c>
      <c r="Z282" s="5"/>
    </row>
    <row r="283">
      <c r="A283" s="5" t="str">
        <f>IFERROR(__xludf.DUMMYFUNCTION("""COMPUTED_VALUE"""),"ปลาแพนด้า-ทวีวงษ์-500g")</f>
        <v>ปลาแพนด้า-ทวีวงษ์-500g</v>
      </c>
      <c r="B283" s="5">
        <f>IFERROR(__xludf.DUMMYFUNCTION("""COMPUTED_VALUE"""),11291.0)</f>
        <v>11291</v>
      </c>
      <c r="C283" s="5" t="str">
        <f>IFERROR(__xludf.DUMMYFUNCTION("""COMPUTED_VALUE"""),"ปลาแพนด้า ทวีวงษ์ 500g")</f>
        <v>ปลาแพนด้า ทวีวงษ์ 500g</v>
      </c>
      <c r="D283" s="5" t="str">
        <f>IFERROR(__xludf.DUMMYFUNCTION("""COMPUTED_VALUE"""),"ทวีวงษ์-PFP")</f>
        <v>ทวีวงษ์-PFP</v>
      </c>
      <c r="E283" s="5" t="str">
        <f>IFERROR(__xludf.DUMMYFUNCTION("""COMPUTED_VALUE"""),"&lt;p&gt;X&lt;/p&gt;")</f>
        <v>&lt;p&gt;X&lt;/p&gt;</v>
      </c>
      <c r="F283" s="5" t="str">
        <f>IFERROR(__xludf.DUMMYFUNCTION("""COMPUTED_VALUE"""),"N")</f>
        <v>N</v>
      </c>
      <c r="G283" s="5"/>
      <c r="H283" s="5"/>
      <c r="I283" s="5"/>
      <c r="J283" s="5"/>
      <c r="K283" s="5"/>
      <c r="L283" s="5"/>
      <c r="M283" s="5">
        <f>IFERROR(__xludf.DUMMYFUNCTION("""COMPUTED_VALUE"""),56.0)</f>
        <v>56</v>
      </c>
      <c r="N283" s="5">
        <f>IFERROR(__xludf.DUMMYFUNCTION("""COMPUTED_VALUE"""),11291.0)</f>
        <v>11291</v>
      </c>
      <c r="O283" s="5"/>
      <c r="P283" s="5"/>
      <c r="Q283" s="5" t="str">
        <f>IFERROR(__xludf.DUMMYFUNCTION("""COMPUTED_VALUE"""),"Y")</f>
        <v>Y</v>
      </c>
      <c r="R283" s="5"/>
      <c r="S283" s="5" t="str">
        <f>IFERROR(__xludf.DUMMYFUNCTION("""COMPUTED_VALUE"""),"ทวีวงษ์")</f>
        <v>ทวีวงษ์</v>
      </c>
      <c r="T283" s="5">
        <f>IFERROR(__xludf.DUMMYFUNCTION("""COMPUTED_VALUE"""),0.0)</f>
        <v>0</v>
      </c>
      <c r="U283" s="5" t="str">
        <f>IFERROR(__xludf.DUMMYFUNCTION("""COMPUTED_VALUE"""),"Y")</f>
        <v>Y</v>
      </c>
      <c r="V283" s="5">
        <f>IFERROR(__xludf.DUMMYFUNCTION("""COMPUTED_VALUE"""),63.0)</f>
        <v>63</v>
      </c>
      <c r="W283" s="5">
        <f>IFERROR(__xludf.DUMMYFUNCTION("""COMPUTED_VALUE"""),20.0)</f>
        <v>20</v>
      </c>
      <c r="X283" s="5"/>
      <c r="Y283" s="5"/>
      <c r="Z283" s="5"/>
    </row>
    <row r="284">
      <c r="A284" s="5" t="str">
        <f>IFERROR(__xludf.DUMMYFUNCTION("""COMPUTED_VALUE"""),"ปลาแพนด้า-ทวีวงษ์-500g--1*20แพ็ค-(ลัง)")</f>
        <v>ปลาแพนด้า-ทวีวงษ์-500g--1*20แพ็ค-(ลัง)</v>
      </c>
      <c r="B284" s="5">
        <f>IFERROR(__xludf.DUMMYFUNCTION("""COMPUTED_VALUE"""),11039.0)</f>
        <v>11039</v>
      </c>
      <c r="C284" s="5" t="str">
        <f>IFERROR(__xludf.DUMMYFUNCTION("""COMPUTED_VALUE"""),"ปลาแพนด้า ทวีวงษ์ 500g  1*20แพ็ค (ลัง)")</f>
        <v>ปลาแพนด้า ทวีวงษ์ 500g  1*20แพ็ค (ลัง)</v>
      </c>
      <c r="D284" s="5"/>
      <c r="E284" s="5" t="str">
        <f>IFERROR(__xludf.DUMMYFUNCTION("""COMPUTED_VALUE"""),"S")</f>
        <v>S</v>
      </c>
      <c r="F284" s="5" t="str">
        <f>IFERROR(__xludf.DUMMYFUNCTION("""COMPUTED_VALUE"""),"N")</f>
        <v>N</v>
      </c>
      <c r="G284" s="5"/>
      <c r="H284" s="5"/>
      <c r="I284" s="5"/>
      <c r="J284" s="5"/>
      <c r="K284" s="5"/>
      <c r="L284" s="5"/>
      <c r="M284" s="5"/>
      <c r="N284" s="5">
        <f>IFERROR(__xludf.DUMMYFUNCTION("""COMPUTED_VALUE"""),11039.0)</f>
        <v>11039</v>
      </c>
      <c r="O284" s="5">
        <f>IFERROR(__xludf.DUMMYFUNCTION("""COMPUTED_VALUE"""),11291.0)</f>
        <v>11291</v>
      </c>
      <c r="P284" s="5">
        <f>IFERROR(__xludf.DUMMYFUNCTION("""COMPUTED_VALUE"""),20.0)</f>
        <v>20</v>
      </c>
      <c r="Q284" s="5" t="str">
        <f>IFERROR(__xludf.DUMMYFUNCTION("""COMPUTED_VALUE"""),"N")</f>
        <v>N</v>
      </c>
      <c r="R284" s="5" t="str">
        <f>IFERROR(__xludf.DUMMYFUNCTION("""COMPUTED_VALUE"""),"N")</f>
        <v>N</v>
      </c>
      <c r="S284" s="5"/>
      <c r="T284" s="5"/>
      <c r="U284" s="5" t="str">
        <f>IFERROR(__xludf.DUMMYFUNCTION("""COMPUTED_VALUE"""),"Y")</f>
        <v>Y</v>
      </c>
      <c r="V284" s="5">
        <f>IFERROR(__xludf.DUMMYFUNCTION("""COMPUTED_VALUE"""),1200.0)</f>
        <v>1200</v>
      </c>
      <c r="W284" s="5"/>
      <c r="X284" s="5"/>
      <c r="Y284" s="5"/>
      <c r="Z284" s="5"/>
    </row>
    <row r="285">
      <c r="A285" s="5" t="str">
        <f>IFERROR(__xludf.DUMMYFUNCTION("""COMPUTED_VALUE"""),"ปลาไข่-ลัง20kg")</f>
        <v>ปลาไข่-ลัง20kg</v>
      </c>
      <c r="B285" s="5">
        <f>IFERROR(__xludf.DUMMYFUNCTION("""COMPUTED_VALUE"""),10880.0)</f>
        <v>10880</v>
      </c>
      <c r="C285" s="5" t="str">
        <f>IFERROR(__xludf.DUMMYFUNCTION("""COMPUTED_VALUE"""),"ปลาไข่ ลัง12Kg")</f>
        <v>ปลาไข่ ลัง12Kg</v>
      </c>
      <c r="D285" s="5"/>
      <c r="E285" s="5" t="str">
        <f>IFERROR(__xludf.DUMMYFUNCTION("""COMPUTED_VALUE"""),"&lt;p&gt;X&lt;/p&gt;")</f>
        <v>&lt;p&gt;X&lt;/p&gt;</v>
      </c>
      <c r="F285" s="5" t="str">
        <f>IFERROR(__xludf.DUMMYFUNCTION("""COMPUTED_VALUE"""),"N")</f>
        <v>N</v>
      </c>
      <c r="G285" s="5"/>
      <c r="H285" s="5"/>
      <c r="I285" s="5"/>
      <c r="J285" s="5"/>
      <c r="K285" s="5"/>
      <c r="L285" s="5"/>
      <c r="M285" s="5"/>
      <c r="N285" s="5">
        <f>IFERROR(__xludf.DUMMYFUNCTION("""COMPUTED_VALUE"""),10880.0)</f>
        <v>10880</v>
      </c>
      <c r="O285" s="5">
        <f>IFERROR(__xludf.DUMMYFUNCTION("""COMPUTED_VALUE"""),10913.0)</f>
        <v>10913</v>
      </c>
      <c r="P285" s="5">
        <f>IFERROR(__xludf.DUMMYFUNCTION("""COMPUTED_VALUE"""),12.0)</f>
        <v>12</v>
      </c>
      <c r="Q285" s="5" t="str">
        <f>IFERROR(__xludf.DUMMYFUNCTION("""COMPUTED_VALUE"""),"N")</f>
        <v>N</v>
      </c>
      <c r="R285" s="5" t="str">
        <f>IFERROR(__xludf.DUMMYFUNCTION("""COMPUTED_VALUE"""),"N")</f>
        <v>N</v>
      </c>
      <c r="S285" s="5"/>
      <c r="T285" s="5"/>
      <c r="U285" s="5" t="str">
        <f>IFERROR(__xludf.DUMMYFUNCTION("""COMPUTED_VALUE"""),"Y")</f>
        <v>Y</v>
      </c>
      <c r="V285" s="5">
        <f>IFERROR(__xludf.DUMMYFUNCTION("""COMPUTED_VALUE"""),1320.0)</f>
        <v>1320</v>
      </c>
      <c r="W285" s="5"/>
      <c r="X285" s="5"/>
      <c r="Y285" s="5"/>
      <c r="Z285" s="5"/>
    </row>
    <row r="286">
      <c r="A286" s="5" t="str">
        <f>IFERROR(__xludf.DUMMYFUNCTION("""COMPUTED_VALUE"""),"ปลาไข่-แพ็ค1kg")</f>
        <v>ปลาไข่-แพ็ค1kg</v>
      </c>
      <c r="B286" s="5">
        <f>IFERROR(__xludf.DUMMYFUNCTION("""COMPUTED_VALUE"""),10913.0)</f>
        <v>10913</v>
      </c>
      <c r="C286" s="5" t="str">
        <f>IFERROR(__xludf.DUMMYFUNCTION("""COMPUTED_VALUE"""),"ปลาไข่ แพ็ค1Kg-110")</f>
        <v>ปลาไข่ แพ็ค1Kg-110</v>
      </c>
      <c r="D286" s="5" t="str">
        <f>IFERROR(__xludf.DUMMYFUNCTION("""COMPUTED_VALUE"""),"**ลัง มหาชัย")</f>
        <v>**ลัง มหาชัย</v>
      </c>
      <c r="E286" s="5" t="str">
        <f>IFERROR(__xludf.DUMMYFUNCTION("""COMPUTED_VALUE"""),"&lt;p&gt;X&lt;/p&gt;")</f>
        <v>&lt;p&gt;X&lt;/p&gt;</v>
      </c>
      <c r="F286" s="5" t="str">
        <f>IFERROR(__xludf.DUMMYFUNCTION("""COMPUTED_VALUE"""),"N")</f>
        <v>N</v>
      </c>
      <c r="G286" s="5"/>
      <c r="H286" s="5"/>
      <c r="I286" s="5"/>
      <c r="J286" s="5"/>
      <c r="K286" s="5"/>
      <c r="L286" s="5"/>
      <c r="M286" s="5">
        <f>IFERROR(__xludf.DUMMYFUNCTION("""COMPUTED_VALUE"""),103.89)</f>
        <v>103.89</v>
      </c>
      <c r="N286" s="5">
        <f>IFERROR(__xludf.DUMMYFUNCTION("""COMPUTED_VALUE"""),10913.0)</f>
        <v>10913</v>
      </c>
      <c r="O286" s="5"/>
      <c r="P286" s="5"/>
      <c r="Q286" s="5" t="str">
        <f>IFERROR(__xludf.DUMMYFUNCTION("""COMPUTED_VALUE"""),"Y")</f>
        <v>Y</v>
      </c>
      <c r="R286" s="5"/>
      <c r="S286" s="5"/>
      <c r="T286" s="5">
        <f>IFERROR(__xludf.DUMMYFUNCTION("""COMPUTED_VALUE"""),86.0)</f>
        <v>86</v>
      </c>
      <c r="U286" s="5" t="str">
        <f>IFERROR(__xludf.DUMMYFUNCTION("""COMPUTED_VALUE"""),"Y")</f>
        <v>Y</v>
      </c>
      <c r="V286" s="5">
        <f>IFERROR(__xludf.DUMMYFUNCTION("""COMPUTED_VALUE"""),110.0)</f>
        <v>110</v>
      </c>
      <c r="W286" s="5">
        <f>IFERROR(__xludf.DUMMYFUNCTION("""COMPUTED_VALUE"""),16.0)</f>
        <v>16</v>
      </c>
      <c r="X286" s="5">
        <f>IFERROR(__xludf.DUMMYFUNCTION("""COMPUTED_VALUE"""),0.0)</f>
        <v>0</v>
      </c>
      <c r="Y286" s="5"/>
      <c r="Z286" s="5"/>
    </row>
    <row r="287">
      <c r="A287" s="5" t="str">
        <f>IFERROR(__xludf.DUMMYFUNCTION("""COMPUTED_VALUE"""),"ปูจุด-150/200-เมีย-8กก./ลัง(135)")</f>
        <v>ปูจุด-150/200-เมีย-8กก./ลัง(135)</v>
      </c>
      <c r="B287" s="5">
        <f>IFERROR(__xludf.DUMMYFUNCTION("""COMPUTED_VALUE"""),10595.0)</f>
        <v>10595</v>
      </c>
      <c r="C287" s="5" t="str">
        <f>IFERROR(__xludf.DUMMYFUNCTION("""COMPUTED_VALUE"""),"ปูจุด 150/200 ผู้ 8กก./ลัง(175)")</f>
        <v>ปูจุด 150/200 ผู้ 8กก./ลัง(175)</v>
      </c>
      <c r="D287" s="5" t="str">
        <f>IFERROR(__xludf.DUMMYFUNCTION("""COMPUTED_VALUE"""),"**ทะเลสด มหาชัย")</f>
        <v>**ทะเลสด มหาชัย</v>
      </c>
      <c r="E287" s="5" t="str">
        <f>IFERROR(__xludf.DUMMYFUNCTION("""COMPUTED_VALUE"""),"&lt;p&gt;8&lt;/p&gt;")</f>
        <v>&lt;p&gt;8&lt;/p&gt;</v>
      </c>
      <c r="F287" s="5" t="str">
        <f>IFERROR(__xludf.DUMMYFUNCTION("""COMPUTED_VALUE"""),"N")</f>
        <v>N</v>
      </c>
      <c r="G287" s="5"/>
      <c r="H287" s="5"/>
      <c r="I287" s="5"/>
      <c r="J287" s="5"/>
      <c r="K287" s="5"/>
      <c r="L287" s="5"/>
      <c r="M287" s="5">
        <f>IFERROR(__xludf.DUMMYFUNCTION("""COMPUTED_VALUE"""),1308.35)</f>
        <v>1308.35</v>
      </c>
      <c r="N287" s="5"/>
      <c r="O287" s="5"/>
      <c r="P287" s="5"/>
      <c r="Q287" s="5" t="str">
        <f>IFERROR(__xludf.DUMMYFUNCTION("""COMPUTED_VALUE"""),"Y")</f>
        <v>Y</v>
      </c>
      <c r="R287" s="5"/>
      <c r="S287" s="5" t="str">
        <f>IFERROR(__xludf.DUMMYFUNCTION("""COMPUTED_VALUE"""),"ขึ้นของมหาชัย")</f>
        <v>ขึ้นของมหาชัย</v>
      </c>
      <c r="T287" s="5">
        <f>IFERROR(__xludf.DUMMYFUNCTION("""COMPUTED_VALUE"""),1248.0)</f>
        <v>1248</v>
      </c>
      <c r="U287" s="5" t="str">
        <f>IFERROR(__xludf.DUMMYFUNCTION("""COMPUTED_VALUE"""),"Y")</f>
        <v>Y</v>
      </c>
      <c r="V287" s="5">
        <f>IFERROR(__xludf.DUMMYFUNCTION("""COMPUTED_VALUE"""),1400.0)</f>
        <v>1400</v>
      </c>
      <c r="W287" s="5">
        <f>IFERROR(__xludf.DUMMYFUNCTION("""COMPUTED_VALUE"""),5.0)</f>
        <v>5</v>
      </c>
      <c r="X287" s="5">
        <f>IFERROR(__xludf.DUMMYFUNCTION("""COMPUTED_VALUE"""),1.0)</f>
        <v>1</v>
      </c>
      <c r="Y287" s="5">
        <f>IFERROR(__xludf.DUMMYFUNCTION("""COMPUTED_VALUE"""),6.0)</f>
        <v>6</v>
      </c>
      <c r="Z287" s="5"/>
    </row>
    <row r="288">
      <c r="A288" s="5" t="str">
        <f>IFERROR(__xludf.DUMMYFUNCTION("""COMPUTED_VALUE"""),"ปูจุด-150/200-เมีย-8กก./ลัง(185)")</f>
        <v>ปูจุด-150/200-เมีย-8กก./ลัง(185)</v>
      </c>
      <c r="B288" s="5">
        <f>IFERROR(__xludf.DUMMYFUNCTION("""COMPUTED_VALUE"""),10115.0)</f>
        <v>10115</v>
      </c>
      <c r="C288" s="5" t="str">
        <f>IFERROR(__xludf.DUMMYFUNCTION("""COMPUTED_VALUE"""),"ปูจุด 150/200 เมีย 8กก./ลัง(185)")</f>
        <v>ปูจุด 150/200 เมีย 8กก./ลัง(185)</v>
      </c>
      <c r="D288" s="5"/>
      <c r="E288" s="5"/>
      <c r="F288" s="5" t="str">
        <f>IFERROR(__xludf.DUMMYFUNCTION("""COMPUTED_VALUE"""),"N")</f>
        <v>N</v>
      </c>
      <c r="G288" s="5"/>
      <c r="H288" s="5"/>
      <c r="I288" s="5"/>
      <c r="J288" s="5"/>
      <c r="K288" s="5"/>
      <c r="L288" s="5"/>
      <c r="M288" s="5">
        <f>IFERROR(__xludf.DUMMYFUNCTION("""COMPUTED_VALUE"""),1337.07)</f>
        <v>1337.07</v>
      </c>
      <c r="N288" s="5"/>
      <c r="O288" s="5"/>
      <c r="P288" s="5"/>
      <c r="Q288" s="5" t="str">
        <f>IFERROR(__xludf.DUMMYFUNCTION("""COMPUTED_VALUE"""),"Y")</f>
        <v>Y</v>
      </c>
      <c r="R288" s="5"/>
      <c r="S288" s="5"/>
      <c r="T288" s="5">
        <f>IFERROR(__xludf.DUMMYFUNCTION("""COMPUTED_VALUE"""),1288.0)</f>
        <v>1288</v>
      </c>
      <c r="U288" s="5" t="str">
        <f>IFERROR(__xludf.DUMMYFUNCTION("""COMPUTED_VALUE"""),"Y")</f>
        <v>Y</v>
      </c>
      <c r="V288" s="5">
        <f>IFERROR(__xludf.DUMMYFUNCTION("""COMPUTED_VALUE"""),1480.0)</f>
        <v>1480</v>
      </c>
      <c r="W288" s="5">
        <f>IFERROR(__xludf.DUMMYFUNCTION("""COMPUTED_VALUE"""),0.0)</f>
        <v>0</v>
      </c>
      <c r="X288" s="5"/>
      <c r="Y288" s="5"/>
      <c r="Z288" s="5"/>
    </row>
    <row r="289">
      <c r="A289" s="5" t="str">
        <f>IFERROR(__xludf.DUMMYFUNCTION("""COMPUTED_VALUE"""),"ปูจุด-200/300-ผู้-8กก/ลัง")</f>
        <v>ปูจุด-200/300-ผู้-8กก/ลัง</v>
      </c>
      <c r="B289" s="5">
        <f>IFERROR(__xludf.DUMMYFUNCTION("""COMPUTED_VALUE"""),10687.0)</f>
        <v>10687</v>
      </c>
      <c r="C289" s="5" t="str">
        <f>IFERROR(__xludf.DUMMYFUNCTION("""COMPUTED_VALUE"""),"ปูจุด 200/300 ผู้ 8กก/ลัง")</f>
        <v>ปูจุด 200/300 ผู้ 8กก/ลัง</v>
      </c>
      <c r="D289" s="5"/>
      <c r="E289" s="5"/>
      <c r="F289" s="5" t="str">
        <f>IFERROR(__xludf.DUMMYFUNCTION("""COMPUTED_VALUE"""),"N")</f>
        <v>N</v>
      </c>
      <c r="G289" s="5"/>
      <c r="H289" s="5"/>
      <c r="I289" s="5"/>
      <c r="J289" s="5"/>
      <c r="K289" s="5"/>
      <c r="L289" s="5"/>
      <c r="M289" s="5">
        <f>IFERROR(__xludf.DUMMYFUNCTION("""COMPUTED_VALUE"""),1002.43)</f>
        <v>1002.43</v>
      </c>
      <c r="N289" s="5"/>
      <c r="O289" s="5"/>
      <c r="P289" s="5"/>
      <c r="Q289" s="5" t="str">
        <f>IFERROR(__xludf.DUMMYFUNCTION("""COMPUTED_VALUE"""),"Y")</f>
        <v>Y</v>
      </c>
      <c r="R289" s="5"/>
      <c r="S289" s="5"/>
      <c r="T289" s="5">
        <f>IFERROR(__xludf.DUMMYFUNCTION("""COMPUTED_VALUE"""),960.0)</f>
        <v>960</v>
      </c>
      <c r="U289" s="5" t="str">
        <f>IFERROR(__xludf.DUMMYFUNCTION("""COMPUTED_VALUE"""),"Y")</f>
        <v>Y</v>
      </c>
      <c r="V289" s="5">
        <f>IFERROR(__xludf.DUMMYFUNCTION("""COMPUTED_VALUE"""),1080.0)</f>
        <v>1080</v>
      </c>
      <c r="W289" s="5">
        <f>IFERROR(__xludf.DUMMYFUNCTION("""COMPUTED_VALUE"""),0.0)</f>
        <v>0</v>
      </c>
      <c r="X289" s="5"/>
      <c r="Y289" s="5"/>
      <c r="Z289" s="5"/>
    </row>
    <row r="290">
      <c r="A290" s="5" t="str">
        <f>IFERROR(__xludf.DUMMYFUNCTION("""COMPUTED_VALUE"""),"ปูจุด-150/200ผู้-ลัง-8-กก.(87)")</f>
        <v>ปูจุด-150/200ผู้-ลัง-8-กก.(87)</v>
      </c>
      <c r="B290" s="5">
        <f>IFERROR(__xludf.DUMMYFUNCTION("""COMPUTED_VALUE"""),10198.0)</f>
        <v>10198</v>
      </c>
      <c r="C290" s="5" t="str">
        <f>IFERROR(__xludf.DUMMYFUNCTION("""COMPUTED_VALUE"""),"ปูจุด100/150(ผู้) ลัง8กก (175)")</f>
        <v>ปูจุด100/150(ผู้) ลัง8กก (175)</v>
      </c>
      <c r="D290" s="5" t="str">
        <f>IFERROR(__xludf.DUMMYFUNCTION("""COMPUTED_VALUE"""),"**ทะเลสด มหาชัย")</f>
        <v>**ทะเลสด มหาชัย</v>
      </c>
      <c r="E290" s="5" t="str">
        <f>IFERROR(__xludf.DUMMYFUNCTION("""COMPUTED_VALUE"""),"&lt;p&gt;8&lt;/p&gt;")</f>
        <v>&lt;p&gt;8&lt;/p&gt;</v>
      </c>
      <c r="F290" s="5" t="str">
        <f>IFERROR(__xludf.DUMMYFUNCTION("""COMPUTED_VALUE"""),"N")</f>
        <v>N</v>
      </c>
      <c r="G290" s="5"/>
      <c r="H290" s="5"/>
      <c r="I290" s="5"/>
      <c r="J290" s="5"/>
      <c r="K290" s="5"/>
      <c r="L290" s="5"/>
      <c r="M290" s="5">
        <f>IFERROR(__xludf.DUMMYFUNCTION("""COMPUTED_VALUE"""),1320.0)</f>
        <v>1320</v>
      </c>
      <c r="N290" s="5"/>
      <c r="O290" s="5"/>
      <c r="P290" s="5"/>
      <c r="Q290" s="5" t="str">
        <f>IFERROR(__xludf.DUMMYFUNCTION("""COMPUTED_VALUE"""),"Y")</f>
        <v>Y</v>
      </c>
      <c r="R290" s="5"/>
      <c r="S290" s="5" t="str">
        <f>IFERROR(__xludf.DUMMYFUNCTION("""COMPUTED_VALUE"""),"ขึ้นของมหาชัย")</f>
        <v>ขึ้นของมหาชัย</v>
      </c>
      <c r="T290" s="5">
        <f>IFERROR(__xludf.DUMMYFUNCTION("""COMPUTED_VALUE"""),1336.0)</f>
        <v>1336</v>
      </c>
      <c r="U290" s="5" t="str">
        <f>IFERROR(__xludf.DUMMYFUNCTION("""COMPUTED_VALUE"""),"Y")</f>
        <v>Y</v>
      </c>
      <c r="V290" s="5">
        <f>IFERROR(__xludf.DUMMYFUNCTION("""COMPUTED_VALUE"""),1400.0)</f>
        <v>1400</v>
      </c>
      <c r="W290" s="5">
        <f>IFERROR(__xludf.DUMMYFUNCTION("""COMPUTED_VALUE"""),0.0)</f>
        <v>0</v>
      </c>
      <c r="X290" s="5">
        <f>IFERROR(__xludf.DUMMYFUNCTION("""COMPUTED_VALUE"""),1.0)</f>
        <v>1</v>
      </c>
      <c r="Y290" s="5">
        <f>IFERROR(__xludf.DUMMYFUNCTION("""COMPUTED_VALUE"""),6.0)</f>
        <v>6</v>
      </c>
      <c r="Z290" s="5"/>
    </row>
    <row r="291">
      <c r="A291" s="5" t="str">
        <f>IFERROR(__xludf.DUMMYFUNCTION("""COMPUTED_VALUE"""),"ปูจุด-40/60-1kg-1")</f>
        <v>ปูจุด-40/60-1kg-1</v>
      </c>
      <c r="B291" s="5">
        <f>IFERROR(__xludf.DUMMYFUNCTION("""COMPUTED_VALUE"""),10014.0)</f>
        <v>10014</v>
      </c>
      <c r="C291" s="5" t="str">
        <f>IFERROR(__xludf.DUMMYFUNCTION("""COMPUTED_VALUE"""),"ปูจุด40/60(ผู้) ลัง8kg (90)")</f>
        <v>ปูจุด40/60(ผู้) ลัง8kg (90)</v>
      </c>
      <c r="D291" s="5" t="str">
        <f>IFERROR(__xludf.DUMMYFUNCTION("""COMPUTED_VALUE"""),"**ทะเลสด มหาชัย")</f>
        <v>**ทะเลสด มหาชัย</v>
      </c>
      <c r="E291" s="5" t="str">
        <f>IFERROR(__xludf.DUMMYFUNCTION("""COMPUTED_VALUE"""),"8")</f>
        <v>8</v>
      </c>
      <c r="F291" s="5" t="str">
        <f>IFERROR(__xludf.DUMMYFUNCTION("""COMPUTED_VALUE"""),"N")</f>
        <v>N</v>
      </c>
      <c r="G291" s="5"/>
      <c r="H291" s="5"/>
      <c r="I291" s="5"/>
      <c r="J291" s="5"/>
      <c r="K291" s="5"/>
      <c r="L291" s="5"/>
      <c r="M291" s="5">
        <f>IFERROR(__xludf.DUMMYFUNCTION("""COMPUTED_VALUE"""),688.0)</f>
        <v>688</v>
      </c>
      <c r="N291" s="5">
        <f>IFERROR(__xludf.DUMMYFUNCTION("""COMPUTED_VALUE"""),10014.0)</f>
        <v>10014</v>
      </c>
      <c r="O291" s="5"/>
      <c r="P291" s="5"/>
      <c r="Q291" s="5" t="str">
        <f>IFERROR(__xludf.DUMMYFUNCTION("""COMPUTED_VALUE"""),"Y")</f>
        <v>Y</v>
      </c>
      <c r="R291" s="5"/>
      <c r="S291" s="5" t="str">
        <f>IFERROR(__xludf.DUMMYFUNCTION("""COMPUTED_VALUE"""),"ขึ้นของมหาชัย")</f>
        <v>ขึ้นของมหาชัย</v>
      </c>
      <c r="T291" s="5">
        <f>IFERROR(__xludf.DUMMYFUNCTION("""COMPUTED_VALUE"""),688.0)</f>
        <v>688</v>
      </c>
      <c r="U291" s="5" t="str">
        <f>IFERROR(__xludf.DUMMYFUNCTION("""COMPUTED_VALUE"""),"N")</f>
        <v>N</v>
      </c>
      <c r="V291" s="5">
        <f>IFERROR(__xludf.DUMMYFUNCTION("""COMPUTED_VALUE"""),720.0)</f>
        <v>720</v>
      </c>
      <c r="W291" s="5">
        <f>IFERROR(__xludf.DUMMYFUNCTION("""COMPUTED_VALUE"""),0.0)</f>
        <v>0</v>
      </c>
      <c r="X291" s="5">
        <f>IFERROR(__xludf.DUMMYFUNCTION("""COMPUTED_VALUE"""),1.0)</f>
        <v>1</v>
      </c>
      <c r="Y291" s="5">
        <f>IFERROR(__xludf.DUMMYFUNCTION("""COMPUTED_VALUE"""),6.0)</f>
        <v>6</v>
      </c>
      <c r="Z291" s="5"/>
    </row>
    <row r="292">
      <c r="A292" s="5" t="str">
        <f>IFERROR(__xludf.DUMMYFUNCTION("""COMPUTED_VALUE"""),"ปูจุด40/60(เมีย)-ลัง8kg-(70)")</f>
        <v>ปูจุด40/60(เมีย)-ลัง8kg-(70)</v>
      </c>
      <c r="B292" s="5">
        <f>IFERROR(__xludf.DUMMYFUNCTION("""COMPUTED_VALUE"""),10553.0)</f>
        <v>10553</v>
      </c>
      <c r="C292" s="5" t="str">
        <f>IFERROR(__xludf.DUMMYFUNCTION("""COMPUTED_VALUE"""),"ปูจุด40/60(เมีย) ลัง8kg (80)")</f>
        <v>ปูจุด40/60(เมีย) ลัง8kg (80)</v>
      </c>
      <c r="D292" s="5" t="str">
        <f>IFERROR(__xludf.DUMMYFUNCTION("""COMPUTED_VALUE"""),"**ทะเลสด มหาชัย")</f>
        <v>**ทะเลสด มหาชัย</v>
      </c>
      <c r="E292" s="5" t="str">
        <f>IFERROR(__xludf.DUMMYFUNCTION("""COMPUTED_VALUE"""),"8")</f>
        <v>8</v>
      </c>
      <c r="F292" s="5" t="str">
        <f>IFERROR(__xludf.DUMMYFUNCTION("""COMPUTED_VALUE"""),"N")</f>
        <v>N</v>
      </c>
      <c r="G292" s="5"/>
      <c r="H292" s="5"/>
      <c r="I292" s="5"/>
      <c r="J292" s="5"/>
      <c r="K292" s="5"/>
      <c r="L292" s="5"/>
      <c r="M292" s="5">
        <f>IFERROR(__xludf.DUMMYFUNCTION("""COMPUTED_VALUE"""),548.3)</f>
        <v>548.3</v>
      </c>
      <c r="N292" s="5"/>
      <c r="O292" s="5"/>
      <c r="P292" s="5"/>
      <c r="Q292" s="5" t="str">
        <f>IFERROR(__xludf.DUMMYFUNCTION("""COMPUTED_VALUE"""),"Y")</f>
        <v>Y</v>
      </c>
      <c r="R292" s="5"/>
      <c r="S292" s="5" t="str">
        <f>IFERROR(__xludf.DUMMYFUNCTION("""COMPUTED_VALUE"""),"ขึ้นของมหาชัย")</f>
        <v>ขึ้นของมหาชัย</v>
      </c>
      <c r="T292" s="5">
        <f>IFERROR(__xludf.DUMMYFUNCTION("""COMPUTED_VALUE"""),536.0)</f>
        <v>536</v>
      </c>
      <c r="U292" s="5" t="str">
        <f>IFERROR(__xludf.DUMMYFUNCTION("""COMPUTED_VALUE"""),"Y")</f>
        <v>Y</v>
      </c>
      <c r="V292" s="5">
        <f>IFERROR(__xludf.DUMMYFUNCTION("""COMPUTED_VALUE"""),640.0)</f>
        <v>640</v>
      </c>
      <c r="W292" s="5">
        <f>IFERROR(__xludf.DUMMYFUNCTION("""COMPUTED_VALUE"""),0.0)</f>
        <v>0</v>
      </c>
      <c r="X292" s="5">
        <f>IFERROR(__xludf.DUMMYFUNCTION("""COMPUTED_VALUE"""),1.0)</f>
        <v>1</v>
      </c>
      <c r="Y292" s="5">
        <f>IFERROR(__xludf.DUMMYFUNCTION("""COMPUTED_VALUE"""),6.0)</f>
        <v>6</v>
      </c>
      <c r="Z292" s="5"/>
    </row>
    <row r="293">
      <c r="A293" s="5" t="str">
        <f>IFERROR(__xludf.DUMMYFUNCTION("""COMPUTED_VALUE"""),"ปูจุด60/80(ผุ)-ลัง-8-kg(68)")</f>
        <v>ปูจุด60/80(ผุ)-ลัง-8-kg(68)</v>
      </c>
      <c r="B293" s="5">
        <f>IFERROR(__xludf.DUMMYFUNCTION("""COMPUTED_VALUE"""),10398.0)</f>
        <v>10398</v>
      </c>
      <c r="C293" s="5" t="str">
        <f>IFERROR(__xludf.DUMMYFUNCTION("""COMPUTED_VALUE"""),"ปูจุด60/80(ผู้) ลัง 8 Kg(100)")</f>
        <v>ปูจุด60/80(ผู้) ลัง 8 Kg(100)</v>
      </c>
      <c r="D293" s="5" t="str">
        <f>IFERROR(__xludf.DUMMYFUNCTION("""COMPUTED_VALUE"""),"**ทะเลสด มหาชัย")</f>
        <v>**ทะเลสด มหาชัย</v>
      </c>
      <c r="E293" s="5" t="str">
        <f>IFERROR(__xludf.DUMMYFUNCTION("""COMPUTED_VALUE"""),"&lt;p&gt;6&lt;/p&gt;")</f>
        <v>&lt;p&gt;6&lt;/p&gt;</v>
      </c>
      <c r="F293" s="5" t="str">
        <f>IFERROR(__xludf.DUMMYFUNCTION("""COMPUTED_VALUE"""),"N")</f>
        <v>N</v>
      </c>
      <c r="G293" s="5"/>
      <c r="H293" s="5"/>
      <c r="I293" s="5"/>
      <c r="J293" s="5"/>
      <c r="K293" s="5"/>
      <c r="L293" s="5"/>
      <c r="M293" s="5">
        <f>IFERROR(__xludf.DUMMYFUNCTION("""COMPUTED_VALUE"""),696.0)</f>
        <v>696</v>
      </c>
      <c r="N293" s="5"/>
      <c r="O293" s="5"/>
      <c r="P293" s="5"/>
      <c r="Q293" s="5" t="str">
        <f>IFERROR(__xludf.DUMMYFUNCTION("""COMPUTED_VALUE"""),"Y")</f>
        <v>Y</v>
      </c>
      <c r="R293" s="5"/>
      <c r="S293" s="5" t="str">
        <f>IFERROR(__xludf.DUMMYFUNCTION("""COMPUTED_VALUE"""),"ขึ้นของมหาชัย")</f>
        <v>ขึ้นของมหาชัย</v>
      </c>
      <c r="T293" s="5">
        <f>IFERROR(__xludf.DUMMYFUNCTION("""COMPUTED_VALUE"""),696.0)</f>
        <v>696</v>
      </c>
      <c r="U293" s="5" t="str">
        <f>IFERROR(__xludf.DUMMYFUNCTION("""COMPUTED_VALUE"""),"N")</f>
        <v>N</v>
      </c>
      <c r="V293" s="5">
        <f>IFERROR(__xludf.DUMMYFUNCTION("""COMPUTED_VALUE"""),800.0)</f>
        <v>800</v>
      </c>
      <c r="W293" s="5">
        <f>IFERROR(__xludf.DUMMYFUNCTION("""COMPUTED_VALUE"""),0.0)</f>
        <v>0</v>
      </c>
      <c r="X293" s="5">
        <f>IFERROR(__xludf.DUMMYFUNCTION("""COMPUTED_VALUE"""),1.0)</f>
        <v>1</v>
      </c>
      <c r="Y293" s="5">
        <f>IFERROR(__xludf.DUMMYFUNCTION("""COMPUTED_VALUE"""),6.0)</f>
        <v>6</v>
      </c>
      <c r="Z293" s="5"/>
    </row>
    <row r="294">
      <c r="A294" s="5" t="str">
        <f>IFERROR(__xludf.DUMMYFUNCTION("""COMPUTED_VALUE"""),"ปูจุด-60/80-ลัง-8-kg")</f>
        <v>ปูจุด-60/80-ลัง-8-kg</v>
      </c>
      <c r="B294" s="5">
        <f>IFERROR(__xludf.DUMMYFUNCTION("""COMPUTED_VALUE"""),10624.0)</f>
        <v>10624</v>
      </c>
      <c r="C294" s="5" t="str">
        <f>IFERROR(__xludf.DUMMYFUNCTION("""COMPUTED_VALUE"""),"ปูจุด60/80(เมีย) ลัง 6 Kg(105)")</f>
        <v>ปูจุด60/80(เมีย) ลัง 6 Kg(105)</v>
      </c>
      <c r="D294" s="5" t="str">
        <f>IFERROR(__xludf.DUMMYFUNCTION("""COMPUTED_VALUE"""),"**ทะเลสด มหาชัย")</f>
        <v>**ทะเลสด มหาชัย</v>
      </c>
      <c r="E294" s="5" t="str">
        <f>IFERROR(__xludf.DUMMYFUNCTION("""COMPUTED_VALUE"""),"6")</f>
        <v>6</v>
      </c>
      <c r="F294" s="5" t="str">
        <f>IFERROR(__xludf.DUMMYFUNCTION("""COMPUTED_VALUE"""),"N")</f>
        <v>N</v>
      </c>
      <c r="G294" s="5"/>
      <c r="H294" s="5"/>
      <c r="I294" s="5"/>
      <c r="J294" s="5"/>
      <c r="K294" s="5"/>
      <c r="L294" s="5"/>
      <c r="M294" s="5">
        <f>IFERROR(__xludf.DUMMYFUNCTION("""COMPUTED_VALUE"""),540.05)</f>
        <v>540.05</v>
      </c>
      <c r="N294" s="5">
        <f>IFERROR(__xludf.DUMMYFUNCTION("""COMPUTED_VALUE"""),10624.0)</f>
        <v>10624</v>
      </c>
      <c r="O294" s="5"/>
      <c r="P294" s="5"/>
      <c r="Q294" s="5" t="str">
        <f>IFERROR(__xludf.DUMMYFUNCTION("""COMPUTED_VALUE"""),"Y")</f>
        <v>Y</v>
      </c>
      <c r="R294" s="5"/>
      <c r="S294" s="5" t="str">
        <f>IFERROR(__xludf.DUMMYFUNCTION("""COMPUTED_VALUE"""),"ขึ้นของมหาชัย")</f>
        <v>ขึ้นของมหาชัย</v>
      </c>
      <c r="T294" s="5">
        <f>IFERROR(__xludf.DUMMYFUNCTION("""COMPUTED_VALUE"""),516.0)</f>
        <v>516</v>
      </c>
      <c r="U294" s="5" t="str">
        <f>IFERROR(__xludf.DUMMYFUNCTION("""COMPUTED_VALUE"""),"N")</f>
        <v>N</v>
      </c>
      <c r="V294" s="5">
        <f>IFERROR(__xludf.DUMMYFUNCTION("""COMPUTED_VALUE"""),630.0)</f>
        <v>630</v>
      </c>
      <c r="W294" s="5">
        <f>IFERROR(__xludf.DUMMYFUNCTION("""COMPUTED_VALUE"""),0.0)</f>
        <v>0</v>
      </c>
      <c r="X294" s="5">
        <f>IFERROR(__xludf.DUMMYFUNCTION("""COMPUTED_VALUE"""),1.0)</f>
        <v>1</v>
      </c>
      <c r="Y294" s="5">
        <f>IFERROR(__xludf.DUMMYFUNCTION("""COMPUTED_VALUE"""),6.0)</f>
        <v>6</v>
      </c>
      <c r="Z294" s="5"/>
    </row>
    <row r="295">
      <c r="A295" s="5" t="str">
        <f>IFERROR(__xludf.DUMMYFUNCTION("""COMPUTED_VALUE"""),"ปูจุด60/80(เมีย)-ลัง-8-kg(105)")</f>
        <v>ปูจุด60/80(เมีย)-ลัง-8-kg(105)</v>
      </c>
      <c r="B295" s="5">
        <f>IFERROR(__xludf.DUMMYFUNCTION("""COMPUTED_VALUE"""),10678.0)</f>
        <v>10678</v>
      </c>
      <c r="C295" s="5" t="str">
        <f>IFERROR(__xludf.DUMMYFUNCTION("""COMPUTED_VALUE"""),"ปูจุด60/80(เมีย) ลัง 8 Kg(140)")</f>
        <v>ปูจุด60/80(เมีย) ลัง 8 Kg(140)</v>
      </c>
      <c r="D295" s="5" t="str">
        <f>IFERROR(__xludf.DUMMYFUNCTION("""COMPUTED_VALUE"""),"**ทะเลสด มหาชัย")</f>
        <v>**ทะเลสด มหาชัย</v>
      </c>
      <c r="E295" s="5" t="str">
        <f>IFERROR(__xludf.DUMMYFUNCTION("""COMPUTED_VALUE"""),"&lt;p&gt;8&lt;/p&gt;")</f>
        <v>&lt;p&gt;8&lt;/p&gt;</v>
      </c>
      <c r="F295" s="5" t="str">
        <f>IFERROR(__xludf.DUMMYFUNCTION("""COMPUTED_VALUE"""),"N")</f>
        <v>N</v>
      </c>
      <c r="G295" s="5"/>
      <c r="H295" s="5"/>
      <c r="I295" s="5"/>
      <c r="J295" s="5"/>
      <c r="K295" s="5"/>
      <c r="L295" s="5"/>
      <c r="M295" s="5">
        <f>IFERROR(__xludf.DUMMYFUNCTION("""COMPUTED_VALUE"""),1021.22)</f>
        <v>1021.22</v>
      </c>
      <c r="N295" s="5"/>
      <c r="O295" s="5"/>
      <c r="P295" s="5"/>
      <c r="Q295" s="5" t="str">
        <f>IFERROR(__xludf.DUMMYFUNCTION("""COMPUTED_VALUE"""),"Y")</f>
        <v>Y</v>
      </c>
      <c r="R295" s="5"/>
      <c r="S295" s="5" t="str">
        <f>IFERROR(__xludf.DUMMYFUNCTION("""COMPUTED_VALUE"""),"ขึ้นของมหาชัย")</f>
        <v>ขึ้นของมหาชัย</v>
      </c>
      <c r="T295" s="5">
        <f>IFERROR(__xludf.DUMMYFUNCTION("""COMPUTED_VALUE"""),784.0)</f>
        <v>784</v>
      </c>
      <c r="U295" s="5" t="str">
        <f>IFERROR(__xludf.DUMMYFUNCTION("""COMPUTED_VALUE"""),"Y")</f>
        <v>Y</v>
      </c>
      <c r="V295" s="5">
        <f>IFERROR(__xludf.DUMMYFUNCTION("""COMPUTED_VALUE"""),1120.0)</f>
        <v>1120</v>
      </c>
      <c r="W295" s="5">
        <f>IFERROR(__xludf.DUMMYFUNCTION("""COMPUTED_VALUE"""),0.0)</f>
        <v>0</v>
      </c>
      <c r="X295" s="5">
        <f>IFERROR(__xludf.DUMMYFUNCTION("""COMPUTED_VALUE"""),5.0)</f>
        <v>5</v>
      </c>
      <c r="Y295" s="5">
        <f>IFERROR(__xludf.DUMMYFUNCTION("""COMPUTED_VALUE"""),15.0)</f>
        <v>15</v>
      </c>
      <c r="Z295" s="5"/>
    </row>
    <row r="296">
      <c r="A296" s="5" t="str">
        <f>IFERROR(__xludf.DUMMYFUNCTION("""COMPUTED_VALUE"""),"ปูจุด-80/100-ลัง8kg.(85)")</f>
        <v>ปูจุด-80/100-ลัง8kg.(85)</v>
      </c>
      <c r="B296" s="5">
        <f>IFERROR(__xludf.DUMMYFUNCTION("""COMPUTED_VALUE"""),10239.0)</f>
        <v>10239</v>
      </c>
      <c r="C296" s="5" t="str">
        <f>IFERROR(__xludf.DUMMYFUNCTION("""COMPUTED_VALUE"""),"ปูจุด80/100(ผู้) ลัง8kg(148)")</f>
        <v>ปูจุด80/100(ผู้) ลัง8kg(148)</v>
      </c>
      <c r="D296" s="5" t="str">
        <f>IFERROR(__xludf.DUMMYFUNCTION("""COMPUTED_VALUE"""),"**ทะเลสด มหาชัย")</f>
        <v>**ทะเลสด มหาชัย</v>
      </c>
      <c r="E296" s="5" t="str">
        <f>IFERROR(__xludf.DUMMYFUNCTION("""COMPUTED_VALUE"""),"&lt;p&gt;8&lt;/p&gt;")</f>
        <v>&lt;p&gt;8&lt;/p&gt;</v>
      </c>
      <c r="F296" s="5" t="str">
        <f>IFERROR(__xludf.DUMMYFUNCTION("""COMPUTED_VALUE"""),"N")</f>
        <v>N</v>
      </c>
      <c r="G296" s="5"/>
      <c r="H296" s="5"/>
      <c r="I296" s="5"/>
      <c r="J296" s="5"/>
      <c r="K296" s="5"/>
      <c r="L296" s="5"/>
      <c r="M296" s="5">
        <f>IFERROR(__xludf.DUMMYFUNCTION("""COMPUTED_VALUE"""),1113.3)</f>
        <v>1113.3</v>
      </c>
      <c r="N296" s="5">
        <f>IFERROR(__xludf.DUMMYFUNCTION("""COMPUTED_VALUE"""),10239.0)</f>
        <v>10239</v>
      </c>
      <c r="O296" s="5"/>
      <c r="P296" s="5"/>
      <c r="Q296" s="5" t="str">
        <f>IFERROR(__xludf.DUMMYFUNCTION("""COMPUTED_VALUE"""),"Y")</f>
        <v>Y</v>
      </c>
      <c r="R296" s="5"/>
      <c r="S296" s="5" t="str">
        <f>IFERROR(__xludf.DUMMYFUNCTION("""COMPUTED_VALUE"""),"ขึ้นของมหาชัย")</f>
        <v>ขึ้นของมหาชัย</v>
      </c>
      <c r="T296" s="5">
        <f>IFERROR(__xludf.DUMMYFUNCTION("""COMPUTED_VALUE"""),800.0)</f>
        <v>800</v>
      </c>
      <c r="U296" s="5" t="str">
        <f>IFERROR(__xludf.DUMMYFUNCTION("""COMPUTED_VALUE"""),"N")</f>
        <v>N</v>
      </c>
      <c r="V296" s="5">
        <f>IFERROR(__xludf.DUMMYFUNCTION("""COMPUTED_VALUE"""),1184.0)</f>
        <v>1184</v>
      </c>
      <c r="W296" s="5">
        <f>IFERROR(__xludf.DUMMYFUNCTION("""COMPUTED_VALUE"""),0.0)</f>
        <v>0</v>
      </c>
      <c r="X296" s="5">
        <f>IFERROR(__xludf.DUMMYFUNCTION("""COMPUTED_VALUE"""),2.0)</f>
        <v>2</v>
      </c>
      <c r="Y296" s="5">
        <f>IFERROR(__xludf.DUMMYFUNCTION("""COMPUTED_VALUE"""),7.0)</f>
        <v>7</v>
      </c>
      <c r="Z296" s="5"/>
    </row>
    <row r="297">
      <c r="A297" s="5" t="str">
        <f>IFERROR(__xludf.DUMMYFUNCTION("""COMPUTED_VALUE"""),"ปูจุด-80/100-เมีย")</f>
        <v>ปูจุด-80/100-เมีย</v>
      </c>
      <c r="B297" s="5">
        <f>IFERROR(__xludf.DUMMYFUNCTION("""COMPUTED_VALUE"""),10182.0)</f>
        <v>10182</v>
      </c>
      <c r="C297" s="5" t="str">
        <f>IFERROR(__xludf.DUMMYFUNCTION("""COMPUTED_VALUE"""),"ปูจุด80/100(เมีย) ลัง8kg(178)")</f>
        <v>ปูจุด80/100(เมีย) ลัง8kg(178)</v>
      </c>
      <c r="D297" s="5" t="str">
        <f>IFERROR(__xludf.DUMMYFUNCTION("""COMPUTED_VALUE"""),"**ทะเลสด มหาชัย")</f>
        <v>**ทะเลสด มหาชัย</v>
      </c>
      <c r="E297" s="5" t="str">
        <f>IFERROR(__xludf.DUMMYFUNCTION("""COMPUTED_VALUE"""),"&lt;p&gt;8&lt;/p&gt;")</f>
        <v>&lt;p&gt;8&lt;/p&gt;</v>
      </c>
      <c r="F297" s="5" t="str">
        <f>IFERROR(__xludf.DUMMYFUNCTION("""COMPUTED_VALUE"""),"N")</f>
        <v>N</v>
      </c>
      <c r="G297" s="5"/>
      <c r="H297" s="5"/>
      <c r="I297" s="5"/>
      <c r="J297" s="5"/>
      <c r="K297" s="5"/>
      <c r="L297" s="5"/>
      <c r="M297" s="5">
        <f>IFERROR(__xludf.DUMMYFUNCTION("""COMPUTED_VALUE"""),1312.16)</f>
        <v>1312.16</v>
      </c>
      <c r="N297" s="5"/>
      <c r="O297" s="5"/>
      <c r="P297" s="5"/>
      <c r="Q297" s="5" t="str">
        <f>IFERROR(__xludf.DUMMYFUNCTION("""COMPUTED_VALUE"""),"Y")</f>
        <v>Y</v>
      </c>
      <c r="R297" s="5"/>
      <c r="S297" s="5" t="str">
        <f>IFERROR(__xludf.DUMMYFUNCTION("""COMPUTED_VALUE"""),"ขึ้นของมหาชัย")</f>
        <v>ขึ้นของมหาชัย</v>
      </c>
      <c r="T297" s="5">
        <f>IFERROR(__xludf.DUMMYFUNCTION("""COMPUTED_VALUE"""),1264.0)</f>
        <v>1264</v>
      </c>
      <c r="U297" s="5" t="str">
        <f>IFERROR(__xludf.DUMMYFUNCTION("""COMPUTED_VALUE"""),"Y")</f>
        <v>Y</v>
      </c>
      <c r="V297" s="5">
        <f>IFERROR(__xludf.DUMMYFUNCTION("""COMPUTED_VALUE"""),1424.0)</f>
        <v>1424</v>
      </c>
      <c r="W297" s="5">
        <f>IFERROR(__xludf.DUMMYFUNCTION("""COMPUTED_VALUE"""),0.0)</f>
        <v>0</v>
      </c>
      <c r="X297" s="5">
        <f>IFERROR(__xludf.DUMMYFUNCTION("""COMPUTED_VALUE"""),1.0)</f>
        <v>1</v>
      </c>
      <c r="Y297" s="5">
        <f>IFERROR(__xludf.DUMMYFUNCTION("""COMPUTED_VALUE"""),6.0)</f>
        <v>6</v>
      </c>
      <c r="Z297" s="5"/>
    </row>
    <row r="298">
      <c r="A298" s="5" t="str">
        <f>IFERROR(__xludf.DUMMYFUNCTION("""COMPUTED_VALUE"""),"ปูซิ่ง-500g")</f>
        <v>ปูซิ่ง-500g</v>
      </c>
      <c r="B298" s="5">
        <f>IFERROR(__xludf.DUMMYFUNCTION("""COMPUTED_VALUE"""),11439.0)</f>
        <v>11439</v>
      </c>
      <c r="C298" s="5" t="str">
        <f>IFERROR(__xludf.DUMMYFUNCTION("""COMPUTED_VALUE"""),"ปูซิ่ง 500g")</f>
        <v>ปูซิ่ง 500g</v>
      </c>
      <c r="D298" s="5" t="str">
        <f>IFERROR(__xludf.DUMMYFUNCTION("""COMPUTED_VALUE"""),"ทวีวงษ์-PFP")</f>
        <v>ทวีวงษ์-PFP</v>
      </c>
      <c r="E298" s="5" t="str">
        <f>IFERROR(__xludf.DUMMYFUNCTION("""COMPUTED_VALUE"""),"X")</f>
        <v>X</v>
      </c>
      <c r="F298" s="5" t="str">
        <f>IFERROR(__xludf.DUMMYFUNCTION("""COMPUTED_VALUE"""),"N")</f>
        <v>N</v>
      </c>
      <c r="G298" s="5"/>
      <c r="H298" s="5"/>
      <c r="I298" s="5"/>
      <c r="J298" s="5"/>
      <c r="K298" s="5"/>
      <c r="L298" s="5"/>
      <c r="M298" s="5">
        <f>IFERROR(__xludf.DUMMYFUNCTION("""COMPUTED_VALUE"""),55.0)</f>
        <v>55</v>
      </c>
      <c r="N298" s="5">
        <f>IFERROR(__xludf.DUMMYFUNCTION("""COMPUTED_VALUE"""),11439.0)</f>
        <v>11439</v>
      </c>
      <c r="O298" s="5"/>
      <c r="P298" s="5"/>
      <c r="Q298" s="5" t="str">
        <f>IFERROR(__xludf.DUMMYFUNCTION("""COMPUTED_VALUE"""),"Y")</f>
        <v>Y</v>
      </c>
      <c r="R298" s="5"/>
      <c r="S298" s="5"/>
      <c r="T298" s="5">
        <f>IFERROR(__xludf.DUMMYFUNCTION("""COMPUTED_VALUE"""),0.0)</f>
        <v>0</v>
      </c>
      <c r="U298" s="5" t="str">
        <f>IFERROR(__xludf.DUMMYFUNCTION("""COMPUTED_VALUE"""),"Y")</f>
        <v>Y</v>
      </c>
      <c r="V298" s="5">
        <f>IFERROR(__xludf.DUMMYFUNCTION("""COMPUTED_VALUE"""),64.0)</f>
        <v>64</v>
      </c>
      <c r="W298" s="5">
        <f>IFERROR(__xludf.DUMMYFUNCTION("""COMPUTED_VALUE"""),0.0)</f>
        <v>0</v>
      </c>
      <c r="X298" s="5"/>
      <c r="Y298" s="5"/>
      <c r="Z298" s="5"/>
    </row>
    <row r="299">
      <c r="A299" s="5" t="str">
        <f>IFERROR(__xludf.DUMMYFUNCTION("""COMPUTED_VALUE"""),"ปูซิ่ง-500g-ลัง")</f>
        <v>ปูซิ่ง-500g-ลัง</v>
      </c>
      <c r="B299" s="5">
        <f>IFERROR(__xludf.DUMMYFUNCTION("""COMPUTED_VALUE"""),11587.0)</f>
        <v>11587</v>
      </c>
      <c r="C299" s="5" t="str">
        <f>IFERROR(__xludf.DUMMYFUNCTION("""COMPUTED_VALUE"""),"ปูซิ่ง 500g ลัง")</f>
        <v>ปูซิ่ง 500g ลัง</v>
      </c>
      <c r="D299" s="5"/>
      <c r="E299" s="5" t="str">
        <f>IFERROR(__xludf.DUMMYFUNCTION("""COMPUTED_VALUE"""),"S")</f>
        <v>S</v>
      </c>
      <c r="F299" s="5" t="str">
        <f>IFERROR(__xludf.DUMMYFUNCTION("""COMPUTED_VALUE"""),"N")</f>
        <v>N</v>
      </c>
      <c r="G299" s="5"/>
      <c r="H299" s="5"/>
      <c r="I299" s="5"/>
      <c r="J299" s="5"/>
      <c r="K299" s="5"/>
      <c r="L299" s="5"/>
      <c r="M299" s="5"/>
      <c r="N299" s="5">
        <f>IFERROR(__xludf.DUMMYFUNCTION("""COMPUTED_VALUE"""),11587.0)</f>
        <v>11587</v>
      </c>
      <c r="O299" s="5">
        <f>IFERROR(__xludf.DUMMYFUNCTION("""COMPUTED_VALUE"""),11439.0)</f>
        <v>11439</v>
      </c>
      <c r="P299" s="5">
        <f>IFERROR(__xludf.DUMMYFUNCTION("""COMPUTED_VALUE"""),20.0)</f>
        <v>20</v>
      </c>
      <c r="Q299" s="5" t="str">
        <f>IFERROR(__xludf.DUMMYFUNCTION("""COMPUTED_VALUE"""),"N")</f>
        <v>N</v>
      </c>
      <c r="R299" s="5" t="str">
        <f>IFERROR(__xludf.DUMMYFUNCTION("""COMPUTED_VALUE"""),"N")</f>
        <v>N</v>
      </c>
      <c r="S299" s="5"/>
      <c r="T299" s="5"/>
      <c r="U299" s="5" t="str">
        <f>IFERROR(__xludf.DUMMYFUNCTION("""COMPUTED_VALUE"""),"Y")</f>
        <v>Y</v>
      </c>
      <c r="V299" s="5">
        <f>IFERROR(__xludf.DUMMYFUNCTION("""COMPUTED_VALUE"""),1190.0)</f>
        <v>1190</v>
      </c>
      <c r="W299" s="5"/>
      <c r="X299" s="5"/>
      <c r="Y299" s="5"/>
      <c r="Z299" s="5"/>
    </row>
    <row r="300">
      <c r="A300" s="5" t="str">
        <f>IFERROR(__xludf.DUMMYFUNCTION("""COMPUTED_VALUE"""),"ปูตัด-(ปูดาว)-1*12กล่อง-(ลัง)")</f>
        <v>ปูตัด-(ปูดาว)-1*12กล่อง-(ลัง)</v>
      </c>
      <c r="B300" s="5">
        <f>IFERROR(__xludf.DUMMYFUNCTION("""COMPUTED_VALUE"""),10153.0)</f>
        <v>10153</v>
      </c>
      <c r="C300" s="5" t="str">
        <f>IFERROR(__xludf.DUMMYFUNCTION("""COMPUTED_VALUE"""),"ปูตัด (ปูดาว)  12 กล่อง  (ลัง)")</f>
        <v>ปูตัด (ปูดาว)  12 กล่อง  (ลัง)</v>
      </c>
      <c r="D300" s="5"/>
      <c r="E300" s="5"/>
      <c r="F300" s="5" t="str">
        <f>IFERROR(__xludf.DUMMYFUNCTION("""COMPUTED_VALUE"""),"N")</f>
        <v>N</v>
      </c>
      <c r="G300" s="5"/>
      <c r="H300" s="5"/>
      <c r="I300" s="5"/>
      <c r="J300" s="5"/>
      <c r="K300" s="5"/>
      <c r="L300" s="5"/>
      <c r="M300" s="5"/>
      <c r="N300" s="5"/>
      <c r="O300" s="5">
        <f>IFERROR(__xludf.DUMMYFUNCTION("""COMPUTED_VALUE"""),10490.0)</f>
        <v>10490</v>
      </c>
      <c r="P300" s="5">
        <f>IFERROR(__xludf.DUMMYFUNCTION("""COMPUTED_VALUE"""),12.0)</f>
        <v>12</v>
      </c>
      <c r="Q300" s="5" t="str">
        <f>IFERROR(__xludf.DUMMYFUNCTION("""COMPUTED_VALUE"""),"N")</f>
        <v>N</v>
      </c>
      <c r="R300" s="5" t="str">
        <f>IFERROR(__xludf.DUMMYFUNCTION("""COMPUTED_VALUE"""),"N")</f>
        <v>N</v>
      </c>
      <c r="S300" s="5"/>
      <c r="T300" s="5"/>
      <c r="U300" s="5" t="str">
        <f>IFERROR(__xludf.DUMMYFUNCTION("""COMPUTED_VALUE"""),"Y")</f>
        <v>Y</v>
      </c>
      <c r="V300" s="5">
        <f>IFERROR(__xludf.DUMMYFUNCTION("""COMPUTED_VALUE"""),1280.0)</f>
        <v>1280</v>
      </c>
      <c r="W300" s="5"/>
      <c r="X300" s="5"/>
      <c r="Y300" s="5"/>
      <c r="Z300" s="5"/>
    </row>
    <row r="301">
      <c r="A301" s="5" t="str">
        <f>IFERROR(__xludf.DUMMYFUNCTION("""COMPUTED_VALUE"""),"ปูตัด-(ปูดาว)-*พิเศษ*-12กล่อง(ลัง)")</f>
        <v>ปูตัด-(ปูดาว)-*พิเศษ*-12กล่อง(ลัง)</v>
      </c>
      <c r="B301" s="5">
        <f>IFERROR(__xludf.DUMMYFUNCTION("""COMPUTED_VALUE"""),10204.0)</f>
        <v>10204</v>
      </c>
      <c r="C301" s="5" t="str">
        <f>IFERROR(__xludf.DUMMYFUNCTION("""COMPUTED_VALUE"""),"ปูตัด (ปูดาว) *พิเศษ* 12กล่อง(ลัง)")</f>
        <v>ปูตัด (ปูดาว) *พิเศษ* 12กล่อง(ลัง)</v>
      </c>
      <c r="D301" s="5" t="str">
        <f>IFERROR(__xludf.DUMMYFUNCTION("""COMPUTED_VALUE"""),"**ร้านค้า ราคาพิเศษ")</f>
        <v>**ร้านค้า ราคาพิเศษ</v>
      </c>
      <c r="E301" s="5"/>
      <c r="F301" s="5" t="str">
        <f>IFERROR(__xludf.DUMMYFUNCTION("""COMPUTED_VALUE"""),"N")</f>
        <v>N</v>
      </c>
      <c r="G301" s="5"/>
      <c r="H301" s="5"/>
      <c r="I301" s="5"/>
      <c r="J301" s="5"/>
      <c r="K301" s="5"/>
      <c r="L301" s="5"/>
      <c r="M301" s="5"/>
      <c r="N301" s="5"/>
      <c r="O301" s="5">
        <f>IFERROR(__xludf.DUMMYFUNCTION("""COMPUTED_VALUE"""),10490.0)</f>
        <v>10490</v>
      </c>
      <c r="P301" s="5">
        <f>IFERROR(__xludf.DUMMYFUNCTION("""COMPUTED_VALUE"""),12.0)</f>
        <v>12</v>
      </c>
      <c r="Q301" s="5" t="str">
        <f>IFERROR(__xludf.DUMMYFUNCTION("""COMPUTED_VALUE"""),"N")</f>
        <v>N</v>
      </c>
      <c r="R301" s="5" t="str">
        <f>IFERROR(__xludf.DUMMYFUNCTION("""COMPUTED_VALUE"""),"N")</f>
        <v>N</v>
      </c>
      <c r="S301" s="5"/>
      <c r="T301" s="5"/>
      <c r="U301" s="5" t="str">
        <f>IFERROR(__xludf.DUMMYFUNCTION("""COMPUTED_VALUE"""),"Y")</f>
        <v>Y</v>
      </c>
      <c r="V301" s="5">
        <f>IFERROR(__xludf.DUMMYFUNCTION("""COMPUTED_VALUE"""),1280.0)</f>
        <v>1280</v>
      </c>
      <c r="W301" s="5"/>
      <c r="X301" s="5"/>
      <c r="Y301" s="5"/>
      <c r="Z301" s="5"/>
    </row>
    <row r="302">
      <c r="A302" s="5" t="str">
        <f>IFERROR(__xludf.DUMMYFUNCTION("""COMPUTED_VALUE"""),"ปูตัด-(ปูดาว)-500กรัม")</f>
        <v>ปูตัด-(ปูดาว)-500กรัม</v>
      </c>
      <c r="B302" s="5">
        <f>IFERROR(__xludf.DUMMYFUNCTION("""COMPUTED_VALUE"""),10490.0)</f>
        <v>10490</v>
      </c>
      <c r="C302" s="5" t="str">
        <f>IFERROR(__xludf.DUMMYFUNCTION("""COMPUTED_VALUE"""),"ปูตัด (ปูดาว) 500กรัม")</f>
        <v>ปูตัด (ปูดาว) 500กรัม</v>
      </c>
      <c r="D302" s="5" t="str">
        <f>IFERROR(__xludf.DUMMYFUNCTION("""COMPUTED_VALUE"""),"**ลัง มหาชัย")</f>
        <v>**ลัง มหาชัย</v>
      </c>
      <c r="E302" s="5" t="str">
        <f>IFERROR(__xludf.DUMMYFUNCTION("""COMPUTED_VALUE"""),"&lt;p&gt;0.5&lt;/p&gt;")</f>
        <v>&lt;p&gt;0.5&lt;/p&gt;</v>
      </c>
      <c r="F302" s="5" t="str">
        <f>IFERROR(__xludf.DUMMYFUNCTION("""COMPUTED_VALUE"""),"N")</f>
        <v>N</v>
      </c>
      <c r="G302" s="5"/>
      <c r="H302" s="5"/>
      <c r="I302" s="5"/>
      <c r="J302" s="5"/>
      <c r="K302" s="5"/>
      <c r="L302" s="5"/>
      <c r="M302" s="5">
        <f>IFERROR(__xludf.DUMMYFUNCTION("""COMPUTED_VALUE"""),95.66)</f>
        <v>95.66</v>
      </c>
      <c r="N302" s="5"/>
      <c r="O302" s="5"/>
      <c r="P302" s="5"/>
      <c r="Q302" s="5" t="str">
        <f>IFERROR(__xludf.DUMMYFUNCTION("""COMPUTED_VALUE"""),"Y")</f>
        <v>Y</v>
      </c>
      <c r="R302" s="5"/>
      <c r="S302" s="5" t="str">
        <f>IFERROR(__xludf.DUMMYFUNCTION("""COMPUTED_VALUE"""),"ขึ้นของมหาชัย")</f>
        <v>ขึ้นของมหาชัย</v>
      </c>
      <c r="T302" s="5">
        <f>IFERROR(__xludf.DUMMYFUNCTION("""COMPUTED_VALUE"""),94.0)</f>
        <v>94</v>
      </c>
      <c r="U302" s="5" t="str">
        <f>IFERROR(__xludf.DUMMYFUNCTION("""COMPUTED_VALUE"""),"Y")</f>
        <v>Y</v>
      </c>
      <c r="V302" s="5">
        <f>IFERROR(__xludf.DUMMYFUNCTION("""COMPUTED_VALUE"""),125.0)</f>
        <v>125</v>
      </c>
      <c r="W302" s="5">
        <f>IFERROR(__xludf.DUMMYFUNCTION("""COMPUTED_VALUE"""),0.0)</f>
        <v>0</v>
      </c>
      <c r="X302" s="5">
        <f>IFERROR(__xludf.DUMMYFUNCTION("""COMPUTED_VALUE"""),36.0)</f>
        <v>36</v>
      </c>
      <c r="Y302" s="5">
        <f>IFERROR(__xludf.DUMMYFUNCTION("""COMPUTED_VALUE"""),96.0)</f>
        <v>96</v>
      </c>
      <c r="Z302" s="5"/>
    </row>
    <row r="303">
      <c r="A303" s="5" t="str">
        <f>IFERROR(__xludf.DUMMYFUNCTION("""COMPUTED_VALUE"""),"ปูปาร์ตี้-500g")</f>
        <v>ปูปาร์ตี้-500g</v>
      </c>
      <c r="B303" s="5">
        <f>IFERROR(__xludf.DUMMYFUNCTION("""COMPUTED_VALUE"""),10650.0)</f>
        <v>10650</v>
      </c>
      <c r="C303" s="5" t="str">
        <f>IFERROR(__xludf.DUMMYFUNCTION("""COMPUTED_VALUE"""),"ปูปาร์ตี้ 500g")</f>
        <v>ปูปาร์ตี้ 500g</v>
      </c>
      <c r="D303" s="5" t="str">
        <f>IFERROR(__xludf.DUMMYFUNCTION("""COMPUTED_VALUE"""),"ทวีวงษ์-PFP")</f>
        <v>ทวีวงษ์-PFP</v>
      </c>
      <c r="E303" s="5" t="str">
        <f>IFERROR(__xludf.DUMMYFUNCTION("""COMPUTED_VALUE"""),"&lt;p&gt;X&lt;/p&gt;")</f>
        <v>&lt;p&gt;X&lt;/p&gt;</v>
      </c>
      <c r="F303" s="5" t="str">
        <f>IFERROR(__xludf.DUMMYFUNCTION("""COMPUTED_VALUE"""),"N")</f>
        <v>N</v>
      </c>
      <c r="G303" s="5"/>
      <c r="H303" s="5"/>
      <c r="I303" s="5"/>
      <c r="J303" s="5"/>
      <c r="K303" s="5"/>
      <c r="L303" s="5"/>
      <c r="M303" s="5">
        <f>IFERROR(__xludf.DUMMYFUNCTION("""COMPUTED_VALUE"""),45.0)</f>
        <v>45</v>
      </c>
      <c r="N303" s="5">
        <f>IFERROR(__xludf.DUMMYFUNCTION("""COMPUTED_VALUE"""),10650.0)</f>
        <v>10650</v>
      </c>
      <c r="O303" s="5"/>
      <c r="P303" s="5"/>
      <c r="Q303" s="5" t="str">
        <f>IFERROR(__xludf.DUMMYFUNCTION("""COMPUTED_VALUE"""),"Y")</f>
        <v>Y</v>
      </c>
      <c r="R303" s="5"/>
      <c r="S303" s="5" t="str">
        <f>IFERROR(__xludf.DUMMYFUNCTION("""COMPUTED_VALUE"""),"ทวีวงษ์")</f>
        <v>ทวีวงษ์</v>
      </c>
      <c r="T303" s="5">
        <f>IFERROR(__xludf.DUMMYFUNCTION("""COMPUTED_VALUE"""),45.0)</f>
        <v>45</v>
      </c>
      <c r="U303" s="5" t="str">
        <f>IFERROR(__xludf.DUMMYFUNCTION("""COMPUTED_VALUE"""),"Y")</f>
        <v>Y</v>
      </c>
      <c r="V303" s="5">
        <f>IFERROR(__xludf.DUMMYFUNCTION("""COMPUTED_VALUE"""),55.0)</f>
        <v>55</v>
      </c>
      <c r="W303" s="5">
        <f>IFERROR(__xludf.DUMMYFUNCTION("""COMPUTED_VALUE"""),0.0)</f>
        <v>0</v>
      </c>
      <c r="X303" s="5">
        <f>IFERROR(__xludf.DUMMYFUNCTION("""COMPUTED_VALUE"""),20.0)</f>
        <v>20</v>
      </c>
      <c r="Y303" s="5">
        <f>IFERROR(__xludf.DUMMYFUNCTION("""COMPUTED_VALUE"""),40.0)</f>
        <v>40</v>
      </c>
      <c r="Z303" s="5"/>
    </row>
    <row r="304">
      <c r="A304" s="5" t="str">
        <f>IFERROR(__xludf.DUMMYFUNCTION("""COMPUTED_VALUE"""),"ปูปาร์ตี้-ลัง-20แพ็ค")</f>
        <v>ปูปาร์ตี้-ลัง-20แพ็ค</v>
      </c>
      <c r="B304" s="5">
        <f>IFERROR(__xludf.DUMMYFUNCTION("""COMPUTED_VALUE"""),11392.0)</f>
        <v>11392</v>
      </c>
      <c r="C304" s="5" t="str">
        <f>IFERROR(__xludf.DUMMYFUNCTION("""COMPUTED_VALUE"""),"ปูปาร์ตี้ ลัง 20แพ็ค")</f>
        <v>ปูปาร์ตี้ ลัง 20แพ็ค</v>
      </c>
      <c r="D304" s="5"/>
      <c r="E304" s="5" t="str">
        <f>IFERROR(__xludf.DUMMYFUNCTION("""COMPUTED_VALUE"""),"S")</f>
        <v>S</v>
      </c>
      <c r="F304" s="5" t="str">
        <f>IFERROR(__xludf.DUMMYFUNCTION("""COMPUTED_VALUE"""),"N")</f>
        <v>N</v>
      </c>
      <c r="G304" s="5"/>
      <c r="H304" s="5"/>
      <c r="I304" s="5"/>
      <c r="J304" s="5"/>
      <c r="K304" s="5"/>
      <c r="L304" s="5"/>
      <c r="M304" s="5"/>
      <c r="N304" s="5">
        <f>IFERROR(__xludf.DUMMYFUNCTION("""COMPUTED_VALUE"""),11392.0)</f>
        <v>11392</v>
      </c>
      <c r="O304" s="5">
        <f>IFERROR(__xludf.DUMMYFUNCTION("""COMPUTED_VALUE"""),10650.0)</f>
        <v>10650</v>
      </c>
      <c r="P304" s="5">
        <f>IFERROR(__xludf.DUMMYFUNCTION("""COMPUTED_VALUE"""),20.0)</f>
        <v>20</v>
      </c>
      <c r="Q304" s="5" t="str">
        <f>IFERROR(__xludf.DUMMYFUNCTION("""COMPUTED_VALUE"""),"N")</f>
        <v>N</v>
      </c>
      <c r="R304" s="5" t="str">
        <f>IFERROR(__xludf.DUMMYFUNCTION("""COMPUTED_VALUE"""),"N")</f>
        <v>N</v>
      </c>
      <c r="S304" s="5"/>
      <c r="T304" s="5"/>
      <c r="U304" s="5" t="str">
        <f>IFERROR(__xludf.DUMMYFUNCTION("""COMPUTED_VALUE"""),"Y")</f>
        <v>Y</v>
      </c>
      <c r="V304" s="5">
        <f>IFERROR(__xludf.DUMMYFUNCTION("""COMPUTED_VALUE"""),980.0)</f>
        <v>980</v>
      </c>
      <c r="W304" s="5"/>
      <c r="X304" s="5"/>
      <c r="Y304" s="5"/>
      <c r="Z304" s="5"/>
    </row>
    <row r="305">
      <c r="A305" s="5" t="str">
        <f>IFERROR(__xludf.DUMMYFUNCTION("""COMPUTED_VALUE"""),"ปูม้า100/150-(เมีย)-ลัง-8kg")</f>
        <v>ปูม้า100/150-(เมีย)-ลัง-8kg</v>
      </c>
      <c r="B305" s="5">
        <f>IFERROR(__xludf.DUMMYFUNCTION("""COMPUTED_VALUE"""),11523.0)</f>
        <v>11523</v>
      </c>
      <c r="C305" s="5" t="str">
        <f>IFERROR(__xludf.DUMMYFUNCTION("""COMPUTED_VALUE"""),"ปูม้า 100/150 (ผู้)ลัง8Kg-180")</f>
        <v>ปูม้า 100/150 (ผู้)ลัง8Kg-180</v>
      </c>
      <c r="D305" s="5" t="str">
        <f>IFERROR(__xludf.DUMMYFUNCTION("""COMPUTED_VALUE"""),"**ทะเลสด มหาชัย")</f>
        <v>**ทะเลสด มหาชัย</v>
      </c>
      <c r="E305" s="5" t="str">
        <f>IFERROR(__xludf.DUMMYFUNCTION("""COMPUTED_VALUE"""),"&lt;p&gt;8&lt;/p&gt;")</f>
        <v>&lt;p&gt;8&lt;/p&gt;</v>
      </c>
      <c r="F305" s="5" t="str">
        <f>IFERROR(__xludf.DUMMYFUNCTION("""COMPUTED_VALUE"""),"N")</f>
        <v>N</v>
      </c>
      <c r="G305" s="5"/>
      <c r="H305" s="5"/>
      <c r="I305" s="5"/>
      <c r="J305" s="5"/>
      <c r="K305" s="5"/>
      <c r="L305" s="5"/>
      <c r="M305" s="5">
        <f>IFERROR(__xludf.DUMMYFUNCTION("""COMPUTED_VALUE"""),1406.55)</f>
        <v>1406.55</v>
      </c>
      <c r="N305" s="5">
        <f>IFERROR(__xludf.DUMMYFUNCTION("""COMPUTED_VALUE"""),11523.0)</f>
        <v>11523</v>
      </c>
      <c r="O305" s="5"/>
      <c r="P305" s="5"/>
      <c r="Q305" s="5" t="str">
        <f>IFERROR(__xludf.DUMMYFUNCTION("""COMPUTED_VALUE"""),"Y")</f>
        <v>Y</v>
      </c>
      <c r="R305" s="5"/>
      <c r="S305" s="5" t="str">
        <f>IFERROR(__xludf.DUMMYFUNCTION("""COMPUTED_VALUE"""),"ขึ้นของมหาชัย")</f>
        <v>ขึ้นของมหาชัย</v>
      </c>
      <c r="T305" s="5">
        <f>IFERROR(__xludf.DUMMYFUNCTION("""COMPUTED_VALUE"""),1352.0)</f>
        <v>1352</v>
      </c>
      <c r="U305" s="5" t="str">
        <f>IFERROR(__xludf.DUMMYFUNCTION("""COMPUTED_VALUE"""),"N")</f>
        <v>N</v>
      </c>
      <c r="V305" s="5">
        <f>IFERROR(__xludf.DUMMYFUNCTION("""COMPUTED_VALUE"""),1440.0)</f>
        <v>1440</v>
      </c>
      <c r="W305" s="5">
        <f>IFERROR(__xludf.DUMMYFUNCTION("""COMPUTED_VALUE"""),0.0)</f>
        <v>0</v>
      </c>
      <c r="X305" s="5">
        <f>IFERROR(__xludf.DUMMYFUNCTION("""COMPUTED_VALUE"""),1.0)</f>
        <v>1</v>
      </c>
      <c r="Y305" s="5">
        <f>IFERROR(__xludf.DUMMYFUNCTION("""COMPUTED_VALUE"""),6.0)</f>
        <v>6</v>
      </c>
      <c r="Z305" s="5"/>
    </row>
    <row r="306">
      <c r="A306" s="5" t="str">
        <f>IFERROR(__xludf.DUMMYFUNCTION("""COMPUTED_VALUE"""),"ปูม้า-40/60-เมีย-8-กก.(ลัง)")</f>
        <v>ปูม้า-40/60-เมีย-8-กก.(ลัง)</v>
      </c>
      <c r="B306" s="5">
        <f>IFERROR(__xludf.DUMMYFUNCTION("""COMPUTED_VALUE"""),10759.0)</f>
        <v>10759</v>
      </c>
      <c r="C306" s="5" t="str">
        <f>IFERROR(__xludf.DUMMYFUNCTION("""COMPUTED_VALUE"""),"ปูม้า 40/60 เมีย ลัง8กก(135)")</f>
        <v>ปูม้า 40/60 เมีย ลัง8กก(135)</v>
      </c>
      <c r="D306" s="5" t="str">
        <f>IFERROR(__xludf.DUMMYFUNCTION("""COMPUTED_VALUE"""),"**ทะเลสด มหาชัย")</f>
        <v>**ทะเลสด มหาชัย</v>
      </c>
      <c r="E306" s="5"/>
      <c r="F306" s="5" t="str">
        <f>IFERROR(__xludf.DUMMYFUNCTION("""COMPUTED_VALUE"""),"N")</f>
        <v>N</v>
      </c>
      <c r="G306" s="5"/>
      <c r="H306" s="5"/>
      <c r="I306" s="5"/>
      <c r="J306" s="5"/>
      <c r="K306" s="5"/>
      <c r="L306" s="5"/>
      <c r="M306" s="5">
        <f>IFERROR(__xludf.DUMMYFUNCTION("""COMPUTED_VALUE"""),672.0)</f>
        <v>672</v>
      </c>
      <c r="N306" s="5"/>
      <c r="O306" s="5"/>
      <c r="P306" s="5"/>
      <c r="Q306" s="5" t="str">
        <f>IFERROR(__xludf.DUMMYFUNCTION("""COMPUTED_VALUE"""),"Y")</f>
        <v>Y</v>
      </c>
      <c r="R306" s="5"/>
      <c r="S306" s="5" t="str">
        <f>IFERROR(__xludf.DUMMYFUNCTION("""COMPUTED_VALUE"""),"ขึ้นของมหาชัย")</f>
        <v>ขึ้นของมหาชัย</v>
      </c>
      <c r="T306" s="5">
        <f>IFERROR(__xludf.DUMMYFUNCTION("""COMPUTED_VALUE"""),1016.0)</f>
        <v>1016</v>
      </c>
      <c r="U306" s="5" t="str">
        <f>IFERROR(__xludf.DUMMYFUNCTION("""COMPUTED_VALUE"""),"Y")</f>
        <v>Y</v>
      </c>
      <c r="V306" s="5">
        <f>IFERROR(__xludf.DUMMYFUNCTION("""COMPUTED_VALUE"""),1080.0)</f>
        <v>1080</v>
      </c>
      <c r="W306" s="5">
        <f>IFERROR(__xludf.DUMMYFUNCTION("""COMPUTED_VALUE"""),0.0)</f>
        <v>0</v>
      </c>
      <c r="X306" s="5"/>
      <c r="Y306" s="5"/>
      <c r="Z306" s="5"/>
    </row>
    <row r="307">
      <c r="A307" s="5" t="str">
        <f>IFERROR(__xludf.DUMMYFUNCTION("""COMPUTED_VALUE"""),"ปูม้า50/80-jarada-(เมีย)-ถาด-4-kg")</f>
        <v>ปูม้า50/80-jarada-(เมีย)-ถาด-4-kg</v>
      </c>
      <c r="B307" s="5">
        <f>IFERROR(__xludf.DUMMYFUNCTION("""COMPUTED_VALUE"""),11040.0)</f>
        <v>11040</v>
      </c>
      <c r="C307" s="5" t="str">
        <f>IFERROR(__xludf.DUMMYFUNCTION("""COMPUTED_VALUE"""),"ปูม้า 50/80   (เมีย) 118 ถาด 4 Kg")</f>
        <v>ปูม้า 50/80   (เมีย) 118 ถาด 4 Kg</v>
      </c>
      <c r="D307" s="5"/>
      <c r="E307" s="5" t="str">
        <f>IFERROR(__xludf.DUMMYFUNCTION("""COMPUTED_VALUE"""),"&lt;p&gt;X&lt;/p&gt;")</f>
        <v>&lt;p&gt;X&lt;/p&gt;</v>
      </c>
      <c r="F307" s="5" t="str">
        <f>IFERROR(__xludf.DUMMYFUNCTION("""COMPUTED_VALUE"""),"N")</f>
        <v>N</v>
      </c>
      <c r="G307" s="5"/>
      <c r="H307" s="5"/>
      <c r="I307" s="5"/>
      <c r="J307" s="5"/>
      <c r="K307" s="5"/>
      <c r="L307" s="5"/>
      <c r="M307" s="5"/>
      <c r="N307" s="5">
        <f>IFERROR(__xludf.DUMMYFUNCTION("""COMPUTED_VALUE"""),11040.0)</f>
        <v>11040</v>
      </c>
      <c r="O307" s="5">
        <f>IFERROR(__xludf.DUMMYFUNCTION("""COMPUTED_VALUE"""),10855.0)</f>
        <v>10855</v>
      </c>
      <c r="P307" s="5">
        <f>IFERROR(__xludf.DUMMYFUNCTION("""COMPUTED_VALUE"""),0.5)</f>
        <v>0.5</v>
      </c>
      <c r="Q307" s="5" t="str">
        <f>IFERROR(__xludf.DUMMYFUNCTION("""COMPUTED_VALUE"""),"N")</f>
        <v>N</v>
      </c>
      <c r="R307" s="5" t="str">
        <f>IFERROR(__xludf.DUMMYFUNCTION("""COMPUTED_VALUE"""),"N")</f>
        <v>N</v>
      </c>
      <c r="S307" s="5"/>
      <c r="T307" s="5"/>
      <c r="U307" s="5" t="str">
        <f>IFERROR(__xludf.DUMMYFUNCTION("""COMPUTED_VALUE"""),"N")</f>
        <v>N</v>
      </c>
      <c r="V307" s="5">
        <f>IFERROR(__xludf.DUMMYFUNCTION("""COMPUTED_VALUE"""),472.0)</f>
        <v>472</v>
      </c>
      <c r="W307" s="5"/>
      <c r="X307" s="5"/>
      <c r="Y307" s="5"/>
      <c r="Z307" s="5"/>
    </row>
    <row r="308">
      <c r="A308" s="5" t="str">
        <f>IFERROR(__xludf.DUMMYFUNCTION("""COMPUTED_VALUE"""),"ปูม้า-60/80-ผู้-(พิเศษ)-125")</f>
        <v>ปูม้า-60/80-ผู้-(พิเศษ)-125</v>
      </c>
      <c r="B308" s="5">
        <f>IFERROR(__xludf.DUMMYFUNCTION("""COMPUTED_VALUE"""),10891.0)</f>
        <v>10891</v>
      </c>
      <c r="C308" s="5" t="str">
        <f>IFERROR(__xludf.DUMMYFUNCTION("""COMPUTED_VALUE"""),"ปูม้า 60/80 ผู้ (พิเศษ)-145")</f>
        <v>ปูม้า 60/80 ผู้ (พิเศษ)-145</v>
      </c>
      <c r="D308" s="5" t="str">
        <f>IFERROR(__xludf.DUMMYFUNCTION("""COMPUTED_VALUE"""),"**ร้านค้า ราคาพิเศษ")</f>
        <v>**ร้านค้า ราคาพิเศษ</v>
      </c>
      <c r="E308" s="5"/>
      <c r="F308" s="5" t="str">
        <f>IFERROR(__xludf.DUMMYFUNCTION("""COMPUTED_VALUE"""),"N")</f>
        <v>N</v>
      </c>
      <c r="G308" s="5"/>
      <c r="H308" s="5"/>
      <c r="I308" s="5"/>
      <c r="J308" s="5"/>
      <c r="K308" s="5"/>
      <c r="L308" s="5"/>
      <c r="M308" s="5"/>
      <c r="N308" s="5"/>
      <c r="O308" s="5">
        <f>IFERROR(__xludf.DUMMYFUNCTION("""COMPUTED_VALUE"""),10890.0)</f>
        <v>10890</v>
      </c>
      <c r="P308" s="5">
        <f>IFERROR(__xludf.DUMMYFUNCTION("""COMPUTED_VALUE"""),1.0)</f>
        <v>1</v>
      </c>
      <c r="Q308" s="5" t="str">
        <f>IFERROR(__xludf.DUMMYFUNCTION("""COMPUTED_VALUE"""),"N")</f>
        <v>N</v>
      </c>
      <c r="R308" s="5" t="str">
        <f>IFERROR(__xludf.DUMMYFUNCTION("""COMPUTED_VALUE"""),"N")</f>
        <v>N</v>
      </c>
      <c r="S308" s="5"/>
      <c r="T308" s="5"/>
      <c r="U308" s="5" t="str">
        <f>IFERROR(__xludf.DUMMYFUNCTION("""COMPUTED_VALUE"""),"Y")</f>
        <v>Y</v>
      </c>
      <c r="V308" s="5">
        <f>IFERROR(__xludf.DUMMYFUNCTION("""COMPUTED_VALUE"""),1160.0)</f>
        <v>1160</v>
      </c>
      <c r="W308" s="5"/>
      <c r="X308" s="5"/>
      <c r="Y308" s="5"/>
      <c r="Z308" s="5"/>
    </row>
    <row r="309">
      <c r="A309" s="5" t="str">
        <f>IFERROR(__xludf.DUMMYFUNCTION("""COMPUTED_VALUE"""),"ปูม้า-60/80-ผู้-8-กก.-120")</f>
        <v>ปูม้า-60/80-ผู้-8-กก.-120</v>
      </c>
      <c r="B309" s="5">
        <f>IFERROR(__xludf.DUMMYFUNCTION("""COMPUTED_VALUE"""),10890.0)</f>
        <v>10890</v>
      </c>
      <c r="C309" s="5" t="str">
        <f>IFERROR(__xludf.DUMMYFUNCTION("""COMPUTED_VALUE"""),"ปูม้า 60/80 ผู้ 8 กก. (ลัง) - 145")</f>
        <v>ปูม้า 60/80 ผู้ 8 กก. (ลัง) - 145</v>
      </c>
      <c r="D309" s="5"/>
      <c r="E309" s="5"/>
      <c r="F309" s="5" t="str">
        <f>IFERROR(__xludf.DUMMYFUNCTION("""COMPUTED_VALUE"""),"N")</f>
        <v>N</v>
      </c>
      <c r="G309" s="5"/>
      <c r="H309" s="5"/>
      <c r="I309" s="5"/>
      <c r="J309" s="5"/>
      <c r="K309" s="5"/>
      <c r="L309" s="5"/>
      <c r="M309" s="5">
        <f>IFERROR(__xludf.DUMMYFUNCTION("""COMPUTED_VALUE"""),1080.0)</f>
        <v>1080</v>
      </c>
      <c r="N309" s="5"/>
      <c r="O309" s="5"/>
      <c r="P309" s="5"/>
      <c r="Q309" s="5" t="str">
        <f>IFERROR(__xludf.DUMMYFUNCTION("""COMPUTED_VALUE"""),"Y")</f>
        <v>Y</v>
      </c>
      <c r="R309" s="5"/>
      <c r="S309" s="5"/>
      <c r="T309" s="5">
        <f>IFERROR(__xludf.DUMMYFUNCTION("""COMPUTED_VALUE"""),920.0)</f>
        <v>920</v>
      </c>
      <c r="U309" s="5" t="str">
        <f>IFERROR(__xludf.DUMMYFUNCTION("""COMPUTED_VALUE"""),"Y")</f>
        <v>Y</v>
      </c>
      <c r="V309" s="5">
        <f>IFERROR(__xludf.DUMMYFUNCTION("""COMPUTED_VALUE"""),1160.0)</f>
        <v>1160</v>
      </c>
      <c r="W309" s="5">
        <f>IFERROR(__xludf.DUMMYFUNCTION("""COMPUTED_VALUE"""),0.0)</f>
        <v>0</v>
      </c>
      <c r="X309" s="5"/>
      <c r="Y309" s="5"/>
      <c r="Z309" s="5"/>
    </row>
    <row r="310">
      <c r="A310" s="5" t="str">
        <f>IFERROR(__xludf.DUMMYFUNCTION("""COMPUTED_VALUE"""),"ปูม้า-60/80-เมีย-ลังละ-8กก.(125)")</f>
        <v>ปูม้า-60/80-เมีย-ลังละ-8กก.(125)</v>
      </c>
      <c r="B310" s="5">
        <f>IFERROR(__xludf.DUMMYFUNCTION("""COMPUTED_VALUE"""),10881.0)</f>
        <v>10881</v>
      </c>
      <c r="C310" s="5" t="str">
        <f>IFERROR(__xludf.DUMMYFUNCTION("""COMPUTED_VALUE"""),"ปูม้า 60/80 เมีย 8 กก.  (ลัง) - 133")</f>
        <v>ปูม้า 60/80 เมีย 8 กก.  (ลัง) - 133</v>
      </c>
      <c r="D310" s="5" t="str">
        <f>IFERROR(__xludf.DUMMYFUNCTION("""COMPUTED_VALUE"""),"**ทะเลสด มหาชัย")</f>
        <v>**ทะเลสด มหาชัย</v>
      </c>
      <c r="E310" s="5"/>
      <c r="F310" s="5" t="str">
        <f>IFERROR(__xludf.DUMMYFUNCTION("""COMPUTED_VALUE"""),"N")</f>
        <v>N</v>
      </c>
      <c r="G310" s="5"/>
      <c r="H310" s="5"/>
      <c r="I310" s="5"/>
      <c r="J310" s="5"/>
      <c r="K310" s="5"/>
      <c r="L310" s="5"/>
      <c r="M310" s="5">
        <f>IFERROR(__xludf.DUMMYFUNCTION("""COMPUTED_VALUE"""),968.81)</f>
        <v>968.81</v>
      </c>
      <c r="N310" s="5"/>
      <c r="O310" s="5"/>
      <c r="P310" s="5"/>
      <c r="Q310" s="5" t="str">
        <f>IFERROR(__xludf.DUMMYFUNCTION("""COMPUTED_VALUE"""),"Y")</f>
        <v>Y</v>
      </c>
      <c r="R310" s="5"/>
      <c r="S310" s="5" t="str">
        <f>IFERROR(__xludf.DUMMYFUNCTION("""COMPUTED_VALUE"""),"ขึ้นของมหาชัย")</f>
        <v>ขึ้นของมหาชัย</v>
      </c>
      <c r="T310" s="5">
        <f>IFERROR(__xludf.DUMMYFUNCTION("""COMPUTED_VALUE"""),928.0)</f>
        <v>928</v>
      </c>
      <c r="U310" s="5" t="str">
        <f>IFERROR(__xludf.DUMMYFUNCTION("""COMPUTED_VALUE"""),"Y")</f>
        <v>Y</v>
      </c>
      <c r="V310" s="5">
        <f>IFERROR(__xludf.DUMMYFUNCTION("""COMPUTED_VALUE"""),1064.0)</f>
        <v>1064</v>
      </c>
      <c r="W310" s="5">
        <f>IFERROR(__xludf.DUMMYFUNCTION("""COMPUTED_VALUE"""),0.0)</f>
        <v>0</v>
      </c>
      <c r="X310" s="5"/>
      <c r="Y310" s="5"/>
      <c r="Z310" s="5"/>
    </row>
    <row r="311">
      <c r="A311" s="5" t="str">
        <f>IFERROR(__xludf.DUMMYFUNCTION("""COMPUTED_VALUE"""),"ปูม้า80/100-(ผู้)--ลัง-12kg(123)")</f>
        <v>ปูม้า80/100-(ผู้)--ลัง-12kg(123)</v>
      </c>
      <c r="B311" s="5">
        <f>IFERROR(__xludf.DUMMYFUNCTION("""COMPUTED_VALUE"""),11438.0)</f>
        <v>11438</v>
      </c>
      <c r="C311" s="5" t="str">
        <f>IFERROR(__xludf.DUMMYFUNCTION("""COMPUTED_VALUE"""),"ปูม้า 80/100 (ผู้) 8kg (180)")</f>
        <v>ปูม้า 80/100 (ผู้) 8kg (180)</v>
      </c>
      <c r="D311" s="5" t="str">
        <f>IFERROR(__xludf.DUMMYFUNCTION("""COMPUTED_VALUE"""),"**ทะเลสด มหาชัย")</f>
        <v>**ทะเลสด มหาชัย</v>
      </c>
      <c r="E311" s="5" t="str">
        <f>IFERROR(__xludf.DUMMYFUNCTION("""COMPUTED_VALUE"""),"&lt;p&gt;8&lt;/p&gt;")</f>
        <v>&lt;p&gt;8&lt;/p&gt;</v>
      </c>
      <c r="F311" s="5" t="str">
        <f>IFERROR(__xludf.DUMMYFUNCTION("""COMPUTED_VALUE"""),"N")</f>
        <v>N</v>
      </c>
      <c r="G311" s="5"/>
      <c r="H311" s="5"/>
      <c r="I311" s="5"/>
      <c r="J311" s="5"/>
      <c r="K311" s="5"/>
      <c r="L311" s="5"/>
      <c r="M311" s="5">
        <f>IFERROR(__xludf.DUMMYFUNCTION("""COMPUTED_VALUE"""),1349.21)</f>
        <v>1349.21</v>
      </c>
      <c r="N311" s="5">
        <f>IFERROR(__xludf.DUMMYFUNCTION("""COMPUTED_VALUE"""),11438.0)</f>
        <v>11438</v>
      </c>
      <c r="O311" s="5"/>
      <c r="P311" s="5"/>
      <c r="Q311" s="5" t="str">
        <f>IFERROR(__xludf.DUMMYFUNCTION("""COMPUTED_VALUE"""),"Y")</f>
        <v>Y</v>
      </c>
      <c r="R311" s="5"/>
      <c r="S311" s="5" t="str">
        <f>IFERROR(__xludf.DUMMYFUNCTION("""COMPUTED_VALUE"""),"ขึ้นของมหาชัย")</f>
        <v>ขึ้นของมหาชัย</v>
      </c>
      <c r="T311" s="5">
        <f>IFERROR(__xludf.DUMMYFUNCTION("""COMPUTED_VALUE"""),1320.0)</f>
        <v>1320</v>
      </c>
      <c r="U311" s="5" t="str">
        <f>IFERROR(__xludf.DUMMYFUNCTION("""COMPUTED_VALUE"""),"Y")</f>
        <v>Y</v>
      </c>
      <c r="V311" s="5">
        <f>IFERROR(__xludf.DUMMYFUNCTION("""COMPUTED_VALUE"""),1440.0)</f>
        <v>1440</v>
      </c>
      <c r="W311" s="5">
        <f>IFERROR(__xludf.DUMMYFUNCTION("""COMPUTED_VALUE"""),0.0)</f>
        <v>0</v>
      </c>
      <c r="X311" s="5">
        <f>IFERROR(__xludf.DUMMYFUNCTION("""COMPUTED_VALUE"""),1.0)</f>
        <v>1</v>
      </c>
      <c r="Y311" s="5">
        <f>IFERROR(__xludf.DUMMYFUNCTION("""COMPUTED_VALUE"""),6.0)</f>
        <v>6</v>
      </c>
      <c r="Z311" s="5"/>
    </row>
    <row r="312">
      <c r="A312" s="5" t="str">
        <f>IFERROR(__xludf.DUMMYFUNCTION("""COMPUTED_VALUE"""),"ปูม้า-80/100-(ผู้)-ถาด-4-กก.115")</f>
        <v>ปูม้า-80/100-(ผู้)-ถาด-4-กก.115</v>
      </c>
      <c r="B312" s="5">
        <f>IFERROR(__xludf.DUMMYFUNCTION("""COMPUTED_VALUE"""),10632.0)</f>
        <v>10632</v>
      </c>
      <c r="C312" s="5" t="str">
        <f>IFERROR(__xludf.DUMMYFUNCTION("""COMPUTED_VALUE"""),"ปูม้า 80/100 (ผู้) ถาด 4 กก.180")</f>
        <v>ปูม้า 80/100 (ผู้) ถาด 4 กก.180</v>
      </c>
      <c r="D312" s="5"/>
      <c r="E312" s="5"/>
      <c r="F312" s="5" t="str">
        <f>IFERROR(__xludf.DUMMYFUNCTION("""COMPUTED_VALUE"""),"N")</f>
        <v>N</v>
      </c>
      <c r="G312" s="5"/>
      <c r="H312" s="5"/>
      <c r="I312" s="5"/>
      <c r="J312" s="5"/>
      <c r="K312" s="5"/>
      <c r="L312" s="5"/>
      <c r="M312" s="5"/>
      <c r="N312" s="5"/>
      <c r="O312" s="5">
        <f>IFERROR(__xludf.DUMMYFUNCTION("""COMPUTED_VALUE"""),11438.0)</f>
        <v>11438</v>
      </c>
      <c r="P312" s="5">
        <f>IFERROR(__xludf.DUMMYFUNCTION("""COMPUTED_VALUE"""),0.5)</f>
        <v>0.5</v>
      </c>
      <c r="Q312" s="5" t="str">
        <f>IFERROR(__xludf.DUMMYFUNCTION("""COMPUTED_VALUE"""),"N")</f>
        <v>N</v>
      </c>
      <c r="R312" s="5" t="str">
        <f>IFERROR(__xludf.DUMMYFUNCTION("""COMPUTED_VALUE"""),"N")</f>
        <v>N</v>
      </c>
      <c r="S312" s="5"/>
      <c r="T312" s="5"/>
      <c r="U312" s="5" t="str">
        <f>IFERROR(__xludf.DUMMYFUNCTION("""COMPUTED_VALUE"""),"N")</f>
        <v>N</v>
      </c>
      <c r="V312" s="5">
        <f>IFERROR(__xludf.DUMMYFUNCTION("""COMPUTED_VALUE"""),720.0)</f>
        <v>720</v>
      </c>
      <c r="W312" s="5"/>
      <c r="X312" s="5"/>
      <c r="Y312" s="5"/>
      <c r="Z312" s="5"/>
    </row>
    <row r="313">
      <c r="A313" s="5" t="str">
        <f>IFERROR(__xludf.DUMMYFUNCTION("""COMPUTED_VALUE"""),"ปูม้า-80/100-(เมีย)-4kg-ถาด")</f>
        <v>ปูม้า-80/100-(เมีย)-4kg-ถาด</v>
      </c>
      <c r="B313" s="5">
        <f>IFERROR(__xludf.DUMMYFUNCTION("""COMPUTED_VALUE"""),10767.0)</f>
        <v>10767</v>
      </c>
      <c r="C313" s="5" t="str">
        <f>IFERROR(__xludf.DUMMYFUNCTION("""COMPUTED_VALUE"""),"ปูม้า 80/100 (เมีย) 4กก/ถาด")</f>
        <v>ปูม้า 80/100 (เมีย) 4กก/ถาด</v>
      </c>
      <c r="D313" s="5"/>
      <c r="E313" s="5" t="str">
        <f>IFERROR(__xludf.DUMMYFUNCTION("""COMPUTED_VALUE"""),"&lt;p&gt;X&lt;/p&gt;")</f>
        <v>&lt;p&gt;X&lt;/p&gt;</v>
      </c>
      <c r="F313" s="5" t="str">
        <f>IFERROR(__xludf.DUMMYFUNCTION("""COMPUTED_VALUE"""),"N")</f>
        <v>N</v>
      </c>
      <c r="G313" s="5"/>
      <c r="H313" s="5"/>
      <c r="I313" s="5"/>
      <c r="J313" s="5"/>
      <c r="K313" s="5"/>
      <c r="L313" s="5"/>
      <c r="M313" s="5"/>
      <c r="N313" s="5">
        <f>IFERROR(__xludf.DUMMYFUNCTION("""COMPUTED_VALUE"""),10767.0)</f>
        <v>10767</v>
      </c>
      <c r="O313" s="5">
        <f>IFERROR(__xludf.DUMMYFUNCTION("""COMPUTED_VALUE"""),10766.0)</f>
        <v>10766</v>
      </c>
      <c r="P313" s="5">
        <f>IFERROR(__xludf.DUMMYFUNCTION("""COMPUTED_VALUE"""),0.5)</f>
        <v>0.5</v>
      </c>
      <c r="Q313" s="5" t="str">
        <f>IFERROR(__xludf.DUMMYFUNCTION("""COMPUTED_VALUE"""),"N")</f>
        <v>N</v>
      </c>
      <c r="R313" s="5" t="str">
        <f>IFERROR(__xludf.DUMMYFUNCTION("""COMPUTED_VALUE"""),"N")</f>
        <v>N</v>
      </c>
      <c r="S313" s="5"/>
      <c r="T313" s="5"/>
      <c r="U313" s="5" t="str">
        <f>IFERROR(__xludf.DUMMYFUNCTION("""COMPUTED_VALUE"""),"N")</f>
        <v>N</v>
      </c>
      <c r="V313" s="5">
        <f>IFERROR(__xludf.DUMMYFUNCTION("""COMPUTED_VALUE"""),520.0)</f>
        <v>520</v>
      </c>
      <c r="W313" s="5"/>
      <c r="X313" s="5"/>
      <c r="Y313" s="5"/>
      <c r="Z313" s="5"/>
    </row>
    <row r="314">
      <c r="A314" s="5" t="str">
        <f>IFERROR(__xludf.DUMMYFUNCTION("""COMPUTED_VALUE"""),"ปูม้า-80/100-(เมีย)-8kg-ลัง")</f>
        <v>ปูม้า-80/100-(เมีย)-8kg-ลัง</v>
      </c>
      <c r="B314" s="5">
        <f>IFERROR(__xludf.DUMMYFUNCTION("""COMPUTED_VALUE"""),10766.0)</f>
        <v>10766</v>
      </c>
      <c r="C314" s="5" t="str">
        <f>IFERROR(__xludf.DUMMYFUNCTION("""COMPUTED_VALUE"""),"ปูม้า 80/100 (เมีย) 8 Kg(160)  - ลัง")</f>
        <v>ปูม้า 80/100 (เมีย) 8 Kg(160)  - ลัง</v>
      </c>
      <c r="D314" s="5" t="str">
        <f>IFERROR(__xludf.DUMMYFUNCTION("""COMPUTED_VALUE"""),"**ทะเลสด มหาชัย")</f>
        <v>**ทะเลสด มหาชัย</v>
      </c>
      <c r="E314" s="5" t="str">
        <f>IFERROR(__xludf.DUMMYFUNCTION("""COMPUTED_VALUE"""),"&lt;p&gt;8&lt;/p&gt;")</f>
        <v>&lt;p&gt;8&lt;/p&gt;</v>
      </c>
      <c r="F314" s="5" t="str">
        <f>IFERROR(__xludf.DUMMYFUNCTION("""COMPUTED_VALUE"""),"N")</f>
        <v>N</v>
      </c>
      <c r="G314" s="5"/>
      <c r="H314" s="5"/>
      <c r="I314" s="5"/>
      <c r="J314" s="5"/>
      <c r="K314" s="5"/>
      <c r="L314" s="5"/>
      <c r="M314" s="5">
        <f>IFERROR(__xludf.DUMMYFUNCTION("""COMPUTED_VALUE"""),880.0)</f>
        <v>880</v>
      </c>
      <c r="N314" s="5">
        <f>IFERROR(__xludf.DUMMYFUNCTION("""COMPUTED_VALUE"""),10766.0)</f>
        <v>10766</v>
      </c>
      <c r="O314" s="5"/>
      <c r="P314" s="5"/>
      <c r="Q314" s="5" t="str">
        <f>IFERROR(__xludf.DUMMYFUNCTION("""COMPUTED_VALUE"""),"Y")</f>
        <v>Y</v>
      </c>
      <c r="R314" s="5"/>
      <c r="S314" s="5" t="str">
        <f>IFERROR(__xludf.DUMMYFUNCTION("""COMPUTED_VALUE"""),"ขึ้นของมหาชัย")</f>
        <v>ขึ้นของมหาชัย</v>
      </c>
      <c r="T314" s="5">
        <f>IFERROR(__xludf.DUMMYFUNCTION("""COMPUTED_VALUE"""),880.0)</f>
        <v>880</v>
      </c>
      <c r="U314" s="5" t="str">
        <f>IFERROR(__xludf.DUMMYFUNCTION("""COMPUTED_VALUE"""),"N")</f>
        <v>N</v>
      </c>
      <c r="V314" s="5">
        <f>IFERROR(__xludf.DUMMYFUNCTION("""COMPUTED_VALUE"""),1280.0)</f>
        <v>1280</v>
      </c>
      <c r="W314" s="5">
        <f>IFERROR(__xludf.DUMMYFUNCTION("""COMPUTED_VALUE"""),0.0)</f>
        <v>0</v>
      </c>
      <c r="X314" s="5">
        <f>IFERROR(__xludf.DUMMYFUNCTION("""COMPUTED_VALUE"""),3.0)</f>
        <v>3</v>
      </c>
      <c r="Y314" s="5">
        <f>IFERROR(__xludf.DUMMYFUNCTION("""COMPUTED_VALUE"""),13.0)</f>
        <v>13</v>
      </c>
      <c r="Z314" s="5"/>
    </row>
    <row r="315">
      <c r="A315" s="5" t="str">
        <f>IFERROR(__xludf.DUMMYFUNCTION("""COMPUTED_VALUE"""),"ปูม้า-100/150-(เมีย)พิเศษ")</f>
        <v>ปูม้า-100/150-(เมีย)พิเศษ</v>
      </c>
      <c r="B315" s="5">
        <f>IFERROR(__xludf.DUMMYFUNCTION("""COMPUTED_VALUE"""),10631.0)</f>
        <v>10631</v>
      </c>
      <c r="C315" s="5" t="str">
        <f>IFERROR(__xludf.DUMMYFUNCTION("""COMPUTED_VALUE"""),"ปูม้า100/150(เมีย) ลัง8กก-180")</f>
        <v>ปูม้า100/150(เมีย) ลัง8กก-180</v>
      </c>
      <c r="D315" s="5" t="str">
        <f>IFERROR(__xludf.DUMMYFUNCTION("""COMPUTED_VALUE"""),"**ทะเลสด มหาชัย")</f>
        <v>**ทะเลสด มหาชัย</v>
      </c>
      <c r="E315" s="5" t="str">
        <f>IFERROR(__xludf.DUMMYFUNCTION("""COMPUTED_VALUE"""),"&lt;p&gt;8&lt;/p&gt;")</f>
        <v>&lt;p&gt;8&lt;/p&gt;</v>
      </c>
      <c r="F315" s="5" t="str">
        <f>IFERROR(__xludf.DUMMYFUNCTION("""COMPUTED_VALUE"""),"N")</f>
        <v>N</v>
      </c>
      <c r="G315" s="5"/>
      <c r="H315" s="5"/>
      <c r="I315" s="5"/>
      <c r="J315" s="5"/>
      <c r="K315" s="5"/>
      <c r="L315" s="5"/>
      <c r="M315" s="5">
        <f>IFERROR(__xludf.DUMMYFUNCTION("""COMPUTED_VALUE"""),1332.23)</f>
        <v>1332.23</v>
      </c>
      <c r="N315" s="5"/>
      <c r="O315" s="5"/>
      <c r="P315" s="5"/>
      <c r="Q315" s="5" t="str">
        <f>IFERROR(__xludf.DUMMYFUNCTION("""COMPUTED_VALUE"""),"Y")</f>
        <v>Y</v>
      </c>
      <c r="R315" s="5"/>
      <c r="S315" s="5" t="str">
        <f>IFERROR(__xludf.DUMMYFUNCTION("""COMPUTED_VALUE"""),"ขึ้นของมหาชัย")</f>
        <v>ขึ้นของมหาชัย</v>
      </c>
      <c r="T315" s="5">
        <f>IFERROR(__xludf.DUMMYFUNCTION("""COMPUTED_VALUE"""),1304.0)</f>
        <v>1304</v>
      </c>
      <c r="U315" s="5" t="str">
        <f>IFERROR(__xludf.DUMMYFUNCTION("""COMPUTED_VALUE"""),"Y")</f>
        <v>Y</v>
      </c>
      <c r="V315" s="5">
        <f>IFERROR(__xludf.DUMMYFUNCTION("""COMPUTED_VALUE"""),1440.0)</f>
        <v>1440</v>
      </c>
      <c r="W315" s="5">
        <f>IFERROR(__xludf.DUMMYFUNCTION("""COMPUTED_VALUE"""),0.0)</f>
        <v>0</v>
      </c>
      <c r="X315" s="5">
        <f>IFERROR(__xludf.DUMMYFUNCTION("""COMPUTED_VALUE"""),1.0)</f>
        <v>1</v>
      </c>
      <c r="Y315" s="5">
        <f>IFERROR(__xludf.DUMMYFUNCTION("""COMPUTED_VALUE"""),6.0)</f>
        <v>6</v>
      </c>
      <c r="Z315" s="5"/>
    </row>
    <row r="316">
      <c r="A316" s="5" t="str">
        <f>IFERROR(__xludf.DUMMYFUNCTION("""COMPUTED_VALUE"""),"ปูม้า40/60-ผู้-8กก.(ลัง)")</f>
        <v>ปูม้า40/60-ผู้-8กก.(ลัง)</v>
      </c>
      <c r="B316" s="5">
        <f>IFERROR(__xludf.DUMMYFUNCTION("""COMPUTED_VALUE"""),10340.0)</f>
        <v>10340</v>
      </c>
      <c r="C316" s="5" t="str">
        <f>IFERROR(__xludf.DUMMYFUNCTION("""COMPUTED_VALUE"""),"ปูม้า40/60 ผู้  ลังละ 8กก.(115)")</f>
        <v>ปูม้า40/60 ผู้  ลังละ 8กก.(115)</v>
      </c>
      <c r="D316" s="5" t="str">
        <f>IFERROR(__xludf.DUMMYFUNCTION("""COMPUTED_VALUE"""),"**ทะเลสด มหาชัย")</f>
        <v>**ทะเลสด มหาชัย</v>
      </c>
      <c r="E316" s="5"/>
      <c r="F316" s="5" t="str">
        <f>IFERROR(__xludf.DUMMYFUNCTION("""COMPUTED_VALUE"""),"N")</f>
        <v>N</v>
      </c>
      <c r="G316" s="5"/>
      <c r="H316" s="5"/>
      <c r="I316" s="5"/>
      <c r="J316" s="5"/>
      <c r="K316" s="5"/>
      <c r="L316" s="5"/>
      <c r="M316" s="5">
        <f>IFERROR(__xludf.DUMMYFUNCTION("""COMPUTED_VALUE"""),813.5)</f>
        <v>813.5</v>
      </c>
      <c r="N316" s="5"/>
      <c r="O316" s="5"/>
      <c r="P316" s="5"/>
      <c r="Q316" s="5" t="str">
        <f>IFERROR(__xludf.DUMMYFUNCTION("""COMPUTED_VALUE"""),"Y")</f>
        <v>Y</v>
      </c>
      <c r="R316" s="5"/>
      <c r="S316" s="5"/>
      <c r="T316" s="5">
        <f>IFERROR(__xludf.DUMMYFUNCTION("""COMPUTED_VALUE"""),0.0)</f>
        <v>0</v>
      </c>
      <c r="U316" s="5" t="str">
        <f>IFERROR(__xludf.DUMMYFUNCTION("""COMPUTED_VALUE"""),"Y")</f>
        <v>Y</v>
      </c>
      <c r="V316" s="5">
        <f>IFERROR(__xludf.DUMMYFUNCTION("""COMPUTED_VALUE"""),920.0)</f>
        <v>920</v>
      </c>
      <c r="W316" s="5">
        <f>IFERROR(__xludf.DUMMYFUNCTION("""COMPUTED_VALUE"""),0.0)</f>
        <v>0</v>
      </c>
      <c r="X316" s="5"/>
      <c r="Y316" s="5"/>
      <c r="Z316" s="5"/>
    </row>
    <row r="317">
      <c r="A317" s="5" t="str">
        <f>IFERROR(__xludf.DUMMYFUNCTION("""COMPUTED_VALUE"""),"ปูม้า50/80-jarada-(เมีย)-ลัง-8-kg")</f>
        <v>ปูม้า50/80-jarada-(เมีย)-ลัง-8-kg</v>
      </c>
      <c r="B317" s="5">
        <f>IFERROR(__xludf.DUMMYFUNCTION("""COMPUTED_VALUE"""),10855.0)</f>
        <v>10855</v>
      </c>
      <c r="C317" s="5" t="str">
        <f>IFERROR(__xludf.DUMMYFUNCTION("""COMPUTED_VALUE"""),"ปูม้า50/80  (เมีย) ลัง8Kg-118")</f>
        <v>ปูม้า50/80  (เมีย) ลัง8Kg-118</v>
      </c>
      <c r="D317" s="5" t="str">
        <f>IFERROR(__xludf.DUMMYFUNCTION("""COMPUTED_VALUE"""),"**ทะเลสด มหาชัย")</f>
        <v>**ทะเลสด มหาชัย</v>
      </c>
      <c r="E317" s="5" t="str">
        <f>IFERROR(__xludf.DUMMYFUNCTION("""COMPUTED_VALUE"""),"8")</f>
        <v>8</v>
      </c>
      <c r="F317" s="5" t="str">
        <f>IFERROR(__xludf.DUMMYFUNCTION("""COMPUTED_VALUE"""),"N")</f>
        <v>N</v>
      </c>
      <c r="G317" s="5"/>
      <c r="H317" s="5"/>
      <c r="I317" s="5"/>
      <c r="J317" s="5"/>
      <c r="K317" s="5"/>
      <c r="L317" s="5"/>
      <c r="M317" s="5">
        <f>IFERROR(__xludf.DUMMYFUNCTION("""COMPUTED_VALUE"""),899.96)</f>
        <v>899.96</v>
      </c>
      <c r="N317" s="5">
        <f>IFERROR(__xludf.DUMMYFUNCTION("""COMPUTED_VALUE"""),10855.0)</f>
        <v>10855</v>
      </c>
      <c r="O317" s="5"/>
      <c r="P317" s="5"/>
      <c r="Q317" s="5" t="str">
        <f>IFERROR(__xludf.DUMMYFUNCTION("""COMPUTED_VALUE"""),"Y")</f>
        <v>Y</v>
      </c>
      <c r="R317" s="5"/>
      <c r="S317" s="5" t="str">
        <f>IFERROR(__xludf.DUMMYFUNCTION("""COMPUTED_VALUE"""),"ขึ้นของมหาชัย")</f>
        <v>ขึ้นของมหาชัย</v>
      </c>
      <c r="T317" s="5">
        <f>IFERROR(__xludf.DUMMYFUNCTION("""COMPUTED_VALUE"""),840.0)</f>
        <v>840</v>
      </c>
      <c r="U317" s="5" t="str">
        <f>IFERROR(__xludf.DUMMYFUNCTION("""COMPUTED_VALUE"""),"Y")</f>
        <v>Y</v>
      </c>
      <c r="V317" s="5">
        <f>IFERROR(__xludf.DUMMYFUNCTION("""COMPUTED_VALUE"""),944.0)</f>
        <v>944</v>
      </c>
      <c r="W317" s="5">
        <f>IFERROR(__xludf.DUMMYFUNCTION("""COMPUTED_VALUE"""),0.0)</f>
        <v>0</v>
      </c>
      <c r="X317" s="5">
        <f>IFERROR(__xludf.DUMMYFUNCTION("""COMPUTED_VALUE"""),1.0)</f>
        <v>1</v>
      </c>
      <c r="Y317" s="5">
        <f>IFERROR(__xludf.DUMMYFUNCTION("""COMPUTED_VALUE"""),6.0)</f>
        <v>6</v>
      </c>
      <c r="Z317" s="5"/>
    </row>
    <row r="318">
      <c r="A318" s="5" t="str">
        <f>IFERROR(__xludf.DUMMYFUNCTION("""COMPUTED_VALUE"""),"ปูม้า50/80-ลัง-8kg-1")</f>
        <v>ปูม้า50/80-ลัง-8kg-1</v>
      </c>
      <c r="B318" s="5">
        <f>IFERROR(__xludf.DUMMYFUNCTION("""COMPUTED_VALUE"""),10029.0)</f>
        <v>10029</v>
      </c>
      <c r="C318" s="5" t="str">
        <f>IFERROR(__xludf.DUMMYFUNCTION("""COMPUTED_VALUE"""),"ปูม้า50/80 (ผู้) 8Kg (ลัง)-115")</f>
        <v>ปูม้า50/80 (ผู้) 8Kg (ลัง)-115</v>
      </c>
      <c r="D318" s="5" t="str">
        <f>IFERROR(__xludf.DUMMYFUNCTION("""COMPUTED_VALUE"""),"**ทะเลสด มหาชัย")</f>
        <v>**ทะเลสด มหาชัย</v>
      </c>
      <c r="E318" s="5" t="str">
        <f>IFERROR(__xludf.DUMMYFUNCTION("""COMPUTED_VALUE"""),"8")</f>
        <v>8</v>
      </c>
      <c r="F318" s="5" t="str">
        <f>IFERROR(__xludf.DUMMYFUNCTION("""COMPUTED_VALUE"""),"N")</f>
        <v>N</v>
      </c>
      <c r="G318" s="5"/>
      <c r="H318" s="5"/>
      <c r="I318" s="5"/>
      <c r="J318" s="5"/>
      <c r="K318" s="5"/>
      <c r="L318" s="5"/>
      <c r="M318" s="5">
        <f>IFERROR(__xludf.DUMMYFUNCTION("""COMPUTED_VALUE"""),852.0)</f>
        <v>852</v>
      </c>
      <c r="N318" s="5">
        <f>IFERROR(__xludf.DUMMYFUNCTION("""COMPUTED_VALUE"""),10029.0)</f>
        <v>10029</v>
      </c>
      <c r="O318" s="5"/>
      <c r="P318" s="5"/>
      <c r="Q318" s="5" t="str">
        <f>IFERROR(__xludf.DUMMYFUNCTION("""COMPUTED_VALUE"""),"Y")</f>
        <v>Y</v>
      </c>
      <c r="R318" s="5"/>
      <c r="S318" s="5" t="str">
        <f>IFERROR(__xludf.DUMMYFUNCTION("""COMPUTED_VALUE"""),"ขึ้นของมหาชัย")</f>
        <v>ขึ้นของมหาชัย</v>
      </c>
      <c r="T318" s="5">
        <f>IFERROR(__xludf.DUMMYFUNCTION("""COMPUTED_VALUE"""),800.0)</f>
        <v>800</v>
      </c>
      <c r="U318" s="5" t="str">
        <f>IFERROR(__xludf.DUMMYFUNCTION("""COMPUTED_VALUE"""),"Y")</f>
        <v>Y</v>
      </c>
      <c r="V318" s="5">
        <f>IFERROR(__xludf.DUMMYFUNCTION("""COMPUTED_VALUE"""),920.0)</f>
        <v>920</v>
      </c>
      <c r="W318" s="5">
        <f>IFERROR(__xludf.DUMMYFUNCTION("""COMPUTED_VALUE"""),0.0)</f>
        <v>0</v>
      </c>
      <c r="X318" s="5">
        <f>IFERROR(__xludf.DUMMYFUNCTION("""COMPUTED_VALUE"""),1.0)</f>
        <v>1</v>
      </c>
      <c r="Y318" s="5">
        <f>IFERROR(__xludf.DUMMYFUNCTION("""COMPUTED_VALUE"""),6.0)</f>
        <v>6</v>
      </c>
      <c r="Z318" s="5"/>
    </row>
    <row r="319">
      <c r="A319" s="5" t="str">
        <f>IFERROR(__xludf.DUMMYFUNCTION("""COMPUTED_VALUE"""),"ปูม้า50/80-(ผู้)-ถาด-4-kg")</f>
        <v>ปูม้า50/80-(ผู้)-ถาด-4-kg</v>
      </c>
      <c r="B319" s="5">
        <f>IFERROR(__xludf.DUMMYFUNCTION("""COMPUTED_VALUE"""),10654.0)</f>
        <v>10654</v>
      </c>
      <c r="C319" s="5" t="str">
        <f>IFERROR(__xludf.DUMMYFUNCTION("""COMPUTED_VALUE"""),"ปูม้า50/80 (ผู้) ถาด 4 Kg")</f>
        <v>ปูม้า50/80 (ผู้) ถาด 4 Kg</v>
      </c>
      <c r="D319" s="5"/>
      <c r="E319" s="5" t="str">
        <f>IFERROR(__xludf.DUMMYFUNCTION("""COMPUTED_VALUE"""),"&lt;p&gt;X&lt;/p&gt;")</f>
        <v>&lt;p&gt;X&lt;/p&gt;</v>
      </c>
      <c r="F319" s="5" t="str">
        <f>IFERROR(__xludf.DUMMYFUNCTION("""COMPUTED_VALUE"""),"N")</f>
        <v>N</v>
      </c>
      <c r="G319" s="5"/>
      <c r="H319" s="5"/>
      <c r="I319" s="5"/>
      <c r="J319" s="5"/>
      <c r="K319" s="5"/>
      <c r="L319" s="5"/>
      <c r="M319" s="5"/>
      <c r="N319" s="5">
        <f>IFERROR(__xludf.DUMMYFUNCTION("""COMPUTED_VALUE"""),10654.0)</f>
        <v>10654</v>
      </c>
      <c r="O319" s="5">
        <f>IFERROR(__xludf.DUMMYFUNCTION("""COMPUTED_VALUE"""),10029.0)</f>
        <v>10029</v>
      </c>
      <c r="P319" s="5">
        <f>IFERROR(__xludf.DUMMYFUNCTION("""COMPUTED_VALUE"""),0.5)</f>
        <v>0.5</v>
      </c>
      <c r="Q319" s="5" t="str">
        <f>IFERROR(__xludf.DUMMYFUNCTION("""COMPUTED_VALUE"""),"N")</f>
        <v>N</v>
      </c>
      <c r="R319" s="5" t="str">
        <f>IFERROR(__xludf.DUMMYFUNCTION("""COMPUTED_VALUE"""),"N")</f>
        <v>N</v>
      </c>
      <c r="S319" s="5"/>
      <c r="T319" s="5"/>
      <c r="U319" s="5" t="str">
        <f>IFERROR(__xludf.DUMMYFUNCTION("""COMPUTED_VALUE"""),"N")</f>
        <v>N</v>
      </c>
      <c r="V319" s="5">
        <f>IFERROR(__xludf.DUMMYFUNCTION("""COMPUTED_VALUE"""),440.0)</f>
        <v>440</v>
      </c>
      <c r="W319" s="5"/>
      <c r="X319" s="5"/>
      <c r="Y319" s="5"/>
      <c r="Z319" s="5"/>
    </row>
    <row r="320">
      <c r="A320" s="5" t="str">
        <f>IFERROR(__xludf.DUMMYFUNCTION("""COMPUTED_VALUE"""),"10362")</f>
        <v>10362</v>
      </c>
      <c r="B320" s="5">
        <f>IFERROR(__xludf.DUMMYFUNCTION("""COMPUTED_VALUE"""),10362.0)</f>
        <v>10362</v>
      </c>
      <c r="C320" s="5" t="str">
        <f>IFERROR(__xludf.DUMMYFUNCTION("""COMPUTED_VALUE"""),"ปูหลอด20*500g ลัง 10 kg")</f>
        <v>ปูหลอด20*500g ลัง 10 kg</v>
      </c>
      <c r="D320" s="5"/>
      <c r="E320" s="5" t="str">
        <f>IFERROR(__xludf.DUMMYFUNCTION("""COMPUTED_VALUE"""),"S")</f>
        <v>S</v>
      </c>
      <c r="F320" s="5" t="str">
        <f>IFERROR(__xludf.DUMMYFUNCTION("""COMPUTED_VALUE"""),"N")</f>
        <v>N</v>
      </c>
      <c r="G320" s="5"/>
      <c r="H320" s="5"/>
      <c r="I320" s="5"/>
      <c r="J320" s="5"/>
      <c r="K320" s="5"/>
      <c r="L320" s="5"/>
      <c r="M320" s="5"/>
      <c r="N320" s="5">
        <f>IFERROR(__xludf.DUMMYFUNCTION("""COMPUTED_VALUE"""),8.850016055011E12)</f>
        <v>8850016055011</v>
      </c>
      <c r="O320" s="5">
        <f>IFERROR(__xludf.DUMMYFUNCTION("""COMPUTED_VALUE"""),10361.0)</f>
        <v>10361</v>
      </c>
      <c r="P320" s="5">
        <f>IFERROR(__xludf.DUMMYFUNCTION("""COMPUTED_VALUE"""),20.0)</f>
        <v>20</v>
      </c>
      <c r="Q320" s="5" t="str">
        <f>IFERROR(__xludf.DUMMYFUNCTION("""COMPUTED_VALUE"""),"N")</f>
        <v>N</v>
      </c>
      <c r="R320" s="5" t="str">
        <f>IFERROR(__xludf.DUMMYFUNCTION("""COMPUTED_VALUE"""),"N")</f>
        <v>N</v>
      </c>
      <c r="S320" s="5"/>
      <c r="T320" s="5"/>
      <c r="U320" s="5" t="str">
        <f>IFERROR(__xludf.DUMMYFUNCTION("""COMPUTED_VALUE"""),"Y")</f>
        <v>Y</v>
      </c>
      <c r="V320" s="5">
        <f>IFERROR(__xludf.DUMMYFUNCTION("""COMPUTED_VALUE"""),1300.0)</f>
        <v>1300</v>
      </c>
      <c r="W320" s="5"/>
      <c r="X320" s="5"/>
      <c r="Y320" s="5"/>
      <c r="Z320" s="5"/>
    </row>
    <row r="321">
      <c r="A321" s="5" t="str">
        <f>IFERROR(__xludf.DUMMYFUNCTION("""COMPUTED_VALUE"""),"10361")</f>
        <v>10361</v>
      </c>
      <c r="B321" s="5">
        <f>IFERROR(__xludf.DUMMYFUNCTION("""COMPUTED_VALUE"""),10361.0)</f>
        <v>10361</v>
      </c>
      <c r="C321" s="5" t="str">
        <f>IFERROR(__xludf.DUMMYFUNCTION("""COMPUTED_VALUE"""),"ปูหลอดแพ็ค 500g")</f>
        <v>ปูหลอดแพ็ค 500g</v>
      </c>
      <c r="D321" s="5" t="str">
        <f>IFERROR(__xludf.DUMMYFUNCTION("""COMPUTED_VALUE"""),"ทวีวงษ์-PFP")</f>
        <v>ทวีวงษ์-PFP</v>
      </c>
      <c r="E321" s="5" t="str">
        <f>IFERROR(__xludf.DUMMYFUNCTION("""COMPUTED_VALUE"""),"X")</f>
        <v>X</v>
      </c>
      <c r="F321" s="5" t="str">
        <f>IFERROR(__xludf.DUMMYFUNCTION("""COMPUTED_VALUE"""),"N")</f>
        <v>N</v>
      </c>
      <c r="G321" s="5"/>
      <c r="H321" s="5"/>
      <c r="I321" s="5"/>
      <c r="J321" s="5"/>
      <c r="K321" s="5"/>
      <c r="L321" s="5"/>
      <c r="M321" s="5">
        <f>IFERROR(__xludf.DUMMYFUNCTION("""COMPUTED_VALUE"""),59.0)</f>
        <v>59</v>
      </c>
      <c r="N321" s="5">
        <f>IFERROR(__xludf.DUMMYFUNCTION("""COMPUTED_VALUE"""),10361.0)</f>
        <v>10361</v>
      </c>
      <c r="O321" s="5"/>
      <c r="P321" s="5"/>
      <c r="Q321" s="5" t="str">
        <f>IFERROR(__xludf.DUMMYFUNCTION("""COMPUTED_VALUE"""),"Y")</f>
        <v>Y</v>
      </c>
      <c r="R321" s="5"/>
      <c r="S321" s="5" t="str">
        <f>IFERROR(__xludf.DUMMYFUNCTION("""COMPUTED_VALUE"""),"ทวีวงษ์")</f>
        <v>ทวีวงษ์</v>
      </c>
      <c r="T321" s="5">
        <f>IFERROR(__xludf.DUMMYFUNCTION("""COMPUTED_VALUE"""),59.0)</f>
        <v>59</v>
      </c>
      <c r="U321" s="5" t="str">
        <f>IFERROR(__xludf.DUMMYFUNCTION("""COMPUTED_VALUE"""),"Y")</f>
        <v>Y</v>
      </c>
      <c r="V321" s="5">
        <f>IFERROR(__xludf.DUMMYFUNCTION("""COMPUTED_VALUE"""),65.0)</f>
        <v>65</v>
      </c>
      <c r="W321" s="5">
        <f>IFERROR(__xludf.DUMMYFUNCTION("""COMPUTED_VALUE"""),13.0)</f>
        <v>13</v>
      </c>
      <c r="X321" s="5">
        <f>IFERROR(__xludf.DUMMYFUNCTION("""COMPUTED_VALUE"""),20.0)</f>
        <v>20</v>
      </c>
      <c r="Y321" s="5">
        <f>IFERROR(__xludf.DUMMYFUNCTION("""COMPUTED_VALUE"""),40.0)</f>
        <v>40</v>
      </c>
      <c r="Z321" s="5"/>
    </row>
    <row r="322">
      <c r="A322" s="5" t="str">
        <f>IFERROR(__xludf.DUMMYFUNCTION("""COMPUTED_VALUE"""),"ร้านออย-ปูอัดa-ลัง-(880)")</f>
        <v>ร้านออย-ปูอัดa-ลัง-(880)</v>
      </c>
      <c r="B322" s="5">
        <f>IFERROR(__xludf.DUMMYFUNCTION("""COMPUTED_VALUE"""),11483.0)</f>
        <v>11483</v>
      </c>
      <c r="C322" s="5" t="str">
        <f>IFERROR(__xludf.DUMMYFUNCTION("""COMPUTED_VALUE"""),"ปูอัด A (500g*20)พิเศษ850")</f>
        <v>ปูอัด A (500g*20)พิเศษ850</v>
      </c>
      <c r="D322" s="5" t="str">
        <f>IFERROR(__xludf.DUMMYFUNCTION("""COMPUTED_VALUE"""),"**ร้านค้า ราคาพิเศษ")</f>
        <v>**ร้านค้า ราคาพิเศษ</v>
      </c>
      <c r="E322" s="5" t="str">
        <f>IFERROR(__xludf.DUMMYFUNCTION("""COMPUTED_VALUE"""),"&lt;p&gt;X&lt;/p&gt;")</f>
        <v>&lt;p&gt;X&lt;/p&gt;</v>
      </c>
      <c r="F322" s="5" t="str">
        <f>IFERROR(__xludf.DUMMYFUNCTION("""COMPUTED_VALUE"""),"N")</f>
        <v>N</v>
      </c>
      <c r="G322" s="5"/>
      <c r="H322" s="5"/>
      <c r="I322" s="5"/>
      <c r="J322" s="5"/>
      <c r="K322" s="5"/>
      <c r="L322" s="5"/>
      <c r="M322" s="5"/>
      <c r="N322" s="5">
        <f>IFERROR(__xludf.DUMMYFUNCTION("""COMPUTED_VALUE"""),11483.0)</f>
        <v>11483</v>
      </c>
      <c r="O322" s="5">
        <f>IFERROR(__xludf.DUMMYFUNCTION("""COMPUTED_VALUE"""),10001.0)</f>
        <v>10001</v>
      </c>
      <c r="P322" s="5">
        <f>IFERROR(__xludf.DUMMYFUNCTION("""COMPUTED_VALUE"""),20.0)</f>
        <v>20</v>
      </c>
      <c r="Q322" s="5" t="str">
        <f>IFERROR(__xludf.DUMMYFUNCTION("""COMPUTED_VALUE"""),"N")</f>
        <v>N</v>
      </c>
      <c r="R322" s="5" t="str">
        <f>IFERROR(__xludf.DUMMYFUNCTION("""COMPUTED_VALUE"""),"N")</f>
        <v>N</v>
      </c>
      <c r="S322" s="5"/>
      <c r="T322" s="5"/>
      <c r="U322" s="5" t="str">
        <f>IFERROR(__xludf.DUMMYFUNCTION("""COMPUTED_VALUE"""),"Y")</f>
        <v>Y</v>
      </c>
      <c r="V322" s="5">
        <f>IFERROR(__xludf.DUMMYFUNCTION("""COMPUTED_VALUE"""),850.0)</f>
        <v>850</v>
      </c>
      <c r="W322" s="5"/>
      <c r="X322" s="5"/>
      <c r="Y322" s="5"/>
      <c r="Z322" s="5"/>
    </row>
    <row r="323">
      <c r="A323" s="5" t="str">
        <f>IFERROR(__xludf.DUMMYFUNCTION("""COMPUTED_VALUE"""),"ปูอัด-a-ถุง-500g-1ลัง-10kg-(20-แพ็ค)-1")</f>
        <v>ปูอัด-a-ถุง-500g-1ลัง-10kg-(20-แพ็ค)-1</v>
      </c>
      <c r="B323" s="5">
        <f>IFERROR(__xludf.DUMMYFUNCTION("""COMPUTED_VALUE"""),10002.0)</f>
        <v>10002</v>
      </c>
      <c r="C323" s="5" t="str">
        <f>IFERROR(__xludf.DUMMYFUNCTION("""COMPUTED_VALUE"""),"ปูอัด A 500 กรัม (ลัง)")</f>
        <v>ปูอัด A 500 กรัม (ลัง)</v>
      </c>
      <c r="D323" s="5"/>
      <c r="E323" s="5" t="str">
        <f>IFERROR(__xludf.DUMMYFUNCTION("""COMPUTED_VALUE"""),"&lt;p&gt;S&lt;/p&gt;")</f>
        <v>&lt;p&gt;S&lt;/p&gt;</v>
      </c>
      <c r="F323" s="5" t="str">
        <f>IFERROR(__xludf.DUMMYFUNCTION("""COMPUTED_VALUE"""),"N")</f>
        <v>N</v>
      </c>
      <c r="G323" s="5"/>
      <c r="H323" s="5"/>
      <c r="I323" s="5"/>
      <c r="J323" s="5"/>
      <c r="K323" s="5"/>
      <c r="L323" s="5"/>
      <c r="M323" s="5"/>
      <c r="N323" s="5">
        <f>IFERROR(__xludf.DUMMYFUNCTION("""COMPUTED_VALUE"""),10002.0)</f>
        <v>10002</v>
      </c>
      <c r="O323" s="5">
        <f>IFERROR(__xludf.DUMMYFUNCTION("""COMPUTED_VALUE"""),10001.0)</f>
        <v>10001</v>
      </c>
      <c r="P323" s="5">
        <f>IFERROR(__xludf.DUMMYFUNCTION("""COMPUTED_VALUE"""),20.0)</f>
        <v>20</v>
      </c>
      <c r="Q323" s="5" t="str">
        <f>IFERROR(__xludf.DUMMYFUNCTION("""COMPUTED_VALUE"""),"N")</f>
        <v>N</v>
      </c>
      <c r="R323" s="5" t="str">
        <f>IFERROR(__xludf.DUMMYFUNCTION("""COMPUTED_VALUE"""),"N")</f>
        <v>N</v>
      </c>
      <c r="S323" s="5"/>
      <c r="T323" s="5"/>
      <c r="U323" s="5" t="str">
        <f>IFERROR(__xludf.DUMMYFUNCTION("""COMPUTED_VALUE"""),"Y")</f>
        <v>Y</v>
      </c>
      <c r="V323" s="5">
        <f>IFERROR(__xludf.DUMMYFUNCTION("""COMPUTED_VALUE"""),880.0)</f>
        <v>880</v>
      </c>
      <c r="W323" s="5"/>
      <c r="X323" s="5"/>
      <c r="Y323" s="5"/>
      <c r="Z323" s="5"/>
    </row>
    <row r="324">
      <c r="A324" s="5" t="str">
        <f>IFERROR(__xludf.DUMMYFUNCTION("""COMPUTED_VALUE"""),"ปูอัด-a-ถุง-500g*20-r100")</f>
        <v>ปูอัด-a-ถุง-500g*20-r100</v>
      </c>
      <c r="B324" s="5">
        <f>IFERROR(__xludf.DUMMYFUNCTION("""COMPUTED_VALUE"""),10236.0)</f>
        <v>10236</v>
      </c>
      <c r="C324" s="5" t="str">
        <f>IFERROR(__xludf.DUMMYFUNCTION("""COMPUTED_VALUE"""),"ปูอัด A ถุง (500g*20) R100")</f>
        <v>ปูอัด A ถุง (500g*20) R100</v>
      </c>
      <c r="D324" s="5" t="str">
        <f>IFERROR(__xludf.DUMMYFUNCTION("""COMPUTED_VALUE"""),"**ร้านค้า ราคาพิเศษ")</f>
        <v>**ร้านค้า ราคาพิเศษ</v>
      </c>
      <c r="E324" s="5"/>
      <c r="F324" s="5" t="str">
        <f>IFERROR(__xludf.DUMMYFUNCTION("""COMPUTED_VALUE"""),"N")</f>
        <v>N</v>
      </c>
      <c r="G324" s="5"/>
      <c r="H324" s="5"/>
      <c r="I324" s="5"/>
      <c r="J324" s="5"/>
      <c r="K324" s="5"/>
      <c r="L324" s="5"/>
      <c r="M324" s="5"/>
      <c r="N324" s="5">
        <f>IFERROR(__xludf.DUMMYFUNCTION("""COMPUTED_VALUE"""),10236.0)</f>
        <v>10236</v>
      </c>
      <c r="O324" s="5">
        <f>IFERROR(__xludf.DUMMYFUNCTION("""COMPUTED_VALUE"""),10001.0)</f>
        <v>10001</v>
      </c>
      <c r="P324" s="5">
        <f>IFERROR(__xludf.DUMMYFUNCTION("""COMPUTED_VALUE"""),20.0)</f>
        <v>20</v>
      </c>
      <c r="Q324" s="5" t="str">
        <f>IFERROR(__xludf.DUMMYFUNCTION("""COMPUTED_VALUE"""),"N")</f>
        <v>N</v>
      </c>
      <c r="R324" s="5" t="str">
        <f>IFERROR(__xludf.DUMMYFUNCTION("""COMPUTED_VALUE"""),"N")</f>
        <v>N</v>
      </c>
      <c r="S324" s="5"/>
      <c r="T324" s="5"/>
      <c r="U324" s="5" t="str">
        <f>IFERROR(__xludf.DUMMYFUNCTION("""COMPUTED_VALUE"""),"Y")</f>
        <v>Y</v>
      </c>
      <c r="V324" s="5">
        <f>IFERROR(__xludf.DUMMYFUNCTION("""COMPUTED_VALUE"""),840.0)</f>
        <v>840</v>
      </c>
      <c r="W324" s="5"/>
      <c r="X324" s="5"/>
      <c r="Y324" s="5"/>
      <c r="Z324" s="5"/>
    </row>
    <row r="325">
      <c r="A325" s="5" t="str">
        <f>IFERROR(__xludf.DUMMYFUNCTION("""COMPUTED_VALUE"""),"ปูอัด-a-ถุง-500g-1")</f>
        <v>ปูอัด-a-ถุง-500g-1</v>
      </c>
      <c r="B325" s="5">
        <f>IFERROR(__xludf.DUMMYFUNCTION("""COMPUTED_VALUE"""),10001.0)</f>
        <v>10001</v>
      </c>
      <c r="C325" s="5" t="str">
        <f>IFERROR(__xludf.DUMMYFUNCTION("""COMPUTED_VALUE"""),"ปูอัด A ถุง 500g")</f>
        <v>ปูอัด A ถุง 500g</v>
      </c>
      <c r="D325" s="5" t="str">
        <f>IFERROR(__xludf.DUMMYFUNCTION("""COMPUTED_VALUE"""),"**ลัง ร้อยเอ็ด")</f>
        <v>**ลัง ร้อยเอ็ด</v>
      </c>
      <c r="E325" s="5" t="str">
        <f>IFERROR(__xludf.DUMMYFUNCTION("""COMPUTED_VALUE"""),"A")</f>
        <v>A</v>
      </c>
      <c r="F325" s="5" t="str">
        <f>IFERROR(__xludf.DUMMYFUNCTION("""COMPUTED_VALUE"""),"N")</f>
        <v>N</v>
      </c>
      <c r="G325" s="5"/>
      <c r="H325" s="5"/>
      <c r="I325" s="5"/>
      <c r="J325" s="5"/>
      <c r="K325" s="5"/>
      <c r="L325" s="5"/>
      <c r="M325" s="5">
        <f>IFERROR(__xludf.DUMMYFUNCTION("""COMPUTED_VALUE"""),39.8)</f>
        <v>39.8</v>
      </c>
      <c r="N325" s="5">
        <f>IFERROR(__xludf.DUMMYFUNCTION("""COMPUTED_VALUE"""),10001.0)</f>
        <v>10001</v>
      </c>
      <c r="O325" s="5"/>
      <c r="P325" s="5"/>
      <c r="Q325" s="5" t="str">
        <f>IFERROR(__xludf.DUMMYFUNCTION("""COMPUTED_VALUE"""),"Y")</f>
        <v>Y</v>
      </c>
      <c r="R325" s="5"/>
      <c r="S325" s="5" t="str">
        <f>IFERROR(__xludf.DUMMYFUNCTION("""COMPUTED_VALUE"""),"คิงส์ วิช")</f>
        <v>คิงส์ วิช</v>
      </c>
      <c r="T325" s="5">
        <f>IFERROR(__xludf.DUMMYFUNCTION("""COMPUTED_VALUE"""),40.0)</f>
        <v>40</v>
      </c>
      <c r="U325" s="5" t="str">
        <f>IFERROR(__xludf.DUMMYFUNCTION("""COMPUTED_VALUE"""),"Y")</f>
        <v>Y</v>
      </c>
      <c r="V325" s="5">
        <f>IFERROR(__xludf.DUMMYFUNCTION("""COMPUTED_VALUE"""),53.0)</f>
        <v>53</v>
      </c>
      <c r="W325" s="5">
        <f>IFERROR(__xludf.DUMMYFUNCTION("""COMPUTED_VALUE"""),3723.0)</f>
        <v>3723</v>
      </c>
      <c r="X325" s="5">
        <f>IFERROR(__xludf.DUMMYFUNCTION("""COMPUTED_VALUE"""),215.0)</f>
        <v>215</v>
      </c>
      <c r="Y325" s="5">
        <f>IFERROR(__xludf.DUMMYFUNCTION("""COMPUTED_VALUE"""),376.0)</f>
        <v>376</v>
      </c>
      <c r="Z325" s="5"/>
    </row>
    <row r="326">
      <c r="A326" s="5" t="str">
        <f>IFERROR(__xludf.DUMMYFUNCTION("""COMPUTED_VALUE"""),"ปูอัด-คานิโกะ-ถุง-500g-1ลัง-10kg-(20-แพ็ค)-1")</f>
        <v>ปูอัด-คานิโกะ-ถุง-500g-1ลัง-10kg-(20-แพ็ค)-1</v>
      </c>
      <c r="B326" s="5">
        <f>IFERROR(__xludf.DUMMYFUNCTION("""COMPUTED_VALUE"""),10227.0)</f>
        <v>10227</v>
      </c>
      <c r="C326" s="5" t="str">
        <f>IFERROR(__xludf.DUMMYFUNCTION("""COMPUTED_VALUE"""),"ปูอัด คานิโกะ ถุง 500g *20 แพ็ค (ลัง)")</f>
        <v>ปูอัด คานิโกะ ถุง 500g *20 แพ็ค (ลัง)</v>
      </c>
      <c r="D326" s="5"/>
      <c r="E326" s="5" t="str">
        <f>IFERROR(__xludf.DUMMYFUNCTION("""COMPUTED_VALUE"""),"&lt;p&gt;S&lt;/p&gt;")</f>
        <v>&lt;p&gt;S&lt;/p&gt;</v>
      </c>
      <c r="F326" s="5" t="str">
        <f>IFERROR(__xludf.DUMMYFUNCTION("""COMPUTED_VALUE"""),"N")</f>
        <v>N</v>
      </c>
      <c r="G326" s="5"/>
      <c r="H326" s="5"/>
      <c r="I326" s="5"/>
      <c r="J326" s="5"/>
      <c r="K326" s="5"/>
      <c r="L326" s="5"/>
      <c r="M326" s="5"/>
      <c r="N326" s="5">
        <f>IFERROR(__xludf.DUMMYFUNCTION("""COMPUTED_VALUE"""),10227.0)</f>
        <v>10227</v>
      </c>
      <c r="O326" s="5">
        <f>IFERROR(__xludf.DUMMYFUNCTION("""COMPUTED_VALUE"""),10145.0)</f>
        <v>10145</v>
      </c>
      <c r="P326" s="5">
        <f>IFERROR(__xludf.DUMMYFUNCTION("""COMPUTED_VALUE"""),20.0)</f>
        <v>20</v>
      </c>
      <c r="Q326" s="5" t="str">
        <f>IFERROR(__xludf.DUMMYFUNCTION("""COMPUTED_VALUE"""),"N")</f>
        <v>N</v>
      </c>
      <c r="R326" s="5" t="str">
        <f>IFERROR(__xludf.DUMMYFUNCTION("""COMPUTED_VALUE"""),"N")</f>
        <v>N</v>
      </c>
      <c r="S326" s="5"/>
      <c r="T326" s="5"/>
      <c r="U326" s="5" t="str">
        <f>IFERROR(__xludf.DUMMYFUNCTION("""COMPUTED_VALUE"""),"N")</f>
        <v>N</v>
      </c>
      <c r="V326" s="5">
        <f>IFERROR(__xludf.DUMMYFUNCTION("""COMPUTED_VALUE"""),950.0)</f>
        <v>950</v>
      </c>
      <c r="W326" s="5"/>
      <c r="X326" s="5"/>
      <c r="Y326" s="5"/>
      <c r="Z326" s="5"/>
    </row>
    <row r="327">
      <c r="A327" s="5" t="str">
        <f>IFERROR(__xludf.DUMMYFUNCTION("""COMPUTED_VALUE"""),"ปูอัด-สมชาย-20*450g-1ลัง-1")</f>
        <v>ปูอัด-สมชาย-20*450g-1ลัง-1</v>
      </c>
      <c r="B327" s="5">
        <f>IFERROR(__xludf.DUMMYFUNCTION("""COMPUTED_VALUE"""),11435.0)</f>
        <v>11435</v>
      </c>
      <c r="C327" s="5" t="str">
        <f>IFERROR(__xludf.DUMMYFUNCTION("""COMPUTED_VALUE"""),"ปูอัด สมชาย 450 กรัม (ลัง)")</f>
        <v>ปูอัด สมชาย 450 กรัม (ลัง)</v>
      </c>
      <c r="D327" s="5" t="str">
        <f>IFERROR(__xludf.DUMMYFUNCTION("""COMPUTED_VALUE"""),"สมชาย")</f>
        <v>สมชาย</v>
      </c>
      <c r="E327" s="5" t="str">
        <f>IFERROR(__xludf.DUMMYFUNCTION("""COMPUTED_VALUE"""),"&lt;p&gt;S&lt;/p&gt;")</f>
        <v>&lt;p&gt;S&lt;/p&gt;</v>
      </c>
      <c r="F327" s="5" t="str">
        <f>IFERROR(__xludf.DUMMYFUNCTION("""COMPUTED_VALUE"""),"N")</f>
        <v>N</v>
      </c>
      <c r="G327" s="5"/>
      <c r="H327" s="5"/>
      <c r="I327" s="5"/>
      <c r="J327" s="5"/>
      <c r="K327" s="5"/>
      <c r="L327" s="5"/>
      <c r="M327" s="5"/>
      <c r="N327" s="5">
        <f>IFERROR(__xludf.DUMMYFUNCTION("""COMPUTED_VALUE"""),11435.0)</f>
        <v>11435</v>
      </c>
      <c r="O327" s="5">
        <f>IFERROR(__xludf.DUMMYFUNCTION("""COMPUTED_VALUE"""),11375.0)</f>
        <v>11375</v>
      </c>
      <c r="P327" s="5">
        <f>IFERROR(__xludf.DUMMYFUNCTION("""COMPUTED_VALUE"""),20.0)</f>
        <v>20</v>
      </c>
      <c r="Q327" s="5" t="str">
        <f>IFERROR(__xludf.DUMMYFUNCTION("""COMPUTED_VALUE"""),"N")</f>
        <v>N</v>
      </c>
      <c r="R327" s="5" t="str">
        <f>IFERROR(__xludf.DUMMYFUNCTION("""COMPUTED_VALUE"""),"N")</f>
        <v>N</v>
      </c>
      <c r="S327" s="5"/>
      <c r="T327" s="5"/>
      <c r="U327" s="5" t="str">
        <f>IFERROR(__xludf.DUMMYFUNCTION("""COMPUTED_VALUE"""),"Y")</f>
        <v>Y</v>
      </c>
      <c r="V327" s="5">
        <f>IFERROR(__xludf.DUMMYFUNCTION("""COMPUTED_VALUE"""),900.0)</f>
        <v>900</v>
      </c>
      <c r="W327" s="5"/>
      <c r="X327" s="5"/>
      <c r="Y327" s="5"/>
      <c r="Z327" s="5"/>
    </row>
    <row r="328">
      <c r="A328" s="5" t="str">
        <f>IFERROR(__xludf.DUMMYFUNCTION("""COMPUTED_VALUE"""),"ปูอัด-สมชาย-450g")</f>
        <v>ปูอัด-สมชาย-450g</v>
      </c>
      <c r="B328" s="5">
        <f>IFERROR(__xludf.DUMMYFUNCTION("""COMPUTED_VALUE"""),11375.0)</f>
        <v>11375</v>
      </c>
      <c r="C328" s="5" t="str">
        <f>IFERROR(__xludf.DUMMYFUNCTION("""COMPUTED_VALUE"""),"ปูอัด สมชาย 450g")</f>
        <v>ปูอัด สมชาย 450g</v>
      </c>
      <c r="D328" s="5" t="str">
        <f>IFERROR(__xludf.DUMMYFUNCTION("""COMPUTED_VALUE"""),"สมชาย")</f>
        <v>สมชาย</v>
      </c>
      <c r="E328" s="5" t="str">
        <f>IFERROR(__xludf.DUMMYFUNCTION("""COMPUTED_VALUE"""),"&lt;p&gt;X&lt;/p&gt;")</f>
        <v>&lt;p&gt;X&lt;/p&gt;</v>
      </c>
      <c r="F328" s="5" t="str">
        <f>IFERROR(__xludf.DUMMYFUNCTION("""COMPUTED_VALUE"""),"N")</f>
        <v>N</v>
      </c>
      <c r="G328" s="5"/>
      <c r="H328" s="5"/>
      <c r="I328" s="5"/>
      <c r="J328" s="5"/>
      <c r="K328" s="5"/>
      <c r="L328" s="5"/>
      <c r="M328" s="5">
        <f>IFERROR(__xludf.DUMMYFUNCTION("""COMPUTED_VALUE"""),37.45)</f>
        <v>37.45</v>
      </c>
      <c r="N328" s="5"/>
      <c r="O328" s="5"/>
      <c r="P328" s="5"/>
      <c r="Q328" s="5" t="str">
        <f>IFERROR(__xludf.DUMMYFUNCTION("""COMPUTED_VALUE"""),"Y")</f>
        <v>Y</v>
      </c>
      <c r="R328" s="5"/>
      <c r="S328" s="5" t="str">
        <f>IFERROR(__xludf.DUMMYFUNCTION("""COMPUTED_VALUE"""),"สมชายซีฟู้ดส์")</f>
        <v>สมชายซีฟู้ดส์</v>
      </c>
      <c r="T328" s="5">
        <f>IFERROR(__xludf.DUMMYFUNCTION("""COMPUTED_VALUE"""),37.45)</f>
        <v>37.45</v>
      </c>
      <c r="U328" s="5" t="str">
        <f>IFERROR(__xludf.DUMMYFUNCTION("""COMPUTED_VALUE"""),"Y")</f>
        <v>Y</v>
      </c>
      <c r="V328" s="5">
        <f>IFERROR(__xludf.DUMMYFUNCTION("""COMPUTED_VALUE"""),50.0)</f>
        <v>50</v>
      </c>
      <c r="W328" s="5">
        <f>IFERROR(__xludf.DUMMYFUNCTION("""COMPUTED_VALUE"""),71.0)</f>
        <v>71</v>
      </c>
      <c r="X328" s="5">
        <f>IFERROR(__xludf.DUMMYFUNCTION("""COMPUTED_VALUE"""),40.0)</f>
        <v>40</v>
      </c>
      <c r="Y328" s="5">
        <f>IFERROR(__xludf.DUMMYFUNCTION("""COMPUTED_VALUE"""),80.0)</f>
        <v>80</v>
      </c>
      <c r="Z328" s="5"/>
    </row>
    <row r="329">
      <c r="A329" s="5" t="str">
        <f>IFERROR(__xludf.DUMMYFUNCTION("""COMPUTED_VALUE"""),"ปูอัด-เบนโตะ500g-1ลัง-10-kg-(20แพ็ค)-1")</f>
        <v>ปูอัด-เบนโตะ500g-1ลัง-10-kg-(20แพ็ค)-1</v>
      </c>
      <c r="B329" s="5">
        <f>IFERROR(__xludf.DUMMYFUNCTION("""COMPUTED_VALUE"""),10231.0)</f>
        <v>10231</v>
      </c>
      <c r="C329" s="5" t="str">
        <f>IFERROR(__xludf.DUMMYFUNCTION("""COMPUTED_VALUE"""),"ปูอัด เบนโตะ 500 กรัม (ลัง)")</f>
        <v>ปูอัด เบนโตะ 500 กรัม (ลัง)</v>
      </c>
      <c r="D329" s="5"/>
      <c r="E329" s="5" t="str">
        <f>IFERROR(__xludf.DUMMYFUNCTION("""COMPUTED_VALUE"""),"S")</f>
        <v>S</v>
      </c>
      <c r="F329" s="5" t="str">
        <f>IFERROR(__xludf.DUMMYFUNCTION("""COMPUTED_VALUE"""),"N")</f>
        <v>N</v>
      </c>
      <c r="G329" s="5"/>
      <c r="H329" s="5"/>
      <c r="I329" s="5"/>
      <c r="J329" s="5"/>
      <c r="K329" s="5"/>
      <c r="L329" s="5"/>
      <c r="M329" s="5"/>
      <c r="N329" s="5"/>
      <c r="O329" s="5">
        <f>IFERROR(__xludf.DUMMYFUNCTION("""COMPUTED_VALUE"""),10127.0)</f>
        <v>10127</v>
      </c>
      <c r="P329" s="5">
        <f>IFERROR(__xludf.DUMMYFUNCTION("""COMPUTED_VALUE"""),20.0)</f>
        <v>20</v>
      </c>
      <c r="Q329" s="5" t="str">
        <f>IFERROR(__xludf.DUMMYFUNCTION("""COMPUTED_VALUE"""),"N")</f>
        <v>N</v>
      </c>
      <c r="R329" s="5" t="str">
        <f>IFERROR(__xludf.DUMMYFUNCTION("""COMPUTED_VALUE"""),"N")</f>
        <v>N</v>
      </c>
      <c r="S329" s="5"/>
      <c r="T329" s="5"/>
      <c r="U329" s="5" t="str">
        <f>IFERROR(__xludf.DUMMYFUNCTION("""COMPUTED_VALUE"""),"Y")</f>
        <v>Y</v>
      </c>
      <c r="V329" s="5">
        <f>IFERROR(__xludf.DUMMYFUNCTION("""COMPUTED_VALUE"""),1400.0)</f>
        <v>1400</v>
      </c>
      <c r="W329" s="5"/>
      <c r="X329" s="5"/>
      <c r="Y329" s="5"/>
      <c r="Z329" s="5"/>
    </row>
    <row r="330">
      <c r="A330" s="5" t="str">
        <f>IFERROR(__xludf.DUMMYFUNCTION("""COMPUTED_VALUE"""),"ปูอัด-เบนโตะ500g-1")</f>
        <v>ปูอัด-เบนโตะ500g-1</v>
      </c>
      <c r="B330" s="5">
        <f>IFERROR(__xludf.DUMMYFUNCTION("""COMPUTED_VALUE"""),10127.0)</f>
        <v>10127</v>
      </c>
      <c r="C330" s="5" t="str">
        <f>IFERROR(__xludf.DUMMYFUNCTION("""COMPUTED_VALUE"""),"ปูอัด เบนโตะ 500g")</f>
        <v>ปูอัด เบนโตะ 500g</v>
      </c>
      <c r="D330" s="5" t="str">
        <f>IFERROR(__xludf.DUMMYFUNCTION("""COMPUTED_VALUE"""),"ทวีวงษ์-PFP")</f>
        <v>ทวีวงษ์-PFP</v>
      </c>
      <c r="E330" s="5" t="str">
        <f>IFERROR(__xludf.DUMMYFUNCTION("""COMPUTED_VALUE"""),"&lt;p&gt;B&lt;/p&gt;")</f>
        <v>&lt;p&gt;B&lt;/p&gt;</v>
      </c>
      <c r="F330" s="5" t="str">
        <f>IFERROR(__xludf.DUMMYFUNCTION("""COMPUTED_VALUE"""),"N")</f>
        <v>N</v>
      </c>
      <c r="G330" s="5"/>
      <c r="H330" s="5"/>
      <c r="I330" s="5"/>
      <c r="J330" s="5"/>
      <c r="K330" s="5"/>
      <c r="L330" s="5"/>
      <c r="M330" s="5">
        <f>IFERROR(__xludf.DUMMYFUNCTION("""COMPUTED_VALUE"""),66.0)</f>
        <v>66</v>
      </c>
      <c r="N330" s="5">
        <f>IFERROR(__xludf.DUMMYFUNCTION("""COMPUTED_VALUE"""),8.850016634889E12)</f>
        <v>8850016634889</v>
      </c>
      <c r="O330" s="5"/>
      <c r="P330" s="5"/>
      <c r="Q330" s="5" t="str">
        <f>IFERROR(__xludf.DUMMYFUNCTION("""COMPUTED_VALUE"""),"Y")</f>
        <v>Y</v>
      </c>
      <c r="R330" s="5"/>
      <c r="S330" s="5" t="str">
        <f>IFERROR(__xludf.DUMMYFUNCTION("""COMPUTED_VALUE"""),"ทวีวงษ์")</f>
        <v>ทวีวงษ์</v>
      </c>
      <c r="T330" s="5">
        <f>IFERROR(__xludf.DUMMYFUNCTION("""COMPUTED_VALUE"""),66.0)</f>
        <v>66</v>
      </c>
      <c r="U330" s="5" t="str">
        <f>IFERROR(__xludf.DUMMYFUNCTION("""COMPUTED_VALUE"""),"Y")</f>
        <v>Y</v>
      </c>
      <c r="V330" s="5">
        <f>IFERROR(__xludf.DUMMYFUNCTION("""COMPUTED_VALUE"""),75.0)</f>
        <v>75</v>
      </c>
      <c r="W330" s="5">
        <f>IFERROR(__xludf.DUMMYFUNCTION("""COMPUTED_VALUE"""),218.0)</f>
        <v>218</v>
      </c>
      <c r="X330" s="5">
        <f>IFERROR(__xludf.DUMMYFUNCTION("""COMPUTED_VALUE"""),37.0)</f>
        <v>37</v>
      </c>
      <c r="Y330" s="5">
        <f>IFERROR(__xludf.DUMMYFUNCTION("""COMPUTED_VALUE"""),61.0)</f>
        <v>61</v>
      </c>
      <c r="Z330" s="5"/>
    </row>
    <row r="331">
      <c r="A331" s="5" t="str">
        <f>IFERROR(__xludf.DUMMYFUNCTION("""COMPUTED_VALUE"""),"ปูอัด-เบนโตะ2500g")</f>
        <v>ปูอัด-เบนโตะ2500g</v>
      </c>
      <c r="B331" s="5">
        <f>IFERROR(__xludf.DUMMYFUNCTION("""COMPUTED_VALUE"""),90004.0)</f>
        <v>90004</v>
      </c>
      <c r="C331" s="5" t="str">
        <f>IFERROR(__xludf.DUMMYFUNCTION("""COMPUTED_VALUE"""),"ปูอัด เบนโตะ250g")</f>
        <v>ปูอัด เบนโตะ250g</v>
      </c>
      <c r="D331" s="5" t="str">
        <f>IFERROR(__xludf.DUMMYFUNCTION("""COMPUTED_VALUE"""),"ทวีวงษ์-PFP")</f>
        <v>ทวีวงษ์-PFP</v>
      </c>
      <c r="E331" s="5" t="str">
        <f>IFERROR(__xludf.DUMMYFUNCTION("""COMPUTED_VALUE"""),"&lt;p&gt;X&lt;/p&gt;")</f>
        <v>&lt;p&gt;X&lt;/p&gt;</v>
      </c>
      <c r="F331" s="5" t="str">
        <f>IFERROR(__xludf.DUMMYFUNCTION("""COMPUTED_VALUE"""),"N")</f>
        <v>N</v>
      </c>
      <c r="G331" s="5"/>
      <c r="H331" s="5"/>
      <c r="I331" s="5"/>
      <c r="J331" s="5"/>
      <c r="K331" s="5"/>
      <c r="L331" s="5"/>
      <c r="M331" s="5">
        <f>IFERROR(__xludf.DUMMYFUNCTION("""COMPUTED_VALUE"""),33.0)</f>
        <v>33</v>
      </c>
      <c r="N331" s="5">
        <f>IFERROR(__xludf.DUMMYFUNCTION("""COMPUTED_VALUE"""),8.850016635671E12)</f>
        <v>8850016635671</v>
      </c>
      <c r="O331" s="5"/>
      <c r="P331" s="5"/>
      <c r="Q331" s="5" t="str">
        <f>IFERROR(__xludf.DUMMYFUNCTION("""COMPUTED_VALUE"""),"Y")</f>
        <v>Y</v>
      </c>
      <c r="R331" s="5"/>
      <c r="S331" s="5"/>
      <c r="T331" s="5">
        <f>IFERROR(__xludf.DUMMYFUNCTION("""COMPUTED_VALUE"""),33.0)</f>
        <v>33</v>
      </c>
      <c r="U331" s="5" t="str">
        <f>IFERROR(__xludf.DUMMYFUNCTION("""COMPUTED_VALUE"""),"Y")</f>
        <v>Y</v>
      </c>
      <c r="V331" s="5">
        <f>IFERROR(__xludf.DUMMYFUNCTION("""COMPUTED_VALUE"""),42.0)</f>
        <v>42</v>
      </c>
      <c r="W331" s="5">
        <f>IFERROR(__xludf.DUMMYFUNCTION("""COMPUTED_VALUE"""),4.0)</f>
        <v>4</v>
      </c>
      <c r="X331" s="5"/>
      <c r="Y331" s="5"/>
      <c r="Z331" s="5"/>
    </row>
    <row r="332">
      <c r="A332" s="5" t="str">
        <f>IFERROR(__xludf.DUMMYFUNCTION("""COMPUTED_VALUE"""),"ปูอัด-เบนโตะ250g--1*20แพ็ค(ลัง)")</f>
        <v>ปูอัด-เบนโตะ250g--1*20แพ็ค(ลัง)</v>
      </c>
      <c r="B332" s="5">
        <f>IFERROR(__xludf.DUMMYFUNCTION("""COMPUTED_VALUE"""),10524.0)</f>
        <v>10524</v>
      </c>
      <c r="C332" s="5" t="str">
        <f>IFERROR(__xludf.DUMMYFUNCTION("""COMPUTED_VALUE"""),"ปูอัด เบนโตะ250g  1*40แพ็ค(ลัง)")</f>
        <v>ปูอัด เบนโตะ250g  1*40แพ็ค(ลัง)</v>
      </c>
      <c r="D332" s="5"/>
      <c r="E332" s="5" t="str">
        <f>IFERROR(__xludf.DUMMYFUNCTION("""COMPUTED_VALUE"""),"&lt;p&gt;S&lt;/p&gt;")</f>
        <v>&lt;p&gt;S&lt;/p&gt;</v>
      </c>
      <c r="F332" s="5" t="str">
        <f>IFERROR(__xludf.DUMMYFUNCTION("""COMPUTED_VALUE"""),"N")</f>
        <v>N</v>
      </c>
      <c r="G332" s="5"/>
      <c r="H332" s="5"/>
      <c r="I332" s="5"/>
      <c r="J332" s="5"/>
      <c r="K332" s="5"/>
      <c r="L332" s="5"/>
      <c r="M332" s="5"/>
      <c r="N332" s="5">
        <f>IFERROR(__xludf.DUMMYFUNCTION("""COMPUTED_VALUE"""),10524.0)</f>
        <v>10524</v>
      </c>
      <c r="O332" s="5">
        <f>IFERROR(__xludf.DUMMYFUNCTION("""COMPUTED_VALUE"""),90004.0)</f>
        <v>90004</v>
      </c>
      <c r="P332" s="5">
        <f>IFERROR(__xludf.DUMMYFUNCTION("""COMPUTED_VALUE"""),40.0)</f>
        <v>40</v>
      </c>
      <c r="Q332" s="5" t="str">
        <f>IFERROR(__xludf.DUMMYFUNCTION("""COMPUTED_VALUE"""),"N")</f>
        <v>N</v>
      </c>
      <c r="R332" s="5" t="str">
        <f>IFERROR(__xludf.DUMMYFUNCTION("""COMPUTED_VALUE"""),"N")</f>
        <v>N</v>
      </c>
      <c r="S332" s="5"/>
      <c r="T332" s="5"/>
      <c r="U332" s="5" t="str">
        <f>IFERROR(__xludf.DUMMYFUNCTION("""COMPUTED_VALUE"""),"Y")</f>
        <v>Y</v>
      </c>
      <c r="V332" s="5">
        <f>IFERROR(__xludf.DUMMYFUNCTION("""COMPUTED_VALUE"""),1400.0)</f>
        <v>1400</v>
      </c>
      <c r="W332" s="5"/>
      <c r="X332" s="5"/>
      <c r="Y332" s="5"/>
      <c r="Z332" s="5"/>
    </row>
    <row r="333">
      <c r="A333" s="5" t="str">
        <f>IFERROR(__xludf.DUMMYFUNCTION("""COMPUTED_VALUE"""),"ปูอัดคานิโก๊ะ-500-g-ถุง-1")</f>
        <v>ปูอัดคานิโก๊ะ-500-g-ถุง-1</v>
      </c>
      <c r="B333" s="5">
        <f>IFERROR(__xludf.DUMMYFUNCTION("""COMPUTED_VALUE"""),10145.0)</f>
        <v>10145</v>
      </c>
      <c r="C333" s="5" t="str">
        <f>IFERROR(__xludf.DUMMYFUNCTION("""COMPUTED_VALUE"""),"ปูอัดคานิโกะ 500 g ถุง")</f>
        <v>ปูอัดคานิโกะ 500 g ถุง</v>
      </c>
      <c r="D333" s="5" t="str">
        <f>IFERROR(__xludf.DUMMYFUNCTION("""COMPUTED_VALUE"""),"ทวีวงษ์-PFP")</f>
        <v>ทวีวงษ์-PFP</v>
      </c>
      <c r="E333" s="5" t="str">
        <f>IFERROR(__xludf.DUMMYFUNCTION("""COMPUTED_VALUE"""),"&lt;p&gt;X&lt;/p&gt;")</f>
        <v>&lt;p&gt;X&lt;/p&gt;</v>
      </c>
      <c r="F333" s="5" t="str">
        <f>IFERROR(__xludf.DUMMYFUNCTION("""COMPUTED_VALUE"""),"N")</f>
        <v>N</v>
      </c>
      <c r="G333" s="5"/>
      <c r="H333" s="5"/>
      <c r="I333" s="5"/>
      <c r="J333" s="5"/>
      <c r="K333" s="5"/>
      <c r="L333" s="5"/>
      <c r="M333" s="5">
        <f>IFERROR(__xludf.DUMMYFUNCTION("""COMPUTED_VALUE"""),43.0)</f>
        <v>43</v>
      </c>
      <c r="N333" s="5">
        <f>IFERROR(__xludf.DUMMYFUNCTION("""COMPUTED_VALUE"""),10145.0)</f>
        <v>10145</v>
      </c>
      <c r="O333" s="5"/>
      <c r="P333" s="5"/>
      <c r="Q333" s="5" t="str">
        <f>IFERROR(__xludf.DUMMYFUNCTION("""COMPUTED_VALUE"""),"Y")</f>
        <v>Y</v>
      </c>
      <c r="R333" s="5"/>
      <c r="S333" s="5" t="str">
        <f>IFERROR(__xludf.DUMMYFUNCTION("""COMPUTED_VALUE"""),"ทวีวงษ์")</f>
        <v>ทวีวงษ์</v>
      </c>
      <c r="T333" s="5">
        <f>IFERROR(__xludf.DUMMYFUNCTION("""COMPUTED_VALUE"""),43.0)</f>
        <v>43</v>
      </c>
      <c r="U333" s="5" t="str">
        <f>IFERROR(__xludf.DUMMYFUNCTION("""COMPUTED_VALUE"""),"N")</f>
        <v>N</v>
      </c>
      <c r="V333" s="5">
        <f>IFERROR(__xludf.DUMMYFUNCTION("""COMPUTED_VALUE"""),52.0)</f>
        <v>52</v>
      </c>
      <c r="W333" s="5">
        <f>IFERROR(__xludf.DUMMYFUNCTION("""COMPUTED_VALUE"""),0.0)</f>
        <v>0</v>
      </c>
      <c r="X333" s="5">
        <f>IFERROR(__xludf.DUMMYFUNCTION("""COMPUTED_VALUE"""),20.0)</f>
        <v>20</v>
      </c>
      <c r="Y333" s="5">
        <f>IFERROR(__xludf.DUMMYFUNCTION("""COMPUTED_VALUE"""),60.0)</f>
        <v>60</v>
      </c>
      <c r="Z333" s="5"/>
    </row>
    <row r="334">
      <c r="A334" s="5" t="str">
        <f>IFERROR(__xludf.DUMMYFUNCTION("""COMPUTED_VALUE"""),"ปูอัดทูโทนไส้ชีส-ลัง-20แพ็ค")</f>
        <v>ปูอัดทูโทนไส้ชีส-ลัง-20แพ็ค</v>
      </c>
      <c r="B334" s="5">
        <f>IFERROR(__xludf.DUMMYFUNCTION("""COMPUTED_VALUE"""),11422.0)</f>
        <v>11422</v>
      </c>
      <c r="C334" s="5" t="str">
        <f>IFERROR(__xludf.DUMMYFUNCTION("""COMPUTED_VALUE"""),"ปูอัดทูโทนไส้ชีส 500 กรัม (ลัง)")</f>
        <v>ปูอัดทูโทนไส้ชีส 500 กรัม (ลัง)</v>
      </c>
      <c r="D334" s="5"/>
      <c r="E334" s="5" t="str">
        <f>IFERROR(__xludf.DUMMYFUNCTION("""COMPUTED_VALUE"""),"&lt;p&gt;S&lt;/p&gt;")</f>
        <v>&lt;p&gt;S&lt;/p&gt;</v>
      </c>
      <c r="F334" s="5" t="str">
        <f>IFERROR(__xludf.DUMMYFUNCTION("""COMPUTED_VALUE"""),"N")</f>
        <v>N</v>
      </c>
      <c r="G334" s="5"/>
      <c r="H334" s="5"/>
      <c r="I334" s="5"/>
      <c r="J334" s="5"/>
      <c r="K334" s="5"/>
      <c r="L334" s="5"/>
      <c r="M334" s="5"/>
      <c r="N334" s="5">
        <f>IFERROR(__xludf.DUMMYFUNCTION("""COMPUTED_VALUE"""),8.850016075293E12)</f>
        <v>8850016075293</v>
      </c>
      <c r="O334" s="5">
        <f>IFERROR(__xludf.DUMMYFUNCTION("""COMPUTED_VALUE"""),11220.0)</f>
        <v>11220</v>
      </c>
      <c r="P334" s="5">
        <f>IFERROR(__xludf.DUMMYFUNCTION("""COMPUTED_VALUE"""),20.0)</f>
        <v>20</v>
      </c>
      <c r="Q334" s="5" t="str">
        <f>IFERROR(__xludf.DUMMYFUNCTION("""COMPUTED_VALUE"""),"N")</f>
        <v>N</v>
      </c>
      <c r="R334" s="5" t="str">
        <f>IFERROR(__xludf.DUMMYFUNCTION("""COMPUTED_VALUE"""),"N")</f>
        <v>N</v>
      </c>
      <c r="S334" s="5"/>
      <c r="T334" s="5"/>
      <c r="U334" s="5" t="str">
        <f>IFERROR(__xludf.DUMMYFUNCTION("""COMPUTED_VALUE"""),"Y")</f>
        <v>Y</v>
      </c>
      <c r="V334" s="5">
        <f>IFERROR(__xludf.DUMMYFUNCTION("""COMPUTED_VALUE"""),1270.0)</f>
        <v>1270</v>
      </c>
      <c r="W334" s="5"/>
      <c r="X334" s="5"/>
      <c r="Y334" s="5"/>
      <c r="Z334" s="5"/>
    </row>
    <row r="335">
      <c r="A335" s="5" t="str">
        <f>IFERROR(__xludf.DUMMYFUNCTION("""COMPUTED_VALUE"""),"ปูอัดทูโทนไส้ซีส")</f>
        <v>ปูอัดทูโทนไส้ซีส</v>
      </c>
      <c r="B335" s="5">
        <f>IFERROR(__xludf.DUMMYFUNCTION("""COMPUTED_VALUE"""),11220.0)</f>
        <v>11220</v>
      </c>
      <c r="C335" s="5" t="str">
        <f>IFERROR(__xludf.DUMMYFUNCTION("""COMPUTED_VALUE"""),"ปูอัดทูโทนไส้ซีส 500g")</f>
        <v>ปูอัดทูโทนไส้ซีส 500g</v>
      </c>
      <c r="D335" s="5" t="str">
        <f>IFERROR(__xludf.DUMMYFUNCTION("""COMPUTED_VALUE"""),"ทวีวงษ์-PFP")</f>
        <v>ทวีวงษ์-PFP</v>
      </c>
      <c r="E335" s="5" t="str">
        <f>IFERROR(__xludf.DUMMYFUNCTION("""COMPUTED_VALUE"""),"&lt;p&gt;X&lt;/p&gt;")</f>
        <v>&lt;p&gt;X&lt;/p&gt;</v>
      </c>
      <c r="F335" s="5" t="str">
        <f>IFERROR(__xludf.DUMMYFUNCTION("""COMPUTED_VALUE"""),"N")</f>
        <v>N</v>
      </c>
      <c r="G335" s="5"/>
      <c r="H335" s="5"/>
      <c r="I335" s="5"/>
      <c r="J335" s="5"/>
      <c r="K335" s="5"/>
      <c r="L335" s="5"/>
      <c r="M335" s="5">
        <f>IFERROR(__xludf.DUMMYFUNCTION("""COMPUTED_VALUE"""),60.0)</f>
        <v>60</v>
      </c>
      <c r="N335" s="5">
        <f>IFERROR(__xludf.DUMMYFUNCTION("""COMPUTED_VALUE"""),11220.0)</f>
        <v>11220</v>
      </c>
      <c r="O335" s="5"/>
      <c r="P335" s="5"/>
      <c r="Q335" s="5" t="str">
        <f>IFERROR(__xludf.DUMMYFUNCTION("""COMPUTED_VALUE"""),"Y")</f>
        <v>Y</v>
      </c>
      <c r="R335" s="5"/>
      <c r="S335" s="5" t="str">
        <f>IFERROR(__xludf.DUMMYFUNCTION("""COMPUTED_VALUE"""),"ทวีวงษ์")</f>
        <v>ทวีวงษ์</v>
      </c>
      <c r="T335" s="5">
        <f>IFERROR(__xludf.DUMMYFUNCTION("""COMPUTED_VALUE"""),60.0)</f>
        <v>60</v>
      </c>
      <c r="U335" s="5" t="str">
        <f>IFERROR(__xludf.DUMMYFUNCTION("""COMPUTED_VALUE"""),"Y")</f>
        <v>Y</v>
      </c>
      <c r="V335" s="5">
        <f>IFERROR(__xludf.DUMMYFUNCTION("""COMPUTED_VALUE"""),65.0)</f>
        <v>65</v>
      </c>
      <c r="W335" s="5">
        <f>IFERROR(__xludf.DUMMYFUNCTION("""COMPUTED_VALUE"""),110.0)</f>
        <v>110</v>
      </c>
      <c r="X335" s="5">
        <f>IFERROR(__xludf.DUMMYFUNCTION("""COMPUTED_VALUE"""),40.0)</f>
        <v>40</v>
      </c>
      <c r="Y335" s="5">
        <f>IFERROR(__xludf.DUMMYFUNCTION("""COMPUTED_VALUE"""),80.0)</f>
        <v>80</v>
      </c>
      <c r="Z335" s="5"/>
    </row>
    <row r="336">
      <c r="A336" s="5" t="str">
        <f>IFERROR(__xludf.DUMMYFUNCTION("""COMPUTED_VALUE"""),"นามิ-ปูอัด-250-g-1")</f>
        <v>นามิ-ปูอัด-250-g-1</v>
      </c>
      <c r="B336" s="5">
        <f>IFERROR(__xludf.DUMMYFUNCTION("""COMPUTED_VALUE"""),10129.0)</f>
        <v>10129</v>
      </c>
      <c r="C336" s="5" t="str">
        <f>IFERROR(__xludf.DUMMYFUNCTION("""COMPUTED_VALUE"""),"ปูอัดนามิ 250 g")</f>
        <v>ปูอัดนามิ 250 g</v>
      </c>
      <c r="D336" s="5" t="str">
        <f>IFERROR(__xludf.DUMMYFUNCTION("""COMPUTED_VALUE"""),"ทวีวงษ์-PFP")</f>
        <v>ทวีวงษ์-PFP</v>
      </c>
      <c r="E336" s="5" t="str">
        <f>IFERROR(__xludf.DUMMYFUNCTION("""COMPUTED_VALUE"""),"&lt;p&gt;X&lt;/p&gt;")</f>
        <v>&lt;p&gt;X&lt;/p&gt;</v>
      </c>
      <c r="F336" s="5" t="str">
        <f>IFERROR(__xludf.DUMMYFUNCTION("""COMPUTED_VALUE"""),"N")</f>
        <v>N</v>
      </c>
      <c r="G336" s="5"/>
      <c r="H336" s="5"/>
      <c r="I336" s="5"/>
      <c r="J336" s="5"/>
      <c r="K336" s="5"/>
      <c r="L336" s="5"/>
      <c r="M336" s="5">
        <f>IFERROR(__xludf.DUMMYFUNCTION("""COMPUTED_VALUE"""),25.0)</f>
        <v>25</v>
      </c>
      <c r="N336" s="5">
        <f>IFERROR(__xludf.DUMMYFUNCTION("""COMPUTED_VALUE"""),10129.0)</f>
        <v>10129</v>
      </c>
      <c r="O336" s="5"/>
      <c r="P336" s="5"/>
      <c r="Q336" s="5" t="str">
        <f>IFERROR(__xludf.DUMMYFUNCTION("""COMPUTED_VALUE"""),"Y")</f>
        <v>Y</v>
      </c>
      <c r="R336" s="5"/>
      <c r="S336" s="5"/>
      <c r="T336" s="5">
        <f>IFERROR(__xludf.DUMMYFUNCTION("""COMPUTED_VALUE"""),25.0)</f>
        <v>25</v>
      </c>
      <c r="U336" s="5" t="str">
        <f>IFERROR(__xludf.DUMMYFUNCTION("""COMPUTED_VALUE"""),"Y")</f>
        <v>Y</v>
      </c>
      <c r="V336" s="5">
        <f>IFERROR(__xludf.DUMMYFUNCTION("""COMPUTED_VALUE"""),35.0)</f>
        <v>35</v>
      </c>
      <c r="W336" s="5">
        <f>IFERROR(__xludf.DUMMYFUNCTION("""COMPUTED_VALUE"""),15.0)</f>
        <v>15</v>
      </c>
      <c r="X336" s="5">
        <f>IFERROR(__xludf.DUMMYFUNCTION("""COMPUTED_VALUE"""),20.0)</f>
        <v>20</v>
      </c>
      <c r="Y336" s="5"/>
      <c r="Z336" s="5"/>
    </row>
    <row r="337">
      <c r="A337" s="5" t="str">
        <f>IFERROR(__xludf.DUMMYFUNCTION("""COMPUTED_VALUE"""),"ปูอัดนามิ-250กรัม-1ลัง(20แพ็ค)-1")</f>
        <v>ปูอัดนามิ-250กรัม-1ลัง(20แพ็ค)-1</v>
      </c>
      <c r="B337" s="5">
        <f>IFERROR(__xludf.DUMMYFUNCTION("""COMPUTED_VALUE"""),10234.0)</f>
        <v>10234</v>
      </c>
      <c r="C337" s="5" t="str">
        <f>IFERROR(__xludf.DUMMYFUNCTION("""COMPUTED_VALUE"""),"ปูอัดนามิ 250g1*20แพ็ค (ลัง)")</f>
        <v>ปูอัดนามิ 250g1*20แพ็ค (ลัง)</v>
      </c>
      <c r="D337" s="5"/>
      <c r="E337" s="5" t="str">
        <f>IFERROR(__xludf.DUMMYFUNCTION("""COMPUTED_VALUE"""),"&lt;p&gt;S&lt;/p&gt;")</f>
        <v>&lt;p&gt;S&lt;/p&gt;</v>
      </c>
      <c r="F337" s="5" t="str">
        <f>IFERROR(__xludf.DUMMYFUNCTION("""COMPUTED_VALUE"""),"N")</f>
        <v>N</v>
      </c>
      <c r="G337" s="5"/>
      <c r="H337" s="5"/>
      <c r="I337" s="5"/>
      <c r="J337" s="5"/>
      <c r="K337" s="5"/>
      <c r="L337" s="5"/>
      <c r="M337" s="5"/>
      <c r="N337" s="5">
        <f>IFERROR(__xludf.DUMMYFUNCTION("""COMPUTED_VALUE"""),10234.0)</f>
        <v>10234</v>
      </c>
      <c r="O337" s="5">
        <f>IFERROR(__xludf.DUMMYFUNCTION("""COMPUTED_VALUE"""),10129.0)</f>
        <v>10129</v>
      </c>
      <c r="P337" s="5">
        <f>IFERROR(__xludf.DUMMYFUNCTION("""COMPUTED_VALUE"""),20.0)</f>
        <v>20</v>
      </c>
      <c r="Q337" s="5" t="str">
        <f>IFERROR(__xludf.DUMMYFUNCTION("""COMPUTED_VALUE"""),"N")</f>
        <v>N</v>
      </c>
      <c r="R337" s="5" t="str">
        <f>IFERROR(__xludf.DUMMYFUNCTION("""COMPUTED_VALUE"""),"N")</f>
        <v>N</v>
      </c>
      <c r="S337" s="5"/>
      <c r="T337" s="5"/>
      <c r="U337" s="5" t="str">
        <f>IFERROR(__xludf.DUMMYFUNCTION("""COMPUTED_VALUE"""),"Y")</f>
        <v>Y</v>
      </c>
      <c r="V337" s="5">
        <f>IFERROR(__xludf.DUMMYFUNCTION("""COMPUTED_VALUE"""),590.0)</f>
        <v>590</v>
      </c>
      <c r="W337" s="5"/>
      <c r="X337" s="5"/>
      <c r="Y337" s="5"/>
      <c r="Z337" s="5"/>
    </row>
    <row r="338">
      <c r="A338" s="5" t="str">
        <f>IFERROR(__xludf.DUMMYFUNCTION("""COMPUTED_VALUE"""),"10359")</f>
        <v>10359</v>
      </c>
      <c r="B338" s="5">
        <f>IFERROR(__xludf.DUMMYFUNCTION("""COMPUTED_VALUE"""),10359.0)</f>
        <v>10359</v>
      </c>
      <c r="C338" s="5" t="str">
        <f>IFERROR(__xludf.DUMMYFUNCTION("""COMPUTED_VALUE"""),"ปูอัดเมก้าเครบ12ชิ้น 500g")</f>
        <v>ปูอัดเมก้าเครบ12ชิ้น 500g</v>
      </c>
      <c r="D338" s="5" t="str">
        <f>IFERROR(__xludf.DUMMYFUNCTION("""COMPUTED_VALUE"""),"ทวีวงษ์-PFP")</f>
        <v>ทวีวงษ์-PFP</v>
      </c>
      <c r="E338" s="5" t="str">
        <f>IFERROR(__xludf.DUMMYFUNCTION("""COMPUTED_VALUE"""),"&lt;p&gt;X&lt;/p&gt;")</f>
        <v>&lt;p&gt;X&lt;/p&gt;</v>
      </c>
      <c r="F338" s="5" t="str">
        <f>IFERROR(__xludf.DUMMYFUNCTION("""COMPUTED_VALUE"""),"N")</f>
        <v>N</v>
      </c>
      <c r="G338" s="5"/>
      <c r="H338" s="5"/>
      <c r="I338" s="5"/>
      <c r="J338" s="5"/>
      <c r="K338" s="5"/>
      <c r="L338" s="5"/>
      <c r="M338" s="5">
        <f>IFERROR(__xludf.DUMMYFUNCTION("""COMPUTED_VALUE"""),57.5)</f>
        <v>57.5</v>
      </c>
      <c r="N338" s="5">
        <f>IFERROR(__xludf.DUMMYFUNCTION("""COMPUTED_VALUE"""),10359.0)</f>
        <v>10359</v>
      </c>
      <c r="O338" s="5"/>
      <c r="P338" s="5"/>
      <c r="Q338" s="5" t="str">
        <f>IFERROR(__xludf.DUMMYFUNCTION("""COMPUTED_VALUE"""),"Y")</f>
        <v>Y</v>
      </c>
      <c r="R338" s="5"/>
      <c r="S338" s="5" t="str">
        <f>IFERROR(__xludf.DUMMYFUNCTION("""COMPUTED_VALUE"""),"ทวีวงษ์")</f>
        <v>ทวีวงษ์</v>
      </c>
      <c r="T338" s="5">
        <f>IFERROR(__xludf.DUMMYFUNCTION("""COMPUTED_VALUE"""),57.5)</f>
        <v>57.5</v>
      </c>
      <c r="U338" s="5" t="str">
        <f>IFERROR(__xludf.DUMMYFUNCTION("""COMPUTED_VALUE"""),"Y")</f>
        <v>Y</v>
      </c>
      <c r="V338" s="5">
        <f>IFERROR(__xludf.DUMMYFUNCTION("""COMPUTED_VALUE"""),65.0)</f>
        <v>65</v>
      </c>
      <c r="W338" s="5">
        <f>IFERROR(__xludf.DUMMYFUNCTION("""COMPUTED_VALUE"""),68.0)</f>
        <v>68</v>
      </c>
      <c r="X338" s="5">
        <f>IFERROR(__xludf.DUMMYFUNCTION("""COMPUTED_VALUE"""),20.0)</f>
        <v>20</v>
      </c>
      <c r="Y338" s="5">
        <f>IFERROR(__xludf.DUMMYFUNCTION("""COMPUTED_VALUE"""),60.0)</f>
        <v>60</v>
      </c>
      <c r="Z338" s="5"/>
    </row>
    <row r="339">
      <c r="A339" s="5" t="str">
        <f>IFERROR(__xludf.DUMMYFUNCTION("""COMPUTED_VALUE"""),"10360")</f>
        <v>10360</v>
      </c>
      <c r="B339" s="5">
        <f>IFERROR(__xludf.DUMMYFUNCTION("""COMPUTED_VALUE"""),10360.0)</f>
        <v>10360</v>
      </c>
      <c r="C339" s="5" t="str">
        <f>IFERROR(__xludf.DUMMYFUNCTION("""COMPUTED_VALUE"""),"ปูอัดเมก้าแครบ 12 ชิ้น 500 กรัม (ลัง)")</f>
        <v>ปูอัดเมก้าแครบ 12 ชิ้น 500 กรัม (ลัง)</v>
      </c>
      <c r="D339" s="5"/>
      <c r="E339" s="5" t="str">
        <f>IFERROR(__xludf.DUMMYFUNCTION("""COMPUTED_VALUE"""),"&lt;p&gt;S&lt;/p&gt;")</f>
        <v>&lt;p&gt;S&lt;/p&gt;</v>
      </c>
      <c r="F339" s="5" t="str">
        <f>IFERROR(__xludf.DUMMYFUNCTION("""COMPUTED_VALUE"""),"N")</f>
        <v>N</v>
      </c>
      <c r="G339" s="5"/>
      <c r="H339" s="5"/>
      <c r="I339" s="5"/>
      <c r="J339" s="5"/>
      <c r="K339" s="5"/>
      <c r="L339" s="5"/>
      <c r="M339" s="5"/>
      <c r="N339" s="5">
        <f>IFERROR(__xludf.DUMMYFUNCTION("""COMPUTED_VALUE"""),10360.0)</f>
        <v>10360</v>
      </c>
      <c r="O339" s="5">
        <f>IFERROR(__xludf.DUMMYFUNCTION("""COMPUTED_VALUE"""),10359.0)</f>
        <v>10359</v>
      </c>
      <c r="P339" s="5">
        <f>IFERROR(__xludf.DUMMYFUNCTION("""COMPUTED_VALUE"""),20.0)</f>
        <v>20</v>
      </c>
      <c r="Q339" s="5" t="str">
        <f>IFERROR(__xludf.DUMMYFUNCTION("""COMPUTED_VALUE"""),"N")</f>
        <v>N</v>
      </c>
      <c r="R339" s="5" t="str">
        <f>IFERROR(__xludf.DUMMYFUNCTION("""COMPUTED_VALUE"""),"N")</f>
        <v>N</v>
      </c>
      <c r="S339" s="5"/>
      <c r="T339" s="5"/>
      <c r="U339" s="5" t="str">
        <f>IFERROR(__xludf.DUMMYFUNCTION("""COMPUTED_VALUE"""),"Y")</f>
        <v>Y</v>
      </c>
      <c r="V339" s="5">
        <f>IFERROR(__xludf.DUMMYFUNCTION("""COMPUTED_VALUE"""),1250.0)</f>
        <v>1250</v>
      </c>
      <c r="W339" s="5"/>
      <c r="X339" s="5"/>
      <c r="Y339" s="5"/>
      <c r="Z339" s="5"/>
    </row>
    <row r="340">
      <c r="A340" s="5" t="str">
        <f>IFERROR(__xludf.DUMMYFUNCTION("""COMPUTED_VALUE"""),"ปูไลน์-20*500g-ลัง")</f>
        <v>ปูไลน์-20*500g-ลัง</v>
      </c>
      <c r="B340" s="5">
        <f>IFERROR(__xludf.DUMMYFUNCTION("""COMPUTED_VALUE"""),11200.0)</f>
        <v>11200</v>
      </c>
      <c r="C340" s="5" t="str">
        <f>IFERROR(__xludf.DUMMYFUNCTION("""COMPUTED_VALUE"""),"ปูไลน์ 20*500g ลัง")</f>
        <v>ปูไลน์ 20*500g ลัง</v>
      </c>
      <c r="D340" s="5"/>
      <c r="E340" s="5" t="str">
        <f>IFERROR(__xludf.DUMMYFUNCTION("""COMPUTED_VALUE"""),"S")</f>
        <v>S</v>
      </c>
      <c r="F340" s="5" t="str">
        <f>IFERROR(__xludf.DUMMYFUNCTION("""COMPUTED_VALUE"""),"N")</f>
        <v>N</v>
      </c>
      <c r="G340" s="5"/>
      <c r="H340" s="5"/>
      <c r="I340" s="5"/>
      <c r="J340" s="5"/>
      <c r="K340" s="5"/>
      <c r="L340" s="5"/>
      <c r="M340" s="5"/>
      <c r="N340" s="5">
        <f>IFERROR(__xludf.DUMMYFUNCTION("""COMPUTED_VALUE"""),11200.0)</f>
        <v>11200</v>
      </c>
      <c r="O340" s="5">
        <f>IFERROR(__xludf.DUMMYFUNCTION("""COMPUTED_VALUE"""),10651.0)</f>
        <v>10651</v>
      </c>
      <c r="P340" s="5">
        <f>IFERROR(__xludf.DUMMYFUNCTION("""COMPUTED_VALUE"""),20.0)</f>
        <v>20</v>
      </c>
      <c r="Q340" s="5" t="str">
        <f>IFERROR(__xludf.DUMMYFUNCTION("""COMPUTED_VALUE"""),"N")</f>
        <v>N</v>
      </c>
      <c r="R340" s="5" t="str">
        <f>IFERROR(__xludf.DUMMYFUNCTION("""COMPUTED_VALUE"""),"N")</f>
        <v>N</v>
      </c>
      <c r="S340" s="5"/>
      <c r="T340" s="5"/>
      <c r="U340" s="5" t="str">
        <f>IFERROR(__xludf.DUMMYFUNCTION("""COMPUTED_VALUE"""),"Y")</f>
        <v>Y</v>
      </c>
      <c r="V340" s="5">
        <f>IFERROR(__xludf.DUMMYFUNCTION("""COMPUTED_VALUE"""),1180.0)</f>
        <v>1180</v>
      </c>
      <c r="W340" s="5"/>
      <c r="X340" s="5"/>
      <c r="Y340" s="5"/>
      <c r="Z340" s="5"/>
    </row>
    <row r="341">
      <c r="A341" s="5" t="str">
        <f>IFERROR(__xludf.DUMMYFUNCTION("""COMPUTED_VALUE"""),"ปูไลน์-500g")</f>
        <v>ปูไลน์-500g</v>
      </c>
      <c r="B341" s="5">
        <f>IFERROR(__xludf.DUMMYFUNCTION("""COMPUTED_VALUE"""),10651.0)</f>
        <v>10651</v>
      </c>
      <c r="C341" s="5" t="str">
        <f>IFERROR(__xludf.DUMMYFUNCTION("""COMPUTED_VALUE"""),"ปูไลน์ 500g")</f>
        <v>ปูไลน์ 500g</v>
      </c>
      <c r="D341" s="5" t="str">
        <f>IFERROR(__xludf.DUMMYFUNCTION("""COMPUTED_VALUE"""),"ทวีวงษ์-PFP")</f>
        <v>ทวีวงษ์-PFP</v>
      </c>
      <c r="E341" s="5" t="str">
        <f>IFERROR(__xludf.DUMMYFUNCTION("""COMPUTED_VALUE"""),"&lt;p&gt;X&lt;/p&gt;")</f>
        <v>&lt;p&gt;X&lt;/p&gt;</v>
      </c>
      <c r="F341" s="5" t="str">
        <f>IFERROR(__xludf.DUMMYFUNCTION("""COMPUTED_VALUE"""),"N")</f>
        <v>N</v>
      </c>
      <c r="G341" s="5"/>
      <c r="H341" s="5"/>
      <c r="I341" s="5"/>
      <c r="J341" s="5"/>
      <c r="K341" s="5"/>
      <c r="L341" s="5"/>
      <c r="M341" s="5">
        <f>IFERROR(__xludf.DUMMYFUNCTION("""COMPUTED_VALUE"""),55.0)</f>
        <v>55</v>
      </c>
      <c r="N341" s="5">
        <f>IFERROR(__xludf.DUMMYFUNCTION("""COMPUTED_VALUE"""),10651.0)</f>
        <v>10651</v>
      </c>
      <c r="O341" s="5"/>
      <c r="P341" s="5"/>
      <c r="Q341" s="5" t="str">
        <f>IFERROR(__xludf.DUMMYFUNCTION("""COMPUTED_VALUE"""),"Y")</f>
        <v>Y</v>
      </c>
      <c r="R341" s="5"/>
      <c r="S341" s="5" t="str">
        <f>IFERROR(__xludf.DUMMYFUNCTION("""COMPUTED_VALUE"""),"ทวีวงษ์")</f>
        <v>ทวีวงษ์</v>
      </c>
      <c r="T341" s="5">
        <f>IFERROR(__xludf.DUMMYFUNCTION("""COMPUTED_VALUE"""),55.0)</f>
        <v>55</v>
      </c>
      <c r="U341" s="5" t="str">
        <f>IFERROR(__xludf.DUMMYFUNCTION("""COMPUTED_VALUE"""),"Y")</f>
        <v>Y</v>
      </c>
      <c r="V341" s="5">
        <f>IFERROR(__xludf.DUMMYFUNCTION("""COMPUTED_VALUE"""),65.0)</f>
        <v>65</v>
      </c>
      <c r="W341" s="5">
        <f>IFERROR(__xludf.DUMMYFUNCTION("""COMPUTED_VALUE"""),0.0)</f>
        <v>0</v>
      </c>
      <c r="X341" s="5">
        <f>IFERROR(__xludf.DUMMYFUNCTION("""COMPUTED_VALUE"""),20.0)</f>
        <v>20</v>
      </c>
      <c r="Y341" s="5">
        <f>IFERROR(__xludf.DUMMYFUNCTION("""COMPUTED_VALUE"""),40.0)</f>
        <v>40</v>
      </c>
      <c r="Z341" s="5"/>
    </row>
    <row r="342">
      <c r="A342" s="5" t="str">
        <f>IFERROR(__xludf.DUMMYFUNCTION("""COMPUTED_VALUE"""),"พวงไก่อ่อน-สหฟาร์ม-1-kg-1")</f>
        <v>พวงไก่อ่อน-สหฟาร์ม-1-kg-1</v>
      </c>
      <c r="B342" s="5">
        <f>IFERROR(__xludf.DUMMYFUNCTION("""COMPUTED_VALUE"""),10189.0)</f>
        <v>10189</v>
      </c>
      <c r="C342" s="5" t="str">
        <f>IFERROR(__xludf.DUMMYFUNCTION("""COMPUTED_VALUE"""),"พวงไข่อ่อน 1 Kg")</f>
        <v>พวงไข่อ่อน 1 Kg</v>
      </c>
      <c r="D342" s="5" t="str">
        <f>IFERROR(__xludf.DUMMYFUNCTION("""COMPUTED_VALUE"""),"**ลัง มหาชัย")</f>
        <v>**ลัง มหาชัย</v>
      </c>
      <c r="E342" s="5" t="str">
        <f>IFERROR(__xludf.DUMMYFUNCTION("""COMPUTED_VALUE"""),"1")</f>
        <v>1</v>
      </c>
      <c r="F342" s="5" t="str">
        <f>IFERROR(__xludf.DUMMYFUNCTION("""COMPUTED_VALUE"""),"N")</f>
        <v>N</v>
      </c>
      <c r="G342" s="5"/>
      <c r="H342" s="5"/>
      <c r="I342" s="5"/>
      <c r="J342" s="5"/>
      <c r="K342" s="5"/>
      <c r="L342" s="5"/>
      <c r="M342" s="5">
        <f>IFERROR(__xludf.DUMMYFUNCTION("""COMPUTED_VALUE"""),129.07)</f>
        <v>129.07</v>
      </c>
      <c r="N342" s="5">
        <f>IFERROR(__xludf.DUMMYFUNCTION("""COMPUTED_VALUE"""),10189.0)</f>
        <v>10189</v>
      </c>
      <c r="O342" s="5"/>
      <c r="P342" s="5"/>
      <c r="Q342" s="5" t="str">
        <f>IFERROR(__xludf.DUMMYFUNCTION("""COMPUTED_VALUE"""),"Y")</f>
        <v>Y</v>
      </c>
      <c r="R342" s="5"/>
      <c r="S342" s="5" t="str">
        <f>IFERROR(__xludf.DUMMYFUNCTION("""COMPUTED_VALUE"""),"ขึ้นของมหาชัย")</f>
        <v>ขึ้นของมหาชัย</v>
      </c>
      <c r="T342" s="5">
        <f>IFERROR(__xludf.DUMMYFUNCTION("""COMPUTED_VALUE"""),114.0)</f>
        <v>114</v>
      </c>
      <c r="U342" s="5" t="str">
        <f>IFERROR(__xludf.DUMMYFUNCTION("""COMPUTED_VALUE"""),"Y")</f>
        <v>Y</v>
      </c>
      <c r="V342" s="5">
        <f>IFERROR(__xludf.DUMMYFUNCTION("""COMPUTED_VALUE"""),145.0)</f>
        <v>145</v>
      </c>
      <c r="W342" s="5">
        <f>IFERROR(__xludf.DUMMYFUNCTION("""COMPUTED_VALUE"""),10.0)</f>
        <v>10</v>
      </c>
      <c r="X342" s="5">
        <f>IFERROR(__xludf.DUMMYFUNCTION("""COMPUTED_VALUE"""),0.0)</f>
        <v>0</v>
      </c>
      <c r="Y342" s="5">
        <f>IFERROR(__xludf.DUMMYFUNCTION("""COMPUTED_VALUE"""),0.0)</f>
        <v>0</v>
      </c>
      <c r="Z342" s="5"/>
    </row>
    <row r="343">
      <c r="A343" s="5" t="str">
        <f>IFERROR(__xludf.DUMMYFUNCTION("""COMPUTED_VALUE"""),"พวงไข่อ่อน-15*1-kg")</f>
        <v>พวงไข่อ่อน-15*1-kg</v>
      </c>
      <c r="B343" s="5">
        <f>IFERROR(__xludf.DUMMYFUNCTION("""COMPUTED_VALUE"""),10438.0)</f>
        <v>10438</v>
      </c>
      <c r="C343" s="5" t="str">
        <f>IFERROR(__xludf.DUMMYFUNCTION("""COMPUTED_VALUE"""),"พวงไข่อ่อน 1*12กก(ลัง)")</f>
        <v>พวงไข่อ่อน 1*12กก(ลัง)</v>
      </c>
      <c r="D343" s="5"/>
      <c r="E343" s="5" t="str">
        <f>IFERROR(__xludf.DUMMYFUNCTION("""COMPUTED_VALUE"""),"&lt;p&gt;S&lt;/p&gt;")</f>
        <v>&lt;p&gt;S&lt;/p&gt;</v>
      </c>
      <c r="F343" s="5" t="str">
        <f>IFERROR(__xludf.DUMMYFUNCTION("""COMPUTED_VALUE"""),"N")</f>
        <v>N</v>
      </c>
      <c r="G343" s="5"/>
      <c r="H343" s="5"/>
      <c r="I343" s="5"/>
      <c r="J343" s="5"/>
      <c r="K343" s="5"/>
      <c r="L343" s="5"/>
      <c r="M343" s="5"/>
      <c r="N343" s="5"/>
      <c r="O343" s="5">
        <f>IFERROR(__xludf.DUMMYFUNCTION("""COMPUTED_VALUE"""),10189.0)</f>
        <v>10189</v>
      </c>
      <c r="P343" s="5">
        <f>IFERROR(__xludf.DUMMYFUNCTION("""COMPUTED_VALUE"""),12.0)</f>
        <v>12</v>
      </c>
      <c r="Q343" s="5" t="str">
        <f>IFERROR(__xludf.DUMMYFUNCTION("""COMPUTED_VALUE"""),"N")</f>
        <v>N</v>
      </c>
      <c r="R343" s="5" t="str">
        <f>IFERROR(__xludf.DUMMYFUNCTION("""COMPUTED_VALUE"""),"N")</f>
        <v>N</v>
      </c>
      <c r="S343" s="5"/>
      <c r="T343" s="5"/>
      <c r="U343" s="5" t="str">
        <f>IFERROR(__xludf.DUMMYFUNCTION("""COMPUTED_VALUE"""),"Y")</f>
        <v>Y</v>
      </c>
      <c r="V343" s="5">
        <f>IFERROR(__xludf.DUMMYFUNCTION("""COMPUTED_VALUE"""),1680.0)</f>
        <v>1680</v>
      </c>
      <c r="W343" s="5"/>
      <c r="X343" s="5"/>
      <c r="Y343" s="5"/>
      <c r="Z343" s="5"/>
    </row>
    <row r="344">
      <c r="A344" s="5" t="str">
        <f>IFERROR(__xludf.DUMMYFUNCTION("""COMPUTED_VALUE"""),"ฟองเต้าหู้-pfp-500-g")</f>
        <v>ฟองเต้าหู้-pfp-500-g</v>
      </c>
      <c r="B344" s="5">
        <f>IFERROR(__xludf.DUMMYFUNCTION("""COMPUTED_VALUE"""),11522.0)</f>
        <v>11522</v>
      </c>
      <c r="C344" s="5" t="str">
        <f>IFERROR(__xludf.DUMMYFUNCTION("""COMPUTED_VALUE"""),"ฟองเต้าหู้ซีฟู้ด pfp 500 g")</f>
        <v>ฟองเต้าหู้ซีฟู้ด pfp 500 g</v>
      </c>
      <c r="D344" s="5" t="str">
        <f>IFERROR(__xludf.DUMMYFUNCTION("""COMPUTED_VALUE"""),"ทวีวงษ์-PFP")</f>
        <v>ทวีวงษ์-PFP</v>
      </c>
      <c r="E344" s="5" t="str">
        <f>IFERROR(__xludf.DUMMYFUNCTION("""COMPUTED_VALUE"""),"B")</f>
        <v>B</v>
      </c>
      <c r="F344" s="5" t="str">
        <f>IFERROR(__xludf.DUMMYFUNCTION("""COMPUTED_VALUE"""),"N")</f>
        <v>N</v>
      </c>
      <c r="G344" s="5"/>
      <c r="H344" s="5"/>
      <c r="I344" s="5"/>
      <c r="J344" s="5"/>
      <c r="K344" s="5"/>
      <c r="L344" s="5"/>
      <c r="M344" s="5">
        <f>IFERROR(__xludf.DUMMYFUNCTION("""COMPUTED_VALUE"""),68.0)</f>
        <v>68</v>
      </c>
      <c r="N344" s="5">
        <f>IFERROR(__xludf.DUMMYFUNCTION("""COMPUTED_VALUE"""),8.852014029216E12)</f>
        <v>8852014029216</v>
      </c>
      <c r="O344" s="5"/>
      <c r="P344" s="5"/>
      <c r="Q344" s="5" t="str">
        <f>IFERROR(__xludf.DUMMYFUNCTION("""COMPUTED_VALUE"""),"Y")</f>
        <v>Y</v>
      </c>
      <c r="R344" s="5"/>
      <c r="S344" s="5" t="str">
        <f>IFERROR(__xludf.DUMMYFUNCTION("""COMPUTED_VALUE"""),"PFP")</f>
        <v>PFP</v>
      </c>
      <c r="T344" s="5">
        <f>IFERROR(__xludf.DUMMYFUNCTION("""COMPUTED_VALUE"""),68.0)</f>
        <v>68</v>
      </c>
      <c r="U344" s="5" t="str">
        <f>IFERROR(__xludf.DUMMYFUNCTION("""COMPUTED_VALUE"""),"Y")</f>
        <v>Y</v>
      </c>
      <c r="V344" s="5">
        <f>IFERROR(__xludf.DUMMYFUNCTION("""COMPUTED_VALUE"""),75.0)</f>
        <v>75</v>
      </c>
      <c r="W344" s="5">
        <f>IFERROR(__xludf.DUMMYFUNCTION("""COMPUTED_VALUE"""),225.0)</f>
        <v>225</v>
      </c>
      <c r="X344" s="5">
        <f>IFERROR(__xludf.DUMMYFUNCTION("""COMPUTED_VALUE"""),32.0)</f>
        <v>32</v>
      </c>
      <c r="Y344" s="5">
        <f>IFERROR(__xludf.DUMMYFUNCTION("""COMPUTED_VALUE"""),56.0)</f>
        <v>56</v>
      </c>
      <c r="Z344" s="5"/>
    </row>
    <row r="345">
      <c r="A345" s="5" t="str">
        <f>IFERROR(__xludf.DUMMYFUNCTION("""COMPUTED_VALUE"""),"ฟองเต้าหู้ซีฟู้ด-pfp-500-g-20แพ็ค-(ลัง)")</f>
        <v>ฟองเต้าหู้ซีฟู้ด-pfp-500-g-20แพ็ค-(ลัง)</v>
      </c>
      <c r="B345" s="5">
        <f>IFERROR(__xludf.DUMMYFUNCTION("""COMPUTED_VALUE"""),10329.0)</f>
        <v>10329</v>
      </c>
      <c r="C345" s="5" t="str">
        <f>IFERROR(__xludf.DUMMYFUNCTION("""COMPUTED_VALUE"""),"ฟองเต้าหู้ซีฟู้ด pfp 500 กรัม (ลัง)")</f>
        <v>ฟองเต้าหู้ซีฟู้ด pfp 500 กรัม (ลัง)</v>
      </c>
      <c r="D345" s="5"/>
      <c r="E345" s="5" t="str">
        <f>IFERROR(__xludf.DUMMYFUNCTION("""COMPUTED_VALUE"""),"S")</f>
        <v>S</v>
      </c>
      <c r="F345" s="5" t="str">
        <f>IFERROR(__xludf.DUMMYFUNCTION("""COMPUTED_VALUE"""),"N")</f>
        <v>N</v>
      </c>
      <c r="G345" s="5"/>
      <c r="H345" s="5"/>
      <c r="I345" s="5"/>
      <c r="J345" s="5"/>
      <c r="K345" s="5"/>
      <c r="L345" s="5"/>
      <c r="M345" s="5"/>
      <c r="N345" s="5">
        <f>IFERROR(__xludf.DUMMYFUNCTION("""COMPUTED_VALUE"""),10329.0)</f>
        <v>10329</v>
      </c>
      <c r="O345" s="5">
        <f>IFERROR(__xludf.DUMMYFUNCTION("""COMPUTED_VALUE"""),11522.0)</f>
        <v>11522</v>
      </c>
      <c r="P345" s="5">
        <f>IFERROR(__xludf.DUMMYFUNCTION("""COMPUTED_VALUE"""),20.0)</f>
        <v>20</v>
      </c>
      <c r="Q345" s="5" t="str">
        <f>IFERROR(__xludf.DUMMYFUNCTION("""COMPUTED_VALUE"""),"N")</f>
        <v>N</v>
      </c>
      <c r="R345" s="5" t="str">
        <f>IFERROR(__xludf.DUMMYFUNCTION("""COMPUTED_VALUE"""),"N")</f>
        <v>N</v>
      </c>
      <c r="S345" s="5"/>
      <c r="T345" s="5"/>
      <c r="U345" s="5" t="str">
        <f>IFERROR(__xludf.DUMMYFUNCTION("""COMPUTED_VALUE"""),"Y")</f>
        <v>Y</v>
      </c>
      <c r="V345" s="5">
        <f>IFERROR(__xludf.DUMMYFUNCTION("""COMPUTED_VALUE"""),1430.0)</f>
        <v>1430</v>
      </c>
      <c r="W345" s="5"/>
      <c r="X345" s="5"/>
      <c r="Y345" s="5"/>
      <c r="Z345" s="5"/>
    </row>
    <row r="346">
      <c r="A346" s="5" t="str">
        <f>IFERROR(__xludf.DUMMYFUNCTION("""COMPUTED_VALUE"""),"ฟองเต้าหู้ถาด-32แพ็ค-(ลัง)")</f>
        <v>ฟองเต้าหู้ถาด-32แพ็ค-(ลัง)</v>
      </c>
      <c r="B346" s="5">
        <f>IFERROR(__xludf.DUMMYFUNCTION("""COMPUTED_VALUE"""),10220.0)</f>
        <v>10220</v>
      </c>
      <c r="C346" s="5" t="str">
        <f>IFERROR(__xludf.DUMMYFUNCTION("""COMPUTED_VALUE"""),"ฟองเต้าหู้ถาด (แพ็ค)")</f>
        <v>ฟองเต้าหู้ถาด (แพ็ค)</v>
      </c>
      <c r="D346" s="5" t="str">
        <f>IFERROR(__xludf.DUMMYFUNCTION("""COMPUTED_VALUE"""),"**ของแห้ง")</f>
        <v>**ของแห้ง</v>
      </c>
      <c r="E346" s="5" t="str">
        <f>IFERROR(__xludf.DUMMYFUNCTION("""COMPUTED_VALUE"""),"&lt;p&gt;B&lt;/p&gt;")</f>
        <v>&lt;p&gt;B&lt;/p&gt;</v>
      </c>
      <c r="F346" s="5" t="str">
        <f>IFERROR(__xludf.DUMMYFUNCTION("""COMPUTED_VALUE"""),"N")</f>
        <v>N</v>
      </c>
      <c r="G346" s="5"/>
      <c r="H346" s="5"/>
      <c r="I346" s="5"/>
      <c r="J346" s="5"/>
      <c r="K346" s="5"/>
      <c r="L346" s="5"/>
      <c r="M346" s="5">
        <f>IFERROR(__xludf.DUMMYFUNCTION("""COMPUTED_VALUE"""),28.33)</f>
        <v>28.33</v>
      </c>
      <c r="N346" s="5">
        <f>IFERROR(__xludf.DUMMYFUNCTION("""COMPUTED_VALUE"""),10220.0)</f>
        <v>10220</v>
      </c>
      <c r="O346" s="5"/>
      <c r="P346" s="5"/>
      <c r="Q346" s="5" t="str">
        <f>IFERROR(__xludf.DUMMYFUNCTION("""COMPUTED_VALUE"""),"Y")</f>
        <v>Y</v>
      </c>
      <c r="R346" s="5"/>
      <c r="S346" s="5" t="str">
        <f>IFERROR(__xludf.DUMMYFUNCTION("""COMPUTED_VALUE"""),"ขนมแม่สาย (เส้นหนึบ)")</f>
        <v>ขนมแม่สาย (เส้นหนึบ)</v>
      </c>
      <c r="T346" s="5">
        <f>IFERROR(__xludf.DUMMYFUNCTION("""COMPUTED_VALUE"""),28.13)</f>
        <v>28.13</v>
      </c>
      <c r="U346" s="5" t="str">
        <f>IFERROR(__xludf.DUMMYFUNCTION("""COMPUTED_VALUE"""),"Y")</f>
        <v>Y</v>
      </c>
      <c r="V346" s="5">
        <f>IFERROR(__xludf.DUMMYFUNCTION("""COMPUTED_VALUE"""),48.0)</f>
        <v>48</v>
      </c>
      <c r="W346" s="5">
        <f>IFERROR(__xludf.DUMMYFUNCTION("""COMPUTED_VALUE"""),980.0)</f>
        <v>980</v>
      </c>
      <c r="X346" s="5">
        <f>IFERROR(__xludf.DUMMYFUNCTION("""COMPUTED_VALUE"""),2.0)</f>
        <v>2</v>
      </c>
      <c r="Y346" s="5">
        <f>IFERROR(__xludf.DUMMYFUNCTION("""COMPUTED_VALUE"""),4.0)</f>
        <v>4</v>
      </c>
      <c r="Z346" s="5"/>
    </row>
    <row r="347">
      <c r="A347" s="5" t="str">
        <f>IFERROR(__xludf.DUMMYFUNCTION("""COMPUTED_VALUE"""),"ฟองเต้าหู้ถาด")</f>
        <v>ฟองเต้าหู้ถาด</v>
      </c>
      <c r="B347" s="5">
        <f>IFERROR(__xludf.DUMMYFUNCTION("""COMPUTED_VALUE"""),10344.0)</f>
        <v>10344</v>
      </c>
      <c r="C347" s="5" t="str">
        <f>IFERROR(__xludf.DUMMYFUNCTION("""COMPUTED_VALUE"""),"ฟองเต้าหู้ถาด 32 แพ็ค (ลัง)")</f>
        <v>ฟองเต้าหู้ถาด 32 แพ็ค (ลัง)</v>
      </c>
      <c r="D347" s="5"/>
      <c r="E347" s="5"/>
      <c r="F347" s="5" t="str">
        <f>IFERROR(__xludf.DUMMYFUNCTION("""COMPUTED_VALUE"""),"N")</f>
        <v>N</v>
      </c>
      <c r="G347" s="5"/>
      <c r="H347" s="5"/>
      <c r="I347" s="5"/>
      <c r="J347" s="5"/>
      <c r="K347" s="5"/>
      <c r="L347" s="5"/>
      <c r="M347" s="5"/>
      <c r="N347" s="5">
        <f>IFERROR(__xludf.DUMMYFUNCTION("""COMPUTED_VALUE"""),10344.0)</f>
        <v>10344</v>
      </c>
      <c r="O347" s="5">
        <f>IFERROR(__xludf.DUMMYFUNCTION("""COMPUTED_VALUE"""),10220.0)</f>
        <v>10220</v>
      </c>
      <c r="P347" s="5">
        <f>IFERROR(__xludf.DUMMYFUNCTION("""COMPUTED_VALUE"""),32.0)</f>
        <v>32</v>
      </c>
      <c r="Q347" s="5" t="str">
        <f>IFERROR(__xludf.DUMMYFUNCTION("""COMPUTED_VALUE"""),"N")</f>
        <v>N</v>
      </c>
      <c r="R347" s="5" t="str">
        <f>IFERROR(__xludf.DUMMYFUNCTION("""COMPUTED_VALUE"""),"N")</f>
        <v>N</v>
      </c>
      <c r="S347" s="5"/>
      <c r="T347" s="5"/>
      <c r="U347" s="5" t="str">
        <f>IFERROR(__xludf.DUMMYFUNCTION("""COMPUTED_VALUE"""),"Y")</f>
        <v>Y</v>
      </c>
      <c r="V347" s="5">
        <f>IFERROR(__xludf.DUMMYFUNCTION("""COMPUTED_VALUE"""),1180.0)</f>
        <v>1180</v>
      </c>
      <c r="W347" s="5"/>
      <c r="X347" s="5"/>
      <c r="Y347" s="5"/>
      <c r="Z347" s="5"/>
    </row>
    <row r="348">
      <c r="A348" s="5" t="str">
        <f>IFERROR(__xludf.DUMMYFUNCTION("""COMPUTED_VALUE"""),"ฟองเต้าหู้ปูอัด-tvi-500-g-20แพ็ค-(ลัง)")</f>
        <v>ฟองเต้าหู้ปูอัด-tvi-500-g-20แพ็ค-(ลัง)</v>
      </c>
      <c r="B348" s="5">
        <f>IFERROR(__xludf.DUMMYFUNCTION("""COMPUTED_VALUE"""),10747.0)</f>
        <v>10747</v>
      </c>
      <c r="C348" s="5" t="str">
        <f>IFERROR(__xludf.DUMMYFUNCTION("""COMPUTED_VALUE"""),"ฟองเต้าหู้ปูอัด 500 g 10 แพ็ค (ลัง)")</f>
        <v>ฟองเต้าหู้ปูอัด 500 g 10 แพ็ค (ลัง)</v>
      </c>
      <c r="D348" s="5" t="str">
        <f>IFERROR(__xludf.DUMMYFUNCTION("""COMPUTED_VALUE"""),"ทวีวงษ์-PFP")</f>
        <v>ทวีวงษ์-PFP</v>
      </c>
      <c r="E348" s="5"/>
      <c r="F348" s="5" t="str">
        <f>IFERROR(__xludf.DUMMYFUNCTION("""COMPUTED_VALUE"""),"N")</f>
        <v>N</v>
      </c>
      <c r="G348" s="5"/>
      <c r="H348" s="5"/>
      <c r="I348" s="5"/>
      <c r="J348" s="5"/>
      <c r="K348" s="5"/>
      <c r="L348" s="5"/>
      <c r="M348" s="5">
        <f>IFERROR(__xludf.DUMMYFUNCTION("""COMPUTED_VALUE"""),625.0)</f>
        <v>625</v>
      </c>
      <c r="N348" s="5"/>
      <c r="O348" s="5"/>
      <c r="P348" s="5"/>
      <c r="Q348" s="5" t="str">
        <f>IFERROR(__xludf.DUMMYFUNCTION("""COMPUTED_VALUE"""),"Y")</f>
        <v>Y</v>
      </c>
      <c r="R348" s="5"/>
      <c r="S348" s="5" t="str">
        <f>IFERROR(__xludf.DUMMYFUNCTION("""COMPUTED_VALUE"""),"ทวีวงษ์")</f>
        <v>ทวีวงษ์</v>
      </c>
      <c r="T348" s="5">
        <f>IFERROR(__xludf.DUMMYFUNCTION("""COMPUTED_VALUE"""),625.0)</f>
        <v>625</v>
      </c>
      <c r="U348" s="5" t="str">
        <f>IFERROR(__xludf.DUMMYFUNCTION("""COMPUTED_VALUE"""),"Y")</f>
        <v>Y</v>
      </c>
      <c r="V348" s="5">
        <f>IFERROR(__xludf.DUMMYFUNCTION("""COMPUTED_VALUE"""),705.0)</f>
        <v>705</v>
      </c>
      <c r="W348" s="5">
        <f>IFERROR(__xludf.DUMMYFUNCTION("""COMPUTED_VALUE"""),0.0)</f>
        <v>0</v>
      </c>
      <c r="X348" s="5"/>
      <c r="Y348" s="5"/>
      <c r="Z348" s="5"/>
    </row>
    <row r="349">
      <c r="A349" s="5" t="str">
        <f>IFERROR(__xludf.DUMMYFUNCTION("""COMPUTED_VALUE"""),"ม้วนซีล--1-ม้วน")</f>
        <v>ม้วนซีล--1-ม้วน</v>
      </c>
      <c r="B349" s="5">
        <f>IFERROR(__xludf.DUMMYFUNCTION("""COMPUTED_VALUE"""),10652.0)</f>
        <v>10652</v>
      </c>
      <c r="C349" s="5" t="str">
        <f>IFERROR(__xludf.DUMMYFUNCTION("""COMPUTED_VALUE"""),"ม้วนซีล  1 ม้วน")</f>
        <v>ม้วนซีล  1 ม้วน</v>
      </c>
      <c r="D349" s="5"/>
      <c r="E349" s="5"/>
      <c r="F349" s="5" t="str">
        <f>IFERROR(__xludf.DUMMYFUNCTION("""COMPUTED_VALUE"""),"N")</f>
        <v>N</v>
      </c>
      <c r="G349" s="5"/>
      <c r="H349" s="5"/>
      <c r="I349" s="5"/>
      <c r="J349" s="5"/>
      <c r="K349" s="5"/>
      <c r="L349" s="5"/>
      <c r="M349" s="5">
        <f>IFERROR(__xludf.DUMMYFUNCTION("""COMPUTED_VALUE"""),161.2)</f>
        <v>161.2</v>
      </c>
      <c r="N349" s="5"/>
      <c r="O349" s="5"/>
      <c r="P349" s="5"/>
      <c r="Q349" s="5" t="str">
        <f>IFERROR(__xludf.DUMMYFUNCTION("""COMPUTED_VALUE"""),"Y")</f>
        <v>Y</v>
      </c>
      <c r="R349" s="5"/>
      <c r="S349" s="5"/>
      <c r="T349" s="5">
        <f>IFERROR(__xludf.DUMMYFUNCTION("""COMPUTED_VALUE"""),170.0)</f>
        <v>170</v>
      </c>
      <c r="U349" s="5" t="str">
        <f>IFERROR(__xludf.DUMMYFUNCTION("""COMPUTED_VALUE"""),"Y")</f>
        <v>Y</v>
      </c>
      <c r="V349" s="5">
        <f>IFERROR(__xludf.DUMMYFUNCTION("""COMPUTED_VALUE"""),250.0)</f>
        <v>250</v>
      </c>
      <c r="W349" s="5">
        <f>IFERROR(__xludf.DUMMYFUNCTION("""COMPUTED_VALUE"""),0.0)</f>
        <v>0</v>
      </c>
      <c r="X349" s="5"/>
      <c r="Y349" s="5"/>
      <c r="Z349" s="5"/>
    </row>
    <row r="350">
      <c r="A350" s="5" t="str">
        <f>IFERROR(__xludf.DUMMYFUNCTION("""COMPUTED_VALUE"""),"มันหั่นเต๋า-cp")</f>
        <v>มันหั่นเต๋า-cp</v>
      </c>
      <c r="B350" s="5">
        <f>IFERROR(__xludf.DUMMYFUNCTION("""COMPUTED_VALUE"""),11406.0)</f>
        <v>11406</v>
      </c>
      <c r="C350" s="5" t="str">
        <f>IFERROR(__xludf.DUMMYFUNCTION("""COMPUTED_VALUE"""),"มันหั่นเต๋า 1 กก(70)")</f>
        <v>มันหั่นเต๋า 1 กก(70)</v>
      </c>
      <c r="D350" s="5" t="str">
        <f>IFERROR(__xludf.DUMMYFUNCTION("""COMPUTED_VALUE"""),"**ของหิ้ว ร้อยเอ็ด")</f>
        <v>**ของหิ้ว ร้อยเอ็ด</v>
      </c>
      <c r="E350" s="5" t="str">
        <f>IFERROR(__xludf.DUMMYFUNCTION("""COMPUTED_VALUE"""),"&lt;p&gt;A&lt;/p&gt;")</f>
        <v>&lt;p&gt;A&lt;/p&gt;</v>
      </c>
      <c r="F350" s="5" t="str">
        <f>IFERROR(__xludf.DUMMYFUNCTION("""COMPUTED_VALUE"""),"N")</f>
        <v>N</v>
      </c>
      <c r="G350" s="5"/>
      <c r="H350" s="5"/>
      <c r="I350" s="5"/>
      <c r="J350" s="5"/>
      <c r="K350" s="5"/>
      <c r="L350" s="5"/>
      <c r="M350" s="5">
        <f>IFERROR(__xludf.DUMMYFUNCTION("""COMPUTED_VALUE"""),55.83)</f>
        <v>55.83</v>
      </c>
      <c r="N350" s="5">
        <f>IFERROR(__xludf.DUMMYFUNCTION("""COMPUTED_VALUE"""),11406.0)</f>
        <v>11406</v>
      </c>
      <c r="O350" s="5"/>
      <c r="P350" s="5"/>
      <c r="Q350" s="5" t="str">
        <f>IFERROR(__xludf.DUMMYFUNCTION("""COMPUTED_VALUE"""),"Y")</f>
        <v>Y</v>
      </c>
      <c r="R350" s="5"/>
      <c r="S350" s="5" t="str">
        <f>IFERROR(__xludf.DUMMYFUNCTION("""COMPUTED_VALUE"""),"เบทาโกร")</f>
        <v>เบทาโกร</v>
      </c>
      <c r="T350" s="5">
        <f>IFERROR(__xludf.DUMMYFUNCTION("""COMPUTED_VALUE"""),58.0)</f>
        <v>58</v>
      </c>
      <c r="U350" s="5" t="str">
        <f>IFERROR(__xludf.DUMMYFUNCTION("""COMPUTED_VALUE"""),"Y")</f>
        <v>Y</v>
      </c>
      <c r="V350" s="5">
        <f>IFERROR(__xludf.DUMMYFUNCTION("""COMPUTED_VALUE"""),70.0)</f>
        <v>70</v>
      </c>
      <c r="W350" s="5">
        <f>IFERROR(__xludf.DUMMYFUNCTION("""COMPUTED_VALUE"""),210.0)</f>
        <v>210</v>
      </c>
      <c r="X350" s="5">
        <f>IFERROR(__xludf.DUMMYFUNCTION("""COMPUTED_VALUE"""),35.0)</f>
        <v>35</v>
      </c>
      <c r="Y350" s="5">
        <f>IFERROR(__xludf.DUMMYFUNCTION("""COMPUTED_VALUE"""),59.0)</f>
        <v>59</v>
      </c>
      <c r="Z350" s="5"/>
    </row>
    <row r="351">
      <c r="A351" s="5" t="str">
        <f>IFERROR(__xludf.DUMMYFUNCTION("""COMPUTED_VALUE"""),"มันหั่นเต๋า-ถุง-2-กก.")</f>
        <v>มันหั่นเต๋า-ถุง-2-กก.</v>
      </c>
      <c r="B351" s="5">
        <f>IFERROR(__xludf.DUMMYFUNCTION("""COMPUTED_VALUE"""),10641.0)</f>
        <v>10641</v>
      </c>
      <c r="C351" s="5" t="str">
        <f>IFERROR(__xludf.DUMMYFUNCTION("""COMPUTED_VALUE"""),"มันหั่นเต๋า ถุง 2 กก.")</f>
        <v>มันหั่นเต๋า ถุง 2 กก.</v>
      </c>
      <c r="D351" s="5" t="str">
        <f>IFERROR(__xludf.DUMMYFUNCTION("""COMPUTED_VALUE"""),"**ของสด-ทำใหม่")</f>
        <v>**ของสด-ทำใหม่</v>
      </c>
      <c r="E351" s="5"/>
      <c r="F351" s="5" t="str">
        <f>IFERROR(__xludf.DUMMYFUNCTION("""COMPUTED_VALUE"""),"N")</f>
        <v>N</v>
      </c>
      <c r="G351" s="5"/>
      <c r="H351" s="5"/>
      <c r="I351" s="5"/>
      <c r="J351" s="5"/>
      <c r="K351" s="5"/>
      <c r="L351" s="5"/>
      <c r="M351" s="5">
        <f>IFERROR(__xludf.DUMMYFUNCTION("""COMPUTED_VALUE"""),120.0)</f>
        <v>120</v>
      </c>
      <c r="N351" s="5"/>
      <c r="O351" s="5"/>
      <c r="P351" s="5"/>
      <c r="Q351" s="5" t="str">
        <f>IFERROR(__xludf.DUMMYFUNCTION("""COMPUTED_VALUE"""),"Y")</f>
        <v>Y</v>
      </c>
      <c r="R351" s="5"/>
      <c r="S351" s="5"/>
      <c r="T351" s="5">
        <f>IFERROR(__xludf.DUMMYFUNCTION("""COMPUTED_VALUE"""),120.0)</f>
        <v>120</v>
      </c>
      <c r="U351" s="5" t="str">
        <f>IFERROR(__xludf.DUMMYFUNCTION("""COMPUTED_VALUE"""),"N")</f>
        <v>N</v>
      </c>
      <c r="V351" s="5">
        <f>IFERROR(__xludf.DUMMYFUNCTION("""COMPUTED_VALUE"""),140.0)</f>
        <v>140</v>
      </c>
      <c r="W351" s="5">
        <f>IFERROR(__xludf.DUMMYFUNCTION("""COMPUTED_VALUE"""),0.0)</f>
        <v>0</v>
      </c>
      <c r="X351" s="5"/>
      <c r="Y351" s="5"/>
      <c r="Z351" s="5"/>
    </row>
    <row r="352">
      <c r="A352" s="5" t="str">
        <f>IFERROR(__xludf.DUMMYFUNCTION("""COMPUTED_VALUE"""),"มาจิกคลิน-น้ำยาถูพื้น")</f>
        <v>มาจิกคลิน-น้ำยาถูพื้น</v>
      </c>
      <c r="B352" s="5">
        <f>IFERROR(__xludf.DUMMYFUNCTION("""COMPUTED_VALUE"""),10857.0)</f>
        <v>10857</v>
      </c>
      <c r="C352" s="5" t="str">
        <f>IFERROR(__xludf.DUMMYFUNCTION("""COMPUTED_VALUE"""),"มาจิกคลิน น้ำยาถูพื้น")</f>
        <v>มาจิกคลิน น้ำยาถูพื้น</v>
      </c>
      <c r="D352" s="5"/>
      <c r="E352" s="5"/>
      <c r="F352" s="5" t="str">
        <f>IFERROR(__xludf.DUMMYFUNCTION("""COMPUTED_VALUE"""),"N")</f>
        <v>N</v>
      </c>
      <c r="G352" s="5"/>
      <c r="H352" s="5"/>
      <c r="I352" s="5"/>
      <c r="J352" s="5"/>
      <c r="K352" s="5"/>
      <c r="L352" s="5"/>
      <c r="M352" s="5">
        <f>IFERROR(__xludf.DUMMYFUNCTION("""COMPUTED_VALUE"""),169.0)</f>
        <v>169</v>
      </c>
      <c r="N352" s="5"/>
      <c r="O352" s="5"/>
      <c r="P352" s="5"/>
      <c r="Q352" s="5" t="str">
        <f>IFERROR(__xludf.DUMMYFUNCTION("""COMPUTED_VALUE"""),"N")</f>
        <v>N</v>
      </c>
      <c r="R352" s="5"/>
      <c r="S352" s="5"/>
      <c r="T352" s="5"/>
      <c r="U352" s="5" t="str">
        <f>IFERROR(__xludf.DUMMYFUNCTION("""COMPUTED_VALUE"""),"Y")</f>
        <v>Y</v>
      </c>
      <c r="V352" s="5">
        <f>IFERROR(__xludf.DUMMYFUNCTION("""COMPUTED_VALUE"""),169.0)</f>
        <v>169</v>
      </c>
      <c r="W352" s="5"/>
      <c r="X352" s="5"/>
      <c r="Y352" s="5"/>
      <c r="Z352" s="5"/>
    </row>
    <row r="353">
      <c r="A353" s="5" t="str">
        <f>IFERROR(__xludf.DUMMYFUNCTION("""COMPUTED_VALUE"""),"ม้ามหมู-ชั่งน้ำหนัก")</f>
        <v>ม้ามหมู-ชั่งน้ำหนัก</v>
      </c>
      <c r="B353" s="5">
        <f>IFERROR(__xludf.DUMMYFUNCTION("""COMPUTED_VALUE"""),10556.0)</f>
        <v>10556</v>
      </c>
      <c r="C353" s="5" t="str">
        <f>IFERROR(__xludf.DUMMYFUNCTION("""COMPUTED_VALUE"""),"ม้ามหมู ชั่งน้ำหนัก")</f>
        <v>ม้ามหมู ชั่งน้ำหนัก</v>
      </c>
      <c r="D353" s="5"/>
      <c r="E353" s="5" t="str">
        <f>IFERROR(__xludf.DUMMYFUNCTION("""COMPUTED_VALUE"""),"X")</f>
        <v>X</v>
      </c>
      <c r="F353" s="5" t="str">
        <f>IFERROR(__xludf.DUMMYFUNCTION("""COMPUTED_VALUE"""),"Y")</f>
        <v>Y</v>
      </c>
      <c r="G353" s="5"/>
      <c r="H353" s="5"/>
      <c r="I353" s="5"/>
      <c r="J353" s="5"/>
      <c r="K353" s="5"/>
      <c r="L353" s="5"/>
      <c r="M353" s="5">
        <f>IFERROR(__xludf.DUMMYFUNCTION("""COMPUTED_VALUE"""),60.0)</f>
        <v>60</v>
      </c>
      <c r="N353" s="5">
        <f>IFERROR(__xludf.DUMMYFUNCTION("""COMPUTED_VALUE"""),10556.0)</f>
        <v>10556</v>
      </c>
      <c r="O353" s="5"/>
      <c r="P353" s="5"/>
      <c r="Q353" s="5" t="str">
        <f>IFERROR(__xludf.DUMMYFUNCTION("""COMPUTED_VALUE"""),"N")</f>
        <v>N</v>
      </c>
      <c r="R353" s="5"/>
      <c r="S353" s="5"/>
      <c r="T353" s="5"/>
      <c r="U353" s="5" t="str">
        <f>IFERROR(__xludf.DUMMYFUNCTION("""COMPUTED_VALUE"""),"Y")</f>
        <v>Y</v>
      </c>
      <c r="V353" s="5">
        <f>IFERROR(__xludf.DUMMYFUNCTION("""COMPUTED_VALUE"""),75.0)</f>
        <v>75</v>
      </c>
      <c r="W353" s="5"/>
      <c r="X353" s="5"/>
      <c r="Y353" s="5"/>
      <c r="Z353" s="5"/>
    </row>
    <row r="354">
      <c r="A354" s="5" t="str">
        <f>IFERROR(__xludf.DUMMYFUNCTION("""COMPUTED_VALUE"""),"มินิชาบู-ทวีวงษ์-200g")</f>
        <v>มินิชาบู-ทวีวงษ์-200g</v>
      </c>
      <c r="B354" s="5">
        <f>IFERROR(__xludf.DUMMYFUNCTION("""COMPUTED_VALUE"""),10560.0)</f>
        <v>10560</v>
      </c>
      <c r="C354" s="5" t="str">
        <f>IFERROR(__xludf.DUMMYFUNCTION("""COMPUTED_VALUE"""),"มินิชาบู ทวีวงษ์ 200g")</f>
        <v>มินิชาบู ทวีวงษ์ 200g</v>
      </c>
      <c r="D354" s="5"/>
      <c r="E354" s="5"/>
      <c r="F354" s="5" t="str">
        <f>IFERROR(__xludf.DUMMYFUNCTION("""COMPUTED_VALUE"""),"N")</f>
        <v>N</v>
      </c>
      <c r="G354" s="5"/>
      <c r="H354" s="5"/>
      <c r="I354" s="5"/>
      <c r="J354" s="5"/>
      <c r="K354" s="5"/>
      <c r="L354" s="5"/>
      <c r="M354" s="5"/>
      <c r="N354" s="5"/>
      <c r="O354" s="5">
        <f>IFERROR(__xludf.DUMMYFUNCTION("""COMPUTED_VALUE"""),10439.0)</f>
        <v>10439</v>
      </c>
      <c r="P354" s="5">
        <f>IFERROR(__xludf.DUMMYFUNCTION("""COMPUTED_VALUE"""),0.04)</f>
        <v>0.04</v>
      </c>
      <c r="Q354" s="5" t="str">
        <f>IFERROR(__xludf.DUMMYFUNCTION("""COMPUTED_VALUE"""),"N")</f>
        <v>N</v>
      </c>
      <c r="R354" s="5" t="str">
        <f>IFERROR(__xludf.DUMMYFUNCTION("""COMPUTED_VALUE"""),"N")</f>
        <v>N</v>
      </c>
      <c r="S354" s="5"/>
      <c r="T354" s="5"/>
      <c r="U354" s="5" t="str">
        <f>IFERROR(__xludf.DUMMYFUNCTION("""COMPUTED_VALUE"""),"Y")</f>
        <v>Y</v>
      </c>
      <c r="V354" s="5">
        <f>IFERROR(__xludf.DUMMYFUNCTION("""COMPUTED_VALUE"""),45.0)</f>
        <v>45</v>
      </c>
      <c r="W354" s="5"/>
      <c r="X354" s="5"/>
      <c r="Y354" s="5"/>
      <c r="Z354" s="5"/>
    </row>
    <row r="355">
      <c r="A355" s="5" t="str">
        <f>IFERROR(__xludf.DUMMYFUNCTION("""COMPUTED_VALUE"""),"มินิชาบู-ทวีวงษ์-25*200g-ลัง")</f>
        <v>มินิชาบู-ทวีวงษ์-25*200g-ลัง</v>
      </c>
      <c r="B355" s="5">
        <f>IFERROR(__xludf.DUMMYFUNCTION("""COMPUTED_VALUE"""),10439.0)</f>
        <v>10439</v>
      </c>
      <c r="C355" s="5" t="str">
        <f>IFERROR(__xludf.DUMMYFUNCTION("""COMPUTED_VALUE"""),"มินิชาบู ทวีวงษ์ 25*200g ลัง")</f>
        <v>มินิชาบู ทวีวงษ์ 25*200g ลัง</v>
      </c>
      <c r="D355" s="5" t="str">
        <f>IFERROR(__xludf.DUMMYFUNCTION("""COMPUTED_VALUE"""),"ทวีวงษ์-PFP")</f>
        <v>ทวีวงษ์-PFP</v>
      </c>
      <c r="E355" s="5"/>
      <c r="F355" s="5" t="str">
        <f>IFERROR(__xludf.DUMMYFUNCTION("""COMPUTED_VALUE"""),"N")</f>
        <v>N</v>
      </c>
      <c r="G355" s="5"/>
      <c r="H355" s="5"/>
      <c r="I355" s="5"/>
      <c r="J355" s="5"/>
      <c r="K355" s="5"/>
      <c r="L355" s="5"/>
      <c r="M355" s="5">
        <f>IFERROR(__xludf.DUMMYFUNCTION("""COMPUTED_VALUE"""),725.0)</f>
        <v>725</v>
      </c>
      <c r="N355" s="5"/>
      <c r="O355" s="5"/>
      <c r="P355" s="5"/>
      <c r="Q355" s="5" t="str">
        <f>IFERROR(__xludf.DUMMYFUNCTION("""COMPUTED_VALUE"""),"Y")</f>
        <v>Y</v>
      </c>
      <c r="R355" s="5"/>
      <c r="S355" s="5" t="str">
        <f>IFERROR(__xludf.DUMMYFUNCTION("""COMPUTED_VALUE"""),"ทวีวงษ์")</f>
        <v>ทวีวงษ์</v>
      </c>
      <c r="T355" s="5">
        <f>IFERROR(__xludf.DUMMYFUNCTION("""COMPUTED_VALUE"""),725.0)</f>
        <v>725</v>
      </c>
      <c r="U355" s="5" t="str">
        <f>IFERROR(__xludf.DUMMYFUNCTION("""COMPUTED_VALUE"""),"Y")</f>
        <v>Y</v>
      </c>
      <c r="V355" s="5">
        <f>IFERROR(__xludf.DUMMYFUNCTION("""COMPUTED_VALUE"""),800.0)</f>
        <v>800</v>
      </c>
      <c r="W355" s="5">
        <f>IFERROR(__xludf.DUMMYFUNCTION("""COMPUTED_VALUE"""),0.0)</f>
        <v>0</v>
      </c>
      <c r="X355" s="5">
        <f>IFERROR(__xludf.DUMMYFUNCTION("""COMPUTED_VALUE"""),0.0)</f>
        <v>0</v>
      </c>
      <c r="Y355" s="5"/>
      <c r="Z355" s="5"/>
    </row>
    <row r="356">
      <c r="A356" s="5" t="str">
        <f>IFERROR(__xludf.DUMMYFUNCTION("""COMPUTED_VALUE"""),"มินิชีสบอล-1แพ็ค-1")</f>
        <v>มินิชีสบอล-1แพ็ค-1</v>
      </c>
      <c r="B356" s="5">
        <f>IFERROR(__xludf.DUMMYFUNCTION("""COMPUTED_VALUE"""),10097.0)</f>
        <v>10097</v>
      </c>
      <c r="C356" s="5" t="str">
        <f>IFERROR(__xludf.DUMMYFUNCTION("""COMPUTED_VALUE"""),"มินิชีสบอล 40ลูก แพ็ค")</f>
        <v>มินิชีสบอล 40ลูก แพ็ค</v>
      </c>
      <c r="D356" s="5" t="str">
        <f>IFERROR(__xludf.DUMMYFUNCTION("""COMPUTED_VALUE"""),"**ลัง มหาชัย")</f>
        <v>**ลัง มหาชัย</v>
      </c>
      <c r="E356" s="5" t="str">
        <f>IFERROR(__xludf.DUMMYFUNCTION("""COMPUTED_VALUE"""),"&lt;p&gt;1&lt;/p&gt;")</f>
        <v>&lt;p&gt;1&lt;/p&gt;</v>
      </c>
      <c r="F356" s="5" t="str">
        <f>IFERROR(__xludf.DUMMYFUNCTION("""COMPUTED_VALUE"""),"N")</f>
        <v>N</v>
      </c>
      <c r="G356" s="5"/>
      <c r="H356" s="5"/>
      <c r="I356" s="5"/>
      <c r="J356" s="5"/>
      <c r="K356" s="5"/>
      <c r="L356" s="5"/>
      <c r="M356" s="5">
        <f>IFERROR(__xludf.DUMMYFUNCTION("""COMPUTED_VALUE"""),68.53)</f>
        <v>68.53</v>
      </c>
      <c r="N356" s="5">
        <f>IFERROR(__xludf.DUMMYFUNCTION("""COMPUTED_VALUE"""),10097.0)</f>
        <v>10097</v>
      </c>
      <c r="O356" s="5"/>
      <c r="P356" s="5"/>
      <c r="Q356" s="5" t="str">
        <f>IFERROR(__xludf.DUMMYFUNCTION("""COMPUTED_VALUE"""),"Y")</f>
        <v>Y</v>
      </c>
      <c r="R356" s="5"/>
      <c r="S356" s="5" t="str">
        <f>IFERROR(__xludf.DUMMYFUNCTION("""COMPUTED_VALUE"""),"ขึ้นของมหาชัย")</f>
        <v>ขึ้นของมหาชัย</v>
      </c>
      <c r="T356" s="5">
        <f>IFERROR(__xludf.DUMMYFUNCTION("""COMPUTED_VALUE"""),67.0)</f>
        <v>67</v>
      </c>
      <c r="U356" s="5" t="str">
        <f>IFERROR(__xludf.DUMMYFUNCTION("""COMPUTED_VALUE"""),"Y")</f>
        <v>Y</v>
      </c>
      <c r="V356" s="5">
        <f>IFERROR(__xludf.DUMMYFUNCTION("""COMPUTED_VALUE"""),80.0)</f>
        <v>80</v>
      </c>
      <c r="W356" s="5">
        <f>IFERROR(__xludf.DUMMYFUNCTION("""COMPUTED_VALUE"""),141.0)</f>
        <v>141</v>
      </c>
      <c r="X356" s="5">
        <f>IFERROR(__xludf.DUMMYFUNCTION("""COMPUTED_VALUE"""),20.0)</f>
        <v>20</v>
      </c>
      <c r="Y356" s="5">
        <f>IFERROR(__xludf.DUMMYFUNCTION("""COMPUTED_VALUE"""),70.0)</f>
        <v>70</v>
      </c>
      <c r="Z356" s="5"/>
    </row>
    <row r="357">
      <c r="A357" s="5" t="str">
        <f>IFERROR(__xludf.DUMMYFUNCTION("""COMPUTED_VALUE"""),"มินิชีสบอลถาด-40-ลูก-ลัง-10แพ็ค-1")</f>
        <v>มินิชีสบอลถาด-40-ลูก-ลัง-10แพ็ค-1</v>
      </c>
      <c r="B357" s="5">
        <f>IFERROR(__xludf.DUMMYFUNCTION("""COMPUTED_VALUE"""),10098.0)</f>
        <v>10098</v>
      </c>
      <c r="C357" s="5" t="str">
        <f>IFERROR(__xludf.DUMMYFUNCTION("""COMPUTED_VALUE"""),"มินิชีสบอล40ลูก 10แพ็ค /ลัง-76")</f>
        <v>มินิชีสบอล40ลูก 10แพ็ค /ลัง-76</v>
      </c>
      <c r="D357" s="5"/>
      <c r="E357" s="5" t="str">
        <f>IFERROR(__xludf.DUMMYFUNCTION("""COMPUTED_VALUE"""),"&lt;p&gt;S&lt;/p&gt;")</f>
        <v>&lt;p&gt;S&lt;/p&gt;</v>
      </c>
      <c r="F357" s="5" t="str">
        <f>IFERROR(__xludf.DUMMYFUNCTION("""COMPUTED_VALUE"""),"N")</f>
        <v>N</v>
      </c>
      <c r="G357" s="5"/>
      <c r="H357" s="5"/>
      <c r="I357" s="5"/>
      <c r="J357" s="5"/>
      <c r="K357" s="5"/>
      <c r="L357" s="5"/>
      <c r="M357" s="5"/>
      <c r="N357" s="5">
        <f>IFERROR(__xludf.DUMMYFUNCTION("""COMPUTED_VALUE"""),10098.0)</f>
        <v>10098</v>
      </c>
      <c r="O357" s="5">
        <f>IFERROR(__xludf.DUMMYFUNCTION("""COMPUTED_VALUE"""),10097.0)</f>
        <v>10097</v>
      </c>
      <c r="P357" s="5">
        <f>IFERROR(__xludf.DUMMYFUNCTION("""COMPUTED_VALUE"""),10.0)</f>
        <v>10</v>
      </c>
      <c r="Q357" s="5" t="str">
        <f>IFERROR(__xludf.DUMMYFUNCTION("""COMPUTED_VALUE"""),"N")</f>
        <v>N</v>
      </c>
      <c r="R357" s="5" t="str">
        <f>IFERROR(__xludf.DUMMYFUNCTION("""COMPUTED_VALUE"""),"N")</f>
        <v>N</v>
      </c>
      <c r="S357" s="5"/>
      <c r="T357" s="5"/>
      <c r="U357" s="5" t="str">
        <f>IFERROR(__xludf.DUMMYFUNCTION("""COMPUTED_VALUE"""),"Y")</f>
        <v>Y</v>
      </c>
      <c r="V357" s="5">
        <f>IFERROR(__xludf.DUMMYFUNCTION("""COMPUTED_VALUE"""),760.0)</f>
        <v>760</v>
      </c>
      <c r="W357" s="5"/>
      <c r="X357" s="5"/>
      <c r="Y357" s="5"/>
      <c r="Z357" s="5"/>
    </row>
    <row r="358">
      <c r="A358" s="5" t="str">
        <f>IFERROR(__xludf.DUMMYFUNCTION("""COMPUTED_VALUE"""),"ยออุบล-ก้าวหน้า--10กก-(หิ้ว)")</f>
        <v>ยออุบล-ก้าวหน้า--10กก-(หิ้ว)</v>
      </c>
      <c r="B358" s="5">
        <f>IFERROR(__xludf.DUMMYFUNCTION("""COMPUTED_VALUE"""),11073.0)</f>
        <v>11073</v>
      </c>
      <c r="C358" s="5" t="str">
        <f>IFERROR(__xludf.DUMMYFUNCTION("""COMPUTED_VALUE"""),"ยออุบล-ก้าวหน้า  20 แท่ง (หิ้ว)")</f>
        <v>ยออุบล-ก้าวหน้า  20 แท่ง (หิ้ว)</v>
      </c>
      <c r="D358" s="5"/>
      <c r="E358" s="5" t="str">
        <f>IFERROR(__xludf.DUMMYFUNCTION("""COMPUTED_VALUE"""),"&lt;p&gt;X&lt;/p&gt;")</f>
        <v>&lt;p&gt;X&lt;/p&gt;</v>
      </c>
      <c r="F358" s="5" t="str">
        <f>IFERROR(__xludf.DUMMYFUNCTION("""COMPUTED_VALUE"""),"N")</f>
        <v>N</v>
      </c>
      <c r="G358" s="5"/>
      <c r="H358" s="5"/>
      <c r="I358" s="5"/>
      <c r="J358" s="5"/>
      <c r="K358" s="5"/>
      <c r="L358" s="5"/>
      <c r="M358" s="5"/>
      <c r="N358" s="5">
        <f>IFERROR(__xludf.DUMMYFUNCTION("""COMPUTED_VALUE"""),11073.0)</f>
        <v>11073</v>
      </c>
      <c r="O358" s="5">
        <f>IFERROR(__xludf.DUMMYFUNCTION("""COMPUTED_VALUE"""),10023.0)</f>
        <v>10023</v>
      </c>
      <c r="P358" s="5">
        <f>IFERROR(__xludf.DUMMYFUNCTION("""COMPUTED_VALUE"""),20.0)</f>
        <v>20</v>
      </c>
      <c r="Q358" s="5" t="str">
        <f>IFERROR(__xludf.DUMMYFUNCTION("""COMPUTED_VALUE"""),"N")</f>
        <v>N</v>
      </c>
      <c r="R358" s="5" t="str">
        <f>IFERROR(__xludf.DUMMYFUNCTION("""COMPUTED_VALUE"""),"N")</f>
        <v>N</v>
      </c>
      <c r="S358" s="5"/>
      <c r="T358" s="5"/>
      <c r="U358" s="5" t="str">
        <f>IFERROR(__xludf.DUMMYFUNCTION("""COMPUTED_VALUE"""),"Y")</f>
        <v>Y</v>
      </c>
      <c r="V358" s="5">
        <f>IFERROR(__xludf.DUMMYFUNCTION("""COMPUTED_VALUE"""),730.0)</f>
        <v>730</v>
      </c>
      <c r="W358" s="5"/>
      <c r="X358" s="5"/>
      <c r="Y358" s="5"/>
      <c r="Z358" s="5"/>
    </row>
    <row r="359">
      <c r="A359" s="5" t="str">
        <f>IFERROR(__xludf.DUMMYFUNCTION("""COMPUTED_VALUE"""),"10383")</f>
        <v>10383</v>
      </c>
      <c r="B359" s="5">
        <f>IFERROR(__xludf.DUMMYFUNCTION("""COMPUTED_VALUE"""),10383.0)</f>
        <v>10383</v>
      </c>
      <c r="C359" s="5" t="str">
        <f>IFERROR(__xludf.DUMMYFUNCTION("""COMPUTED_VALUE"""),"ยำสาหร่าย  (ลัง)")</f>
        <v>ยำสาหร่าย  (ลัง)</v>
      </c>
      <c r="D359" s="5"/>
      <c r="E359" s="5" t="str">
        <f>IFERROR(__xludf.DUMMYFUNCTION("""COMPUTED_VALUE"""),"&lt;p&gt;S&lt;/p&gt;")</f>
        <v>&lt;p&gt;S&lt;/p&gt;</v>
      </c>
      <c r="F359" s="5" t="str">
        <f>IFERROR(__xludf.DUMMYFUNCTION("""COMPUTED_VALUE"""),"N")</f>
        <v>N</v>
      </c>
      <c r="G359" s="5"/>
      <c r="H359" s="5"/>
      <c r="I359" s="5"/>
      <c r="J359" s="5"/>
      <c r="K359" s="5"/>
      <c r="L359" s="5"/>
      <c r="M359" s="5"/>
      <c r="N359" s="5">
        <f>IFERROR(__xludf.DUMMYFUNCTION("""COMPUTED_VALUE"""),10383.0)</f>
        <v>10383</v>
      </c>
      <c r="O359" s="5">
        <f>IFERROR(__xludf.DUMMYFUNCTION("""COMPUTED_VALUE"""),11006.0)</f>
        <v>11006</v>
      </c>
      <c r="P359" s="5">
        <f>IFERROR(__xludf.DUMMYFUNCTION("""COMPUTED_VALUE"""),10.0)</f>
        <v>10</v>
      </c>
      <c r="Q359" s="5" t="str">
        <f>IFERROR(__xludf.DUMMYFUNCTION("""COMPUTED_VALUE"""),"N")</f>
        <v>N</v>
      </c>
      <c r="R359" s="5" t="str">
        <f>IFERROR(__xludf.DUMMYFUNCTION("""COMPUTED_VALUE"""),"N")</f>
        <v>N</v>
      </c>
      <c r="S359" s="5"/>
      <c r="T359" s="5"/>
      <c r="U359" s="5" t="str">
        <f>IFERROR(__xludf.DUMMYFUNCTION("""COMPUTED_VALUE"""),"Y")</f>
        <v>Y</v>
      </c>
      <c r="V359" s="5">
        <f>IFERROR(__xludf.DUMMYFUNCTION("""COMPUTED_VALUE"""),950.0)</f>
        <v>950</v>
      </c>
      <c r="W359" s="5"/>
      <c r="X359" s="5"/>
      <c r="Y359" s="5"/>
      <c r="Z359" s="5"/>
    </row>
    <row r="360">
      <c r="A360" s="5" t="str">
        <f>IFERROR(__xludf.DUMMYFUNCTION("""COMPUTED_VALUE"""),"ยำสาหร่าย1kg")</f>
        <v>ยำสาหร่าย1kg</v>
      </c>
      <c r="B360" s="5">
        <f>IFERROR(__xludf.DUMMYFUNCTION("""COMPUTED_VALUE"""),11006.0)</f>
        <v>11006</v>
      </c>
      <c r="C360" s="5" t="str">
        <f>IFERROR(__xludf.DUMMYFUNCTION("""COMPUTED_VALUE"""),"ยำสาหร่าย  แพ็ค 1kg")</f>
        <v>ยำสาหร่าย  แพ็ค 1kg</v>
      </c>
      <c r="D360" s="5" t="str">
        <f>IFERROR(__xludf.DUMMYFUNCTION("""COMPUTED_VALUE"""),"**ลัง มหาชัย")</f>
        <v>**ลัง มหาชัย</v>
      </c>
      <c r="E360" s="5" t="str">
        <f>IFERROR(__xludf.DUMMYFUNCTION("""COMPUTED_VALUE"""),"&lt;p&gt;1&lt;/p&gt;")</f>
        <v>&lt;p&gt;1&lt;/p&gt;</v>
      </c>
      <c r="F360" s="5" t="str">
        <f>IFERROR(__xludf.DUMMYFUNCTION("""COMPUTED_VALUE"""),"N")</f>
        <v>N</v>
      </c>
      <c r="G360" s="5"/>
      <c r="H360" s="5"/>
      <c r="I360" s="5"/>
      <c r="J360" s="5"/>
      <c r="K360" s="5"/>
      <c r="L360" s="5"/>
      <c r="M360" s="5">
        <f>IFERROR(__xludf.DUMMYFUNCTION("""COMPUTED_VALUE"""),77.97)</f>
        <v>77.97</v>
      </c>
      <c r="N360" s="5">
        <f>IFERROR(__xludf.DUMMYFUNCTION("""COMPUTED_VALUE"""),11006.0)</f>
        <v>11006</v>
      </c>
      <c r="O360" s="5"/>
      <c r="P360" s="5"/>
      <c r="Q360" s="5" t="str">
        <f>IFERROR(__xludf.DUMMYFUNCTION("""COMPUTED_VALUE"""),"Y")</f>
        <v>Y</v>
      </c>
      <c r="R360" s="5"/>
      <c r="S360" s="5" t="str">
        <f>IFERROR(__xludf.DUMMYFUNCTION("""COMPUTED_VALUE"""),"ขึ้นของมหาชัย")</f>
        <v>ขึ้นของมหาชัย</v>
      </c>
      <c r="T360" s="5">
        <f>IFERROR(__xludf.DUMMYFUNCTION("""COMPUTED_VALUE"""),75.0)</f>
        <v>75</v>
      </c>
      <c r="U360" s="5" t="str">
        <f>IFERROR(__xludf.DUMMYFUNCTION("""COMPUTED_VALUE"""),"Y")</f>
        <v>Y</v>
      </c>
      <c r="V360" s="5">
        <f>IFERROR(__xludf.DUMMYFUNCTION("""COMPUTED_VALUE"""),105.0)</f>
        <v>105</v>
      </c>
      <c r="W360" s="5">
        <f>IFERROR(__xludf.DUMMYFUNCTION("""COMPUTED_VALUE"""),85.0)</f>
        <v>85</v>
      </c>
      <c r="X360" s="5">
        <f>IFERROR(__xludf.DUMMYFUNCTION("""COMPUTED_VALUE"""),20.0)</f>
        <v>20</v>
      </c>
      <c r="Y360" s="5">
        <f>IFERROR(__xludf.DUMMYFUNCTION("""COMPUTED_VALUE"""),70.0)</f>
        <v>70</v>
      </c>
      <c r="Z360" s="5"/>
    </row>
    <row r="361">
      <c r="A361" s="5" t="str">
        <f>IFERROR(__xludf.DUMMYFUNCTION("""COMPUTED_VALUE"""),"ร้านออย--ยำสาหร่าย-ลัง-(93)")</f>
        <v>ร้านออย--ยำสาหร่าย-ลัง-(93)</v>
      </c>
      <c r="B361" s="5">
        <f>IFERROR(__xludf.DUMMYFUNCTION("""COMPUTED_VALUE"""),11484.0)</f>
        <v>11484</v>
      </c>
      <c r="C361" s="5" t="str">
        <f>IFERROR(__xludf.DUMMYFUNCTION("""COMPUTED_VALUE"""),"ยำสาหร่าย พิเศษ ลัง (93)")</f>
        <v>ยำสาหร่าย พิเศษ ลัง (93)</v>
      </c>
      <c r="D361" s="5" t="str">
        <f>IFERROR(__xludf.DUMMYFUNCTION("""COMPUTED_VALUE"""),"**ร้านค้า ราคาพิเศษ")</f>
        <v>**ร้านค้า ราคาพิเศษ</v>
      </c>
      <c r="E361" s="5" t="str">
        <f>IFERROR(__xludf.DUMMYFUNCTION("""COMPUTED_VALUE"""),"&lt;p&gt;X&lt;/p&gt;")</f>
        <v>&lt;p&gt;X&lt;/p&gt;</v>
      </c>
      <c r="F361" s="5" t="str">
        <f>IFERROR(__xludf.DUMMYFUNCTION("""COMPUTED_VALUE"""),"N")</f>
        <v>N</v>
      </c>
      <c r="G361" s="5"/>
      <c r="H361" s="5"/>
      <c r="I361" s="5"/>
      <c r="J361" s="5"/>
      <c r="K361" s="5"/>
      <c r="L361" s="5"/>
      <c r="M361" s="5"/>
      <c r="N361" s="5">
        <f>IFERROR(__xludf.DUMMYFUNCTION("""COMPUTED_VALUE"""),11484.0)</f>
        <v>11484</v>
      </c>
      <c r="O361" s="5">
        <f>IFERROR(__xludf.DUMMYFUNCTION("""COMPUTED_VALUE"""),11006.0)</f>
        <v>11006</v>
      </c>
      <c r="P361" s="5">
        <f>IFERROR(__xludf.DUMMYFUNCTION("""COMPUTED_VALUE"""),10.0)</f>
        <v>10</v>
      </c>
      <c r="Q361" s="5" t="str">
        <f>IFERROR(__xludf.DUMMYFUNCTION("""COMPUTED_VALUE"""),"N")</f>
        <v>N</v>
      </c>
      <c r="R361" s="5" t="str">
        <f>IFERROR(__xludf.DUMMYFUNCTION("""COMPUTED_VALUE"""),"N")</f>
        <v>N</v>
      </c>
      <c r="S361" s="5"/>
      <c r="T361" s="5"/>
      <c r="U361" s="5" t="str">
        <f>IFERROR(__xludf.DUMMYFUNCTION("""COMPUTED_VALUE"""),"Y")</f>
        <v>Y</v>
      </c>
      <c r="V361" s="5">
        <f>IFERROR(__xludf.DUMMYFUNCTION("""COMPUTED_VALUE"""),930.0)</f>
        <v>930</v>
      </c>
      <c r="W361" s="5"/>
      <c r="X361" s="5"/>
      <c r="Y361" s="5"/>
      <c r="Z361" s="5"/>
    </row>
    <row r="362">
      <c r="A362" s="5" t="str">
        <f>IFERROR(__xludf.DUMMYFUNCTION("""COMPUTED_VALUE"""),"ร้าน--nk-ชีสบอล-40-ลูก")</f>
        <v>ร้าน--nk-ชีสบอล-40-ลูก</v>
      </c>
      <c r="B362" s="5">
        <f>IFERROR(__xludf.DUMMYFUNCTION("""COMPUTED_VALUE"""),10735.0)</f>
        <v>10735</v>
      </c>
      <c r="C362" s="5" t="str">
        <f>IFERROR(__xludf.DUMMYFUNCTION("""COMPUTED_VALUE"""),"ร้าน  NK ชีสบอล 30ลูก/แพ็ค(57)")</f>
        <v>ร้าน  NK ชีสบอล 30ลูก/แพ็ค(57)</v>
      </c>
      <c r="D362" s="5" t="str">
        <f>IFERROR(__xludf.DUMMYFUNCTION("""COMPUTED_VALUE"""),"**ร้านค้า ราคาพิเศษ")</f>
        <v>**ร้านค้า ราคาพิเศษ</v>
      </c>
      <c r="E362" s="5" t="str">
        <f>IFERROR(__xludf.DUMMYFUNCTION("""COMPUTED_VALUE"""),"&lt;p&gt;X&lt;/p&gt;")</f>
        <v>&lt;p&gt;X&lt;/p&gt;</v>
      </c>
      <c r="F362" s="5" t="str">
        <f>IFERROR(__xludf.DUMMYFUNCTION("""COMPUTED_VALUE"""),"N")</f>
        <v>N</v>
      </c>
      <c r="G362" s="5"/>
      <c r="H362" s="5"/>
      <c r="I362" s="5"/>
      <c r="J362" s="5"/>
      <c r="K362" s="5"/>
      <c r="L362" s="5"/>
      <c r="M362" s="5"/>
      <c r="N362" s="5">
        <f>IFERROR(__xludf.DUMMYFUNCTION("""COMPUTED_VALUE"""),10735.0)</f>
        <v>10735</v>
      </c>
      <c r="O362" s="5">
        <f>IFERROR(__xludf.DUMMYFUNCTION("""COMPUTED_VALUE"""),10636.0)</f>
        <v>10636</v>
      </c>
      <c r="P362" s="5">
        <f>IFERROR(__xludf.DUMMYFUNCTION("""COMPUTED_VALUE"""),1.0)</f>
        <v>1</v>
      </c>
      <c r="Q362" s="5" t="str">
        <f>IFERROR(__xludf.DUMMYFUNCTION("""COMPUTED_VALUE"""),"N")</f>
        <v>N</v>
      </c>
      <c r="R362" s="5" t="str">
        <f>IFERROR(__xludf.DUMMYFUNCTION("""COMPUTED_VALUE"""),"N")</f>
        <v>N</v>
      </c>
      <c r="S362" s="5"/>
      <c r="T362" s="5"/>
      <c r="U362" s="5" t="str">
        <f>IFERROR(__xludf.DUMMYFUNCTION("""COMPUTED_VALUE"""),"N")</f>
        <v>N</v>
      </c>
      <c r="V362" s="5">
        <f>IFERROR(__xludf.DUMMYFUNCTION("""COMPUTED_VALUE"""),57.0)</f>
        <v>57</v>
      </c>
      <c r="W362" s="5"/>
      <c r="X362" s="5"/>
      <c r="Y362" s="5"/>
      <c r="Z362" s="5"/>
    </row>
    <row r="363">
      <c r="A363" s="5" t="str">
        <f>IFERROR(__xludf.DUMMYFUNCTION("""COMPUTED_VALUE"""),"ร้าน--nk-ดอลลี่ลังน้ําตาล(5แพ็ค)")</f>
        <v>ร้าน--nk-ดอลลี่ลังน้ําตาล(5แพ็ค)</v>
      </c>
      <c r="B363" s="5">
        <f>IFERROR(__xludf.DUMMYFUNCTION("""COMPUTED_VALUE"""),11526.0)</f>
        <v>11526</v>
      </c>
      <c r="C363" s="5" t="str">
        <f>IFERROR(__xludf.DUMMYFUNCTION("""COMPUTED_VALUE"""),"ร้าน  NK ดอลลี่ลัง (น้ําตาล)1kg-60")</f>
        <v>ร้าน  NK ดอลลี่ลัง (น้ําตาล)1kg-60</v>
      </c>
      <c r="D363" s="5" t="str">
        <f>IFERROR(__xludf.DUMMYFUNCTION("""COMPUTED_VALUE"""),"**ร้านค้า ราคาพิเศษ")</f>
        <v>**ร้านค้า ราคาพิเศษ</v>
      </c>
      <c r="E363" s="5" t="str">
        <f>IFERROR(__xludf.DUMMYFUNCTION("""COMPUTED_VALUE"""),"&lt;p&gt;X&lt;/p&gt;")</f>
        <v>&lt;p&gt;X&lt;/p&gt;</v>
      </c>
      <c r="F363" s="5" t="str">
        <f>IFERROR(__xludf.DUMMYFUNCTION("""COMPUTED_VALUE"""),"N")</f>
        <v>N</v>
      </c>
      <c r="G363" s="5"/>
      <c r="H363" s="5"/>
      <c r="I363" s="5"/>
      <c r="J363" s="5"/>
      <c r="K363" s="5"/>
      <c r="L363" s="5"/>
      <c r="M363" s="5"/>
      <c r="N363" s="5">
        <f>IFERROR(__xludf.DUMMYFUNCTION("""COMPUTED_VALUE"""),11526.0)</f>
        <v>11526</v>
      </c>
      <c r="O363" s="5">
        <f>IFERROR(__xludf.DUMMYFUNCTION("""COMPUTED_VALUE"""),10436.0)</f>
        <v>10436</v>
      </c>
      <c r="P363" s="5">
        <f>IFERROR(__xludf.DUMMYFUNCTION("""COMPUTED_VALUE"""),1.0)</f>
        <v>1</v>
      </c>
      <c r="Q363" s="5" t="str">
        <f>IFERROR(__xludf.DUMMYFUNCTION("""COMPUTED_VALUE"""),"N")</f>
        <v>N</v>
      </c>
      <c r="R363" s="5" t="str">
        <f>IFERROR(__xludf.DUMMYFUNCTION("""COMPUTED_VALUE"""),"N")</f>
        <v>N</v>
      </c>
      <c r="S363" s="5"/>
      <c r="T363" s="5"/>
      <c r="U363" s="5" t="str">
        <f>IFERROR(__xludf.DUMMYFUNCTION("""COMPUTED_VALUE"""),"Y")</f>
        <v>Y</v>
      </c>
      <c r="V363" s="5">
        <f>IFERROR(__xludf.DUMMYFUNCTION("""COMPUTED_VALUE"""),60.0)</f>
        <v>60</v>
      </c>
      <c r="W363" s="5"/>
      <c r="X363" s="5"/>
      <c r="Y363" s="5"/>
      <c r="Z363" s="5"/>
    </row>
    <row r="364">
      <c r="A364" s="5" t="str">
        <f>IFERROR(__xludf.DUMMYFUNCTION("""COMPUTED_VALUE"""),"ร้าน--nk-เฟรนฟราย-หยัก")</f>
        <v>ร้าน--nk-เฟรนฟราย-หยัก</v>
      </c>
      <c r="B364" s="5">
        <f>IFERROR(__xludf.DUMMYFUNCTION("""COMPUTED_VALUE"""),10222.0)</f>
        <v>10222</v>
      </c>
      <c r="C364" s="5" t="str">
        <f>IFERROR(__xludf.DUMMYFUNCTION("""COMPUTED_VALUE"""),"ร้าน  NK เฟรนฟายหยัก (53)")</f>
        <v>ร้าน  NK เฟรนฟายหยัก (53)</v>
      </c>
      <c r="D364" s="5" t="str">
        <f>IFERROR(__xludf.DUMMYFUNCTION("""COMPUTED_VALUE"""),"**ร้านค้า ราคาพิเศษ")</f>
        <v>**ร้านค้า ราคาพิเศษ</v>
      </c>
      <c r="E364" s="5"/>
      <c r="F364" s="5" t="str">
        <f>IFERROR(__xludf.DUMMYFUNCTION("""COMPUTED_VALUE"""),"N")</f>
        <v>N</v>
      </c>
      <c r="G364" s="5"/>
      <c r="H364" s="5"/>
      <c r="I364" s="5"/>
      <c r="J364" s="5"/>
      <c r="K364" s="5"/>
      <c r="L364" s="5"/>
      <c r="M364" s="5"/>
      <c r="N364" s="5">
        <f>IFERROR(__xludf.DUMMYFUNCTION("""COMPUTED_VALUE"""),10222.0)</f>
        <v>10222</v>
      </c>
      <c r="O364" s="5">
        <f>IFERROR(__xludf.DUMMYFUNCTION("""COMPUTED_VALUE"""),10445.0)</f>
        <v>10445</v>
      </c>
      <c r="P364" s="5">
        <f>IFERROR(__xludf.DUMMYFUNCTION("""COMPUTED_VALUE"""),0.1)</f>
        <v>0.1</v>
      </c>
      <c r="Q364" s="5" t="str">
        <f>IFERROR(__xludf.DUMMYFUNCTION("""COMPUTED_VALUE"""),"N")</f>
        <v>N</v>
      </c>
      <c r="R364" s="5" t="str">
        <f>IFERROR(__xludf.DUMMYFUNCTION("""COMPUTED_VALUE"""),"N")</f>
        <v>N</v>
      </c>
      <c r="S364" s="5"/>
      <c r="T364" s="5"/>
      <c r="U364" s="5" t="str">
        <f>IFERROR(__xludf.DUMMYFUNCTION("""COMPUTED_VALUE"""),"Y")</f>
        <v>Y</v>
      </c>
      <c r="V364" s="5">
        <f>IFERROR(__xludf.DUMMYFUNCTION("""COMPUTED_VALUE"""),53.0)</f>
        <v>53</v>
      </c>
      <c r="W364" s="5"/>
      <c r="X364" s="5"/>
      <c r="Y364" s="5"/>
      <c r="Z364" s="5"/>
    </row>
    <row r="365">
      <c r="A365" s="5" t="str">
        <f>IFERROR(__xludf.DUMMYFUNCTION("""COMPUTED_VALUE"""),"ร้าน-nk-กระพรุนผ่า-(ถัง)")</f>
        <v>ร้าน-nk-กระพรุนผ่า-(ถัง)</v>
      </c>
      <c r="B365" s="5">
        <f>IFERROR(__xludf.DUMMYFUNCTION("""COMPUTED_VALUE"""),10813.0)</f>
        <v>10813</v>
      </c>
      <c r="C365" s="5" t="str">
        <f>IFERROR(__xludf.DUMMYFUNCTION("""COMPUTED_VALUE"""),"ร้าน NK กระพรุนผ่า 690")</f>
        <v>ร้าน NK กระพรุนผ่า 690</v>
      </c>
      <c r="D365" s="5" t="str">
        <f>IFERROR(__xludf.DUMMYFUNCTION("""COMPUTED_VALUE"""),"**ร้านค้า ราคาพิเศษ")</f>
        <v>**ร้านค้า ราคาพิเศษ</v>
      </c>
      <c r="E365" s="5"/>
      <c r="F365" s="5" t="str">
        <f>IFERROR(__xludf.DUMMYFUNCTION("""COMPUTED_VALUE"""),"N")</f>
        <v>N</v>
      </c>
      <c r="G365" s="5"/>
      <c r="H365" s="5"/>
      <c r="I365" s="5"/>
      <c r="J365" s="5"/>
      <c r="K365" s="5"/>
      <c r="L365" s="5"/>
      <c r="M365" s="5"/>
      <c r="N365" s="5"/>
      <c r="O365" s="5">
        <f>IFERROR(__xludf.DUMMYFUNCTION("""COMPUTED_VALUE"""),10126.0)</f>
        <v>10126</v>
      </c>
      <c r="P365" s="5">
        <f>IFERROR(__xludf.DUMMYFUNCTION("""COMPUTED_VALUE"""),1.0)</f>
        <v>1</v>
      </c>
      <c r="Q365" s="5" t="str">
        <f>IFERROR(__xludf.DUMMYFUNCTION("""COMPUTED_VALUE"""),"N")</f>
        <v>N</v>
      </c>
      <c r="R365" s="5" t="str">
        <f>IFERROR(__xludf.DUMMYFUNCTION("""COMPUTED_VALUE"""),"N")</f>
        <v>N</v>
      </c>
      <c r="S365" s="5"/>
      <c r="T365" s="5"/>
      <c r="U365" s="5" t="str">
        <f>IFERROR(__xludf.DUMMYFUNCTION("""COMPUTED_VALUE"""),"Y")</f>
        <v>Y</v>
      </c>
      <c r="V365" s="5">
        <f>IFERROR(__xludf.DUMMYFUNCTION("""COMPUTED_VALUE"""),690.0)</f>
        <v>690</v>
      </c>
      <c r="W365" s="5"/>
      <c r="X365" s="5"/>
      <c r="Y365" s="5"/>
      <c r="Z365" s="5"/>
    </row>
    <row r="366">
      <c r="A366" s="5" t="str">
        <f>IFERROR(__xludf.DUMMYFUNCTION("""COMPUTED_VALUE"""),"ร้าน-nk-ขายำ")</f>
        <v>ร้าน-nk-ขายำ</v>
      </c>
      <c r="B366" s="5">
        <f>IFERROR(__xludf.DUMMYFUNCTION("""COMPUTED_VALUE"""),11332.0)</f>
        <v>11332</v>
      </c>
      <c r="C366" s="5" t="str">
        <f>IFERROR(__xludf.DUMMYFUNCTION("""COMPUTED_VALUE"""),"ร้าน NK ขายํา (60)")</f>
        <v>ร้าน NK ขายํา (60)</v>
      </c>
      <c r="D366" s="5" t="str">
        <f>IFERROR(__xludf.DUMMYFUNCTION("""COMPUTED_VALUE"""),"**ร้านค้า ราคาพิเศษ")</f>
        <v>**ร้านค้า ราคาพิเศษ</v>
      </c>
      <c r="E366" s="5" t="str">
        <f>IFERROR(__xludf.DUMMYFUNCTION("""COMPUTED_VALUE"""),"&lt;p&gt;X&lt;/p&gt;")</f>
        <v>&lt;p&gt;X&lt;/p&gt;</v>
      </c>
      <c r="F366" s="5" t="str">
        <f>IFERROR(__xludf.DUMMYFUNCTION("""COMPUTED_VALUE"""),"N")</f>
        <v>N</v>
      </c>
      <c r="G366" s="5"/>
      <c r="H366" s="5"/>
      <c r="I366" s="5"/>
      <c r="J366" s="5"/>
      <c r="K366" s="5"/>
      <c r="L366" s="5"/>
      <c r="M366" s="5"/>
      <c r="N366" s="5">
        <f>IFERROR(__xludf.DUMMYFUNCTION("""COMPUTED_VALUE"""),11332.0)</f>
        <v>11332</v>
      </c>
      <c r="O366" s="5">
        <f>IFERROR(__xludf.DUMMYFUNCTION("""COMPUTED_VALUE"""),10286.0)</f>
        <v>10286</v>
      </c>
      <c r="P366" s="5">
        <f>IFERROR(__xludf.DUMMYFUNCTION("""COMPUTED_VALUE"""),1.0)</f>
        <v>1</v>
      </c>
      <c r="Q366" s="5" t="str">
        <f>IFERROR(__xludf.DUMMYFUNCTION("""COMPUTED_VALUE"""),"N")</f>
        <v>N</v>
      </c>
      <c r="R366" s="5" t="str">
        <f>IFERROR(__xludf.DUMMYFUNCTION("""COMPUTED_VALUE"""),"N")</f>
        <v>N</v>
      </c>
      <c r="S366" s="5"/>
      <c r="T366" s="5"/>
      <c r="U366" s="5" t="str">
        <f>IFERROR(__xludf.DUMMYFUNCTION("""COMPUTED_VALUE"""),"Y")</f>
        <v>Y</v>
      </c>
      <c r="V366" s="5">
        <f>IFERROR(__xludf.DUMMYFUNCTION("""COMPUTED_VALUE"""),300.0)</f>
        <v>300</v>
      </c>
      <c r="W366" s="5"/>
      <c r="X366" s="5"/>
      <c r="Y366" s="5"/>
      <c r="Z366" s="5"/>
    </row>
    <row r="367">
      <c r="A367" s="5" t="str">
        <f>IFERROR(__xludf.DUMMYFUNCTION("""COMPUTED_VALUE"""),"คอเปรู-500-up-ก้อน-7.5(118)")</f>
        <v>คอเปรู-500-up-ก้อน-7.5(118)</v>
      </c>
      <c r="B367" s="5">
        <f>IFERROR(__xludf.DUMMYFUNCTION("""COMPUTED_VALUE"""),10626.0)</f>
        <v>10626</v>
      </c>
      <c r="C367" s="5" t="str">
        <f>IFERROR(__xludf.DUMMYFUNCTION("""COMPUTED_VALUE"""),"ร้าน Nk คอเปรู 500up ก้อน10  (59)")</f>
        <v>ร้าน Nk คอเปรู 500up ก้อน10  (59)</v>
      </c>
      <c r="D367" s="5" t="str">
        <f>IFERROR(__xludf.DUMMYFUNCTION("""COMPUTED_VALUE"""),"**ร้านค้า ราคาพิเศษ")</f>
        <v>**ร้านค้า ราคาพิเศษ</v>
      </c>
      <c r="E367" s="5"/>
      <c r="F367" s="5" t="str">
        <f>IFERROR(__xludf.DUMMYFUNCTION("""COMPUTED_VALUE"""),"N")</f>
        <v>N</v>
      </c>
      <c r="G367" s="5"/>
      <c r="H367" s="5"/>
      <c r="I367" s="5"/>
      <c r="J367" s="5"/>
      <c r="K367" s="5"/>
      <c r="L367" s="5"/>
      <c r="M367" s="5"/>
      <c r="N367" s="5"/>
      <c r="O367" s="5">
        <f>IFERROR(__xludf.DUMMYFUNCTION("""COMPUTED_VALUE"""),10065.0)</f>
        <v>10065</v>
      </c>
      <c r="P367" s="5">
        <f>IFERROR(__xludf.DUMMYFUNCTION("""COMPUTED_VALUE"""),1.0)</f>
        <v>1</v>
      </c>
      <c r="Q367" s="5" t="str">
        <f>IFERROR(__xludf.DUMMYFUNCTION("""COMPUTED_VALUE"""),"N")</f>
        <v>N</v>
      </c>
      <c r="R367" s="5" t="str">
        <f>IFERROR(__xludf.DUMMYFUNCTION("""COMPUTED_VALUE"""),"N")</f>
        <v>N</v>
      </c>
      <c r="S367" s="5"/>
      <c r="T367" s="5"/>
      <c r="U367" s="5" t="str">
        <f>IFERROR(__xludf.DUMMYFUNCTION("""COMPUTED_VALUE"""),"Y")</f>
        <v>Y</v>
      </c>
      <c r="V367" s="5">
        <f>IFERROR(__xludf.DUMMYFUNCTION("""COMPUTED_VALUE"""),590.0)</f>
        <v>590</v>
      </c>
      <c r="W367" s="5"/>
      <c r="X367" s="5"/>
      <c r="Y367" s="5"/>
      <c r="Z367" s="5"/>
    </row>
    <row r="368">
      <c r="A368" s="5" t="str">
        <f>IFERROR(__xludf.DUMMYFUNCTION("""COMPUTED_VALUE"""),"ร้าน-nk-ชาบูนมสด-แพ็ค")</f>
        <v>ร้าน-nk-ชาบูนมสด-แพ็ค</v>
      </c>
      <c r="B368" s="5">
        <f>IFERROR(__xludf.DUMMYFUNCTION("""COMPUTED_VALUE"""),10643.0)</f>
        <v>10643</v>
      </c>
      <c r="C368" s="5" t="str">
        <f>IFERROR(__xludf.DUMMYFUNCTION("""COMPUTED_VALUE"""),"ร้าน NK ชาบูนมสด แพ็ค")</f>
        <v>ร้าน NK ชาบูนมสด แพ็ค</v>
      </c>
      <c r="D368" s="5" t="str">
        <f>IFERROR(__xludf.DUMMYFUNCTION("""COMPUTED_VALUE"""),"**ร้านค้า ราคาพิเศษ")</f>
        <v>**ร้านค้า ราคาพิเศษ</v>
      </c>
      <c r="E368" s="5" t="str">
        <f>IFERROR(__xludf.DUMMYFUNCTION("""COMPUTED_VALUE"""),"&lt;p&gt;X&lt;/p&gt;")</f>
        <v>&lt;p&gt;X&lt;/p&gt;</v>
      </c>
      <c r="F368" s="5" t="str">
        <f>IFERROR(__xludf.DUMMYFUNCTION("""COMPUTED_VALUE"""),"N")</f>
        <v>N</v>
      </c>
      <c r="G368" s="5"/>
      <c r="H368" s="5"/>
      <c r="I368" s="5"/>
      <c r="J368" s="5"/>
      <c r="K368" s="5"/>
      <c r="L368" s="5"/>
      <c r="M368" s="5"/>
      <c r="N368" s="5">
        <f>IFERROR(__xludf.DUMMYFUNCTION("""COMPUTED_VALUE"""),10643.0)</f>
        <v>10643</v>
      </c>
      <c r="O368" s="5">
        <f>IFERROR(__xludf.DUMMYFUNCTION("""COMPUTED_VALUE"""),11060.0)</f>
        <v>11060</v>
      </c>
      <c r="P368" s="5">
        <f>IFERROR(__xludf.DUMMYFUNCTION("""COMPUTED_VALUE"""),1.0)</f>
        <v>1</v>
      </c>
      <c r="Q368" s="5" t="str">
        <f>IFERROR(__xludf.DUMMYFUNCTION("""COMPUTED_VALUE"""),"N")</f>
        <v>N</v>
      </c>
      <c r="R368" s="5" t="str">
        <f>IFERROR(__xludf.DUMMYFUNCTION("""COMPUTED_VALUE"""),"N")</f>
        <v>N</v>
      </c>
      <c r="S368" s="5"/>
      <c r="T368" s="5"/>
      <c r="U368" s="5" t="str">
        <f>IFERROR(__xludf.DUMMYFUNCTION("""COMPUTED_VALUE"""),"N")</f>
        <v>N</v>
      </c>
      <c r="V368" s="5">
        <f>IFERROR(__xludf.DUMMYFUNCTION("""COMPUTED_VALUE"""),123.0)</f>
        <v>123</v>
      </c>
      <c r="W368" s="5"/>
      <c r="X368" s="5"/>
      <c r="Y368" s="5"/>
      <c r="Z368" s="5"/>
    </row>
    <row r="369">
      <c r="A369" s="5" t="str">
        <f>IFERROR(__xludf.DUMMYFUNCTION("""COMPUTED_VALUE"""),"ร้าน-nk-ซาลาเปาครีมชีส-5แพ็ค")</f>
        <v>ร้าน-nk-ซาลาเปาครีมชีส-5แพ็ค</v>
      </c>
      <c r="B369" s="5">
        <f>IFERROR(__xludf.DUMMYFUNCTION("""COMPUTED_VALUE"""),11433.0)</f>
        <v>11433</v>
      </c>
      <c r="C369" s="5" t="str">
        <f>IFERROR(__xludf.DUMMYFUNCTION("""COMPUTED_VALUE"""),"ร้าน NK ซาลาเปาครีมชีส  แพ็ค 500g")</f>
        <v>ร้าน NK ซาลาเปาครีมชีส  แพ็ค 500g</v>
      </c>
      <c r="D369" s="5" t="str">
        <f>IFERROR(__xludf.DUMMYFUNCTION("""COMPUTED_VALUE"""),"**ร้านค้า ราคาพิเศษ")</f>
        <v>**ร้านค้า ราคาพิเศษ</v>
      </c>
      <c r="E369" s="5" t="str">
        <f>IFERROR(__xludf.DUMMYFUNCTION("""COMPUTED_VALUE"""),"&lt;p&gt;X&lt;/p&gt;")</f>
        <v>&lt;p&gt;X&lt;/p&gt;</v>
      </c>
      <c r="F369" s="5" t="str">
        <f>IFERROR(__xludf.DUMMYFUNCTION("""COMPUTED_VALUE"""),"N")</f>
        <v>N</v>
      </c>
      <c r="G369" s="5"/>
      <c r="H369" s="5"/>
      <c r="I369" s="5"/>
      <c r="J369" s="5"/>
      <c r="K369" s="5"/>
      <c r="L369" s="5"/>
      <c r="M369" s="5"/>
      <c r="N369" s="5">
        <f>IFERROR(__xludf.DUMMYFUNCTION("""COMPUTED_VALUE"""),11433.0)</f>
        <v>11433</v>
      </c>
      <c r="O369" s="5">
        <f>IFERROR(__xludf.DUMMYFUNCTION("""COMPUTED_VALUE"""),10143.0)</f>
        <v>10143</v>
      </c>
      <c r="P369" s="5">
        <f>IFERROR(__xludf.DUMMYFUNCTION("""COMPUTED_VALUE"""),1.0)</f>
        <v>1</v>
      </c>
      <c r="Q369" s="5" t="str">
        <f>IFERROR(__xludf.DUMMYFUNCTION("""COMPUTED_VALUE"""),"N")</f>
        <v>N</v>
      </c>
      <c r="R369" s="5" t="str">
        <f>IFERROR(__xludf.DUMMYFUNCTION("""COMPUTED_VALUE"""),"N")</f>
        <v>N</v>
      </c>
      <c r="S369" s="5"/>
      <c r="T369" s="5"/>
      <c r="U369" s="5" t="str">
        <f>IFERROR(__xludf.DUMMYFUNCTION("""COMPUTED_VALUE"""),"Y")</f>
        <v>Y</v>
      </c>
      <c r="V369" s="5">
        <f>IFERROR(__xludf.DUMMYFUNCTION("""COMPUTED_VALUE"""),73.0)</f>
        <v>73</v>
      </c>
      <c r="W369" s="5"/>
      <c r="X369" s="5"/>
      <c r="Y369" s="5"/>
      <c r="Z369" s="5"/>
    </row>
    <row r="370">
      <c r="A370" s="5" t="str">
        <f>IFERROR(__xludf.DUMMYFUNCTION("""COMPUTED_VALUE"""),"ร้าน-nk-นักเก็ตไก่ซัลวัลเล่-แพ็ค")</f>
        <v>ร้าน-nk-นักเก็ตไก่ซัลวัลเล่-แพ็ค</v>
      </c>
      <c r="B370" s="5">
        <f>IFERROR(__xludf.DUMMYFUNCTION("""COMPUTED_VALUE"""),11548.0)</f>
        <v>11548</v>
      </c>
      <c r="C370" s="5" t="str">
        <f>IFERROR(__xludf.DUMMYFUNCTION("""COMPUTED_VALUE"""),"ร้าน NK นักเก็ตไก่ซัลวัลเล่ แพ็ค")</f>
        <v>ร้าน NK นักเก็ตไก่ซัลวัลเล่ แพ็ค</v>
      </c>
      <c r="D370" s="5" t="str">
        <f>IFERROR(__xludf.DUMMYFUNCTION("""COMPUTED_VALUE"""),"**ร้านค้า ราคาพิเศษ")</f>
        <v>**ร้านค้า ราคาพิเศษ</v>
      </c>
      <c r="E370" s="5" t="str">
        <f>IFERROR(__xludf.DUMMYFUNCTION("""COMPUTED_VALUE"""),"&lt;p&gt;X&lt;/p&gt;")</f>
        <v>&lt;p&gt;X&lt;/p&gt;</v>
      </c>
      <c r="F370" s="5" t="str">
        <f>IFERROR(__xludf.DUMMYFUNCTION("""COMPUTED_VALUE"""),"N")</f>
        <v>N</v>
      </c>
      <c r="G370" s="5"/>
      <c r="H370" s="5"/>
      <c r="I370" s="5"/>
      <c r="J370" s="5"/>
      <c r="K370" s="5"/>
      <c r="L370" s="5"/>
      <c r="M370" s="5"/>
      <c r="N370" s="5">
        <f>IFERROR(__xludf.DUMMYFUNCTION("""COMPUTED_VALUE"""),11548.0)</f>
        <v>11548</v>
      </c>
      <c r="O370" s="5">
        <f>IFERROR(__xludf.DUMMYFUNCTION("""COMPUTED_VALUE"""),10089.0)</f>
        <v>10089</v>
      </c>
      <c r="P370" s="5">
        <f>IFERROR(__xludf.DUMMYFUNCTION("""COMPUTED_VALUE"""),1.0)</f>
        <v>1</v>
      </c>
      <c r="Q370" s="5" t="str">
        <f>IFERROR(__xludf.DUMMYFUNCTION("""COMPUTED_VALUE"""),"N")</f>
        <v>N</v>
      </c>
      <c r="R370" s="5" t="str">
        <f>IFERROR(__xludf.DUMMYFUNCTION("""COMPUTED_VALUE"""),"N")</f>
        <v>N</v>
      </c>
      <c r="S370" s="5"/>
      <c r="T370" s="5"/>
      <c r="U370" s="5" t="str">
        <f>IFERROR(__xludf.DUMMYFUNCTION("""COMPUTED_VALUE"""),"Y")</f>
        <v>Y</v>
      </c>
      <c r="V370" s="5">
        <f>IFERROR(__xludf.DUMMYFUNCTION("""COMPUTED_VALUE"""),115.0)</f>
        <v>115</v>
      </c>
      <c r="W370" s="5"/>
      <c r="X370" s="5"/>
      <c r="Y370" s="5"/>
      <c r="Z370" s="5"/>
    </row>
    <row r="371">
      <c r="A371" s="5" t="str">
        <f>IFERROR(__xludf.DUMMYFUNCTION("""COMPUTED_VALUE"""),"ร้าน-nk-ปูอัดส้ม-1ลัง")</f>
        <v>ร้าน-nk-ปูอัดส้ม-1ลัง</v>
      </c>
      <c r="B371" s="5">
        <f>IFERROR(__xludf.DUMMYFUNCTION("""COMPUTED_VALUE"""),11234.0)</f>
        <v>11234</v>
      </c>
      <c r="C371" s="5" t="str">
        <f>IFERROR(__xludf.DUMMYFUNCTION("""COMPUTED_VALUE"""),"ร้าน NK ปูอัด A  แพ็ค")</f>
        <v>ร้าน NK ปูอัด A  แพ็ค</v>
      </c>
      <c r="D371" s="5" t="str">
        <f>IFERROR(__xludf.DUMMYFUNCTION("""COMPUTED_VALUE"""),"**ร้านค้า ราคาพิเศษ")</f>
        <v>**ร้านค้า ราคาพิเศษ</v>
      </c>
      <c r="E371" s="5" t="str">
        <f>IFERROR(__xludf.DUMMYFUNCTION("""COMPUTED_VALUE"""),"&lt;p&gt;X&lt;/p&gt;")</f>
        <v>&lt;p&gt;X&lt;/p&gt;</v>
      </c>
      <c r="F371" s="5" t="str">
        <f>IFERROR(__xludf.DUMMYFUNCTION("""COMPUTED_VALUE"""),"N")</f>
        <v>N</v>
      </c>
      <c r="G371" s="5"/>
      <c r="H371" s="5"/>
      <c r="I371" s="5"/>
      <c r="J371" s="5"/>
      <c r="K371" s="5"/>
      <c r="L371" s="5"/>
      <c r="M371" s="5"/>
      <c r="N371" s="5">
        <f>IFERROR(__xludf.DUMMYFUNCTION("""COMPUTED_VALUE"""),11234.0)</f>
        <v>11234</v>
      </c>
      <c r="O371" s="5">
        <f>IFERROR(__xludf.DUMMYFUNCTION("""COMPUTED_VALUE"""),10001.0)</f>
        <v>10001</v>
      </c>
      <c r="P371" s="5">
        <f>IFERROR(__xludf.DUMMYFUNCTION("""COMPUTED_VALUE"""),1.0)</f>
        <v>1</v>
      </c>
      <c r="Q371" s="5" t="str">
        <f>IFERROR(__xludf.DUMMYFUNCTION("""COMPUTED_VALUE"""),"N")</f>
        <v>N</v>
      </c>
      <c r="R371" s="5" t="str">
        <f>IFERROR(__xludf.DUMMYFUNCTION("""COMPUTED_VALUE"""),"N")</f>
        <v>N</v>
      </c>
      <c r="S371" s="5"/>
      <c r="T371" s="5"/>
      <c r="U371" s="5" t="str">
        <f>IFERROR(__xludf.DUMMYFUNCTION("""COMPUTED_VALUE"""),"Y")</f>
        <v>Y</v>
      </c>
      <c r="V371" s="5">
        <f>IFERROR(__xludf.DUMMYFUNCTION("""COMPUTED_VALUE"""),44.0)</f>
        <v>44</v>
      </c>
      <c r="W371" s="5"/>
      <c r="X371" s="5"/>
      <c r="Y371" s="5"/>
      <c r="Z371" s="5"/>
    </row>
    <row r="372">
      <c r="A372" s="5" t="str">
        <f>IFERROR(__xludf.DUMMYFUNCTION("""COMPUTED_VALUE"""),"ร้าน-nk-วุ้นเส้นเกาหลี-500g-หิ้ว")</f>
        <v>ร้าน-nk-วุ้นเส้นเกาหลี-500g-หิ้ว</v>
      </c>
      <c r="B372" s="5">
        <f>IFERROR(__xludf.DUMMYFUNCTION("""COMPUTED_VALUE"""),11286.0)</f>
        <v>11286</v>
      </c>
      <c r="C372" s="5" t="str">
        <f>IFERROR(__xludf.DUMMYFUNCTION("""COMPUTED_VALUE"""),"ร้าน NK วุ้นเส้นเกาหลี 500g หิ้ว")</f>
        <v>ร้าน NK วุ้นเส้นเกาหลี 500g หิ้ว</v>
      </c>
      <c r="D372" s="5" t="str">
        <f>IFERROR(__xludf.DUMMYFUNCTION("""COMPUTED_VALUE"""),"**ร้านค้า ราคาพิเศษ")</f>
        <v>**ร้านค้า ราคาพิเศษ</v>
      </c>
      <c r="E372" s="5" t="str">
        <f>IFERROR(__xludf.DUMMYFUNCTION("""COMPUTED_VALUE"""),"&lt;p&gt;X&lt;/p&gt;")</f>
        <v>&lt;p&gt;X&lt;/p&gt;</v>
      </c>
      <c r="F372" s="5" t="str">
        <f>IFERROR(__xludf.DUMMYFUNCTION("""COMPUTED_VALUE"""),"N")</f>
        <v>N</v>
      </c>
      <c r="G372" s="5"/>
      <c r="H372" s="5"/>
      <c r="I372" s="5"/>
      <c r="J372" s="5"/>
      <c r="K372" s="5"/>
      <c r="L372" s="5"/>
      <c r="M372" s="5"/>
      <c r="N372" s="5">
        <f>IFERROR(__xludf.DUMMYFUNCTION("""COMPUTED_VALUE"""),11286.0)</f>
        <v>11286</v>
      </c>
      <c r="O372" s="5">
        <f>IFERROR(__xludf.DUMMYFUNCTION("""COMPUTED_VALUE"""),10037.0)</f>
        <v>10037</v>
      </c>
      <c r="P372" s="5">
        <f>IFERROR(__xludf.DUMMYFUNCTION("""COMPUTED_VALUE"""),1.0)</f>
        <v>1</v>
      </c>
      <c r="Q372" s="5" t="str">
        <f>IFERROR(__xludf.DUMMYFUNCTION("""COMPUTED_VALUE"""),"N")</f>
        <v>N</v>
      </c>
      <c r="R372" s="5" t="str">
        <f>IFERROR(__xludf.DUMMYFUNCTION("""COMPUTED_VALUE"""),"N")</f>
        <v>N</v>
      </c>
      <c r="S372" s="5"/>
      <c r="T372" s="5"/>
      <c r="U372" s="5" t="str">
        <f>IFERROR(__xludf.DUMMYFUNCTION("""COMPUTED_VALUE"""),"Y")</f>
        <v>Y</v>
      </c>
      <c r="V372" s="5">
        <f>IFERROR(__xludf.DUMMYFUNCTION("""COMPUTED_VALUE"""),235.0)</f>
        <v>235</v>
      </c>
      <c r="W372" s="5"/>
      <c r="X372" s="5"/>
      <c r="Y372" s="5"/>
      <c r="Z372" s="5"/>
    </row>
    <row r="373">
      <c r="A373" s="5" t="str">
        <f>IFERROR(__xludf.DUMMYFUNCTION("""COMPUTED_VALUE"""),"ร้าน-nk-สไบผืนa-(105)")</f>
        <v>ร้าน-nk-สไบผืนa-(105)</v>
      </c>
      <c r="B373" s="5">
        <f>IFERROR(__xludf.DUMMYFUNCTION("""COMPUTED_VALUE"""),11336.0)</f>
        <v>11336</v>
      </c>
      <c r="C373" s="5" t="str">
        <f>IFERROR(__xludf.DUMMYFUNCTION("""COMPUTED_VALUE"""),"ร้าน NK สไบผืน A (155)")</f>
        <v>ร้าน NK สไบผืน A (155)</v>
      </c>
      <c r="D373" s="5" t="str">
        <f>IFERROR(__xludf.DUMMYFUNCTION("""COMPUTED_VALUE"""),"**ร้านค้า ราคาพิเศษ")</f>
        <v>**ร้านค้า ราคาพิเศษ</v>
      </c>
      <c r="E373" s="5" t="str">
        <f>IFERROR(__xludf.DUMMYFUNCTION("""COMPUTED_VALUE"""),"&lt;p&gt;X&lt;/p&gt;")</f>
        <v>&lt;p&gt;X&lt;/p&gt;</v>
      </c>
      <c r="F373" s="5" t="str">
        <f>IFERROR(__xludf.DUMMYFUNCTION("""COMPUTED_VALUE"""),"N")</f>
        <v>N</v>
      </c>
      <c r="G373" s="5"/>
      <c r="H373" s="5"/>
      <c r="I373" s="5"/>
      <c r="J373" s="5"/>
      <c r="K373" s="5"/>
      <c r="L373" s="5"/>
      <c r="M373" s="5"/>
      <c r="N373" s="5">
        <f>IFERROR(__xludf.DUMMYFUNCTION("""COMPUTED_VALUE"""),11336.0)</f>
        <v>11336</v>
      </c>
      <c r="O373" s="5">
        <f>IFERROR(__xludf.DUMMYFUNCTION("""COMPUTED_VALUE"""),10373.0)</f>
        <v>10373</v>
      </c>
      <c r="P373" s="5">
        <f>IFERROR(__xludf.DUMMYFUNCTION("""COMPUTED_VALUE"""),1.0)</f>
        <v>1</v>
      </c>
      <c r="Q373" s="5" t="str">
        <f>IFERROR(__xludf.DUMMYFUNCTION("""COMPUTED_VALUE"""),"N")</f>
        <v>N</v>
      </c>
      <c r="R373" s="5" t="str">
        <f>IFERROR(__xludf.DUMMYFUNCTION("""COMPUTED_VALUE"""),"N")</f>
        <v>N</v>
      </c>
      <c r="S373" s="5"/>
      <c r="T373" s="5"/>
      <c r="U373" s="5" t="str">
        <f>IFERROR(__xludf.DUMMYFUNCTION("""COMPUTED_VALUE"""),"Y")</f>
        <v>Y</v>
      </c>
      <c r="V373" s="5">
        <f>IFERROR(__xludf.DUMMYFUNCTION("""COMPUTED_VALUE"""),775.0)</f>
        <v>775</v>
      </c>
      <c r="W373" s="5"/>
      <c r="X373" s="5"/>
      <c r="Y373" s="5"/>
      <c r="Z373" s="5"/>
    </row>
    <row r="374">
      <c r="A374" s="5" t="str">
        <f>IFERROR(__xludf.DUMMYFUNCTION("""COMPUTED_VALUE"""),"ร้าน-nk-ซาลาเปาครีมชีส-10แพ็ค")</f>
        <v>ร้าน-nk-ซาลาเปาครีมชีส-10แพ็ค</v>
      </c>
      <c r="B374" s="5">
        <f>IFERROR(__xludf.DUMMYFUNCTION("""COMPUTED_VALUE"""),11228.0)</f>
        <v>11228</v>
      </c>
      <c r="C374" s="5" t="str">
        <f>IFERROR(__xludf.DUMMYFUNCTION("""COMPUTED_VALUE"""),"ร้าน NK หนวดหั่น 1kg(55)")</f>
        <v>ร้าน NK หนวดหั่น 1kg(55)</v>
      </c>
      <c r="D374" s="5" t="str">
        <f>IFERROR(__xludf.DUMMYFUNCTION("""COMPUTED_VALUE"""),"**ร้านค้า ราคาพิเศษ")</f>
        <v>**ร้านค้า ราคาพิเศษ</v>
      </c>
      <c r="E374" s="5" t="str">
        <f>IFERROR(__xludf.DUMMYFUNCTION("""COMPUTED_VALUE"""),"&lt;p&gt;X&lt;/p&gt;")</f>
        <v>&lt;p&gt;X&lt;/p&gt;</v>
      </c>
      <c r="F374" s="5" t="str">
        <f>IFERROR(__xludf.DUMMYFUNCTION("""COMPUTED_VALUE"""),"N")</f>
        <v>N</v>
      </c>
      <c r="G374" s="5"/>
      <c r="H374" s="5"/>
      <c r="I374" s="5"/>
      <c r="J374" s="5"/>
      <c r="K374" s="5"/>
      <c r="L374" s="5"/>
      <c r="M374" s="5"/>
      <c r="N374" s="5">
        <f>IFERROR(__xludf.DUMMYFUNCTION("""COMPUTED_VALUE"""),11228.0)</f>
        <v>11228</v>
      </c>
      <c r="O374" s="5">
        <f>IFERROR(__xludf.DUMMYFUNCTION("""COMPUTED_VALUE"""),10013.0)</f>
        <v>10013</v>
      </c>
      <c r="P374" s="5">
        <f>IFERROR(__xludf.DUMMYFUNCTION("""COMPUTED_VALUE"""),1.0)</f>
        <v>1</v>
      </c>
      <c r="Q374" s="5" t="str">
        <f>IFERROR(__xludf.DUMMYFUNCTION("""COMPUTED_VALUE"""),"N")</f>
        <v>N</v>
      </c>
      <c r="R374" s="5" t="str">
        <f>IFERROR(__xludf.DUMMYFUNCTION("""COMPUTED_VALUE"""),"N")</f>
        <v>N</v>
      </c>
      <c r="S374" s="5"/>
      <c r="T374" s="5"/>
      <c r="U374" s="5" t="str">
        <f>IFERROR(__xludf.DUMMYFUNCTION("""COMPUTED_VALUE"""),"Y")</f>
        <v>Y</v>
      </c>
      <c r="V374" s="5">
        <f>IFERROR(__xludf.DUMMYFUNCTION("""COMPUTED_VALUE"""),55.0)</f>
        <v>55</v>
      </c>
      <c r="W374" s="5"/>
      <c r="X374" s="5"/>
      <c r="Y374" s="5"/>
      <c r="Z374" s="5"/>
    </row>
    <row r="375">
      <c r="A375" s="5" t="str">
        <f>IFERROR(__xludf.DUMMYFUNCTION("""COMPUTED_VALUE"""),"ร้าน-nk-กรอบตัว")</f>
        <v>ร้าน-nk-กรอบตัว</v>
      </c>
      <c r="B375" s="5">
        <f>IFERROR(__xludf.DUMMYFUNCTION("""COMPUTED_VALUE"""),11331.0)</f>
        <v>11331</v>
      </c>
      <c r="C375" s="5" t="str">
        <f>IFERROR(__xludf.DUMMYFUNCTION("""COMPUTED_VALUE"""),"ร้าน NK หมึกกรอบตัว (101)")</f>
        <v>ร้าน NK หมึกกรอบตัว (101)</v>
      </c>
      <c r="D375" s="5" t="str">
        <f>IFERROR(__xludf.DUMMYFUNCTION("""COMPUTED_VALUE"""),"**ร้านค้า ราคาพิเศษ")</f>
        <v>**ร้านค้า ราคาพิเศษ</v>
      </c>
      <c r="E375" s="5" t="str">
        <f>IFERROR(__xludf.DUMMYFUNCTION("""COMPUTED_VALUE"""),"&lt;p&gt;X&lt;/p&gt;")</f>
        <v>&lt;p&gt;X&lt;/p&gt;</v>
      </c>
      <c r="F375" s="5" t="str">
        <f>IFERROR(__xludf.DUMMYFUNCTION("""COMPUTED_VALUE"""),"N")</f>
        <v>N</v>
      </c>
      <c r="G375" s="5"/>
      <c r="H375" s="5"/>
      <c r="I375" s="5"/>
      <c r="J375" s="5"/>
      <c r="K375" s="5"/>
      <c r="L375" s="5"/>
      <c r="M375" s="5"/>
      <c r="N375" s="5">
        <f>IFERROR(__xludf.DUMMYFUNCTION("""COMPUTED_VALUE"""),11331.0)</f>
        <v>11331</v>
      </c>
      <c r="O375" s="5">
        <f>IFERROR(__xludf.DUMMYFUNCTION("""COMPUTED_VALUE"""),10335.0)</f>
        <v>10335</v>
      </c>
      <c r="P375" s="5">
        <f>IFERROR(__xludf.DUMMYFUNCTION("""COMPUTED_VALUE"""),1.0)</f>
        <v>1</v>
      </c>
      <c r="Q375" s="5" t="str">
        <f>IFERROR(__xludf.DUMMYFUNCTION("""COMPUTED_VALUE"""),"N")</f>
        <v>N</v>
      </c>
      <c r="R375" s="5" t="str">
        <f>IFERROR(__xludf.DUMMYFUNCTION("""COMPUTED_VALUE"""),"N")</f>
        <v>N</v>
      </c>
      <c r="S375" s="5"/>
      <c r="T375" s="5"/>
      <c r="U375" s="5" t="str">
        <f>IFERROR(__xludf.DUMMYFUNCTION("""COMPUTED_VALUE"""),"Y")</f>
        <v>Y</v>
      </c>
      <c r="V375" s="5">
        <f>IFERROR(__xludf.DUMMYFUNCTION("""COMPUTED_VALUE"""),505.0)</f>
        <v>505</v>
      </c>
      <c r="W375" s="5"/>
      <c r="X375" s="5"/>
      <c r="Y375" s="5"/>
      <c r="Z375" s="5"/>
    </row>
    <row r="376">
      <c r="A376" s="5" t="str">
        <f>IFERROR(__xludf.DUMMYFUNCTION("""COMPUTED_VALUE"""),"ร้าน-ไทบ้าน-ปูม้า-50/80-เมีย-(800)")</f>
        <v>ร้าน-ไทบ้าน-ปูม้า-50/80-เมีย-(800)</v>
      </c>
      <c r="B376" s="5">
        <f>IFERROR(__xludf.DUMMYFUNCTION("""COMPUTED_VALUE"""),10480.0)</f>
        <v>10480</v>
      </c>
      <c r="C376" s="5" t="str">
        <f>IFERROR(__xludf.DUMMYFUNCTION("""COMPUTED_VALUE"""),"ร้าน ไทบ้าน ปูม้า 50/80 เมีย(108)")</f>
        <v>ร้าน ไทบ้าน ปูม้า 50/80 เมีย(108)</v>
      </c>
      <c r="D376" s="5" t="str">
        <f>IFERROR(__xludf.DUMMYFUNCTION("""COMPUTED_VALUE"""),"**ร้านค้า ราคาพิเศษ")</f>
        <v>**ร้านค้า ราคาพิเศษ</v>
      </c>
      <c r="E376" s="5"/>
      <c r="F376" s="5" t="str">
        <f>IFERROR(__xludf.DUMMYFUNCTION("""COMPUTED_VALUE"""),"N")</f>
        <v>N</v>
      </c>
      <c r="G376" s="5"/>
      <c r="H376" s="5"/>
      <c r="I376" s="5"/>
      <c r="J376" s="5"/>
      <c r="K376" s="5"/>
      <c r="L376" s="5"/>
      <c r="M376" s="5"/>
      <c r="N376" s="5"/>
      <c r="O376" s="5">
        <f>IFERROR(__xludf.DUMMYFUNCTION("""COMPUTED_VALUE"""),10855.0)</f>
        <v>10855</v>
      </c>
      <c r="P376" s="5">
        <f>IFERROR(__xludf.DUMMYFUNCTION("""COMPUTED_VALUE"""),1.0)</f>
        <v>1</v>
      </c>
      <c r="Q376" s="5" t="str">
        <f>IFERROR(__xludf.DUMMYFUNCTION("""COMPUTED_VALUE"""),"N")</f>
        <v>N</v>
      </c>
      <c r="R376" s="5" t="str">
        <f>IFERROR(__xludf.DUMMYFUNCTION("""COMPUTED_VALUE"""),"N")</f>
        <v>N</v>
      </c>
      <c r="S376" s="5"/>
      <c r="T376" s="5"/>
      <c r="U376" s="5" t="str">
        <f>IFERROR(__xludf.DUMMYFUNCTION("""COMPUTED_VALUE"""),"N")</f>
        <v>N</v>
      </c>
      <c r="V376" s="5">
        <f>IFERROR(__xludf.DUMMYFUNCTION("""COMPUTED_VALUE"""),1000.0)</f>
        <v>1000</v>
      </c>
      <c r="W376" s="5"/>
      <c r="X376" s="5"/>
      <c r="Y376" s="5"/>
      <c r="Z376" s="5"/>
    </row>
    <row r="377">
      <c r="A377" s="5" t="str">
        <f>IFERROR(__xludf.DUMMYFUNCTION("""COMPUTED_VALUE"""),"ร้าน-nk-ซาลาเปาทูโทนไข่กุ้ง-5แพ็ค")</f>
        <v>ร้าน-nk-ซาลาเปาทูโทนไข่กุ้ง-5แพ็ค</v>
      </c>
      <c r="B377" s="5">
        <f>IFERROR(__xludf.DUMMYFUNCTION("""COMPUTED_VALUE"""),11434.0)</f>
        <v>11434</v>
      </c>
      <c r="C377" s="5" t="str">
        <f>IFERROR(__xludf.DUMMYFUNCTION("""COMPUTED_VALUE"""),"ร้านNK เปาทูโทนไข่กุ้ง แพ็ค")</f>
        <v>ร้านNK เปาทูโทนไข่กุ้ง แพ็ค</v>
      </c>
      <c r="D377" s="5" t="str">
        <f>IFERROR(__xludf.DUMMYFUNCTION("""COMPUTED_VALUE"""),"**ร้านค้า ราคาพิเศษ")</f>
        <v>**ร้านค้า ราคาพิเศษ</v>
      </c>
      <c r="E377" s="5" t="str">
        <f>IFERROR(__xludf.DUMMYFUNCTION("""COMPUTED_VALUE"""),"&lt;p&gt;X&lt;/p&gt;")</f>
        <v>&lt;p&gt;X&lt;/p&gt;</v>
      </c>
      <c r="F377" s="5" t="str">
        <f>IFERROR(__xludf.DUMMYFUNCTION("""COMPUTED_VALUE"""),"N")</f>
        <v>N</v>
      </c>
      <c r="G377" s="5"/>
      <c r="H377" s="5"/>
      <c r="I377" s="5"/>
      <c r="J377" s="5"/>
      <c r="K377" s="5"/>
      <c r="L377" s="5"/>
      <c r="M377" s="5"/>
      <c r="N377" s="5">
        <f>IFERROR(__xludf.DUMMYFUNCTION("""COMPUTED_VALUE"""),11434.0)</f>
        <v>11434</v>
      </c>
      <c r="O377" s="5">
        <f>IFERROR(__xludf.DUMMYFUNCTION("""COMPUTED_VALUE"""),10674.0)</f>
        <v>10674</v>
      </c>
      <c r="P377" s="5">
        <f>IFERROR(__xludf.DUMMYFUNCTION("""COMPUTED_VALUE"""),1.0)</f>
        <v>1</v>
      </c>
      <c r="Q377" s="5" t="str">
        <f>IFERROR(__xludf.DUMMYFUNCTION("""COMPUTED_VALUE"""),"N")</f>
        <v>N</v>
      </c>
      <c r="R377" s="5" t="str">
        <f>IFERROR(__xludf.DUMMYFUNCTION("""COMPUTED_VALUE"""),"N")</f>
        <v>N</v>
      </c>
      <c r="S377" s="5"/>
      <c r="T377" s="5"/>
      <c r="U377" s="5" t="str">
        <f>IFERROR(__xludf.DUMMYFUNCTION("""COMPUTED_VALUE"""),"Y")</f>
        <v>Y</v>
      </c>
      <c r="V377" s="5">
        <f>IFERROR(__xludf.DUMMYFUNCTION("""COMPUTED_VALUE"""),79.0)</f>
        <v>79</v>
      </c>
      <c r="W377" s="5"/>
      <c r="X377" s="5"/>
      <c r="Y377" s="5"/>
      <c r="Z377" s="5"/>
    </row>
    <row r="378">
      <c r="A378" s="5" t="str">
        <f>IFERROR(__xludf.DUMMYFUNCTION("""COMPUTED_VALUE"""),"ร้านตุ้ยนุ้ย-หมูนุ่มเบทาโกร-(90)")</f>
        <v>ร้านตุ้ยนุ้ย-หมูนุ่มเบทาโกร-(90)</v>
      </c>
      <c r="B378" s="5">
        <f>IFERROR(__xludf.DUMMYFUNCTION("""COMPUTED_VALUE"""),11195.0)</f>
        <v>11195</v>
      </c>
      <c r="C378" s="5" t="str">
        <f>IFERROR(__xludf.DUMMYFUNCTION("""COMPUTED_VALUE"""),"ร้านตุ้ยนุ้ย หมูนุ่มเบทาโกร (900)")</f>
        <v>ร้านตุ้ยนุ้ย หมูนุ่มเบทาโกร (900)</v>
      </c>
      <c r="D378" s="5" t="str">
        <f>IFERROR(__xludf.DUMMYFUNCTION("""COMPUTED_VALUE"""),"**ร้านค้า ราคาพิเศษ")</f>
        <v>**ร้านค้า ราคาพิเศษ</v>
      </c>
      <c r="E378" s="5" t="str">
        <f>IFERROR(__xludf.DUMMYFUNCTION("""COMPUTED_VALUE"""),"&lt;p&gt;X&lt;/p&gt;")</f>
        <v>&lt;p&gt;X&lt;/p&gt;</v>
      </c>
      <c r="F378" s="5" t="str">
        <f>IFERROR(__xludf.DUMMYFUNCTION("""COMPUTED_VALUE"""),"N")</f>
        <v>N</v>
      </c>
      <c r="G378" s="5"/>
      <c r="H378" s="5"/>
      <c r="I378" s="5"/>
      <c r="J378" s="5"/>
      <c r="K378" s="5"/>
      <c r="L378" s="5"/>
      <c r="M378" s="5"/>
      <c r="N378" s="5">
        <f>IFERROR(__xludf.DUMMYFUNCTION("""COMPUTED_VALUE"""),11195.0)</f>
        <v>11195</v>
      </c>
      <c r="O378" s="5">
        <f>IFERROR(__xludf.DUMMYFUNCTION("""COMPUTED_VALUE"""),10272.0)</f>
        <v>10272</v>
      </c>
      <c r="P378" s="5">
        <f>IFERROR(__xludf.DUMMYFUNCTION("""COMPUTED_VALUE"""),10.0)</f>
        <v>10</v>
      </c>
      <c r="Q378" s="5" t="str">
        <f>IFERROR(__xludf.DUMMYFUNCTION("""COMPUTED_VALUE"""),"N")</f>
        <v>N</v>
      </c>
      <c r="R378" s="5" t="str">
        <f>IFERROR(__xludf.DUMMYFUNCTION("""COMPUTED_VALUE"""),"N")</f>
        <v>N</v>
      </c>
      <c r="S378" s="5"/>
      <c r="T378" s="5"/>
      <c r="U378" s="5" t="str">
        <f>IFERROR(__xludf.DUMMYFUNCTION("""COMPUTED_VALUE"""),"Y")</f>
        <v>Y</v>
      </c>
      <c r="V378" s="5">
        <f>IFERROR(__xludf.DUMMYFUNCTION("""COMPUTED_VALUE"""),900.0)</f>
        <v>900</v>
      </c>
      <c r="W378" s="5"/>
      <c r="X378" s="5"/>
      <c r="Y378" s="5"/>
      <c r="Z378" s="5"/>
    </row>
    <row r="379">
      <c r="A379" s="5" t="str">
        <f>IFERROR(__xludf.DUMMYFUNCTION("""COMPUTED_VALUE"""),"บุญมา-กรอบหั่น-(88)")</f>
        <v>บุญมา-กรอบหั่น-(88)</v>
      </c>
      <c r="B379" s="5">
        <f>IFERROR(__xludf.DUMMYFUNCTION("""COMPUTED_VALUE"""),10790.0)</f>
        <v>10790</v>
      </c>
      <c r="C379" s="5" t="str">
        <f>IFERROR(__xludf.DUMMYFUNCTION("""COMPUTED_VALUE"""),"ร้านบุญมา หมึกกรอบหั่น (100)")</f>
        <v>ร้านบุญมา หมึกกรอบหั่น (100)</v>
      </c>
      <c r="D379" s="5" t="str">
        <f>IFERROR(__xludf.DUMMYFUNCTION("""COMPUTED_VALUE"""),"**ร้านค้า ราคาพิเศษ")</f>
        <v>**ร้านค้า ราคาพิเศษ</v>
      </c>
      <c r="E379" s="5"/>
      <c r="F379" s="5" t="str">
        <f>IFERROR(__xludf.DUMMYFUNCTION("""COMPUTED_VALUE"""),"N")</f>
        <v>N</v>
      </c>
      <c r="G379" s="5"/>
      <c r="H379" s="5"/>
      <c r="I379" s="5"/>
      <c r="J379" s="5"/>
      <c r="K379" s="5"/>
      <c r="L379" s="5"/>
      <c r="M379" s="5"/>
      <c r="N379" s="5"/>
      <c r="O379" s="5">
        <f>IFERROR(__xludf.DUMMYFUNCTION("""COMPUTED_VALUE"""),10232.0)</f>
        <v>10232</v>
      </c>
      <c r="P379" s="5">
        <f>IFERROR(__xludf.DUMMYFUNCTION("""COMPUTED_VALUE"""),1.0)</f>
        <v>1</v>
      </c>
      <c r="Q379" s="5" t="str">
        <f>IFERROR(__xludf.DUMMYFUNCTION("""COMPUTED_VALUE"""),"N")</f>
        <v>N</v>
      </c>
      <c r="R379" s="5" t="str">
        <f>IFERROR(__xludf.DUMMYFUNCTION("""COMPUTED_VALUE"""),"N")</f>
        <v>N</v>
      </c>
      <c r="S379" s="5"/>
      <c r="T379" s="5"/>
      <c r="U379" s="5" t="str">
        <f>IFERROR(__xludf.DUMMYFUNCTION("""COMPUTED_VALUE"""),"N")</f>
        <v>N</v>
      </c>
      <c r="V379" s="5">
        <f>IFERROR(__xludf.DUMMYFUNCTION("""COMPUTED_VALUE"""),500.0)</f>
        <v>500</v>
      </c>
      <c r="W379" s="5"/>
      <c r="X379" s="5"/>
      <c r="Y379" s="5"/>
      <c r="Z379" s="5"/>
    </row>
    <row r="380">
      <c r="A380" s="5" t="str">
        <f>IFERROR(__xludf.DUMMYFUNCTION("""COMPUTED_VALUE"""),"บุญมา-หมูบด-อนามัย--1*10-kg-(ลัง)")</f>
        <v>บุญมา-หมูบด-อนามัย--1*10-kg-(ลัง)</v>
      </c>
      <c r="B380" s="5">
        <f>IFERROR(__xludf.DUMMYFUNCTION("""COMPUTED_VALUE"""),10551.0)</f>
        <v>10551</v>
      </c>
      <c r="C380" s="5" t="str">
        <f>IFERROR(__xludf.DUMMYFUNCTION("""COMPUTED_VALUE"""),"ร้านบุญมา หมูบด อนามัย  1*10 kg (ลัง)")</f>
        <v>ร้านบุญมา หมูบด อนามัย  1*10 kg (ลัง)</v>
      </c>
      <c r="D380" s="5" t="str">
        <f>IFERROR(__xludf.DUMMYFUNCTION("""COMPUTED_VALUE"""),"**ร้านค้า ราคาพิเศษ")</f>
        <v>**ร้านค้า ราคาพิเศษ</v>
      </c>
      <c r="E380" s="5"/>
      <c r="F380" s="5" t="str">
        <f>IFERROR(__xludf.DUMMYFUNCTION("""COMPUTED_VALUE"""),"N")</f>
        <v>N</v>
      </c>
      <c r="G380" s="5"/>
      <c r="H380" s="5"/>
      <c r="I380" s="5"/>
      <c r="J380" s="5"/>
      <c r="K380" s="5"/>
      <c r="L380" s="5"/>
      <c r="M380" s="5"/>
      <c r="N380" s="5"/>
      <c r="O380" s="5">
        <f>IFERROR(__xludf.DUMMYFUNCTION("""COMPUTED_VALUE"""),10414.0)</f>
        <v>10414</v>
      </c>
      <c r="P380" s="5">
        <f>IFERROR(__xludf.DUMMYFUNCTION("""COMPUTED_VALUE"""),1.0)</f>
        <v>1</v>
      </c>
      <c r="Q380" s="5" t="str">
        <f>IFERROR(__xludf.DUMMYFUNCTION("""COMPUTED_VALUE"""),"N")</f>
        <v>N</v>
      </c>
      <c r="R380" s="5" t="str">
        <f>IFERROR(__xludf.DUMMYFUNCTION("""COMPUTED_VALUE"""),"N")</f>
        <v>N</v>
      </c>
      <c r="S380" s="5"/>
      <c r="T380" s="5"/>
      <c r="U380" s="5" t="str">
        <f>IFERROR(__xludf.DUMMYFUNCTION("""COMPUTED_VALUE"""),"Y")</f>
        <v>Y</v>
      </c>
      <c r="V380" s="5">
        <f>IFERROR(__xludf.DUMMYFUNCTION("""COMPUTED_VALUE"""),570.0)</f>
        <v>570</v>
      </c>
      <c r="W380" s="5"/>
      <c r="X380" s="5"/>
      <c r="Y380" s="5"/>
      <c r="Z380" s="5"/>
    </row>
    <row r="381">
      <c r="A381" s="5" t="str">
        <f>IFERROR(__xludf.DUMMYFUNCTION("""COMPUTED_VALUE"""),"บุญมา-อาเจนs")</f>
        <v>บุญมา-อาเจนs</v>
      </c>
      <c r="B381" s="5">
        <f>IFERROR(__xludf.DUMMYFUNCTION("""COMPUTED_VALUE"""),10440.0)</f>
        <v>10440</v>
      </c>
      <c r="C381" s="5" t="str">
        <f>IFERROR(__xludf.DUMMYFUNCTION("""COMPUTED_VALUE"""),"ร้านบุญมา อาเจน S-189")</f>
        <v>ร้านบุญมา อาเจน S-189</v>
      </c>
      <c r="D381" s="5" t="str">
        <f>IFERROR(__xludf.DUMMYFUNCTION("""COMPUTED_VALUE"""),"**ร้านค้า ราคาพิเศษ")</f>
        <v>**ร้านค้า ราคาพิเศษ</v>
      </c>
      <c r="E381" s="5"/>
      <c r="F381" s="5" t="str">
        <f>IFERROR(__xludf.DUMMYFUNCTION("""COMPUTED_VALUE"""),"Y")</f>
        <v>Y</v>
      </c>
      <c r="G381" s="5"/>
      <c r="H381" s="5"/>
      <c r="I381" s="5"/>
      <c r="J381" s="5"/>
      <c r="K381" s="5"/>
      <c r="L381" s="5"/>
      <c r="M381" s="5"/>
      <c r="N381" s="5"/>
      <c r="O381" s="5">
        <f>IFERROR(__xludf.DUMMYFUNCTION("""COMPUTED_VALUE"""),10046.0)</f>
        <v>10046</v>
      </c>
      <c r="P381" s="5">
        <f>IFERROR(__xludf.DUMMYFUNCTION("""COMPUTED_VALUE"""),1.0)</f>
        <v>1</v>
      </c>
      <c r="Q381" s="5" t="str">
        <f>IFERROR(__xludf.DUMMYFUNCTION("""COMPUTED_VALUE"""),"N")</f>
        <v>N</v>
      </c>
      <c r="R381" s="5" t="str">
        <f>IFERROR(__xludf.DUMMYFUNCTION("""COMPUTED_VALUE"""),"N")</f>
        <v>N</v>
      </c>
      <c r="S381" s="5"/>
      <c r="T381" s="5"/>
      <c r="U381" s="5" t="str">
        <f>IFERROR(__xludf.DUMMYFUNCTION("""COMPUTED_VALUE"""),"N")</f>
        <v>N</v>
      </c>
      <c r="V381" s="5">
        <f>IFERROR(__xludf.DUMMYFUNCTION("""COMPUTED_VALUE"""),189.0)</f>
        <v>189</v>
      </c>
      <c r="W381" s="5"/>
      <c r="X381" s="5"/>
      <c r="Y381" s="5"/>
      <c r="Z381" s="5"/>
    </row>
    <row r="382">
      <c r="A382" s="5" t="str">
        <f>IFERROR(__xludf.DUMMYFUNCTION("""COMPUTED_VALUE"""),"ร้านบุญมาฟาร์ม-เป็ดบด-หิ้ว-(95)")</f>
        <v>ร้านบุญมาฟาร์ม-เป็ดบด-หิ้ว-(95)</v>
      </c>
      <c r="B382" s="5">
        <f>IFERROR(__xludf.DUMMYFUNCTION("""COMPUTED_VALUE"""),11426.0)</f>
        <v>11426</v>
      </c>
      <c r="C382" s="5" t="str">
        <f>IFERROR(__xludf.DUMMYFUNCTION("""COMPUTED_VALUE"""),"ร้านบุญมา เป็ดบด หิ้ว (88)")</f>
        <v>ร้านบุญมา เป็ดบด หิ้ว (88)</v>
      </c>
      <c r="D382" s="5" t="str">
        <f>IFERROR(__xludf.DUMMYFUNCTION("""COMPUTED_VALUE"""),"**ร้านค้า ราคาพิเศษ")</f>
        <v>**ร้านค้า ราคาพิเศษ</v>
      </c>
      <c r="E382" s="5" t="str">
        <f>IFERROR(__xludf.DUMMYFUNCTION("""COMPUTED_VALUE"""),"&lt;p&gt;X&lt;/p&gt;")</f>
        <v>&lt;p&gt;X&lt;/p&gt;</v>
      </c>
      <c r="F382" s="5" t="str">
        <f>IFERROR(__xludf.DUMMYFUNCTION("""COMPUTED_VALUE"""),"N")</f>
        <v>N</v>
      </c>
      <c r="G382" s="5"/>
      <c r="H382" s="5"/>
      <c r="I382" s="5"/>
      <c r="J382" s="5"/>
      <c r="K382" s="5"/>
      <c r="L382" s="5"/>
      <c r="M382" s="5"/>
      <c r="N382" s="5">
        <f>IFERROR(__xludf.DUMMYFUNCTION("""COMPUTED_VALUE"""),11426.0)</f>
        <v>11426</v>
      </c>
      <c r="O382" s="5">
        <f>IFERROR(__xludf.DUMMYFUNCTION("""COMPUTED_VALUE"""),10171.0)</f>
        <v>10171</v>
      </c>
      <c r="P382" s="5">
        <f>IFERROR(__xludf.DUMMYFUNCTION("""COMPUTED_VALUE"""),5.0)</f>
        <v>5</v>
      </c>
      <c r="Q382" s="5" t="str">
        <f>IFERROR(__xludf.DUMMYFUNCTION("""COMPUTED_VALUE"""),"N")</f>
        <v>N</v>
      </c>
      <c r="R382" s="5" t="str">
        <f>IFERROR(__xludf.DUMMYFUNCTION("""COMPUTED_VALUE"""),"N")</f>
        <v>N</v>
      </c>
      <c r="S382" s="5"/>
      <c r="T382" s="5"/>
      <c r="U382" s="5" t="str">
        <f>IFERROR(__xludf.DUMMYFUNCTION("""COMPUTED_VALUE"""),"Y")</f>
        <v>Y</v>
      </c>
      <c r="V382" s="5">
        <f>IFERROR(__xludf.DUMMYFUNCTION("""COMPUTED_VALUE"""),440.0)</f>
        <v>440</v>
      </c>
      <c r="W382" s="5"/>
      <c r="X382" s="5"/>
      <c r="Y382" s="5"/>
      <c r="Z382" s="5"/>
    </row>
    <row r="383">
      <c r="A383" s="5" t="str">
        <f>IFERROR(__xludf.DUMMYFUNCTION("""COMPUTED_VALUE"""),"พี่นิด-เฟรนฟราย-7-มิล-(ลัง)-470")</f>
        <v>พี่นิด-เฟรนฟราย-7-มิล-(ลัง)-470</v>
      </c>
      <c r="B383" s="5">
        <f>IFERROR(__xludf.DUMMYFUNCTION("""COMPUTED_VALUE"""),10033.0)</f>
        <v>10033</v>
      </c>
      <c r="C383" s="5" t="str">
        <f>IFERROR(__xludf.DUMMYFUNCTION("""COMPUTED_VALUE"""),"ร้านพี่นิด เฟรนฟราย 7 มิล (ลัง) 500")</f>
        <v>ร้านพี่นิด เฟรนฟราย 7 มิล (ลัง) 500</v>
      </c>
      <c r="D383" s="5" t="str">
        <f>IFERROR(__xludf.DUMMYFUNCTION("""COMPUTED_VALUE"""),"**ร้านค้า ราคาพิเศษ")</f>
        <v>**ร้านค้า ราคาพิเศษ</v>
      </c>
      <c r="E383" s="5"/>
      <c r="F383" s="5" t="str">
        <f>IFERROR(__xludf.DUMMYFUNCTION("""COMPUTED_VALUE"""),"N")</f>
        <v>N</v>
      </c>
      <c r="G383" s="5"/>
      <c r="H383" s="5"/>
      <c r="I383" s="5"/>
      <c r="J383" s="5"/>
      <c r="K383" s="5"/>
      <c r="L383" s="5"/>
      <c r="M383" s="5"/>
      <c r="N383" s="5"/>
      <c r="O383" s="5">
        <f>IFERROR(__xludf.DUMMYFUNCTION("""COMPUTED_VALUE"""),10018.0)</f>
        <v>10018</v>
      </c>
      <c r="P383" s="5">
        <f>IFERROR(__xludf.DUMMYFUNCTION("""COMPUTED_VALUE"""),10.0)</f>
        <v>10</v>
      </c>
      <c r="Q383" s="5" t="str">
        <f>IFERROR(__xludf.DUMMYFUNCTION("""COMPUTED_VALUE"""),"N")</f>
        <v>N</v>
      </c>
      <c r="R383" s="5" t="str">
        <f>IFERROR(__xludf.DUMMYFUNCTION("""COMPUTED_VALUE"""),"N")</f>
        <v>N</v>
      </c>
      <c r="S383" s="5"/>
      <c r="T383" s="5"/>
      <c r="U383" s="5" t="str">
        <f>IFERROR(__xludf.DUMMYFUNCTION("""COMPUTED_VALUE"""),"Y")</f>
        <v>Y</v>
      </c>
      <c r="V383" s="5">
        <f>IFERROR(__xludf.DUMMYFUNCTION("""COMPUTED_VALUE"""),500.0)</f>
        <v>500</v>
      </c>
      <c r="W383" s="5"/>
      <c r="X383" s="5"/>
      <c r="Y383" s="5"/>
      <c r="Z383" s="5"/>
    </row>
    <row r="384">
      <c r="A384" s="5" t="str">
        <f>IFERROR(__xludf.DUMMYFUNCTION("""COMPUTED_VALUE"""),"ร้านออย-กระพรุนผ่า-(ถัง)-620")</f>
        <v>ร้านออย-กระพรุนผ่า-(ถัง)-620</v>
      </c>
      <c r="B384" s="5">
        <f>IFERROR(__xludf.DUMMYFUNCTION("""COMPUTED_VALUE"""),10814.0)</f>
        <v>10814</v>
      </c>
      <c r="C384" s="5" t="str">
        <f>IFERROR(__xludf.DUMMYFUNCTION("""COMPUTED_VALUE"""),"ร้านออย กระพรุนผ่า 690")</f>
        <v>ร้านออย กระพรุนผ่า 690</v>
      </c>
      <c r="D384" s="5" t="str">
        <f>IFERROR(__xludf.DUMMYFUNCTION("""COMPUTED_VALUE"""),"**ร้านค้า ราคาพิเศษ")</f>
        <v>**ร้านค้า ราคาพิเศษ</v>
      </c>
      <c r="E384" s="5"/>
      <c r="F384" s="5" t="str">
        <f>IFERROR(__xludf.DUMMYFUNCTION("""COMPUTED_VALUE"""),"N")</f>
        <v>N</v>
      </c>
      <c r="G384" s="5"/>
      <c r="H384" s="5"/>
      <c r="I384" s="5"/>
      <c r="J384" s="5"/>
      <c r="K384" s="5"/>
      <c r="L384" s="5"/>
      <c r="M384" s="5"/>
      <c r="N384" s="5"/>
      <c r="O384" s="5">
        <f>IFERROR(__xludf.DUMMYFUNCTION("""COMPUTED_VALUE"""),10126.0)</f>
        <v>10126</v>
      </c>
      <c r="P384" s="5">
        <f>IFERROR(__xludf.DUMMYFUNCTION("""COMPUTED_VALUE"""),1.0)</f>
        <v>1</v>
      </c>
      <c r="Q384" s="5" t="str">
        <f>IFERROR(__xludf.DUMMYFUNCTION("""COMPUTED_VALUE"""),"N")</f>
        <v>N</v>
      </c>
      <c r="R384" s="5" t="str">
        <f>IFERROR(__xludf.DUMMYFUNCTION("""COMPUTED_VALUE"""),"N")</f>
        <v>N</v>
      </c>
      <c r="S384" s="5"/>
      <c r="T384" s="5"/>
      <c r="U384" s="5" t="str">
        <f>IFERROR(__xludf.DUMMYFUNCTION("""COMPUTED_VALUE"""),"Y")</f>
        <v>Y</v>
      </c>
      <c r="V384" s="5">
        <f>IFERROR(__xludf.DUMMYFUNCTION("""COMPUTED_VALUE"""),690.0)</f>
        <v>690</v>
      </c>
      <c r="W384" s="5"/>
      <c r="X384" s="5"/>
      <c r="Y384" s="5"/>
      <c r="Z384" s="5"/>
    </row>
    <row r="385">
      <c r="A385" s="5" t="str">
        <f>IFERROR(__xludf.DUMMYFUNCTION("""COMPUTED_VALUE"""),"อาเฮีย-กุ้งแก้ว-51/60--ถุง1kg")</f>
        <v>อาเฮีย-กุ้งแก้ว-51/60--ถุง1kg</v>
      </c>
      <c r="B385" s="5">
        <f>IFERROR(__xludf.DUMMYFUNCTION("""COMPUTED_VALUE"""),10120.0)</f>
        <v>10120</v>
      </c>
      <c r="C385" s="5" t="str">
        <f>IFERROR(__xludf.DUMMYFUNCTION("""COMPUTED_VALUE"""),"ร้านอาเฮีย กุ้งแก้ว 51/60  ถุง1Kg")</f>
        <v>ร้านอาเฮีย กุ้งแก้ว 51/60  ถุง1Kg</v>
      </c>
      <c r="D385" s="5" t="str">
        <f>IFERROR(__xludf.DUMMYFUNCTION("""COMPUTED_VALUE"""),"**ร้านค้า ราคาพิเศษ")</f>
        <v>**ร้านค้า ราคาพิเศษ</v>
      </c>
      <c r="E385" s="5"/>
      <c r="F385" s="5" t="str">
        <f>IFERROR(__xludf.DUMMYFUNCTION("""COMPUTED_VALUE"""),"N")</f>
        <v>N</v>
      </c>
      <c r="G385" s="5"/>
      <c r="H385" s="5"/>
      <c r="I385" s="5"/>
      <c r="J385" s="5"/>
      <c r="K385" s="5"/>
      <c r="L385" s="5"/>
      <c r="M385" s="5"/>
      <c r="N385" s="5"/>
      <c r="O385" s="5">
        <f>IFERROR(__xludf.DUMMYFUNCTION("""COMPUTED_VALUE"""),10000.0)</f>
        <v>10000</v>
      </c>
      <c r="P385" s="5">
        <f>IFERROR(__xludf.DUMMYFUNCTION("""COMPUTED_VALUE"""),0.1)</f>
        <v>0.1</v>
      </c>
      <c r="Q385" s="5" t="str">
        <f>IFERROR(__xludf.DUMMYFUNCTION("""COMPUTED_VALUE"""),"N")</f>
        <v>N</v>
      </c>
      <c r="R385" s="5" t="str">
        <f>IFERROR(__xludf.DUMMYFUNCTION("""COMPUTED_VALUE"""),"N")</f>
        <v>N</v>
      </c>
      <c r="S385" s="5"/>
      <c r="T385" s="5"/>
      <c r="U385" s="5" t="str">
        <f>IFERROR(__xludf.DUMMYFUNCTION("""COMPUTED_VALUE"""),"Y")</f>
        <v>Y</v>
      </c>
      <c r="V385" s="5">
        <f>IFERROR(__xludf.DUMMYFUNCTION("""COMPUTED_VALUE"""),110.0)</f>
        <v>110</v>
      </c>
      <c r="W385" s="5"/>
      <c r="X385" s="5"/>
      <c r="Y385" s="5"/>
      <c r="Z385" s="5"/>
    </row>
    <row r="386">
      <c r="A386" s="5" t="str">
        <f>IFERROR(__xludf.DUMMYFUNCTION("""COMPUTED_VALUE"""),"อาเฮีย-ดอลลี่ตัว-(น้ำตาล)-ถุง1kg")</f>
        <v>อาเฮีย-ดอลลี่ตัว-(น้ำตาล)-ถุง1kg</v>
      </c>
      <c r="B386" s="5">
        <f>IFERROR(__xludf.DUMMYFUNCTION("""COMPUTED_VALUE"""),10054.0)</f>
        <v>10054</v>
      </c>
      <c r="C386" s="5" t="str">
        <f>IFERROR(__xludf.DUMMYFUNCTION("""COMPUTED_VALUE"""),"ร้านอาเฮีย ดอลลี่ตัว (น้ำตาล) ถุง1Kg")</f>
        <v>ร้านอาเฮีย ดอลลี่ตัว (น้ำตาล) ถุง1Kg</v>
      </c>
      <c r="D386" s="5" t="str">
        <f>IFERROR(__xludf.DUMMYFUNCTION("""COMPUTED_VALUE"""),"**ร้านค้า ราคาพิเศษ")</f>
        <v>**ร้านค้า ราคาพิเศษ</v>
      </c>
      <c r="E386" s="5"/>
      <c r="F386" s="5" t="str">
        <f>IFERROR(__xludf.DUMMYFUNCTION("""COMPUTED_VALUE"""),"N")</f>
        <v>N</v>
      </c>
      <c r="G386" s="5"/>
      <c r="H386" s="5"/>
      <c r="I386" s="5"/>
      <c r="J386" s="5"/>
      <c r="K386" s="5"/>
      <c r="L386" s="5"/>
      <c r="M386" s="5"/>
      <c r="N386" s="5"/>
      <c r="O386" s="5">
        <f>IFERROR(__xludf.DUMMYFUNCTION("""COMPUTED_VALUE"""),10436.0)</f>
        <v>10436</v>
      </c>
      <c r="P386" s="5">
        <f>IFERROR(__xludf.DUMMYFUNCTION("""COMPUTED_VALUE"""),1.0)</f>
        <v>1</v>
      </c>
      <c r="Q386" s="5" t="str">
        <f>IFERROR(__xludf.DUMMYFUNCTION("""COMPUTED_VALUE"""),"N")</f>
        <v>N</v>
      </c>
      <c r="R386" s="5" t="str">
        <f>IFERROR(__xludf.DUMMYFUNCTION("""COMPUTED_VALUE"""),"N")</f>
        <v>N</v>
      </c>
      <c r="S386" s="5"/>
      <c r="T386" s="5"/>
      <c r="U386" s="5" t="str">
        <f>IFERROR(__xludf.DUMMYFUNCTION("""COMPUTED_VALUE"""),"Y")</f>
        <v>Y</v>
      </c>
      <c r="V386" s="5">
        <f>IFERROR(__xludf.DUMMYFUNCTION("""COMPUTED_VALUE"""),65.0)</f>
        <v>65</v>
      </c>
      <c r="W386" s="5"/>
      <c r="X386" s="5"/>
      <c r="Y386" s="5"/>
      <c r="Z386" s="5"/>
    </row>
    <row r="387">
      <c r="A387" s="5" t="str">
        <f>IFERROR(__xludf.DUMMYFUNCTION("""COMPUTED_VALUE"""),"ร้านอาเฮีย-สามชั้นแท่ง-(155)")</f>
        <v>ร้านอาเฮีย-สามชั้นแท่ง-(155)</v>
      </c>
      <c r="B387" s="5">
        <f>IFERROR(__xludf.DUMMYFUNCTION("""COMPUTED_VALUE"""),11453.0)</f>
        <v>11453</v>
      </c>
      <c r="C387" s="5" t="str">
        <f>IFERROR(__xludf.DUMMYFUNCTION("""COMPUTED_VALUE"""),"ร้านอาเฮีย สามชั้นแท่ง เบ (165)")</f>
        <v>ร้านอาเฮีย สามชั้นแท่ง เบ (165)</v>
      </c>
      <c r="D387" s="5" t="str">
        <f>IFERROR(__xludf.DUMMYFUNCTION("""COMPUTED_VALUE"""),"**ร้านค้า ราคาพิเศษ")</f>
        <v>**ร้านค้า ราคาพิเศษ</v>
      </c>
      <c r="E387" s="5" t="str">
        <f>IFERROR(__xludf.DUMMYFUNCTION("""COMPUTED_VALUE"""),"&lt;p&gt;X&lt;/p&gt;")</f>
        <v>&lt;p&gt;X&lt;/p&gt;</v>
      </c>
      <c r="F387" s="5" t="str">
        <f>IFERROR(__xludf.DUMMYFUNCTION("""COMPUTED_VALUE"""),"Y")</f>
        <v>Y</v>
      </c>
      <c r="G387" s="5"/>
      <c r="H387" s="5"/>
      <c r="I387" s="5"/>
      <c r="J387" s="5"/>
      <c r="K387" s="5"/>
      <c r="L387" s="5"/>
      <c r="M387" s="5"/>
      <c r="N387" s="5">
        <f>IFERROR(__xludf.DUMMYFUNCTION("""COMPUTED_VALUE"""),11453.0)</f>
        <v>11453</v>
      </c>
      <c r="O387" s="5">
        <f>IFERROR(__xludf.DUMMYFUNCTION("""COMPUTED_VALUE"""),11299.0)</f>
        <v>11299</v>
      </c>
      <c r="P387" s="5">
        <f>IFERROR(__xludf.DUMMYFUNCTION("""COMPUTED_VALUE"""),1.0)</f>
        <v>1</v>
      </c>
      <c r="Q387" s="5" t="str">
        <f>IFERROR(__xludf.DUMMYFUNCTION("""COMPUTED_VALUE"""),"N")</f>
        <v>N</v>
      </c>
      <c r="R387" s="5" t="str">
        <f>IFERROR(__xludf.DUMMYFUNCTION("""COMPUTED_VALUE"""),"N")</f>
        <v>N</v>
      </c>
      <c r="S387" s="5"/>
      <c r="T387" s="5"/>
      <c r="U387" s="5" t="str">
        <f>IFERROR(__xludf.DUMMYFUNCTION("""COMPUTED_VALUE"""),"Y")</f>
        <v>Y</v>
      </c>
      <c r="V387" s="5">
        <f>IFERROR(__xludf.DUMMYFUNCTION("""COMPUTED_VALUE"""),165.0)</f>
        <v>165</v>
      </c>
      <c r="W387" s="5"/>
      <c r="X387" s="5"/>
      <c r="Y387" s="5"/>
      <c r="Z387" s="5"/>
    </row>
    <row r="388">
      <c r="A388" s="5" t="str">
        <f>IFERROR(__xludf.DUMMYFUNCTION("""COMPUTED_VALUE"""),"เนื้อเนือออส-(230)")</f>
        <v>เนื้อเนือออส-(230)</v>
      </c>
      <c r="B388" s="5">
        <f>IFERROR(__xludf.DUMMYFUNCTION("""COMPUTED_VALUE"""),11285.0)</f>
        <v>11285</v>
      </c>
      <c r="C388" s="5" t="str">
        <f>IFERROR(__xludf.DUMMYFUNCTION("""COMPUTED_VALUE"""),"ร้านอาเฮีย เสือออส พิเศษ (265)")</f>
        <v>ร้านอาเฮีย เสือออส พิเศษ (265)</v>
      </c>
      <c r="D388" s="5" t="str">
        <f>IFERROR(__xludf.DUMMYFUNCTION("""COMPUTED_VALUE"""),"**ร้านค้า ราคาพิเศษ")</f>
        <v>**ร้านค้า ราคาพิเศษ</v>
      </c>
      <c r="E388" s="5" t="str">
        <f>IFERROR(__xludf.DUMMYFUNCTION("""COMPUTED_VALUE"""),"&lt;p&gt;X&lt;/p&gt;")</f>
        <v>&lt;p&gt;X&lt;/p&gt;</v>
      </c>
      <c r="F388" s="5" t="str">
        <f>IFERROR(__xludf.DUMMYFUNCTION("""COMPUTED_VALUE"""),"Y")</f>
        <v>Y</v>
      </c>
      <c r="G388" s="5"/>
      <c r="H388" s="5"/>
      <c r="I388" s="5"/>
      <c r="J388" s="5"/>
      <c r="K388" s="5"/>
      <c r="L388" s="5"/>
      <c r="M388" s="5"/>
      <c r="N388" s="5">
        <f>IFERROR(__xludf.DUMMYFUNCTION("""COMPUTED_VALUE"""),11285.0)</f>
        <v>11285</v>
      </c>
      <c r="O388" s="5">
        <f>IFERROR(__xludf.DUMMYFUNCTION("""COMPUTED_VALUE"""),10715.0)</f>
        <v>10715</v>
      </c>
      <c r="P388" s="5">
        <f>IFERROR(__xludf.DUMMYFUNCTION("""COMPUTED_VALUE"""),1.0)</f>
        <v>1</v>
      </c>
      <c r="Q388" s="5" t="str">
        <f>IFERROR(__xludf.DUMMYFUNCTION("""COMPUTED_VALUE"""),"N")</f>
        <v>N</v>
      </c>
      <c r="R388" s="5" t="str">
        <f>IFERROR(__xludf.DUMMYFUNCTION("""COMPUTED_VALUE"""),"N")</f>
        <v>N</v>
      </c>
      <c r="S388" s="5"/>
      <c r="T388" s="5"/>
      <c r="U388" s="5" t="str">
        <f>IFERROR(__xludf.DUMMYFUNCTION("""COMPUTED_VALUE"""),"Y")</f>
        <v>Y</v>
      </c>
      <c r="V388" s="5">
        <f>IFERROR(__xludf.DUMMYFUNCTION("""COMPUTED_VALUE"""),265.0)</f>
        <v>265</v>
      </c>
      <c r="W388" s="5"/>
      <c r="X388" s="5"/>
      <c r="Y388" s="5"/>
      <c r="Z388" s="5"/>
    </row>
    <row r="389">
      <c r="A389" s="5" t="str">
        <f>IFERROR(__xludf.DUMMYFUNCTION("""COMPUTED_VALUE"""),"สันคอแท่ง-เบราโกร-พิเศษ-(138)")</f>
        <v>สันคอแท่ง-เบราโกร-พิเศษ-(138)</v>
      </c>
      <c r="B389" s="5">
        <f>IFERROR(__xludf.DUMMYFUNCTION("""COMPUTED_VALUE"""),10786.0)</f>
        <v>10786</v>
      </c>
      <c r="C389" s="5" t="str">
        <f>IFERROR(__xludf.DUMMYFUNCTION("""COMPUTED_VALUE"""),"ร้านอาเฮียสันคอแท่ง เบ (158)")</f>
        <v>ร้านอาเฮียสันคอแท่ง เบ (158)</v>
      </c>
      <c r="D389" s="5" t="str">
        <f>IFERROR(__xludf.DUMMYFUNCTION("""COMPUTED_VALUE"""),"**ร้านค้า ราคาพิเศษ")</f>
        <v>**ร้านค้า ราคาพิเศษ</v>
      </c>
      <c r="E389" s="5" t="str">
        <f>IFERROR(__xludf.DUMMYFUNCTION("""COMPUTED_VALUE"""),"&lt;p&gt;X&lt;/p&gt;")</f>
        <v>&lt;p&gt;X&lt;/p&gt;</v>
      </c>
      <c r="F389" s="5" t="str">
        <f>IFERROR(__xludf.DUMMYFUNCTION("""COMPUTED_VALUE"""),"Y")</f>
        <v>Y</v>
      </c>
      <c r="G389" s="5"/>
      <c r="H389" s="5"/>
      <c r="I389" s="5"/>
      <c r="J389" s="5"/>
      <c r="K389" s="5"/>
      <c r="L389" s="5"/>
      <c r="M389" s="5"/>
      <c r="N389" s="5">
        <f>IFERROR(__xludf.DUMMYFUNCTION("""COMPUTED_VALUE"""),10786.0)</f>
        <v>10786</v>
      </c>
      <c r="O389" s="5">
        <f>IFERROR(__xludf.DUMMYFUNCTION("""COMPUTED_VALUE"""),11178.0)</f>
        <v>11178</v>
      </c>
      <c r="P389" s="5">
        <f>IFERROR(__xludf.DUMMYFUNCTION("""COMPUTED_VALUE"""),1.0)</f>
        <v>1</v>
      </c>
      <c r="Q389" s="5" t="str">
        <f>IFERROR(__xludf.DUMMYFUNCTION("""COMPUTED_VALUE"""),"N")</f>
        <v>N</v>
      </c>
      <c r="R389" s="5" t="str">
        <f>IFERROR(__xludf.DUMMYFUNCTION("""COMPUTED_VALUE"""),"N")</f>
        <v>N</v>
      </c>
      <c r="S389" s="5"/>
      <c r="T389" s="5"/>
      <c r="U389" s="5" t="str">
        <f>IFERROR(__xludf.DUMMYFUNCTION("""COMPUTED_VALUE"""),"Y")</f>
        <v>Y</v>
      </c>
      <c r="V389" s="5">
        <f>IFERROR(__xludf.DUMMYFUNCTION("""COMPUTED_VALUE"""),158.0)</f>
        <v>158</v>
      </c>
      <c r="W389" s="5"/>
      <c r="X389" s="5"/>
      <c r="Y389" s="5"/>
      <c r="Z389" s="5"/>
    </row>
    <row r="390">
      <c r="A390" s="5" t="str">
        <f>IFERROR(__xludf.DUMMYFUNCTION("""COMPUTED_VALUE"""),"ร้านเจ๊นงค์-สไบนางหั่น(82)")</f>
        <v>ร้านเจ๊นงค์-สไบนางหั่น(82)</v>
      </c>
      <c r="B390" s="5">
        <f>IFERROR(__xludf.DUMMYFUNCTION("""COMPUTED_VALUE"""),10753.0)</f>
        <v>10753</v>
      </c>
      <c r="C390" s="5" t="str">
        <f>IFERROR(__xludf.DUMMYFUNCTION("""COMPUTED_VALUE"""),"ร้านเจ๊นงค์ สไบหั่น (138)")</f>
        <v>ร้านเจ๊นงค์ สไบหั่น (138)</v>
      </c>
      <c r="D390" s="5" t="str">
        <f>IFERROR(__xludf.DUMMYFUNCTION("""COMPUTED_VALUE"""),"**ร้านค้า ราคาพิเศษ")</f>
        <v>**ร้านค้า ราคาพิเศษ</v>
      </c>
      <c r="E390" s="5" t="str">
        <f>IFERROR(__xludf.DUMMYFUNCTION("""COMPUTED_VALUE"""),"&lt;p&gt;X&lt;/p&gt;")</f>
        <v>&lt;p&gt;X&lt;/p&gt;</v>
      </c>
      <c r="F390" s="5" t="str">
        <f>IFERROR(__xludf.DUMMYFUNCTION("""COMPUTED_VALUE"""),"N")</f>
        <v>N</v>
      </c>
      <c r="G390" s="5"/>
      <c r="H390" s="5"/>
      <c r="I390" s="5"/>
      <c r="J390" s="5"/>
      <c r="K390" s="5"/>
      <c r="L390" s="5"/>
      <c r="M390" s="5"/>
      <c r="N390" s="5">
        <f>IFERROR(__xludf.DUMMYFUNCTION("""COMPUTED_VALUE"""),10753.0)</f>
        <v>10753</v>
      </c>
      <c r="O390" s="5">
        <f>IFERROR(__xludf.DUMMYFUNCTION("""COMPUTED_VALUE"""),10233.0)</f>
        <v>10233</v>
      </c>
      <c r="P390" s="5">
        <f>IFERROR(__xludf.DUMMYFUNCTION("""COMPUTED_VALUE"""),1.0)</f>
        <v>1</v>
      </c>
      <c r="Q390" s="5" t="str">
        <f>IFERROR(__xludf.DUMMYFUNCTION("""COMPUTED_VALUE"""),"N")</f>
        <v>N</v>
      </c>
      <c r="R390" s="5" t="str">
        <f>IFERROR(__xludf.DUMMYFUNCTION("""COMPUTED_VALUE"""),"N")</f>
        <v>N</v>
      </c>
      <c r="S390" s="5"/>
      <c r="T390" s="5"/>
      <c r="U390" s="5" t="str">
        <f>IFERROR(__xludf.DUMMYFUNCTION("""COMPUTED_VALUE"""),"Y")</f>
        <v>Y</v>
      </c>
      <c r="V390" s="5">
        <f>IFERROR(__xludf.DUMMYFUNCTION("""COMPUTED_VALUE"""),690.0)</f>
        <v>690</v>
      </c>
      <c r="W390" s="5"/>
      <c r="X390" s="5"/>
      <c r="Y390" s="5"/>
      <c r="Z390" s="5"/>
    </row>
    <row r="391">
      <c r="A391" s="5" t="str">
        <f>IFERROR(__xludf.DUMMYFUNCTION("""COMPUTED_VALUE"""),"ร้านเจ๊นงค์-หมึกกรอบตัว-(96)")</f>
        <v>ร้านเจ๊นงค์-หมึกกรอบตัว-(96)</v>
      </c>
      <c r="B391" s="5">
        <f>IFERROR(__xludf.DUMMYFUNCTION("""COMPUTED_VALUE"""),10101.0)</f>
        <v>10101</v>
      </c>
      <c r="C391" s="5" t="str">
        <f>IFERROR(__xludf.DUMMYFUNCTION("""COMPUTED_VALUE"""),"ร้านเจ๊นงค์ หมึกกรอบตัว (100)")</f>
        <v>ร้านเจ๊นงค์ หมึกกรอบตัว (100)</v>
      </c>
      <c r="D391" s="5" t="str">
        <f>IFERROR(__xludf.DUMMYFUNCTION("""COMPUTED_VALUE"""),"**ร้านค้า ราคาพิเศษ")</f>
        <v>**ร้านค้า ราคาพิเศษ</v>
      </c>
      <c r="E391" s="5"/>
      <c r="F391" s="5" t="str">
        <f>IFERROR(__xludf.DUMMYFUNCTION("""COMPUTED_VALUE"""),"N")</f>
        <v>N</v>
      </c>
      <c r="G391" s="5"/>
      <c r="H391" s="5"/>
      <c r="I391" s="5"/>
      <c r="J391" s="5"/>
      <c r="K391" s="5"/>
      <c r="L391" s="5"/>
      <c r="M391" s="5"/>
      <c r="N391" s="5"/>
      <c r="O391" s="5">
        <f>IFERROR(__xludf.DUMMYFUNCTION("""COMPUTED_VALUE"""),10335.0)</f>
        <v>10335</v>
      </c>
      <c r="P391" s="5">
        <f>IFERROR(__xludf.DUMMYFUNCTION("""COMPUTED_VALUE"""),1.0)</f>
        <v>1</v>
      </c>
      <c r="Q391" s="5" t="str">
        <f>IFERROR(__xludf.DUMMYFUNCTION("""COMPUTED_VALUE"""),"N")</f>
        <v>N</v>
      </c>
      <c r="R391" s="5" t="str">
        <f>IFERROR(__xludf.DUMMYFUNCTION("""COMPUTED_VALUE"""),"N")</f>
        <v>N</v>
      </c>
      <c r="S391" s="5"/>
      <c r="T391" s="5"/>
      <c r="U391" s="5" t="str">
        <f>IFERROR(__xludf.DUMMYFUNCTION("""COMPUTED_VALUE"""),"Y")</f>
        <v>Y</v>
      </c>
      <c r="V391" s="5">
        <f>IFERROR(__xludf.DUMMYFUNCTION("""COMPUTED_VALUE"""),500.0)</f>
        <v>500</v>
      </c>
      <c r="W391" s="5"/>
      <c r="X391" s="5"/>
      <c r="Y391" s="5"/>
      <c r="Z391" s="5"/>
    </row>
    <row r="392">
      <c r="A392" s="5" t="str">
        <f>IFERROR(__xludf.DUMMYFUNCTION("""COMPUTED_VALUE"""),"ร้านเจ๊นงค์-กรอบหั่น-(62)")</f>
        <v>ร้านเจ๊นงค์-กรอบหั่น-(62)</v>
      </c>
      <c r="B392" s="5">
        <f>IFERROR(__xludf.DUMMYFUNCTION("""COMPUTED_VALUE"""),11479.0)</f>
        <v>11479</v>
      </c>
      <c r="C392" s="5" t="str">
        <f>IFERROR(__xludf.DUMMYFUNCTION("""COMPUTED_VALUE"""),"ร้านเจ๊นงค์ หมึกกรอบหั่น(100)")</f>
        <v>ร้านเจ๊นงค์ หมึกกรอบหั่น(100)</v>
      </c>
      <c r="D392" s="5" t="str">
        <f>IFERROR(__xludf.DUMMYFUNCTION("""COMPUTED_VALUE"""),"**ร้านค้า ราคาพิเศษ")</f>
        <v>**ร้านค้า ราคาพิเศษ</v>
      </c>
      <c r="E392" s="5" t="str">
        <f>IFERROR(__xludf.DUMMYFUNCTION("""COMPUTED_VALUE"""),"&lt;p&gt;X&lt;/p&gt;")</f>
        <v>&lt;p&gt;X&lt;/p&gt;</v>
      </c>
      <c r="F392" s="5" t="str">
        <f>IFERROR(__xludf.DUMMYFUNCTION("""COMPUTED_VALUE"""),"N")</f>
        <v>N</v>
      </c>
      <c r="G392" s="5"/>
      <c r="H392" s="5"/>
      <c r="I392" s="5"/>
      <c r="J392" s="5"/>
      <c r="K392" s="5"/>
      <c r="L392" s="5"/>
      <c r="M392" s="5"/>
      <c r="N392" s="5">
        <f>IFERROR(__xludf.DUMMYFUNCTION("""COMPUTED_VALUE"""),11479.0)</f>
        <v>11479</v>
      </c>
      <c r="O392" s="5">
        <f>IFERROR(__xludf.DUMMYFUNCTION("""COMPUTED_VALUE"""),10232.0)</f>
        <v>10232</v>
      </c>
      <c r="P392" s="5">
        <f>IFERROR(__xludf.DUMMYFUNCTION("""COMPUTED_VALUE"""),1.0)</f>
        <v>1</v>
      </c>
      <c r="Q392" s="5" t="str">
        <f>IFERROR(__xludf.DUMMYFUNCTION("""COMPUTED_VALUE"""),"N")</f>
        <v>N</v>
      </c>
      <c r="R392" s="5" t="str">
        <f>IFERROR(__xludf.DUMMYFUNCTION("""COMPUTED_VALUE"""),"N")</f>
        <v>N</v>
      </c>
      <c r="S392" s="5"/>
      <c r="T392" s="5"/>
      <c r="U392" s="5" t="str">
        <f>IFERROR(__xludf.DUMMYFUNCTION("""COMPUTED_VALUE"""),"Y")</f>
        <v>Y</v>
      </c>
      <c r="V392" s="5">
        <f>IFERROR(__xludf.DUMMYFUNCTION("""COMPUTED_VALUE"""),500.0)</f>
        <v>500</v>
      </c>
      <c r="W392" s="5"/>
      <c r="X392" s="5"/>
      <c r="Y392" s="5"/>
      <c r="Z392" s="5"/>
    </row>
    <row r="393">
      <c r="A393" s="5" t="str">
        <f>IFERROR(__xludf.DUMMYFUNCTION("""COMPUTED_VALUE"""),"ร้านเย็น-สามชั้นหมัก-งา-vj-(103)")</f>
        <v>ร้านเย็น-สามชั้นหมัก-งา-vj-(103)</v>
      </c>
      <c r="B393" s="5">
        <f>IFERROR(__xludf.DUMMYFUNCTION("""COMPUTED_VALUE"""),11115.0)</f>
        <v>11115</v>
      </c>
      <c r="C393" s="5" t="str">
        <f>IFERROR(__xludf.DUMMYFUNCTION("""COMPUTED_VALUE"""),"ร้านเย็น 2K งา  (94)")</f>
        <v>ร้านเย็น 2K งา  (94)</v>
      </c>
      <c r="D393" s="5" t="str">
        <f>IFERROR(__xludf.DUMMYFUNCTION("""COMPUTED_VALUE"""),"**ร้านค้า ราคาพิเศษ")</f>
        <v>**ร้านค้า ราคาพิเศษ</v>
      </c>
      <c r="E393" s="5" t="str">
        <f>IFERROR(__xludf.DUMMYFUNCTION("""COMPUTED_VALUE"""),"&lt;p&gt;X&lt;/p&gt;")</f>
        <v>&lt;p&gt;X&lt;/p&gt;</v>
      </c>
      <c r="F393" s="5" t="str">
        <f>IFERROR(__xludf.DUMMYFUNCTION("""COMPUTED_VALUE"""),"N")</f>
        <v>N</v>
      </c>
      <c r="G393" s="5"/>
      <c r="H393" s="5"/>
      <c r="I393" s="5"/>
      <c r="J393" s="5"/>
      <c r="K393" s="5"/>
      <c r="L393" s="5"/>
      <c r="M393" s="5"/>
      <c r="N393" s="5">
        <f>IFERROR(__xludf.DUMMYFUNCTION("""COMPUTED_VALUE"""),11115.0)</f>
        <v>11115</v>
      </c>
      <c r="O393" s="5">
        <f>IFERROR(__xludf.DUMMYFUNCTION("""COMPUTED_VALUE"""),10363.0)</f>
        <v>10363</v>
      </c>
      <c r="P393" s="5">
        <f>IFERROR(__xludf.DUMMYFUNCTION("""COMPUTED_VALUE"""),1.0)</f>
        <v>1</v>
      </c>
      <c r="Q393" s="5" t="str">
        <f>IFERROR(__xludf.DUMMYFUNCTION("""COMPUTED_VALUE"""),"N")</f>
        <v>N</v>
      </c>
      <c r="R393" s="5" t="str">
        <f>IFERROR(__xludf.DUMMYFUNCTION("""COMPUTED_VALUE"""),"N")</f>
        <v>N</v>
      </c>
      <c r="S393" s="5"/>
      <c r="T393" s="5"/>
      <c r="U393" s="5" t="str">
        <f>IFERROR(__xludf.DUMMYFUNCTION("""COMPUTED_VALUE"""),"N")</f>
        <v>N</v>
      </c>
      <c r="V393" s="5">
        <f>IFERROR(__xludf.DUMMYFUNCTION("""COMPUTED_VALUE"""),470.0)</f>
        <v>470</v>
      </c>
      <c r="W393" s="5"/>
      <c r="X393" s="5"/>
      <c r="Y393" s="5"/>
      <c r="Z393" s="5"/>
    </row>
    <row r="394">
      <c r="A394" s="5" t="str">
        <f>IFERROR(__xludf.DUMMYFUNCTION("""COMPUTED_VALUE"""),"ร้านเย็น-น้ำผึ้งsc(75)")</f>
        <v>ร้านเย็น-น้ำผึ้งsc(75)</v>
      </c>
      <c r="B394" s="5">
        <f>IFERROR(__xludf.DUMMYFUNCTION("""COMPUTED_VALUE"""),11405.0)</f>
        <v>11405</v>
      </c>
      <c r="C394" s="5" t="str">
        <f>IFERROR(__xludf.DUMMYFUNCTION("""COMPUTED_VALUE"""),"ร้านเย็น s.c  น้ำผึ้ง (75)")</f>
        <v>ร้านเย็น s.c  น้ำผึ้ง (75)</v>
      </c>
      <c r="D394" s="5" t="str">
        <f>IFERROR(__xludf.DUMMYFUNCTION("""COMPUTED_VALUE"""),"**ร้านค้า ราคาพิเศษ")</f>
        <v>**ร้านค้า ราคาพิเศษ</v>
      </c>
      <c r="E394" s="5" t="str">
        <f>IFERROR(__xludf.DUMMYFUNCTION("""COMPUTED_VALUE"""),"&lt;p&gt;X&lt;/p&gt;")</f>
        <v>&lt;p&gt;X&lt;/p&gt;</v>
      </c>
      <c r="F394" s="5" t="str">
        <f>IFERROR(__xludf.DUMMYFUNCTION("""COMPUTED_VALUE"""),"N")</f>
        <v>N</v>
      </c>
      <c r="G394" s="5"/>
      <c r="H394" s="5"/>
      <c r="I394" s="5"/>
      <c r="J394" s="5"/>
      <c r="K394" s="5"/>
      <c r="L394" s="5"/>
      <c r="M394" s="5"/>
      <c r="N394" s="5">
        <f>IFERROR(__xludf.DUMMYFUNCTION("""COMPUTED_VALUE"""),11405.0)</f>
        <v>11405</v>
      </c>
      <c r="O394" s="5">
        <f>IFERROR(__xludf.DUMMYFUNCTION("""COMPUTED_VALUE"""),10161.0)</f>
        <v>10161</v>
      </c>
      <c r="P394" s="5">
        <f>IFERROR(__xludf.DUMMYFUNCTION("""COMPUTED_VALUE"""),1.0)</f>
        <v>1</v>
      </c>
      <c r="Q394" s="5" t="str">
        <f>IFERROR(__xludf.DUMMYFUNCTION("""COMPUTED_VALUE"""),"N")</f>
        <v>N</v>
      </c>
      <c r="R394" s="5" t="str">
        <f>IFERROR(__xludf.DUMMYFUNCTION("""COMPUTED_VALUE"""),"N")</f>
        <v>N</v>
      </c>
      <c r="S394" s="5"/>
      <c r="T394" s="5"/>
      <c r="U394" s="5" t="str">
        <f>IFERROR(__xludf.DUMMYFUNCTION("""COMPUTED_VALUE"""),"Y")</f>
        <v>Y</v>
      </c>
      <c r="V394" s="5">
        <f>IFERROR(__xludf.DUMMYFUNCTION("""COMPUTED_VALUE"""),375.0)</f>
        <v>375</v>
      </c>
      <c r="W394" s="5"/>
      <c r="X394" s="5"/>
      <c r="Y394" s="5"/>
      <c r="Z394" s="5"/>
    </row>
    <row r="395">
      <c r="A395" s="5" t="str">
        <f>IFERROR(__xludf.DUMMYFUNCTION("""COMPUTED_VALUE"""),"ร้านเย็น-นุ่มsc(75)")</f>
        <v>ร้านเย็น-นุ่มsc(75)</v>
      </c>
      <c r="B395" s="5">
        <f>IFERROR(__xludf.DUMMYFUNCTION("""COMPUTED_VALUE"""),11401.0)</f>
        <v>11401</v>
      </c>
      <c r="C395" s="5" t="str">
        <f>IFERROR(__xludf.DUMMYFUNCTION("""COMPUTED_VALUE"""),"ร้านเย็น s.c  นุ่ม (75)")</f>
        <v>ร้านเย็น s.c  นุ่ม (75)</v>
      </c>
      <c r="D395" s="5" t="str">
        <f>IFERROR(__xludf.DUMMYFUNCTION("""COMPUTED_VALUE"""),"**ร้านค้า ราคาพิเศษ")</f>
        <v>**ร้านค้า ราคาพิเศษ</v>
      </c>
      <c r="E395" s="5" t="str">
        <f>IFERROR(__xludf.DUMMYFUNCTION("""COMPUTED_VALUE"""),"&lt;p&gt;X&lt;/p&gt;")</f>
        <v>&lt;p&gt;X&lt;/p&gt;</v>
      </c>
      <c r="F395" s="5" t="str">
        <f>IFERROR(__xludf.DUMMYFUNCTION("""COMPUTED_VALUE"""),"N")</f>
        <v>N</v>
      </c>
      <c r="G395" s="5"/>
      <c r="H395" s="5"/>
      <c r="I395" s="5"/>
      <c r="J395" s="5"/>
      <c r="K395" s="5"/>
      <c r="L395" s="5"/>
      <c r="M395" s="5"/>
      <c r="N395" s="5">
        <f>IFERROR(__xludf.DUMMYFUNCTION("""COMPUTED_VALUE"""),11401.0)</f>
        <v>11401</v>
      </c>
      <c r="O395" s="5">
        <f>IFERROR(__xludf.DUMMYFUNCTION("""COMPUTED_VALUE"""),10159.0)</f>
        <v>10159</v>
      </c>
      <c r="P395" s="5">
        <f>IFERROR(__xludf.DUMMYFUNCTION("""COMPUTED_VALUE"""),1.0)</f>
        <v>1</v>
      </c>
      <c r="Q395" s="5" t="str">
        <f>IFERROR(__xludf.DUMMYFUNCTION("""COMPUTED_VALUE"""),"N")</f>
        <v>N</v>
      </c>
      <c r="R395" s="5" t="str">
        <f>IFERROR(__xludf.DUMMYFUNCTION("""COMPUTED_VALUE"""),"N")</f>
        <v>N</v>
      </c>
      <c r="S395" s="5"/>
      <c r="T395" s="5"/>
      <c r="U395" s="5" t="str">
        <f>IFERROR(__xludf.DUMMYFUNCTION("""COMPUTED_VALUE"""),"Y")</f>
        <v>Y</v>
      </c>
      <c r="V395" s="5">
        <f>IFERROR(__xludf.DUMMYFUNCTION("""COMPUTED_VALUE"""),375.0)</f>
        <v>375</v>
      </c>
      <c r="W395" s="5"/>
      <c r="X395" s="5"/>
      <c r="Y395" s="5"/>
      <c r="Z395" s="5"/>
    </row>
    <row r="396">
      <c r="A396" s="5" t="str">
        <f>IFERROR(__xludf.DUMMYFUNCTION("""COMPUTED_VALUE"""),"ร้านเย็น-บาร์บิคิว-sc(75)")</f>
        <v>ร้านเย็น-บาร์บิคิว-sc(75)</v>
      </c>
      <c r="B396" s="5">
        <f>IFERROR(__xludf.DUMMYFUNCTION("""COMPUTED_VALUE"""),11407.0)</f>
        <v>11407</v>
      </c>
      <c r="C396" s="5" t="str">
        <f>IFERROR(__xludf.DUMMYFUNCTION("""COMPUTED_VALUE"""),"ร้านเย็น s.c  บาร์บีคิว (75)")</f>
        <v>ร้านเย็น s.c  บาร์บีคิว (75)</v>
      </c>
      <c r="D396" s="5" t="str">
        <f>IFERROR(__xludf.DUMMYFUNCTION("""COMPUTED_VALUE"""),"**ร้านค้า ราคาพิเศษ")</f>
        <v>**ร้านค้า ราคาพิเศษ</v>
      </c>
      <c r="E396" s="5" t="str">
        <f>IFERROR(__xludf.DUMMYFUNCTION("""COMPUTED_VALUE"""),"&lt;p&gt;X&lt;/p&gt;")</f>
        <v>&lt;p&gt;X&lt;/p&gt;</v>
      </c>
      <c r="F396" s="5" t="str">
        <f>IFERROR(__xludf.DUMMYFUNCTION("""COMPUTED_VALUE"""),"N")</f>
        <v>N</v>
      </c>
      <c r="G396" s="5"/>
      <c r="H396" s="5"/>
      <c r="I396" s="5"/>
      <c r="J396" s="5"/>
      <c r="K396" s="5"/>
      <c r="L396" s="5"/>
      <c r="M396" s="5"/>
      <c r="N396" s="5">
        <f>IFERROR(__xludf.DUMMYFUNCTION("""COMPUTED_VALUE"""),11407.0)</f>
        <v>11407</v>
      </c>
      <c r="O396" s="5">
        <f>IFERROR(__xludf.DUMMYFUNCTION("""COMPUTED_VALUE"""),10162.0)</f>
        <v>10162</v>
      </c>
      <c r="P396" s="5">
        <f>IFERROR(__xludf.DUMMYFUNCTION("""COMPUTED_VALUE"""),1.0)</f>
        <v>1</v>
      </c>
      <c r="Q396" s="5" t="str">
        <f>IFERROR(__xludf.DUMMYFUNCTION("""COMPUTED_VALUE"""),"N")</f>
        <v>N</v>
      </c>
      <c r="R396" s="5" t="str">
        <f>IFERROR(__xludf.DUMMYFUNCTION("""COMPUTED_VALUE"""),"N")</f>
        <v>N</v>
      </c>
      <c r="S396" s="5"/>
      <c r="T396" s="5"/>
      <c r="U396" s="5" t="str">
        <f>IFERROR(__xludf.DUMMYFUNCTION("""COMPUTED_VALUE"""),"Y")</f>
        <v>Y</v>
      </c>
      <c r="V396" s="5">
        <f>IFERROR(__xludf.DUMMYFUNCTION("""COMPUTED_VALUE"""),375.0)</f>
        <v>375</v>
      </c>
      <c r="W396" s="5"/>
      <c r="X396" s="5"/>
      <c r="Y396" s="5"/>
      <c r="Z396" s="5"/>
    </row>
    <row r="397">
      <c r="A397" s="5" t="str">
        <f>IFERROR(__xludf.DUMMYFUNCTION("""COMPUTED_VALUE"""),"ร้านเย็น-พริกไทยsc(75)")</f>
        <v>ร้านเย็น-พริกไทยsc(75)</v>
      </c>
      <c r="B397" s="5">
        <f>IFERROR(__xludf.DUMMYFUNCTION("""COMPUTED_VALUE"""),11402.0)</f>
        <v>11402</v>
      </c>
      <c r="C397" s="5" t="str">
        <f>IFERROR(__xludf.DUMMYFUNCTION("""COMPUTED_VALUE"""),"ร้านเย็น s.c  พริกไทย (75)")</f>
        <v>ร้านเย็น s.c  พริกไทย (75)</v>
      </c>
      <c r="D397" s="5" t="str">
        <f>IFERROR(__xludf.DUMMYFUNCTION("""COMPUTED_VALUE"""),"**ร้านค้า ราคาพิเศษ")</f>
        <v>**ร้านค้า ราคาพิเศษ</v>
      </c>
      <c r="E397" s="5" t="str">
        <f>IFERROR(__xludf.DUMMYFUNCTION("""COMPUTED_VALUE"""),"&lt;p&gt;X&lt;/p&gt;")</f>
        <v>&lt;p&gt;X&lt;/p&gt;</v>
      </c>
      <c r="F397" s="5" t="str">
        <f>IFERROR(__xludf.DUMMYFUNCTION("""COMPUTED_VALUE"""),"N")</f>
        <v>N</v>
      </c>
      <c r="G397" s="5"/>
      <c r="H397" s="5"/>
      <c r="I397" s="5"/>
      <c r="J397" s="5"/>
      <c r="K397" s="5"/>
      <c r="L397" s="5"/>
      <c r="M397" s="5"/>
      <c r="N397" s="5">
        <f>IFERROR(__xludf.DUMMYFUNCTION("""COMPUTED_VALUE"""),11402.0)</f>
        <v>11402</v>
      </c>
      <c r="O397" s="5">
        <f>IFERROR(__xludf.DUMMYFUNCTION("""COMPUTED_VALUE"""),10163.0)</f>
        <v>10163</v>
      </c>
      <c r="P397" s="5">
        <f>IFERROR(__xludf.DUMMYFUNCTION("""COMPUTED_VALUE"""),1.0)</f>
        <v>1</v>
      </c>
      <c r="Q397" s="5" t="str">
        <f>IFERROR(__xludf.DUMMYFUNCTION("""COMPUTED_VALUE"""),"N")</f>
        <v>N</v>
      </c>
      <c r="R397" s="5" t="str">
        <f>IFERROR(__xludf.DUMMYFUNCTION("""COMPUTED_VALUE"""),"N")</f>
        <v>N</v>
      </c>
      <c r="S397" s="5"/>
      <c r="T397" s="5"/>
      <c r="U397" s="5" t="str">
        <f>IFERROR(__xludf.DUMMYFUNCTION("""COMPUTED_VALUE"""),"Y")</f>
        <v>Y</v>
      </c>
      <c r="V397" s="5">
        <f>IFERROR(__xludf.DUMMYFUNCTION("""COMPUTED_VALUE"""),375.0)</f>
        <v>375</v>
      </c>
      <c r="W397" s="5"/>
      <c r="X397" s="5"/>
      <c r="Y397" s="5"/>
      <c r="Z397" s="5"/>
    </row>
    <row r="398">
      <c r="A398" s="5" t="str">
        <f>IFERROR(__xludf.DUMMYFUNCTION("""COMPUTED_VALUE"""),"ร้านเย็น-หมูงาสมชาย-(75)")</f>
        <v>ร้านเย็น-หมูงาสมชาย-(75)</v>
      </c>
      <c r="B398" s="5">
        <f>IFERROR(__xludf.DUMMYFUNCTION("""COMPUTED_VALUE"""),11400.0)</f>
        <v>11400</v>
      </c>
      <c r="C398" s="5" t="str">
        <f>IFERROR(__xludf.DUMMYFUNCTION("""COMPUTED_VALUE"""),"ร้านเย็น s.c งา(75)")</f>
        <v>ร้านเย็น s.c งา(75)</v>
      </c>
      <c r="D398" s="5" t="str">
        <f>IFERROR(__xludf.DUMMYFUNCTION("""COMPUTED_VALUE"""),"**ร้านค้า ราคาพิเศษ")</f>
        <v>**ร้านค้า ราคาพิเศษ</v>
      </c>
      <c r="E398" s="5" t="str">
        <f>IFERROR(__xludf.DUMMYFUNCTION("""COMPUTED_VALUE"""),"&lt;p&gt;X&lt;/p&gt;")</f>
        <v>&lt;p&gt;X&lt;/p&gt;</v>
      </c>
      <c r="F398" s="5" t="str">
        <f>IFERROR(__xludf.DUMMYFUNCTION("""COMPUTED_VALUE"""),"N")</f>
        <v>N</v>
      </c>
      <c r="G398" s="5"/>
      <c r="H398" s="5"/>
      <c r="I398" s="5"/>
      <c r="J398" s="5"/>
      <c r="K398" s="5"/>
      <c r="L398" s="5"/>
      <c r="M398" s="5"/>
      <c r="N398" s="5">
        <f>IFERROR(__xludf.DUMMYFUNCTION("""COMPUTED_VALUE"""),11400.0)</f>
        <v>11400</v>
      </c>
      <c r="O398" s="5">
        <f>IFERROR(__xludf.DUMMYFUNCTION("""COMPUTED_VALUE"""),10160.0)</f>
        <v>10160</v>
      </c>
      <c r="P398" s="5">
        <f>IFERROR(__xludf.DUMMYFUNCTION("""COMPUTED_VALUE"""),1.0)</f>
        <v>1</v>
      </c>
      <c r="Q398" s="5" t="str">
        <f>IFERROR(__xludf.DUMMYFUNCTION("""COMPUTED_VALUE"""),"N")</f>
        <v>N</v>
      </c>
      <c r="R398" s="5" t="str">
        <f>IFERROR(__xludf.DUMMYFUNCTION("""COMPUTED_VALUE"""),"N")</f>
        <v>N</v>
      </c>
      <c r="S398" s="5"/>
      <c r="T398" s="5"/>
      <c r="U398" s="5" t="str">
        <f>IFERROR(__xludf.DUMMYFUNCTION("""COMPUTED_VALUE"""),"Y")</f>
        <v>Y</v>
      </c>
      <c r="V398" s="5">
        <f>IFERROR(__xludf.DUMMYFUNCTION("""COMPUTED_VALUE"""),375.0)</f>
        <v>375</v>
      </c>
      <c r="W398" s="5"/>
      <c r="X398" s="5"/>
      <c r="Y398" s="5"/>
      <c r="Z398" s="5"/>
    </row>
    <row r="399">
      <c r="A399" s="5" t="str">
        <f>IFERROR(__xludf.DUMMYFUNCTION("""COMPUTED_VALUE"""),"ร้านเย็น-กระพรุนผ่า")</f>
        <v>ร้านเย็น-กระพรุนผ่า</v>
      </c>
      <c r="B399" s="5">
        <f>IFERROR(__xludf.DUMMYFUNCTION("""COMPUTED_VALUE"""),11145.0)</f>
        <v>11145</v>
      </c>
      <c r="C399" s="5" t="str">
        <f>IFERROR(__xludf.DUMMYFUNCTION("""COMPUTED_VALUE"""),"ร้านเย็น กระพรุนผ่า 690")</f>
        <v>ร้านเย็น กระพรุนผ่า 690</v>
      </c>
      <c r="D399" s="5" t="str">
        <f>IFERROR(__xludf.DUMMYFUNCTION("""COMPUTED_VALUE"""),"**ร้านค้า ราคาพิเศษ")</f>
        <v>**ร้านค้า ราคาพิเศษ</v>
      </c>
      <c r="E399" s="5" t="str">
        <f>IFERROR(__xludf.DUMMYFUNCTION("""COMPUTED_VALUE"""),"&lt;p&gt;X&lt;/p&gt;")</f>
        <v>&lt;p&gt;X&lt;/p&gt;</v>
      </c>
      <c r="F399" s="5" t="str">
        <f>IFERROR(__xludf.DUMMYFUNCTION("""COMPUTED_VALUE"""),"N")</f>
        <v>N</v>
      </c>
      <c r="G399" s="5"/>
      <c r="H399" s="5"/>
      <c r="I399" s="5"/>
      <c r="J399" s="5"/>
      <c r="K399" s="5"/>
      <c r="L399" s="5"/>
      <c r="M399" s="5"/>
      <c r="N399" s="5">
        <f>IFERROR(__xludf.DUMMYFUNCTION("""COMPUTED_VALUE"""),11145.0)</f>
        <v>11145</v>
      </c>
      <c r="O399" s="5">
        <f>IFERROR(__xludf.DUMMYFUNCTION("""COMPUTED_VALUE"""),10126.0)</f>
        <v>10126</v>
      </c>
      <c r="P399" s="5">
        <f>IFERROR(__xludf.DUMMYFUNCTION("""COMPUTED_VALUE"""),1.0)</f>
        <v>1</v>
      </c>
      <c r="Q399" s="5" t="str">
        <f>IFERROR(__xludf.DUMMYFUNCTION("""COMPUTED_VALUE"""),"N")</f>
        <v>N</v>
      </c>
      <c r="R399" s="5" t="str">
        <f>IFERROR(__xludf.DUMMYFUNCTION("""COMPUTED_VALUE"""),"N")</f>
        <v>N</v>
      </c>
      <c r="S399" s="5"/>
      <c r="T399" s="5"/>
      <c r="U399" s="5" t="str">
        <f>IFERROR(__xludf.DUMMYFUNCTION("""COMPUTED_VALUE"""),"Y")</f>
        <v>Y</v>
      </c>
      <c r="V399" s="5">
        <f>IFERROR(__xludf.DUMMYFUNCTION("""COMPUTED_VALUE"""),690.0)</f>
        <v>690</v>
      </c>
      <c r="W399" s="5"/>
      <c r="X399" s="5"/>
      <c r="Y399" s="5"/>
      <c r="Z399" s="5"/>
    </row>
    <row r="400">
      <c r="A400" s="5" t="str">
        <f>IFERROR(__xludf.DUMMYFUNCTION("""COMPUTED_VALUE"""),"ร้านเย็น-กุ้งแม็คนั่ม-แพ็ค-(56)")</f>
        <v>ร้านเย็น-กุ้งแม็คนั่ม-แพ็ค-(56)</v>
      </c>
      <c r="B400" s="5">
        <f>IFERROR(__xludf.DUMMYFUNCTION("""COMPUTED_VALUE"""),10221.0)</f>
        <v>10221</v>
      </c>
      <c r="C400" s="5" t="str">
        <f>IFERROR(__xludf.DUMMYFUNCTION("""COMPUTED_VALUE"""),"ร้านเย็น กุ้งแม็กนั่ม แพ็ค (56)")</f>
        <v>ร้านเย็น กุ้งแม็กนั่ม แพ็ค (56)</v>
      </c>
      <c r="D400" s="5" t="str">
        <f>IFERROR(__xludf.DUMMYFUNCTION("""COMPUTED_VALUE"""),"**ร้านค้า ราคาพิเศษ")</f>
        <v>**ร้านค้า ราคาพิเศษ</v>
      </c>
      <c r="E400" s="5"/>
      <c r="F400" s="5" t="str">
        <f>IFERROR(__xludf.DUMMYFUNCTION("""COMPUTED_VALUE"""),"N")</f>
        <v>N</v>
      </c>
      <c r="G400" s="5"/>
      <c r="H400" s="5"/>
      <c r="I400" s="5"/>
      <c r="J400" s="5"/>
      <c r="K400" s="5"/>
      <c r="L400" s="5"/>
      <c r="M400" s="5"/>
      <c r="N400" s="5"/>
      <c r="O400" s="5">
        <f>IFERROR(__xludf.DUMMYFUNCTION("""COMPUTED_VALUE"""),10137.0)</f>
        <v>10137</v>
      </c>
      <c r="P400" s="5">
        <f>IFERROR(__xludf.DUMMYFUNCTION("""COMPUTED_VALUE"""),1.0)</f>
        <v>1</v>
      </c>
      <c r="Q400" s="5" t="str">
        <f>IFERROR(__xludf.DUMMYFUNCTION("""COMPUTED_VALUE"""),"N")</f>
        <v>N</v>
      </c>
      <c r="R400" s="5" t="str">
        <f>IFERROR(__xludf.DUMMYFUNCTION("""COMPUTED_VALUE"""),"N")</f>
        <v>N</v>
      </c>
      <c r="S400" s="5"/>
      <c r="T400" s="5"/>
      <c r="U400" s="5" t="str">
        <f>IFERROR(__xludf.DUMMYFUNCTION("""COMPUTED_VALUE"""),"Y")</f>
        <v>Y</v>
      </c>
      <c r="V400" s="5">
        <f>IFERROR(__xludf.DUMMYFUNCTION("""COMPUTED_VALUE"""),56.0)</f>
        <v>56</v>
      </c>
      <c r="W400" s="5"/>
      <c r="X400" s="5"/>
      <c r="Y400" s="5"/>
      <c r="Z400" s="5"/>
    </row>
    <row r="401">
      <c r="A401" s="5" t="str">
        <f>IFERROR(__xludf.DUMMYFUNCTION("""COMPUTED_VALUE"""),"(s)-ขนมจีบ-ไส้ทะลัก-แพ็ค-1กก")</f>
        <v>(s)-ขนมจีบ-ไส้ทะลัก-แพ็ค-1กก</v>
      </c>
      <c r="B401" s="5">
        <f>IFERROR(__xludf.DUMMYFUNCTION("""COMPUTED_VALUE"""),31581.0)</f>
        <v>31581</v>
      </c>
      <c r="C401" s="5" t="str">
        <f>IFERROR(__xludf.DUMMYFUNCTION("""COMPUTED_VALUE"""),"ร้านเย็น ขนมจีบ ไส้ทะลัก แพ็ค 1กก")</f>
        <v>ร้านเย็น ขนมจีบ ไส้ทะลัก แพ็ค 1กก</v>
      </c>
      <c r="D401" s="5" t="str">
        <f>IFERROR(__xludf.DUMMYFUNCTION("""COMPUTED_VALUE"""),"**ร้านค้า ราคาพิเศษ")</f>
        <v>**ร้านค้า ราคาพิเศษ</v>
      </c>
      <c r="E401" s="5" t="str">
        <f>IFERROR(__xludf.DUMMYFUNCTION("""COMPUTED_VALUE"""),"&lt;p&gt;X&lt;/p&gt;")</f>
        <v>&lt;p&gt;X&lt;/p&gt;</v>
      </c>
      <c r="F401" s="5" t="str">
        <f>IFERROR(__xludf.DUMMYFUNCTION("""COMPUTED_VALUE"""),"N")</f>
        <v>N</v>
      </c>
      <c r="G401" s="5"/>
      <c r="H401" s="5"/>
      <c r="I401" s="5"/>
      <c r="J401" s="5"/>
      <c r="K401" s="5"/>
      <c r="L401" s="5"/>
      <c r="M401" s="5"/>
      <c r="N401" s="5"/>
      <c r="O401" s="5">
        <f>IFERROR(__xludf.DUMMYFUNCTION("""COMPUTED_VALUE"""),11581.0)</f>
        <v>11581</v>
      </c>
      <c r="P401" s="5">
        <f>IFERROR(__xludf.DUMMYFUNCTION("""COMPUTED_VALUE"""),1.0)</f>
        <v>1</v>
      </c>
      <c r="Q401" s="5" t="str">
        <f>IFERROR(__xludf.DUMMYFUNCTION("""COMPUTED_VALUE"""),"N")</f>
        <v>N</v>
      </c>
      <c r="R401" s="5" t="str">
        <f>IFERROR(__xludf.DUMMYFUNCTION("""COMPUTED_VALUE"""),"N")</f>
        <v>N</v>
      </c>
      <c r="S401" s="5"/>
      <c r="T401" s="5"/>
      <c r="U401" s="5" t="str">
        <f>IFERROR(__xludf.DUMMYFUNCTION("""COMPUTED_VALUE"""),"Y")</f>
        <v>Y</v>
      </c>
      <c r="V401" s="5">
        <f>IFERROR(__xludf.DUMMYFUNCTION("""COMPUTED_VALUE"""),100.0)</f>
        <v>100</v>
      </c>
      <c r="W401" s="5"/>
      <c r="X401" s="5"/>
      <c r="Y401" s="5"/>
      <c r="Z401" s="5"/>
    </row>
    <row r="402">
      <c r="A402" s="5" t="str">
        <f>IFERROR(__xludf.DUMMYFUNCTION("""COMPUTED_VALUE"""),"ร้านเย็น-ขายำ(ใหญ่)")</f>
        <v>ร้านเย็น-ขายำ(ใหญ่)</v>
      </c>
      <c r="B402" s="5">
        <f>IFERROR(__xludf.DUMMYFUNCTION("""COMPUTED_VALUE"""),11403.0)</f>
        <v>11403</v>
      </c>
      <c r="C402" s="5" t="str">
        <f>IFERROR(__xludf.DUMMYFUNCTION("""COMPUTED_VALUE"""),"ร้านเย็น ขายำ(60)")</f>
        <v>ร้านเย็น ขายำ(60)</v>
      </c>
      <c r="D402" s="5" t="str">
        <f>IFERROR(__xludf.DUMMYFUNCTION("""COMPUTED_VALUE"""),"**ร้านค้า ราคาพิเศษ")</f>
        <v>**ร้านค้า ราคาพิเศษ</v>
      </c>
      <c r="E402" s="5" t="str">
        <f>IFERROR(__xludf.DUMMYFUNCTION("""COMPUTED_VALUE"""),"&lt;p&gt;X&lt;/p&gt;")</f>
        <v>&lt;p&gt;X&lt;/p&gt;</v>
      </c>
      <c r="F402" s="5" t="str">
        <f>IFERROR(__xludf.DUMMYFUNCTION("""COMPUTED_VALUE"""),"N")</f>
        <v>N</v>
      </c>
      <c r="G402" s="5"/>
      <c r="H402" s="5"/>
      <c r="I402" s="5"/>
      <c r="J402" s="5"/>
      <c r="K402" s="5"/>
      <c r="L402" s="5"/>
      <c r="M402" s="5"/>
      <c r="N402" s="5">
        <f>IFERROR(__xludf.DUMMYFUNCTION("""COMPUTED_VALUE"""),11403.0)</f>
        <v>11403</v>
      </c>
      <c r="O402" s="5">
        <f>IFERROR(__xludf.DUMMYFUNCTION("""COMPUTED_VALUE"""),10286.0)</f>
        <v>10286</v>
      </c>
      <c r="P402" s="5">
        <f>IFERROR(__xludf.DUMMYFUNCTION("""COMPUTED_VALUE"""),1.0)</f>
        <v>1</v>
      </c>
      <c r="Q402" s="5" t="str">
        <f>IFERROR(__xludf.DUMMYFUNCTION("""COMPUTED_VALUE"""),"N")</f>
        <v>N</v>
      </c>
      <c r="R402" s="5" t="str">
        <f>IFERROR(__xludf.DUMMYFUNCTION("""COMPUTED_VALUE"""),"N")</f>
        <v>N</v>
      </c>
      <c r="S402" s="5"/>
      <c r="T402" s="5"/>
      <c r="U402" s="5" t="str">
        <f>IFERROR(__xludf.DUMMYFUNCTION("""COMPUTED_VALUE"""),"Y")</f>
        <v>Y</v>
      </c>
      <c r="V402" s="5">
        <f>IFERROR(__xludf.DUMMYFUNCTION("""COMPUTED_VALUE"""),300.0)</f>
        <v>300</v>
      </c>
      <c r="W402" s="5"/>
      <c r="X402" s="5"/>
      <c r="Y402" s="5"/>
      <c r="Z402" s="5"/>
    </row>
    <row r="403">
      <c r="A403" s="5" t="str">
        <f>IFERROR(__xludf.DUMMYFUNCTION("""COMPUTED_VALUE"""),"ร้านเย็น-คอ300/500-ก้อน7.5-(85)")</f>
        <v>ร้านเย็น-คอ300/500-ก้อน7.5-(85)</v>
      </c>
      <c r="B403" s="5">
        <f>IFERROR(__xludf.DUMMYFUNCTION("""COMPUTED_VALUE"""),10110.0)</f>
        <v>10110</v>
      </c>
      <c r="C403" s="5" t="str">
        <f>IFERROR(__xludf.DUMMYFUNCTION("""COMPUTED_VALUE"""),"ร้านเย็น คอเปรู 500up ก้อน 10 กก (59)")</f>
        <v>ร้านเย็น คอเปรู 500up ก้อน 10 กก (59)</v>
      </c>
      <c r="D403" s="5" t="str">
        <f>IFERROR(__xludf.DUMMYFUNCTION("""COMPUTED_VALUE"""),"**ร้านค้า ราคาพิเศษ")</f>
        <v>**ร้านค้า ราคาพิเศษ</v>
      </c>
      <c r="E403" s="5"/>
      <c r="F403" s="5" t="str">
        <f>IFERROR(__xludf.DUMMYFUNCTION("""COMPUTED_VALUE"""),"N")</f>
        <v>N</v>
      </c>
      <c r="G403" s="5"/>
      <c r="H403" s="5"/>
      <c r="I403" s="5"/>
      <c r="J403" s="5"/>
      <c r="K403" s="5"/>
      <c r="L403" s="5"/>
      <c r="M403" s="5"/>
      <c r="N403" s="5"/>
      <c r="O403" s="5">
        <f>IFERROR(__xludf.DUMMYFUNCTION("""COMPUTED_VALUE"""),10065.0)</f>
        <v>10065</v>
      </c>
      <c r="P403" s="5">
        <f>IFERROR(__xludf.DUMMYFUNCTION("""COMPUTED_VALUE"""),1.0)</f>
        <v>1</v>
      </c>
      <c r="Q403" s="5" t="str">
        <f>IFERROR(__xludf.DUMMYFUNCTION("""COMPUTED_VALUE"""),"N")</f>
        <v>N</v>
      </c>
      <c r="R403" s="5" t="str">
        <f>IFERROR(__xludf.DUMMYFUNCTION("""COMPUTED_VALUE"""),"N")</f>
        <v>N</v>
      </c>
      <c r="S403" s="5"/>
      <c r="T403" s="5"/>
      <c r="U403" s="5" t="str">
        <f>IFERROR(__xludf.DUMMYFUNCTION("""COMPUTED_VALUE"""),"Y")</f>
        <v>Y</v>
      </c>
      <c r="V403" s="5">
        <f>IFERROR(__xludf.DUMMYFUNCTION("""COMPUTED_VALUE"""),590.0)</f>
        <v>590</v>
      </c>
      <c r="W403" s="5"/>
      <c r="X403" s="5"/>
      <c r="Y403" s="5"/>
      <c r="Z403" s="5"/>
    </row>
    <row r="404">
      <c r="A404" s="5" t="str">
        <f>IFERROR(__xludf.DUMMYFUNCTION("""COMPUTED_VALUE"""),"ร้านเย็น-หมูชาบูกลม-mfood-(ติดมัน)")</f>
        <v>ร้านเย็น-หมูชาบูกลม-mfood-(ติดมัน)</v>
      </c>
      <c r="B404" s="5">
        <f>IFERROR(__xludf.DUMMYFUNCTION("""COMPUTED_VALUE"""),10499.0)</f>
        <v>10499</v>
      </c>
      <c r="C404" s="5" t="str">
        <f>IFERROR(__xludf.DUMMYFUNCTION("""COMPUTED_VALUE"""),"ร้านเย็น คุโรบุตะ ถุงใส (99)")</f>
        <v>ร้านเย็น คุโรบุตะ ถุงใส (99)</v>
      </c>
      <c r="D404" s="5" t="str">
        <f>IFERROR(__xludf.DUMMYFUNCTION("""COMPUTED_VALUE"""),"**ร้านค้า ราคาพิเศษ")</f>
        <v>**ร้านค้า ราคาพิเศษ</v>
      </c>
      <c r="E404" s="5"/>
      <c r="F404" s="5" t="str">
        <f>IFERROR(__xludf.DUMMYFUNCTION("""COMPUTED_VALUE"""),"N")</f>
        <v>N</v>
      </c>
      <c r="G404" s="5"/>
      <c r="H404" s="5"/>
      <c r="I404" s="5"/>
      <c r="J404" s="5"/>
      <c r="K404" s="5"/>
      <c r="L404" s="5"/>
      <c r="M404" s="5"/>
      <c r="N404" s="5"/>
      <c r="O404" s="5">
        <f>IFERROR(__xludf.DUMMYFUNCTION("""COMPUTED_VALUE"""),10313.0)</f>
        <v>10313</v>
      </c>
      <c r="P404" s="5">
        <f>IFERROR(__xludf.DUMMYFUNCTION("""COMPUTED_VALUE"""),1.0)</f>
        <v>1</v>
      </c>
      <c r="Q404" s="5" t="str">
        <f>IFERROR(__xludf.DUMMYFUNCTION("""COMPUTED_VALUE"""),"N")</f>
        <v>N</v>
      </c>
      <c r="R404" s="5" t="str">
        <f>IFERROR(__xludf.DUMMYFUNCTION("""COMPUTED_VALUE"""),"N")</f>
        <v>N</v>
      </c>
      <c r="S404" s="5"/>
      <c r="T404" s="5"/>
      <c r="U404" s="5" t="str">
        <f>IFERROR(__xludf.DUMMYFUNCTION("""COMPUTED_VALUE"""),"Y")</f>
        <v>Y</v>
      </c>
      <c r="V404" s="5">
        <f>IFERROR(__xludf.DUMMYFUNCTION("""COMPUTED_VALUE"""),495.0)</f>
        <v>495</v>
      </c>
      <c r="W404" s="5"/>
      <c r="X404" s="5"/>
      <c r="Y404" s="5"/>
      <c r="Z404" s="5"/>
    </row>
    <row r="405">
      <c r="A405" s="5" t="str">
        <f>IFERROR(__xludf.DUMMYFUNCTION("""COMPUTED_VALUE"""),"ร้านเย็น-ชิคุวะ-แพ็ค--(49)")</f>
        <v>ร้านเย็น-ชิคุวะ-แพ็ค--(49)</v>
      </c>
      <c r="B405" s="5">
        <f>IFERROR(__xludf.DUMMYFUNCTION("""COMPUTED_VALUE"""),10791.0)</f>
        <v>10791</v>
      </c>
      <c r="C405" s="5" t="str">
        <f>IFERROR(__xludf.DUMMYFUNCTION("""COMPUTED_VALUE"""),"ร้านเย็น ชิคุวะ แพ็ค  (49)")</f>
        <v>ร้านเย็น ชิคุวะ แพ็ค  (49)</v>
      </c>
      <c r="D405" s="5" t="str">
        <f>IFERROR(__xludf.DUMMYFUNCTION("""COMPUTED_VALUE"""),"**ร้านค้า ราคาพิเศษ")</f>
        <v>**ร้านค้า ราคาพิเศษ</v>
      </c>
      <c r="E405" s="5"/>
      <c r="F405" s="5" t="str">
        <f>IFERROR(__xludf.DUMMYFUNCTION("""COMPUTED_VALUE"""),"N")</f>
        <v>N</v>
      </c>
      <c r="G405" s="5"/>
      <c r="H405" s="5"/>
      <c r="I405" s="5"/>
      <c r="J405" s="5"/>
      <c r="K405" s="5"/>
      <c r="L405" s="5"/>
      <c r="M405" s="5"/>
      <c r="N405" s="5"/>
      <c r="O405" s="5">
        <f>IFERROR(__xludf.DUMMYFUNCTION("""COMPUTED_VALUE"""),10525.0)</f>
        <v>10525</v>
      </c>
      <c r="P405" s="5">
        <f>IFERROR(__xludf.DUMMYFUNCTION("""COMPUTED_VALUE"""),1.0)</f>
        <v>1</v>
      </c>
      <c r="Q405" s="5" t="str">
        <f>IFERROR(__xludf.DUMMYFUNCTION("""COMPUTED_VALUE"""),"N")</f>
        <v>N</v>
      </c>
      <c r="R405" s="5" t="str">
        <f>IFERROR(__xludf.DUMMYFUNCTION("""COMPUTED_VALUE"""),"N")</f>
        <v>N</v>
      </c>
      <c r="S405" s="5"/>
      <c r="T405" s="5"/>
      <c r="U405" s="5" t="str">
        <f>IFERROR(__xludf.DUMMYFUNCTION("""COMPUTED_VALUE"""),"Y")</f>
        <v>Y</v>
      </c>
      <c r="V405" s="5">
        <f>IFERROR(__xludf.DUMMYFUNCTION("""COMPUTED_VALUE"""),49.0)</f>
        <v>49</v>
      </c>
      <c r="W405" s="5"/>
      <c r="X405" s="5"/>
      <c r="Y405" s="5"/>
      <c r="Z405" s="5"/>
    </row>
    <row r="406">
      <c r="A406" s="5" t="str">
        <f>IFERROR(__xludf.DUMMYFUNCTION("""COMPUTED_VALUE"""),"(s)-ซูซูฟิชเคก-ถุง-500-g-ถุง-1")</f>
        <v>(s)-ซูซูฟิชเคก-ถุง-500-g-ถุง-1</v>
      </c>
      <c r="B406" s="5">
        <f>IFERROR(__xludf.DUMMYFUNCTION("""COMPUTED_VALUE"""),30133.0)</f>
        <v>30133</v>
      </c>
      <c r="C406" s="5" t="str">
        <f>IFERROR(__xludf.DUMMYFUNCTION("""COMPUTED_VALUE"""),"ร้านเย็น ซูซูฟิชเคก ถุง 500 g ถุง")</f>
        <v>ร้านเย็น ซูซูฟิชเคก ถุง 500 g ถุง</v>
      </c>
      <c r="D406" s="5" t="str">
        <f>IFERROR(__xludf.DUMMYFUNCTION("""COMPUTED_VALUE"""),"**ร้านค้า ราคาพิเศษ")</f>
        <v>**ร้านค้า ราคาพิเศษ</v>
      </c>
      <c r="E406" s="5" t="str">
        <f>IFERROR(__xludf.DUMMYFUNCTION("""COMPUTED_VALUE"""),"&lt;p&gt;X&lt;/p&gt;")</f>
        <v>&lt;p&gt;X&lt;/p&gt;</v>
      </c>
      <c r="F406" s="5" t="str">
        <f>IFERROR(__xludf.DUMMYFUNCTION("""COMPUTED_VALUE"""),"N")</f>
        <v>N</v>
      </c>
      <c r="G406" s="5"/>
      <c r="H406" s="5"/>
      <c r="I406" s="5"/>
      <c r="J406" s="5"/>
      <c r="K406" s="5"/>
      <c r="L406" s="5"/>
      <c r="M406" s="5"/>
      <c r="N406" s="5"/>
      <c r="O406" s="5">
        <f>IFERROR(__xludf.DUMMYFUNCTION("""COMPUTED_VALUE"""),10133.0)</f>
        <v>10133</v>
      </c>
      <c r="P406" s="5">
        <f>IFERROR(__xludf.DUMMYFUNCTION("""COMPUTED_VALUE"""),1.0)</f>
        <v>1</v>
      </c>
      <c r="Q406" s="5" t="str">
        <f>IFERROR(__xludf.DUMMYFUNCTION("""COMPUTED_VALUE"""),"N")</f>
        <v>N</v>
      </c>
      <c r="R406" s="5" t="str">
        <f>IFERROR(__xludf.DUMMYFUNCTION("""COMPUTED_VALUE"""),"N")</f>
        <v>N</v>
      </c>
      <c r="S406" s="5"/>
      <c r="T406" s="5"/>
      <c r="U406" s="5" t="str">
        <f>IFERROR(__xludf.DUMMYFUNCTION("""COMPUTED_VALUE"""),"Y")</f>
        <v>Y</v>
      </c>
      <c r="V406" s="5">
        <f>IFERROR(__xludf.DUMMYFUNCTION("""COMPUTED_VALUE"""),64.0)</f>
        <v>64</v>
      </c>
      <c r="W406" s="5"/>
      <c r="X406" s="5"/>
      <c r="Y406" s="5"/>
      <c r="Z406" s="5"/>
    </row>
    <row r="407">
      <c r="A407" s="5" t="str">
        <f>IFERROR(__xludf.DUMMYFUNCTION("""COMPUTED_VALUE"""),"ร้านเย็น-ขายำ-(73)")</f>
        <v>ร้านเย็น-ขายำ-(73)</v>
      </c>
      <c r="B407" s="5">
        <f>IFERROR(__xludf.DUMMYFUNCTION("""COMPUTED_VALUE"""),11333.0)</f>
        <v>11333</v>
      </c>
      <c r="C407" s="5" t="str">
        <f>IFERROR(__xludf.DUMMYFUNCTION("""COMPUTED_VALUE"""),"ร้านเย็น ดอลลี่หั่น (น้ำตาล)")</f>
        <v>ร้านเย็น ดอลลี่หั่น (น้ำตาล)</v>
      </c>
      <c r="D407" s="5" t="str">
        <f>IFERROR(__xludf.DUMMYFUNCTION("""COMPUTED_VALUE"""),"**ร้านค้า ราคาพิเศษ")</f>
        <v>**ร้านค้า ราคาพิเศษ</v>
      </c>
      <c r="E407" s="5" t="str">
        <f>IFERROR(__xludf.DUMMYFUNCTION("""COMPUTED_VALUE"""),"&lt;p&gt;X&lt;/p&gt;")</f>
        <v>&lt;p&gt;X&lt;/p&gt;</v>
      </c>
      <c r="F407" s="5" t="str">
        <f>IFERROR(__xludf.DUMMYFUNCTION("""COMPUTED_VALUE"""),"N")</f>
        <v>N</v>
      </c>
      <c r="G407" s="5"/>
      <c r="H407" s="5"/>
      <c r="I407" s="5"/>
      <c r="J407" s="5"/>
      <c r="K407" s="5"/>
      <c r="L407" s="5"/>
      <c r="M407" s="5"/>
      <c r="N407" s="5">
        <f>IFERROR(__xludf.DUMMYFUNCTION("""COMPUTED_VALUE"""),11333.0)</f>
        <v>11333</v>
      </c>
      <c r="O407" s="5">
        <f>IFERROR(__xludf.DUMMYFUNCTION("""COMPUTED_VALUE"""),10472.0)</f>
        <v>10472</v>
      </c>
      <c r="P407" s="5">
        <f>IFERROR(__xludf.DUMMYFUNCTION("""COMPUTED_VALUE"""),1.0)</f>
        <v>1</v>
      </c>
      <c r="Q407" s="5" t="str">
        <f>IFERROR(__xludf.DUMMYFUNCTION("""COMPUTED_VALUE"""),"N")</f>
        <v>N</v>
      </c>
      <c r="R407" s="5" t="str">
        <f>IFERROR(__xludf.DUMMYFUNCTION("""COMPUTED_VALUE"""),"N")</f>
        <v>N</v>
      </c>
      <c r="S407" s="5"/>
      <c r="T407" s="5"/>
      <c r="U407" s="5" t="str">
        <f>IFERROR(__xludf.DUMMYFUNCTION("""COMPUTED_VALUE"""),"Y")</f>
        <v>Y</v>
      </c>
      <c r="V407" s="5">
        <f>IFERROR(__xludf.DUMMYFUNCTION("""COMPUTED_VALUE"""),630.0)</f>
        <v>630</v>
      </c>
      <c r="W407" s="5"/>
      <c r="X407" s="5"/>
      <c r="Y407" s="5"/>
      <c r="Z407" s="5"/>
    </row>
    <row r="408">
      <c r="A408" s="5" t="str">
        <f>IFERROR(__xludf.DUMMYFUNCTION("""COMPUTED_VALUE"""),"ร้านเย็น-ท้องม่อน-15-กก-(102)")</f>
        <v>ร้านเย็น-ท้องม่อน-15-กก-(102)</v>
      </c>
      <c r="B408" s="5">
        <f>IFERROR(__xludf.DUMMYFUNCTION("""COMPUTED_VALUE"""),10250.0)</f>
        <v>10250</v>
      </c>
      <c r="C408" s="5" t="str">
        <f>IFERROR(__xludf.DUMMYFUNCTION("""COMPUTED_VALUE"""),"ร้านเย็น ท้องม่อน 10 กก (112)")</f>
        <v>ร้านเย็น ท้องม่อน 10 กก (112)</v>
      </c>
      <c r="D408" s="5" t="str">
        <f>IFERROR(__xludf.DUMMYFUNCTION("""COMPUTED_VALUE"""),"**ร้านค้า ราคาพิเศษ")</f>
        <v>**ร้านค้า ราคาพิเศษ</v>
      </c>
      <c r="E408" s="5"/>
      <c r="F408" s="5" t="str">
        <f>IFERROR(__xludf.DUMMYFUNCTION("""COMPUTED_VALUE"""),"N")</f>
        <v>N</v>
      </c>
      <c r="G408" s="5"/>
      <c r="H408" s="5"/>
      <c r="I408" s="5"/>
      <c r="J408" s="5"/>
      <c r="K408" s="5"/>
      <c r="L408" s="5"/>
      <c r="M408" s="5"/>
      <c r="N408" s="5"/>
      <c r="O408" s="5">
        <f>IFERROR(__xludf.DUMMYFUNCTION("""COMPUTED_VALUE"""),10502.0)</f>
        <v>10502</v>
      </c>
      <c r="P408" s="5">
        <f>IFERROR(__xludf.DUMMYFUNCTION("""COMPUTED_VALUE"""),0.5)</f>
        <v>0.5</v>
      </c>
      <c r="Q408" s="5" t="str">
        <f>IFERROR(__xludf.DUMMYFUNCTION("""COMPUTED_VALUE"""),"N")</f>
        <v>N</v>
      </c>
      <c r="R408" s="5" t="str">
        <f>IFERROR(__xludf.DUMMYFUNCTION("""COMPUTED_VALUE"""),"N")</f>
        <v>N</v>
      </c>
      <c r="S408" s="5"/>
      <c r="T408" s="5"/>
      <c r="U408" s="5" t="str">
        <f>IFERROR(__xludf.DUMMYFUNCTION("""COMPUTED_VALUE"""),"Y")</f>
        <v>Y</v>
      </c>
      <c r="V408" s="5">
        <f>IFERROR(__xludf.DUMMYFUNCTION("""COMPUTED_VALUE"""),1120.0)</f>
        <v>1120</v>
      </c>
      <c r="W408" s="5"/>
      <c r="X408" s="5"/>
      <c r="Y408" s="5"/>
      <c r="Z408" s="5"/>
    </row>
    <row r="409">
      <c r="A409" s="5" t="str">
        <f>IFERROR(__xludf.DUMMYFUNCTION("""COMPUTED_VALUE"""),"ร้านเย็น-น้ำจิ้มแม่อมร")</f>
        <v>ร้านเย็น-น้ำจิ้มแม่อมร</v>
      </c>
      <c r="B409" s="5">
        <f>IFERROR(__xludf.DUMMYFUNCTION("""COMPUTED_VALUE"""),10108.0)</f>
        <v>10108</v>
      </c>
      <c r="C409" s="5" t="str">
        <f>IFERROR(__xludf.DUMMYFUNCTION("""COMPUTED_VALUE"""),"ร้านเย็น น้ำจิ้มแม่อมร")</f>
        <v>ร้านเย็น น้ำจิ้มแม่อมร</v>
      </c>
      <c r="D409" s="5" t="str">
        <f>IFERROR(__xludf.DUMMYFUNCTION("""COMPUTED_VALUE"""),"**ร้านค้า ราคาพิเศษ")</f>
        <v>**ร้านค้า ราคาพิเศษ</v>
      </c>
      <c r="E409" s="5"/>
      <c r="F409" s="5" t="str">
        <f>IFERROR(__xludf.DUMMYFUNCTION("""COMPUTED_VALUE"""),"N")</f>
        <v>N</v>
      </c>
      <c r="G409" s="5"/>
      <c r="H409" s="5"/>
      <c r="I409" s="5"/>
      <c r="J409" s="5"/>
      <c r="K409" s="5"/>
      <c r="L409" s="5"/>
      <c r="M409" s="5"/>
      <c r="N409" s="5">
        <f>IFERROR(__xludf.DUMMYFUNCTION("""COMPUTED_VALUE"""),10108.0)</f>
        <v>10108</v>
      </c>
      <c r="O409" s="5">
        <f>IFERROR(__xludf.DUMMYFUNCTION("""COMPUTED_VALUE"""),10036.0)</f>
        <v>10036</v>
      </c>
      <c r="P409" s="5">
        <f>IFERROR(__xludf.DUMMYFUNCTION("""COMPUTED_VALUE"""),24.0)</f>
        <v>24</v>
      </c>
      <c r="Q409" s="5" t="str">
        <f>IFERROR(__xludf.DUMMYFUNCTION("""COMPUTED_VALUE"""),"N")</f>
        <v>N</v>
      </c>
      <c r="R409" s="5" t="str">
        <f>IFERROR(__xludf.DUMMYFUNCTION("""COMPUTED_VALUE"""),"N")</f>
        <v>N</v>
      </c>
      <c r="S409" s="5"/>
      <c r="T409" s="5"/>
      <c r="U409" s="5" t="str">
        <f>IFERROR(__xludf.DUMMYFUNCTION("""COMPUTED_VALUE"""),"Y")</f>
        <v>Y</v>
      </c>
      <c r="V409" s="5">
        <f>IFERROR(__xludf.DUMMYFUNCTION("""COMPUTED_VALUE"""),800.0)</f>
        <v>800</v>
      </c>
      <c r="W409" s="5"/>
      <c r="X409" s="5"/>
      <c r="Y409" s="5"/>
      <c r="Z409" s="5"/>
    </row>
    <row r="410">
      <c r="A410" s="5" t="str">
        <f>IFERROR(__xludf.DUMMYFUNCTION("""COMPUTED_VALUE"""),"ร้านเย็น-ปูอัดส้ม")</f>
        <v>ร้านเย็น-ปูอัดส้ม</v>
      </c>
      <c r="B410" s="5">
        <f>IFERROR(__xludf.DUMMYFUNCTION("""COMPUTED_VALUE"""),11185.0)</f>
        <v>11185</v>
      </c>
      <c r="C410" s="5" t="str">
        <f>IFERROR(__xludf.DUMMYFUNCTION("""COMPUTED_VALUE"""),"ร้านเย็น ปูอัด A แพ็ค")</f>
        <v>ร้านเย็น ปูอัด A แพ็ค</v>
      </c>
      <c r="D410" s="5" t="str">
        <f>IFERROR(__xludf.DUMMYFUNCTION("""COMPUTED_VALUE"""),"**ร้านค้า ราคาพิเศษ")</f>
        <v>**ร้านค้า ราคาพิเศษ</v>
      </c>
      <c r="E410" s="5" t="str">
        <f>IFERROR(__xludf.DUMMYFUNCTION("""COMPUTED_VALUE"""),"&lt;p&gt;X&lt;/p&gt;")</f>
        <v>&lt;p&gt;X&lt;/p&gt;</v>
      </c>
      <c r="F410" s="5" t="str">
        <f>IFERROR(__xludf.DUMMYFUNCTION("""COMPUTED_VALUE"""),"N")</f>
        <v>N</v>
      </c>
      <c r="G410" s="5"/>
      <c r="H410" s="5"/>
      <c r="I410" s="5"/>
      <c r="J410" s="5"/>
      <c r="K410" s="5"/>
      <c r="L410" s="5"/>
      <c r="M410" s="5"/>
      <c r="N410" s="5">
        <f>IFERROR(__xludf.DUMMYFUNCTION("""COMPUTED_VALUE"""),11185.0)</f>
        <v>11185</v>
      </c>
      <c r="O410" s="5">
        <f>IFERROR(__xludf.DUMMYFUNCTION("""COMPUTED_VALUE"""),10001.0)</f>
        <v>10001</v>
      </c>
      <c r="P410" s="5">
        <f>IFERROR(__xludf.DUMMYFUNCTION("""COMPUTED_VALUE"""),1.0)</f>
        <v>1</v>
      </c>
      <c r="Q410" s="5" t="str">
        <f>IFERROR(__xludf.DUMMYFUNCTION("""COMPUTED_VALUE"""),"N")</f>
        <v>N</v>
      </c>
      <c r="R410" s="5" t="str">
        <f>IFERROR(__xludf.DUMMYFUNCTION("""COMPUTED_VALUE"""),"N")</f>
        <v>N</v>
      </c>
      <c r="S410" s="5"/>
      <c r="T410" s="5"/>
      <c r="U410" s="5" t="str">
        <f>IFERROR(__xludf.DUMMYFUNCTION("""COMPUTED_VALUE"""),"Y")</f>
        <v>Y</v>
      </c>
      <c r="V410" s="5">
        <f>IFERROR(__xludf.DUMMYFUNCTION("""COMPUTED_VALUE"""),44.0)</f>
        <v>44</v>
      </c>
      <c r="W410" s="5"/>
      <c r="X410" s="5"/>
      <c r="Y410" s="5"/>
      <c r="Z410" s="5"/>
    </row>
    <row r="411">
      <c r="A411" s="5" t="str">
        <f>IFERROR(__xludf.DUMMYFUNCTION("""COMPUTED_VALUE"""),"ร้านเย็น-หอยหวาน-10/20-12kg/ลัง(120)")</f>
        <v>ร้านเย็น-หอยหวาน-10/20-12kg/ลัง(120)</v>
      </c>
      <c r="B411" s="5">
        <f>IFERROR(__xludf.DUMMYFUNCTION("""COMPUTED_VALUE"""),10374.0)</f>
        <v>10374</v>
      </c>
      <c r="C411" s="5" t="str">
        <f>IFERROR(__xludf.DUMMYFUNCTION("""COMPUTED_VALUE"""),"ร้านเย็น ปูอัดสมชาย   (45)")</f>
        <v>ร้านเย็น ปูอัดสมชาย   (45)</v>
      </c>
      <c r="D411" s="5" t="str">
        <f>IFERROR(__xludf.DUMMYFUNCTION("""COMPUTED_VALUE"""),"**ร้านค้า ราคาพิเศษ")</f>
        <v>**ร้านค้า ราคาพิเศษ</v>
      </c>
      <c r="E411" s="5"/>
      <c r="F411" s="5" t="str">
        <f>IFERROR(__xludf.DUMMYFUNCTION("""COMPUTED_VALUE"""),"N")</f>
        <v>N</v>
      </c>
      <c r="G411" s="5"/>
      <c r="H411" s="5"/>
      <c r="I411" s="5"/>
      <c r="J411" s="5"/>
      <c r="K411" s="5"/>
      <c r="L411" s="5"/>
      <c r="M411" s="5"/>
      <c r="N411" s="5"/>
      <c r="O411" s="5">
        <f>IFERROR(__xludf.DUMMYFUNCTION("""COMPUTED_VALUE"""),11375.0)</f>
        <v>11375</v>
      </c>
      <c r="P411" s="5">
        <f>IFERROR(__xludf.DUMMYFUNCTION("""COMPUTED_VALUE"""),1.0)</f>
        <v>1</v>
      </c>
      <c r="Q411" s="5" t="str">
        <f>IFERROR(__xludf.DUMMYFUNCTION("""COMPUTED_VALUE"""),"N")</f>
        <v>N</v>
      </c>
      <c r="R411" s="5" t="str">
        <f>IFERROR(__xludf.DUMMYFUNCTION("""COMPUTED_VALUE"""),"N")</f>
        <v>N</v>
      </c>
      <c r="S411" s="5"/>
      <c r="T411" s="5"/>
      <c r="U411" s="5" t="str">
        <f>IFERROR(__xludf.DUMMYFUNCTION("""COMPUTED_VALUE"""),"Y")</f>
        <v>Y</v>
      </c>
      <c r="V411" s="5">
        <f>IFERROR(__xludf.DUMMYFUNCTION("""COMPUTED_VALUE"""),45.0)</f>
        <v>45</v>
      </c>
      <c r="W411" s="5"/>
      <c r="X411" s="5"/>
      <c r="Y411" s="5"/>
      <c r="Z411" s="5"/>
    </row>
    <row r="412">
      <c r="A412" s="5" t="str">
        <f>IFERROR(__xludf.DUMMYFUNCTION("""COMPUTED_VALUE"""),"ร้านเย็น-ลอก(ไม่เรียง)-5กก-106")</f>
        <v>ร้านเย็น-ลอก(ไม่เรียง)-5กก-106</v>
      </c>
      <c r="B412" s="5">
        <f>IFERROR(__xludf.DUMMYFUNCTION("""COMPUTED_VALUE"""),10873.0)</f>
        <v>10873</v>
      </c>
      <c r="C412" s="5" t="str">
        <f>IFERROR(__xludf.DUMMYFUNCTION("""COMPUTED_VALUE"""),"ร้านเย็น ลอก(ไม่เรียง) 5กก-135")</f>
        <v>ร้านเย็น ลอก(ไม่เรียง) 5กก-135</v>
      </c>
      <c r="D412" s="5" t="str">
        <f>IFERROR(__xludf.DUMMYFUNCTION("""COMPUTED_VALUE"""),"**ร้านค้า ราคาพิเศษ")</f>
        <v>**ร้านค้า ราคาพิเศษ</v>
      </c>
      <c r="E412" s="5"/>
      <c r="F412" s="5" t="str">
        <f>IFERROR(__xludf.DUMMYFUNCTION("""COMPUTED_VALUE"""),"N")</f>
        <v>N</v>
      </c>
      <c r="G412" s="5"/>
      <c r="H412" s="5"/>
      <c r="I412" s="5"/>
      <c r="J412" s="5"/>
      <c r="K412" s="5"/>
      <c r="L412" s="5"/>
      <c r="M412" s="5"/>
      <c r="N412" s="5"/>
      <c r="O412" s="5">
        <f>IFERROR(__xludf.DUMMYFUNCTION("""COMPUTED_VALUE"""),10659.0)</f>
        <v>10659</v>
      </c>
      <c r="P412" s="5">
        <f>IFERROR(__xludf.DUMMYFUNCTION("""COMPUTED_VALUE"""),1.0)</f>
        <v>1</v>
      </c>
      <c r="Q412" s="5" t="str">
        <f>IFERROR(__xludf.DUMMYFUNCTION("""COMPUTED_VALUE"""),"N")</f>
        <v>N</v>
      </c>
      <c r="R412" s="5" t="str">
        <f>IFERROR(__xludf.DUMMYFUNCTION("""COMPUTED_VALUE"""),"N")</f>
        <v>N</v>
      </c>
      <c r="S412" s="5"/>
      <c r="T412" s="5"/>
      <c r="U412" s="5" t="str">
        <f>IFERROR(__xludf.DUMMYFUNCTION("""COMPUTED_VALUE"""),"Y")</f>
        <v>Y</v>
      </c>
      <c r="V412" s="5">
        <f>IFERROR(__xludf.DUMMYFUNCTION("""COMPUTED_VALUE"""),675.0)</f>
        <v>675</v>
      </c>
      <c r="W412" s="5"/>
      <c r="X412" s="5"/>
      <c r="Y412" s="5"/>
      <c r="Z412" s="5"/>
    </row>
    <row r="413">
      <c r="A413" s="5" t="str">
        <f>IFERROR(__xludf.DUMMYFUNCTION("""COMPUTED_VALUE"""),"ร้านเย็น-ลอกหนัง5kg/หิ้ว-(104)")</f>
        <v>ร้านเย็น-ลอกหนัง5kg/หิ้ว-(104)</v>
      </c>
      <c r="B413" s="5">
        <f>IFERROR(__xludf.DUMMYFUNCTION("""COMPUTED_VALUE"""),10341.0)</f>
        <v>10341</v>
      </c>
      <c r="C413" s="5" t="str">
        <f>IFERROR(__xludf.DUMMYFUNCTION("""COMPUTED_VALUE"""),"ร้านเย็น ลอกหนัง (ถุงใส) 5kg/หิ้ว-89")</f>
        <v>ร้านเย็น ลอกหนัง (ถุงใส) 5kg/หิ้ว-89</v>
      </c>
      <c r="D413" s="5" t="str">
        <f>IFERROR(__xludf.DUMMYFUNCTION("""COMPUTED_VALUE"""),"**ร้านค้า ราคาพิเศษ")</f>
        <v>**ร้านค้า ราคาพิเศษ</v>
      </c>
      <c r="E413" s="5"/>
      <c r="F413" s="5" t="str">
        <f>IFERROR(__xludf.DUMMYFUNCTION("""COMPUTED_VALUE"""),"N")</f>
        <v>N</v>
      </c>
      <c r="G413" s="5"/>
      <c r="H413" s="5"/>
      <c r="I413" s="5"/>
      <c r="J413" s="5"/>
      <c r="K413" s="5"/>
      <c r="L413" s="5"/>
      <c r="M413" s="5"/>
      <c r="N413" s="5">
        <f>IFERROR(__xludf.DUMMYFUNCTION("""COMPUTED_VALUE"""),10341.0)</f>
        <v>10341</v>
      </c>
      <c r="O413" s="5">
        <f>IFERROR(__xludf.DUMMYFUNCTION("""COMPUTED_VALUE"""),10330.0)</f>
        <v>10330</v>
      </c>
      <c r="P413" s="5">
        <f>IFERROR(__xludf.DUMMYFUNCTION("""COMPUTED_VALUE"""),5.0)</f>
        <v>5</v>
      </c>
      <c r="Q413" s="5" t="str">
        <f>IFERROR(__xludf.DUMMYFUNCTION("""COMPUTED_VALUE"""),"N")</f>
        <v>N</v>
      </c>
      <c r="R413" s="5" t="str">
        <f>IFERROR(__xludf.DUMMYFUNCTION("""COMPUTED_VALUE"""),"N")</f>
        <v>N</v>
      </c>
      <c r="S413" s="5"/>
      <c r="T413" s="5"/>
      <c r="U413" s="5" t="str">
        <f>IFERROR(__xludf.DUMMYFUNCTION("""COMPUTED_VALUE"""),"Y")</f>
        <v>Y</v>
      </c>
      <c r="V413" s="5">
        <f>IFERROR(__xludf.DUMMYFUNCTION("""COMPUTED_VALUE"""),445.0)</f>
        <v>445</v>
      </c>
      <c r="W413" s="5"/>
      <c r="X413" s="5"/>
      <c r="Y413" s="5"/>
      <c r="Z413" s="5"/>
    </row>
    <row r="414">
      <c r="A414" s="5" t="str">
        <f>IFERROR(__xludf.DUMMYFUNCTION("""COMPUTED_VALUE"""),"ร้านเย็น-สามชั้นงา(ถุงใส)-5กก-85")</f>
        <v>ร้านเย็น-สามชั้นงา(ถุงใส)-5กก-85</v>
      </c>
      <c r="B414" s="5">
        <f>IFERROR(__xludf.DUMMYFUNCTION("""COMPUTED_VALUE"""),10245.0)</f>
        <v>10245</v>
      </c>
      <c r="C414" s="5" t="str">
        <f>IFERROR(__xludf.DUMMYFUNCTION("""COMPUTED_VALUE"""),"ร้านเย็น สามชั้น (ถุงใส) งา -95")</f>
        <v>ร้านเย็น สามชั้น (ถุงใส) งา -95</v>
      </c>
      <c r="D414" s="5" t="str">
        <f>IFERROR(__xludf.DUMMYFUNCTION("""COMPUTED_VALUE"""),"**ร้านค้า ราคาพิเศษ")</f>
        <v>**ร้านค้า ราคาพิเศษ</v>
      </c>
      <c r="E414" s="5"/>
      <c r="F414" s="5" t="str">
        <f>IFERROR(__xludf.DUMMYFUNCTION("""COMPUTED_VALUE"""),"N")</f>
        <v>N</v>
      </c>
      <c r="G414" s="5"/>
      <c r="H414" s="5"/>
      <c r="I414" s="5"/>
      <c r="J414" s="5"/>
      <c r="K414" s="5"/>
      <c r="L414" s="5"/>
      <c r="M414" s="5"/>
      <c r="N414" s="5"/>
      <c r="O414" s="5">
        <f>IFERROR(__xludf.DUMMYFUNCTION("""COMPUTED_VALUE"""),10682.0)</f>
        <v>10682</v>
      </c>
      <c r="P414" s="5">
        <f>IFERROR(__xludf.DUMMYFUNCTION("""COMPUTED_VALUE"""),1.0)</f>
        <v>1</v>
      </c>
      <c r="Q414" s="5" t="str">
        <f>IFERROR(__xludf.DUMMYFUNCTION("""COMPUTED_VALUE"""),"N")</f>
        <v>N</v>
      </c>
      <c r="R414" s="5" t="str">
        <f>IFERROR(__xludf.DUMMYFUNCTION("""COMPUTED_VALUE"""),"N")</f>
        <v>N</v>
      </c>
      <c r="S414" s="5"/>
      <c r="T414" s="5"/>
      <c r="U414" s="5" t="str">
        <f>IFERROR(__xludf.DUMMYFUNCTION("""COMPUTED_VALUE"""),"Y")</f>
        <v>Y</v>
      </c>
      <c r="V414" s="5">
        <f>IFERROR(__xludf.DUMMYFUNCTION("""COMPUTED_VALUE"""),475.0)</f>
        <v>475</v>
      </c>
      <c r="W414" s="5"/>
      <c r="X414" s="5"/>
      <c r="Y414" s="5"/>
      <c r="Z414" s="5"/>
    </row>
    <row r="415">
      <c r="A415" s="5" t="str">
        <f>IFERROR(__xludf.DUMMYFUNCTION("""COMPUTED_VALUE"""),"ร้านเย็น-สามชั้นนุ่ม-ถุงใส5กก-80")</f>
        <v>ร้านเย็น-สามชั้นนุ่ม-ถุงใส5กก-80</v>
      </c>
      <c r="B415" s="5">
        <f>IFERROR(__xludf.DUMMYFUNCTION("""COMPUTED_VALUE"""),10663.0)</f>
        <v>10663</v>
      </c>
      <c r="C415" s="5" t="str">
        <f>IFERROR(__xludf.DUMMYFUNCTION("""COMPUTED_VALUE"""),"ร้านเย็น สามชั้น (ถุงใส) นุ่ม -95")</f>
        <v>ร้านเย็น สามชั้น (ถุงใส) นุ่ม -95</v>
      </c>
      <c r="D415" s="5" t="str">
        <f>IFERROR(__xludf.DUMMYFUNCTION("""COMPUTED_VALUE"""),"**ร้านค้า ราคาพิเศษ")</f>
        <v>**ร้านค้า ราคาพิเศษ</v>
      </c>
      <c r="E415" s="5"/>
      <c r="F415" s="5" t="str">
        <f>IFERROR(__xludf.DUMMYFUNCTION("""COMPUTED_VALUE"""),"N")</f>
        <v>N</v>
      </c>
      <c r="G415" s="5"/>
      <c r="H415" s="5"/>
      <c r="I415" s="5"/>
      <c r="J415" s="5"/>
      <c r="K415" s="5"/>
      <c r="L415" s="5"/>
      <c r="M415" s="5"/>
      <c r="N415" s="5"/>
      <c r="O415" s="5">
        <f>IFERROR(__xludf.DUMMYFUNCTION("""COMPUTED_VALUE"""),10662.0)</f>
        <v>10662</v>
      </c>
      <c r="P415" s="5">
        <f>IFERROR(__xludf.DUMMYFUNCTION("""COMPUTED_VALUE"""),1.0)</f>
        <v>1</v>
      </c>
      <c r="Q415" s="5" t="str">
        <f>IFERROR(__xludf.DUMMYFUNCTION("""COMPUTED_VALUE"""),"N")</f>
        <v>N</v>
      </c>
      <c r="R415" s="5" t="str">
        <f>IFERROR(__xludf.DUMMYFUNCTION("""COMPUTED_VALUE"""),"N")</f>
        <v>N</v>
      </c>
      <c r="S415" s="5"/>
      <c r="T415" s="5"/>
      <c r="U415" s="5" t="str">
        <f>IFERROR(__xludf.DUMMYFUNCTION("""COMPUTED_VALUE"""),"N")</f>
        <v>N</v>
      </c>
      <c r="V415" s="5">
        <f>IFERROR(__xludf.DUMMYFUNCTION("""COMPUTED_VALUE"""),475.0)</f>
        <v>475</v>
      </c>
      <c r="W415" s="5"/>
      <c r="X415" s="5"/>
      <c r="Y415" s="5"/>
      <c r="Z415" s="5"/>
    </row>
    <row r="416">
      <c r="A416" s="5" t="str">
        <f>IFERROR(__xludf.DUMMYFUNCTION("""COMPUTED_VALUE"""),"ร้านเย็น-สไบนางหั่น")</f>
        <v>ร้านเย็น-สไบนางหั่น</v>
      </c>
      <c r="B416" s="5">
        <f>IFERROR(__xludf.DUMMYFUNCTION("""COMPUTED_VALUE"""),11150.0)</f>
        <v>11150</v>
      </c>
      <c r="C416" s="5" t="str">
        <f>IFERROR(__xludf.DUMMYFUNCTION("""COMPUTED_VALUE"""),"ร้านเย็น สไบหั่น (138)")</f>
        <v>ร้านเย็น สไบหั่น (138)</v>
      </c>
      <c r="D416" s="5" t="str">
        <f>IFERROR(__xludf.DUMMYFUNCTION("""COMPUTED_VALUE"""),"**ร้านค้า ราคาพิเศษ")</f>
        <v>**ร้านค้า ราคาพิเศษ</v>
      </c>
      <c r="E416" s="5" t="str">
        <f>IFERROR(__xludf.DUMMYFUNCTION("""COMPUTED_VALUE"""),"&lt;p&gt;X&lt;/p&gt;")</f>
        <v>&lt;p&gt;X&lt;/p&gt;</v>
      </c>
      <c r="F416" s="5" t="str">
        <f>IFERROR(__xludf.DUMMYFUNCTION("""COMPUTED_VALUE"""),"N")</f>
        <v>N</v>
      </c>
      <c r="G416" s="5"/>
      <c r="H416" s="5"/>
      <c r="I416" s="5"/>
      <c r="J416" s="5"/>
      <c r="K416" s="5"/>
      <c r="L416" s="5"/>
      <c r="M416" s="5"/>
      <c r="N416" s="5">
        <f>IFERROR(__xludf.DUMMYFUNCTION("""COMPUTED_VALUE"""),11150.0)</f>
        <v>11150</v>
      </c>
      <c r="O416" s="5">
        <f>IFERROR(__xludf.DUMMYFUNCTION("""COMPUTED_VALUE"""),10233.0)</f>
        <v>10233</v>
      </c>
      <c r="P416" s="5">
        <f>IFERROR(__xludf.DUMMYFUNCTION("""COMPUTED_VALUE"""),1.0)</f>
        <v>1</v>
      </c>
      <c r="Q416" s="5" t="str">
        <f>IFERROR(__xludf.DUMMYFUNCTION("""COMPUTED_VALUE"""),"N")</f>
        <v>N</v>
      </c>
      <c r="R416" s="5" t="str">
        <f>IFERROR(__xludf.DUMMYFUNCTION("""COMPUTED_VALUE"""),"N")</f>
        <v>N</v>
      </c>
      <c r="S416" s="5"/>
      <c r="T416" s="5"/>
      <c r="U416" s="5" t="str">
        <f>IFERROR(__xludf.DUMMYFUNCTION("""COMPUTED_VALUE"""),"Y")</f>
        <v>Y</v>
      </c>
      <c r="V416" s="5">
        <f>IFERROR(__xludf.DUMMYFUNCTION("""COMPUTED_VALUE"""),690.0)</f>
        <v>690</v>
      </c>
      <c r="W416" s="5"/>
      <c r="X416" s="5"/>
      <c r="Y416" s="5"/>
      <c r="Z416" s="5"/>
    </row>
    <row r="417">
      <c r="A417" s="5" t="str">
        <f>IFERROR(__xludf.DUMMYFUNCTION("""COMPUTED_VALUE"""),"ร้านเย็น-หนวดหั่น(49)")</f>
        <v>ร้านเย็น-หนวดหั่น(49)</v>
      </c>
      <c r="B417" s="5">
        <f>IFERROR(__xludf.DUMMYFUNCTION("""COMPUTED_VALUE"""),11070.0)</f>
        <v>11070</v>
      </c>
      <c r="C417" s="5" t="str">
        <f>IFERROR(__xludf.DUMMYFUNCTION("""COMPUTED_VALUE"""),"ร้านเย็น หนวดหั่น(530)")</f>
        <v>ร้านเย็น หนวดหั่น(530)</v>
      </c>
      <c r="D417" s="5" t="str">
        <f>IFERROR(__xludf.DUMMYFUNCTION("""COMPUTED_VALUE"""),"**ร้านค้า ราคาพิเศษ")</f>
        <v>**ร้านค้า ราคาพิเศษ</v>
      </c>
      <c r="E417" s="5" t="str">
        <f>IFERROR(__xludf.DUMMYFUNCTION("""COMPUTED_VALUE"""),"&lt;p&gt;X&lt;/p&gt;")</f>
        <v>&lt;p&gt;X&lt;/p&gt;</v>
      </c>
      <c r="F417" s="5" t="str">
        <f>IFERROR(__xludf.DUMMYFUNCTION("""COMPUTED_VALUE"""),"N")</f>
        <v>N</v>
      </c>
      <c r="G417" s="5"/>
      <c r="H417" s="5"/>
      <c r="I417" s="5"/>
      <c r="J417" s="5"/>
      <c r="K417" s="5"/>
      <c r="L417" s="5"/>
      <c r="M417" s="5"/>
      <c r="N417" s="5">
        <f>IFERROR(__xludf.DUMMYFUNCTION("""COMPUTED_VALUE"""),11070.0)</f>
        <v>11070</v>
      </c>
      <c r="O417" s="5">
        <f>IFERROR(__xludf.DUMMYFUNCTION("""COMPUTED_VALUE"""),10013.0)</f>
        <v>10013</v>
      </c>
      <c r="P417" s="5">
        <f>IFERROR(__xludf.DUMMYFUNCTION("""COMPUTED_VALUE"""),10.0)</f>
        <v>10</v>
      </c>
      <c r="Q417" s="5" t="str">
        <f>IFERROR(__xludf.DUMMYFUNCTION("""COMPUTED_VALUE"""),"N")</f>
        <v>N</v>
      </c>
      <c r="R417" s="5" t="str">
        <f>IFERROR(__xludf.DUMMYFUNCTION("""COMPUTED_VALUE"""),"N")</f>
        <v>N</v>
      </c>
      <c r="S417" s="5"/>
      <c r="T417" s="5"/>
      <c r="U417" s="5" t="str">
        <f>IFERROR(__xludf.DUMMYFUNCTION("""COMPUTED_VALUE"""),"Y")</f>
        <v>Y</v>
      </c>
      <c r="V417" s="5">
        <f>IFERROR(__xludf.DUMMYFUNCTION("""COMPUTED_VALUE"""),530.0)</f>
        <v>530</v>
      </c>
      <c r="W417" s="5"/>
      <c r="X417" s="5"/>
      <c r="Y417" s="5"/>
      <c r="Z417" s="5"/>
    </row>
    <row r="418">
      <c r="A418" s="5" t="str">
        <f>IFERROR(__xludf.DUMMYFUNCTION("""COMPUTED_VALUE"""),"ร้านเย็น-กรอบหั่น")</f>
        <v>ร้านเย็น-กรอบหั่น</v>
      </c>
      <c r="B418" s="5">
        <f>IFERROR(__xludf.DUMMYFUNCTION("""COMPUTED_VALUE"""),10185.0)</f>
        <v>10185</v>
      </c>
      <c r="C418" s="5" t="str">
        <f>IFERROR(__xludf.DUMMYFUNCTION("""COMPUTED_VALUE"""),"ร้านเย็น หมึกกรอบตัว (101)")</f>
        <v>ร้านเย็น หมึกกรอบตัว (101)</v>
      </c>
      <c r="D418" s="5" t="str">
        <f>IFERROR(__xludf.DUMMYFUNCTION("""COMPUTED_VALUE"""),"**ร้านค้า ราคาพิเศษ")</f>
        <v>**ร้านค้า ราคาพิเศษ</v>
      </c>
      <c r="E418" s="5" t="str">
        <f>IFERROR(__xludf.DUMMYFUNCTION("""COMPUTED_VALUE"""),"&lt;p&gt;X&lt;/p&gt;")</f>
        <v>&lt;p&gt;X&lt;/p&gt;</v>
      </c>
      <c r="F418" s="5" t="str">
        <f>IFERROR(__xludf.DUMMYFUNCTION("""COMPUTED_VALUE"""),"N")</f>
        <v>N</v>
      </c>
      <c r="G418" s="5"/>
      <c r="H418" s="5"/>
      <c r="I418" s="5"/>
      <c r="J418" s="5"/>
      <c r="K418" s="5"/>
      <c r="L418" s="5"/>
      <c r="M418" s="5"/>
      <c r="N418" s="5">
        <f>IFERROR(__xludf.DUMMYFUNCTION("""COMPUTED_VALUE"""),10185.0)</f>
        <v>10185</v>
      </c>
      <c r="O418" s="5">
        <f>IFERROR(__xludf.DUMMYFUNCTION("""COMPUTED_VALUE"""),10335.0)</f>
        <v>10335</v>
      </c>
      <c r="P418" s="5">
        <f>IFERROR(__xludf.DUMMYFUNCTION("""COMPUTED_VALUE"""),1.0)</f>
        <v>1</v>
      </c>
      <c r="Q418" s="5" t="str">
        <f>IFERROR(__xludf.DUMMYFUNCTION("""COMPUTED_VALUE"""),"N")</f>
        <v>N</v>
      </c>
      <c r="R418" s="5" t="str">
        <f>IFERROR(__xludf.DUMMYFUNCTION("""COMPUTED_VALUE"""),"N")</f>
        <v>N</v>
      </c>
      <c r="S418" s="5"/>
      <c r="T418" s="5"/>
      <c r="U418" s="5" t="str">
        <f>IFERROR(__xludf.DUMMYFUNCTION("""COMPUTED_VALUE"""),"Y")</f>
        <v>Y</v>
      </c>
      <c r="V418" s="5">
        <f>IFERROR(__xludf.DUMMYFUNCTION("""COMPUTED_VALUE"""),505.0)</f>
        <v>505</v>
      </c>
      <c r="W418" s="5"/>
      <c r="X418" s="5"/>
      <c r="Y418" s="5"/>
      <c r="Z418" s="5"/>
    </row>
    <row r="419">
      <c r="A419" s="5" t="str">
        <f>IFERROR(__xludf.DUMMYFUNCTION("""COMPUTED_VALUE"""),"ร้านเย็น-หมึกกรอบหั่น-(113)")</f>
        <v>ร้านเย็น-หมึกกรอบหั่น-(113)</v>
      </c>
      <c r="B419" s="5">
        <f>IFERROR(__xludf.DUMMYFUNCTION("""COMPUTED_VALUE"""),10557.0)</f>
        <v>10557</v>
      </c>
      <c r="C419" s="5" t="str">
        <f>IFERROR(__xludf.DUMMYFUNCTION("""COMPUTED_VALUE"""),"ร้านเย็น หมึกกรอบหั่น (100)")</f>
        <v>ร้านเย็น หมึกกรอบหั่น (100)</v>
      </c>
      <c r="D419" s="5" t="str">
        <f>IFERROR(__xludf.DUMMYFUNCTION("""COMPUTED_VALUE"""),"**ร้านค้า ราคาพิเศษ")</f>
        <v>**ร้านค้า ราคาพิเศษ</v>
      </c>
      <c r="E419" s="5"/>
      <c r="F419" s="5" t="str">
        <f>IFERROR(__xludf.DUMMYFUNCTION("""COMPUTED_VALUE"""),"N")</f>
        <v>N</v>
      </c>
      <c r="G419" s="5"/>
      <c r="H419" s="5"/>
      <c r="I419" s="5"/>
      <c r="J419" s="5"/>
      <c r="K419" s="5"/>
      <c r="L419" s="5"/>
      <c r="M419" s="5"/>
      <c r="N419" s="5"/>
      <c r="O419" s="5">
        <f>IFERROR(__xludf.DUMMYFUNCTION("""COMPUTED_VALUE"""),10232.0)</f>
        <v>10232</v>
      </c>
      <c r="P419" s="5">
        <f>IFERROR(__xludf.DUMMYFUNCTION("""COMPUTED_VALUE"""),1.0)</f>
        <v>1</v>
      </c>
      <c r="Q419" s="5" t="str">
        <f>IFERROR(__xludf.DUMMYFUNCTION("""COMPUTED_VALUE"""),"N")</f>
        <v>N</v>
      </c>
      <c r="R419" s="5" t="str">
        <f>IFERROR(__xludf.DUMMYFUNCTION("""COMPUTED_VALUE"""),"N")</f>
        <v>N</v>
      </c>
      <c r="S419" s="5"/>
      <c r="T419" s="5"/>
      <c r="U419" s="5" t="str">
        <f>IFERROR(__xludf.DUMMYFUNCTION("""COMPUTED_VALUE"""),"Y")</f>
        <v>Y</v>
      </c>
      <c r="V419" s="5">
        <f>IFERROR(__xludf.DUMMYFUNCTION("""COMPUTED_VALUE"""),500.0)</f>
        <v>500</v>
      </c>
      <c r="W419" s="5"/>
      <c r="X419" s="5"/>
      <c r="Y419" s="5"/>
      <c r="Z419" s="5"/>
    </row>
    <row r="420">
      <c r="A420" s="5" t="str">
        <f>IFERROR(__xludf.DUMMYFUNCTION("""COMPUTED_VALUE"""),"ร้านเย็น-หมึกบั้ง-(54)")</f>
        <v>ร้านเย็น-หมึกบั้ง-(54)</v>
      </c>
      <c r="B420" s="5">
        <f>IFERROR(__xludf.DUMMYFUNCTION("""COMPUTED_VALUE"""),10119.0)</f>
        <v>10119</v>
      </c>
      <c r="C420" s="5" t="str">
        <f>IFERROR(__xludf.DUMMYFUNCTION("""COMPUTED_VALUE"""),"ร้านเย็น หมึกบั้ง (53)")</f>
        <v>ร้านเย็น หมึกบั้ง (53)</v>
      </c>
      <c r="D420" s="5" t="str">
        <f>IFERROR(__xludf.DUMMYFUNCTION("""COMPUTED_VALUE"""),"**ร้านค้า ราคาพิเศษ")</f>
        <v>**ร้านค้า ราคาพิเศษ</v>
      </c>
      <c r="E420" s="5" t="str">
        <f>IFERROR(__xludf.DUMMYFUNCTION("""COMPUTED_VALUE"""),"&lt;p&gt;X&lt;/p&gt;")</f>
        <v>&lt;p&gt;X&lt;/p&gt;</v>
      </c>
      <c r="F420" s="5" t="str">
        <f>IFERROR(__xludf.DUMMYFUNCTION("""COMPUTED_VALUE"""),"N")</f>
        <v>N</v>
      </c>
      <c r="G420" s="5"/>
      <c r="H420" s="5"/>
      <c r="I420" s="5"/>
      <c r="J420" s="5"/>
      <c r="K420" s="5"/>
      <c r="L420" s="5"/>
      <c r="M420" s="5"/>
      <c r="N420" s="5">
        <f>IFERROR(__xludf.DUMMYFUNCTION("""COMPUTED_VALUE"""),10119.0)</f>
        <v>10119</v>
      </c>
      <c r="O420" s="5">
        <f>IFERROR(__xludf.DUMMYFUNCTION("""COMPUTED_VALUE"""),10121.0)</f>
        <v>10121</v>
      </c>
      <c r="P420" s="5">
        <f>IFERROR(__xludf.DUMMYFUNCTION("""COMPUTED_VALUE"""),10.0)</f>
        <v>10</v>
      </c>
      <c r="Q420" s="5" t="str">
        <f>IFERROR(__xludf.DUMMYFUNCTION("""COMPUTED_VALUE"""),"N")</f>
        <v>N</v>
      </c>
      <c r="R420" s="5" t="str">
        <f>IFERROR(__xludf.DUMMYFUNCTION("""COMPUTED_VALUE"""),"N")</f>
        <v>N</v>
      </c>
      <c r="S420" s="5"/>
      <c r="T420" s="5"/>
      <c r="U420" s="5" t="str">
        <f>IFERROR(__xludf.DUMMYFUNCTION("""COMPUTED_VALUE"""),"Y")</f>
        <v>Y</v>
      </c>
      <c r="V420" s="5">
        <f>IFERROR(__xludf.DUMMYFUNCTION("""COMPUTED_VALUE"""),530.0)</f>
        <v>530</v>
      </c>
      <c r="W420" s="5"/>
      <c r="X420" s="5"/>
      <c r="Y420" s="5"/>
      <c r="Z420" s="5"/>
    </row>
    <row r="421">
      <c r="A421" s="5" t="str">
        <f>IFERROR(__xludf.DUMMYFUNCTION("""COMPUTED_VALUE"""),"ร้านเย็น-หมูชาบู-3แถว-5กก/-หิ้ว-(84)")</f>
        <v>ร้านเย็น-หมูชาบู-3แถว-5กก/-หิ้ว-(84)</v>
      </c>
      <c r="B421" s="5">
        <f>IFERROR(__xludf.DUMMYFUNCTION("""COMPUTED_VALUE"""),10698.0)</f>
        <v>10698</v>
      </c>
      <c r="C421" s="5" t="str">
        <f>IFERROR(__xludf.DUMMYFUNCTION("""COMPUTED_VALUE"""),"ร้านเย็น หมูชาบู 3แถว 5กก/หิ้ว (88)")</f>
        <v>ร้านเย็น หมูชาบู 3แถว 5กก/หิ้ว (88)</v>
      </c>
      <c r="D421" s="5" t="str">
        <f>IFERROR(__xludf.DUMMYFUNCTION("""COMPUTED_VALUE"""),"**ร้านค้า ราคาพิเศษ")</f>
        <v>**ร้านค้า ราคาพิเศษ</v>
      </c>
      <c r="E421" s="5"/>
      <c r="F421" s="5" t="str">
        <f>IFERROR(__xludf.DUMMYFUNCTION("""COMPUTED_VALUE"""),"N")</f>
        <v>N</v>
      </c>
      <c r="G421" s="5"/>
      <c r="H421" s="5"/>
      <c r="I421" s="5"/>
      <c r="J421" s="5"/>
      <c r="K421" s="5"/>
      <c r="L421" s="5"/>
      <c r="M421" s="5"/>
      <c r="N421" s="5"/>
      <c r="O421" s="5">
        <f>IFERROR(__xludf.DUMMYFUNCTION("""COMPUTED_VALUE"""),10370.0)</f>
        <v>10370</v>
      </c>
      <c r="P421" s="5">
        <f>IFERROR(__xludf.DUMMYFUNCTION("""COMPUTED_VALUE"""),1.0)</f>
        <v>1</v>
      </c>
      <c r="Q421" s="5" t="str">
        <f>IFERROR(__xludf.DUMMYFUNCTION("""COMPUTED_VALUE"""),"N")</f>
        <v>N</v>
      </c>
      <c r="R421" s="5" t="str">
        <f>IFERROR(__xludf.DUMMYFUNCTION("""COMPUTED_VALUE"""),"N")</f>
        <v>N</v>
      </c>
      <c r="S421" s="5"/>
      <c r="T421" s="5"/>
      <c r="U421" s="5" t="str">
        <f>IFERROR(__xludf.DUMMYFUNCTION("""COMPUTED_VALUE"""),"Y")</f>
        <v>Y</v>
      </c>
      <c r="V421" s="5">
        <f>IFERROR(__xludf.DUMMYFUNCTION("""COMPUTED_VALUE"""),440.0)</f>
        <v>440</v>
      </c>
      <c r="W421" s="5"/>
      <c r="X421" s="5"/>
      <c r="Y421" s="5"/>
      <c r="Z421" s="5"/>
    </row>
    <row r="422">
      <c r="A422" s="5" t="str">
        <f>IFERROR(__xludf.DUMMYFUNCTION("""COMPUTED_VALUE"""),"ร้านเย็น-สันคอหิ้วเขียว")</f>
        <v>ร้านเย็น-สันคอหิ้วเขียว</v>
      </c>
      <c r="B422" s="5">
        <f>IFERROR(__xludf.DUMMYFUNCTION("""COMPUTED_VALUE"""),11176.0)</f>
        <v>11176</v>
      </c>
      <c r="C422" s="5" t="str">
        <f>IFERROR(__xludf.DUMMYFUNCTION("""COMPUTED_VALUE"""),"ร้านเย็น หมูชาบู(ฟ้า) -88")</f>
        <v>ร้านเย็น หมูชาบู(ฟ้า) -88</v>
      </c>
      <c r="D422" s="5" t="str">
        <f>IFERROR(__xludf.DUMMYFUNCTION("""COMPUTED_VALUE"""),"**ร้านค้า ราคาพิเศษ")</f>
        <v>**ร้านค้า ราคาพิเศษ</v>
      </c>
      <c r="E422" s="5" t="str">
        <f>IFERROR(__xludf.DUMMYFUNCTION("""COMPUTED_VALUE"""),"&lt;p&gt;X&lt;/p&gt;")</f>
        <v>&lt;p&gt;X&lt;/p&gt;</v>
      </c>
      <c r="F422" s="5" t="str">
        <f>IFERROR(__xludf.DUMMYFUNCTION("""COMPUTED_VALUE"""),"N")</f>
        <v>N</v>
      </c>
      <c r="G422" s="5"/>
      <c r="H422" s="5"/>
      <c r="I422" s="5"/>
      <c r="J422" s="5"/>
      <c r="K422" s="5"/>
      <c r="L422" s="5"/>
      <c r="M422" s="5"/>
      <c r="N422" s="5">
        <f>IFERROR(__xludf.DUMMYFUNCTION("""COMPUTED_VALUE"""),11176.0)</f>
        <v>11176</v>
      </c>
      <c r="O422" s="5">
        <f>IFERROR(__xludf.DUMMYFUNCTION("""COMPUTED_VALUE"""),10895.0)</f>
        <v>10895</v>
      </c>
      <c r="P422" s="5">
        <f>IFERROR(__xludf.DUMMYFUNCTION("""COMPUTED_VALUE"""),1.0)</f>
        <v>1</v>
      </c>
      <c r="Q422" s="5" t="str">
        <f>IFERROR(__xludf.DUMMYFUNCTION("""COMPUTED_VALUE"""),"N")</f>
        <v>N</v>
      </c>
      <c r="R422" s="5" t="str">
        <f>IFERROR(__xludf.DUMMYFUNCTION("""COMPUTED_VALUE"""),"N")</f>
        <v>N</v>
      </c>
      <c r="S422" s="5"/>
      <c r="T422" s="5"/>
      <c r="U422" s="5" t="str">
        <f>IFERROR(__xludf.DUMMYFUNCTION("""COMPUTED_VALUE"""),"Y")</f>
        <v>Y</v>
      </c>
      <c r="V422" s="5">
        <f>IFERROR(__xludf.DUMMYFUNCTION("""COMPUTED_VALUE"""),440.0)</f>
        <v>440</v>
      </c>
      <c r="W422" s="5"/>
      <c r="X422" s="5"/>
      <c r="Y422" s="5"/>
      <c r="Z422" s="5"/>
    </row>
    <row r="423">
      <c r="A423" s="5" t="str">
        <f>IFERROR(__xludf.DUMMYFUNCTION("""COMPUTED_VALUE"""),"ร้านเย็น-หอยหวาน-10/20-12กก/ลัง(129)")</f>
        <v>ร้านเย็น-หอยหวาน-10/20-12กก/ลัง(129)</v>
      </c>
      <c r="B423" s="5">
        <f>IFERROR(__xludf.DUMMYFUNCTION("""COMPUTED_VALUE"""),10038.0)</f>
        <v>10038</v>
      </c>
      <c r="C423" s="5" t="str">
        <f>IFERROR(__xludf.DUMMYFUNCTION("""COMPUTED_VALUE"""),"ร้านเย็น หอยหวาน 10/20 10กก/ลัง(123)")</f>
        <v>ร้านเย็น หอยหวาน 10/20 10กก/ลัง(123)</v>
      </c>
      <c r="D423" s="5" t="str">
        <f>IFERROR(__xludf.DUMMYFUNCTION("""COMPUTED_VALUE"""),"**ร้านค้า ราคาพิเศษ")</f>
        <v>**ร้านค้า ราคาพิเศษ</v>
      </c>
      <c r="E423" s="5"/>
      <c r="F423" s="5" t="str">
        <f>IFERROR(__xludf.DUMMYFUNCTION("""COMPUTED_VALUE"""),"N")</f>
        <v>N</v>
      </c>
      <c r="G423" s="5"/>
      <c r="H423" s="5"/>
      <c r="I423" s="5"/>
      <c r="J423" s="5"/>
      <c r="K423" s="5"/>
      <c r="L423" s="5"/>
      <c r="M423" s="5"/>
      <c r="N423" s="5"/>
      <c r="O423" s="5">
        <f>IFERROR(__xludf.DUMMYFUNCTION("""COMPUTED_VALUE"""),10064.0)</f>
        <v>10064</v>
      </c>
      <c r="P423" s="5">
        <f>IFERROR(__xludf.DUMMYFUNCTION("""COMPUTED_VALUE"""),1.0)</f>
        <v>1</v>
      </c>
      <c r="Q423" s="5" t="str">
        <f>IFERROR(__xludf.DUMMYFUNCTION("""COMPUTED_VALUE"""),"N")</f>
        <v>N</v>
      </c>
      <c r="R423" s="5" t="str">
        <f>IFERROR(__xludf.DUMMYFUNCTION("""COMPUTED_VALUE"""),"N")</f>
        <v>N</v>
      </c>
      <c r="S423" s="5"/>
      <c r="T423" s="5"/>
      <c r="U423" s="5" t="str">
        <f>IFERROR(__xludf.DUMMYFUNCTION("""COMPUTED_VALUE"""),"Y")</f>
        <v>Y</v>
      </c>
      <c r="V423" s="5">
        <f>IFERROR(__xludf.DUMMYFUNCTION("""COMPUTED_VALUE"""),1230.0)</f>
        <v>1230</v>
      </c>
      <c r="W423" s="5"/>
      <c r="X423" s="5"/>
      <c r="Y423" s="5"/>
      <c r="Z423" s="5"/>
    </row>
    <row r="424">
      <c r="A424" s="5" t="str">
        <f>IFERROR(__xludf.DUMMYFUNCTION("""COMPUTED_VALUE"""),"ร้านเย็น-หอยหวาน-10/20-12kg/ลัง(120)-1")</f>
        <v>ร้านเย็น-หอยหวาน-10/20-12kg/ลัง(120)-1</v>
      </c>
      <c r="B424" s="5">
        <f>IFERROR(__xludf.DUMMYFUNCTION("""COMPUTED_VALUE"""),10600.0)</f>
        <v>10600</v>
      </c>
      <c r="C424" s="5" t="str">
        <f>IFERROR(__xludf.DUMMYFUNCTION("""COMPUTED_VALUE"""),"ร้านเย็น หอยหวาน 10/20 12กก/ลัง(145)")</f>
        <v>ร้านเย็น หอยหวาน 10/20 12กก/ลัง(145)</v>
      </c>
      <c r="D424" s="5" t="str">
        <f>IFERROR(__xludf.DUMMYFUNCTION("""COMPUTED_VALUE"""),"**ร้านค้า ราคาพิเศษ")</f>
        <v>**ร้านค้า ราคาพิเศษ</v>
      </c>
      <c r="E424" s="5"/>
      <c r="F424" s="5" t="str">
        <f>IFERROR(__xludf.DUMMYFUNCTION("""COMPUTED_VALUE"""),"N")</f>
        <v>N</v>
      </c>
      <c r="G424" s="5"/>
      <c r="H424" s="5"/>
      <c r="I424" s="5"/>
      <c r="J424" s="5"/>
      <c r="K424" s="5"/>
      <c r="L424" s="5"/>
      <c r="M424" s="5"/>
      <c r="N424" s="5"/>
      <c r="O424" s="5">
        <f>IFERROR(__xludf.DUMMYFUNCTION("""COMPUTED_VALUE"""),10831.0)</f>
        <v>10831</v>
      </c>
      <c r="P424" s="5">
        <f>IFERROR(__xludf.DUMMYFUNCTION("""COMPUTED_VALUE"""),1.0)</f>
        <v>1</v>
      </c>
      <c r="Q424" s="5" t="str">
        <f>IFERROR(__xludf.DUMMYFUNCTION("""COMPUTED_VALUE"""),"N")</f>
        <v>N</v>
      </c>
      <c r="R424" s="5" t="str">
        <f>IFERROR(__xludf.DUMMYFUNCTION("""COMPUTED_VALUE"""),"N")</f>
        <v>N</v>
      </c>
      <c r="S424" s="5"/>
      <c r="T424" s="5"/>
      <c r="U424" s="5" t="str">
        <f>IFERROR(__xludf.DUMMYFUNCTION("""COMPUTED_VALUE"""),"N")</f>
        <v>N</v>
      </c>
      <c r="V424" s="5">
        <f>IFERROR(__xludf.DUMMYFUNCTION("""COMPUTED_VALUE"""),1740.0)</f>
        <v>1740</v>
      </c>
      <c r="W424" s="5"/>
      <c r="X424" s="5"/>
      <c r="Y424" s="5"/>
      <c r="Z424" s="5"/>
    </row>
    <row r="425">
      <c r="A425" s="5" t="str">
        <f>IFERROR(__xludf.DUMMYFUNCTION("""COMPUTED_VALUE"""),"ร้านเย็น-เต้าหู้หมู-ถุงม่วง-(46)")</f>
        <v>ร้านเย็น-เต้าหู้หมู-ถุงม่วง-(46)</v>
      </c>
      <c r="B425" s="5">
        <f>IFERROR(__xludf.DUMMYFUNCTION("""COMPUTED_VALUE"""),10195.0)</f>
        <v>10195</v>
      </c>
      <c r="C425" s="5" t="str">
        <f>IFERROR(__xludf.DUMMYFUNCTION("""COMPUTED_VALUE"""),"ร้านเย็น เต้าหู้หมู (ถุงม่วง) หิ้ว5 กก(44)")</f>
        <v>ร้านเย็น เต้าหู้หมู (ถุงม่วง) หิ้ว5 กก(44)</v>
      </c>
      <c r="D425" s="5" t="str">
        <f>IFERROR(__xludf.DUMMYFUNCTION("""COMPUTED_VALUE"""),"**ร้านค้า ราคาพิเศษ")</f>
        <v>**ร้านค้า ราคาพิเศษ</v>
      </c>
      <c r="E425" s="5"/>
      <c r="F425" s="5" t="str">
        <f>IFERROR(__xludf.DUMMYFUNCTION("""COMPUTED_VALUE"""),"N")</f>
        <v>N</v>
      </c>
      <c r="G425" s="5"/>
      <c r="H425" s="5"/>
      <c r="I425" s="5"/>
      <c r="J425" s="5"/>
      <c r="K425" s="5"/>
      <c r="L425" s="5"/>
      <c r="M425" s="5"/>
      <c r="N425" s="5">
        <f>IFERROR(__xludf.DUMMYFUNCTION("""COMPUTED_VALUE"""),10195.0)</f>
        <v>10195</v>
      </c>
      <c r="O425" s="5">
        <f>IFERROR(__xludf.DUMMYFUNCTION("""COMPUTED_VALUE"""),11052.0)</f>
        <v>11052</v>
      </c>
      <c r="P425" s="5">
        <f>IFERROR(__xludf.DUMMYFUNCTION("""COMPUTED_VALUE"""),10.0)</f>
        <v>10</v>
      </c>
      <c r="Q425" s="5" t="str">
        <f>IFERROR(__xludf.DUMMYFUNCTION("""COMPUTED_VALUE"""),"N")</f>
        <v>N</v>
      </c>
      <c r="R425" s="5" t="str">
        <f>IFERROR(__xludf.DUMMYFUNCTION("""COMPUTED_VALUE"""),"N")</f>
        <v>N</v>
      </c>
      <c r="S425" s="5"/>
      <c r="T425" s="5"/>
      <c r="U425" s="5" t="str">
        <f>IFERROR(__xludf.DUMMYFUNCTION("""COMPUTED_VALUE"""),"Y")</f>
        <v>Y</v>
      </c>
      <c r="V425" s="5">
        <f>IFERROR(__xludf.DUMMYFUNCTION("""COMPUTED_VALUE"""),440.0)</f>
        <v>440</v>
      </c>
      <c r="W425" s="5"/>
      <c r="X425" s="5"/>
      <c r="Y425" s="5"/>
      <c r="Z425" s="5"/>
    </row>
    <row r="426">
      <c r="A426" s="5" t="str">
        <f>IFERROR(__xludf.DUMMYFUNCTION("""COMPUTED_VALUE"""),"ร้านเย็น-ไส้ตันเล็ก(112)")</f>
        <v>ร้านเย็น-ไส้ตันเล็ก(112)</v>
      </c>
      <c r="B426" s="5">
        <f>IFERROR(__xludf.DUMMYFUNCTION("""COMPUTED_VALUE"""),11161.0)</f>
        <v>11161</v>
      </c>
      <c r="C426" s="5" t="str">
        <f>IFERROR(__xludf.DUMMYFUNCTION("""COMPUTED_VALUE"""),"ร้านเย็น ไส้ตันเล็ก (115)")</f>
        <v>ร้านเย็น ไส้ตันเล็ก (115)</v>
      </c>
      <c r="D426" s="5" t="str">
        <f>IFERROR(__xludf.DUMMYFUNCTION("""COMPUTED_VALUE"""),"**ร้านค้า ราคาพิเศษ")</f>
        <v>**ร้านค้า ราคาพิเศษ</v>
      </c>
      <c r="E426" s="5" t="str">
        <f>IFERROR(__xludf.DUMMYFUNCTION("""COMPUTED_VALUE"""),"&lt;p&gt;X&lt;/p&gt;")</f>
        <v>&lt;p&gt;X&lt;/p&gt;</v>
      </c>
      <c r="F426" s="5" t="str">
        <f>IFERROR(__xludf.DUMMYFUNCTION("""COMPUTED_VALUE"""),"N")</f>
        <v>N</v>
      </c>
      <c r="G426" s="5"/>
      <c r="H426" s="5"/>
      <c r="I426" s="5"/>
      <c r="J426" s="5"/>
      <c r="K426" s="5"/>
      <c r="L426" s="5"/>
      <c r="M426" s="5"/>
      <c r="N426" s="5">
        <f>IFERROR(__xludf.DUMMYFUNCTION("""COMPUTED_VALUE"""),11161.0)</f>
        <v>11161</v>
      </c>
      <c r="O426" s="5">
        <f>IFERROR(__xludf.DUMMYFUNCTION("""COMPUTED_VALUE"""),10302.0)</f>
        <v>10302</v>
      </c>
      <c r="P426" s="5">
        <f>IFERROR(__xludf.DUMMYFUNCTION("""COMPUTED_VALUE"""),1.0)</f>
        <v>1</v>
      </c>
      <c r="Q426" s="5" t="str">
        <f>IFERROR(__xludf.DUMMYFUNCTION("""COMPUTED_VALUE"""),"N")</f>
        <v>N</v>
      </c>
      <c r="R426" s="5" t="str">
        <f>IFERROR(__xludf.DUMMYFUNCTION("""COMPUTED_VALUE"""),"N")</f>
        <v>N</v>
      </c>
      <c r="S426" s="5"/>
      <c r="T426" s="5"/>
      <c r="U426" s="5" t="str">
        <f>IFERROR(__xludf.DUMMYFUNCTION("""COMPUTED_VALUE"""),"Y")</f>
        <v>Y</v>
      </c>
      <c r="V426" s="5">
        <f>IFERROR(__xludf.DUMMYFUNCTION("""COMPUTED_VALUE"""),575.0)</f>
        <v>575</v>
      </c>
      <c r="W426" s="5"/>
      <c r="X426" s="5"/>
      <c r="Y426" s="5"/>
      <c r="Z426" s="5"/>
    </row>
    <row r="427">
      <c r="A427" s="5" t="str">
        <f>IFERROR(__xludf.DUMMYFUNCTION("""COMPUTED_VALUE"""),"ริบอาย-โคขุน--(225)")</f>
        <v>ริบอาย-โคขุน--(225)</v>
      </c>
      <c r="B427" s="5">
        <f>IFERROR(__xludf.DUMMYFUNCTION("""COMPUTED_VALUE"""),10751.0)</f>
        <v>10751</v>
      </c>
      <c r="C427" s="5" t="str">
        <f>IFERROR(__xludf.DUMMYFUNCTION("""COMPUTED_VALUE"""),"ริบอาย โคขุน  (198)")</f>
        <v>ริบอาย โคขุน  (198)</v>
      </c>
      <c r="D427" s="5" t="str">
        <f>IFERROR(__xludf.DUMMYFUNCTION("""COMPUTED_VALUE"""),"**ชั่งน้ำหนัก")</f>
        <v>**ชั่งน้ำหนัก</v>
      </c>
      <c r="E427" s="5"/>
      <c r="F427" s="5" t="str">
        <f>IFERROR(__xludf.DUMMYFUNCTION("""COMPUTED_VALUE"""),"Y")</f>
        <v>Y</v>
      </c>
      <c r="G427" s="5"/>
      <c r="H427" s="5"/>
      <c r="I427" s="5"/>
      <c r="J427" s="5"/>
      <c r="K427" s="5"/>
      <c r="L427" s="5"/>
      <c r="M427" s="5">
        <f>IFERROR(__xludf.DUMMYFUNCTION("""COMPUTED_VALUE"""),177.07)</f>
        <v>177.07</v>
      </c>
      <c r="N427" s="5"/>
      <c r="O427" s="5"/>
      <c r="P427" s="5"/>
      <c r="Q427" s="5" t="str">
        <f>IFERROR(__xludf.DUMMYFUNCTION("""COMPUTED_VALUE"""),"Y")</f>
        <v>Y</v>
      </c>
      <c r="R427" s="5"/>
      <c r="S427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27" s="5">
        <f>IFERROR(__xludf.DUMMYFUNCTION("""COMPUTED_VALUE"""),175.0)</f>
        <v>175</v>
      </c>
      <c r="U427" s="5" t="str">
        <f>IFERROR(__xludf.DUMMYFUNCTION("""COMPUTED_VALUE"""),"Y")</f>
        <v>Y</v>
      </c>
      <c r="V427" s="5">
        <f>IFERROR(__xludf.DUMMYFUNCTION("""COMPUTED_VALUE"""),198.0)</f>
        <v>198</v>
      </c>
      <c r="W427" s="5">
        <f>IFERROR(__xludf.DUMMYFUNCTION("""COMPUTED_VALUE"""),24.0)</f>
        <v>24</v>
      </c>
      <c r="X427" s="5">
        <f>IFERROR(__xludf.DUMMYFUNCTION("""COMPUTED_VALUE"""),0.0)</f>
        <v>0</v>
      </c>
      <c r="Y427" s="5">
        <f>IFERROR(__xludf.DUMMYFUNCTION("""COMPUTED_VALUE"""),30.0)</f>
        <v>30</v>
      </c>
      <c r="Z427" s="5"/>
    </row>
    <row r="428">
      <c r="A428" s="5" t="str">
        <f>IFERROR(__xludf.DUMMYFUNCTION("""COMPUTED_VALUE"""),"ริบอาย-แท่ง-ชั่งน้ำหนัก(150)")</f>
        <v>ริบอาย-แท่ง-ชั่งน้ำหนัก(150)</v>
      </c>
      <c r="B428" s="5">
        <f>IFERROR(__xludf.DUMMYFUNCTION("""COMPUTED_VALUE"""),11174.0)</f>
        <v>11174</v>
      </c>
      <c r="C428" s="5" t="str">
        <f>IFERROR(__xludf.DUMMYFUNCTION("""COMPUTED_VALUE"""),"ริบอาย โคขุน  AA -225")</f>
        <v>ริบอาย โคขุน  AA -225</v>
      </c>
      <c r="D428" s="5" t="str">
        <f>IFERROR(__xludf.DUMMYFUNCTION("""COMPUTED_VALUE"""),"**ชั่งน้ำหนัก")</f>
        <v>**ชั่งน้ำหนัก</v>
      </c>
      <c r="E428" s="5" t="str">
        <f>IFERROR(__xludf.DUMMYFUNCTION("""COMPUTED_VALUE"""),"&lt;p&gt;B&lt;/p&gt;")</f>
        <v>&lt;p&gt;B&lt;/p&gt;</v>
      </c>
      <c r="F428" s="5" t="str">
        <f>IFERROR(__xludf.DUMMYFUNCTION("""COMPUTED_VALUE"""),"Y")</f>
        <v>Y</v>
      </c>
      <c r="G428" s="5"/>
      <c r="H428" s="5"/>
      <c r="I428" s="5"/>
      <c r="J428" s="5"/>
      <c r="K428" s="5"/>
      <c r="L428" s="5"/>
      <c r="M428" s="5">
        <f>IFERROR(__xludf.DUMMYFUNCTION("""COMPUTED_VALUE"""),215.0)</f>
        <v>215</v>
      </c>
      <c r="N428" s="5">
        <f>IFERROR(__xludf.DUMMYFUNCTION("""COMPUTED_VALUE"""),11174.0)</f>
        <v>11174</v>
      </c>
      <c r="O428" s="5"/>
      <c r="P428" s="5"/>
      <c r="Q428" s="5" t="str">
        <f>IFERROR(__xludf.DUMMYFUNCTION("""COMPUTED_VALUE"""),"Y")</f>
        <v>Y</v>
      </c>
      <c r="R428" s="5"/>
      <c r="S428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28" s="5">
        <f>IFERROR(__xludf.DUMMYFUNCTION("""COMPUTED_VALUE"""),212.0)</f>
        <v>212</v>
      </c>
      <c r="U428" s="5" t="str">
        <f>IFERROR(__xludf.DUMMYFUNCTION("""COMPUTED_VALUE"""),"Y")</f>
        <v>Y</v>
      </c>
      <c r="V428" s="5">
        <f>IFERROR(__xludf.DUMMYFUNCTION("""COMPUTED_VALUE"""),225.0)</f>
        <v>225</v>
      </c>
      <c r="W428" s="5">
        <f>IFERROR(__xludf.DUMMYFUNCTION("""COMPUTED_VALUE"""),31.3)</f>
        <v>31.3</v>
      </c>
      <c r="X428" s="5">
        <f>IFERROR(__xludf.DUMMYFUNCTION("""COMPUTED_VALUE"""),1.0)</f>
        <v>1</v>
      </c>
      <c r="Y428" s="5">
        <f>IFERROR(__xludf.DUMMYFUNCTION("""COMPUTED_VALUE"""),2.0)</f>
        <v>2</v>
      </c>
      <c r="Z428" s="5"/>
    </row>
    <row r="429">
      <c r="A429" s="5" t="str">
        <f>IFERROR(__xludf.DUMMYFUNCTION("""COMPUTED_VALUE"""),"ลอก(ไม่เรียง)-*พิเศษ*5กก-107")</f>
        <v>ลอก(ไม่เรียง)-*พิเศษ*5กก-107</v>
      </c>
      <c r="B429" s="5">
        <f>IFERROR(__xludf.DUMMYFUNCTION("""COMPUTED_VALUE"""),10877.0)</f>
        <v>10877</v>
      </c>
      <c r="C429" s="5" t="str">
        <f>IFERROR(__xludf.DUMMYFUNCTION("""COMPUTED_VALUE"""),"ลอก(ไม่เรียง) *พิเศษ*5กก-135")</f>
        <v>ลอก(ไม่เรียง) *พิเศษ*5กก-135</v>
      </c>
      <c r="D429" s="5" t="str">
        <f>IFERROR(__xludf.DUMMYFUNCTION("""COMPUTED_VALUE"""),"**ร้านค้า ราคาพิเศษ")</f>
        <v>**ร้านค้า ราคาพิเศษ</v>
      </c>
      <c r="E429" s="5"/>
      <c r="F429" s="5" t="str">
        <f>IFERROR(__xludf.DUMMYFUNCTION("""COMPUTED_VALUE"""),"N")</f>
        <v>N</v>
      </c>
      <c r="G429" s="5"/>
      <c r="H429" s="5"/>
      <c r="I429" s="5"/>
      <c r="J429" s="5"/>
      <c r="K429" s="5"/>
      <c r="L429" s="5"/>
      <c r="M429" s="5"/>
      <c r="N429" s="5"/>
      <c r="O429" s="5">
        <f>IFERROR(__xludf.DUMMYFUNCTION("""COMPUTED_VALUE"""),10659.0)</f>
        <v>10659</v>
      </c>
      <c r="P429" s="5">
        <f>IFERROR(__xludf.DUMMYFUNCTION("""COMPUTED_VALUE"""),1.0)</f>
        <v>1</v>
      </c>
      <c r="Q429" s="5" t="str">
        <f>IFERROR(__xludf.DUMMYFUNCTION("""COMPUTED_VALUE"""),"N")</f>
        <v>N</v>
      </c>
      <c r="R429" s="5" t="str">
        <f>IFERROR(__xludf.DUMMYFUNCTION("""COMPUTED_VALUE"""),"N")</f>
        <v>N</v>
      </c>
      <c r="S429" s="5"/>
      <c r="T429" s="5"/>
      <c r="U429" s="5" t="str">
        <f>IFERROR(__xludf.DUMMYFUNCTION("""COMPUTED_VALUE"""),"Y")</f>
        <v>Y</v>
      </c>
      <c r="V429" s="5">
        <f>IFERROR(__xludf.DUMMYFUNCTION("""COMPUTED_VALUE"""),675.0)</f>
        <v>675</v>
      </c>
      <c r="W429" s="5"/>
      <c r="X429" s="5"/>
      <c r="Y429" s="5"/>
      <c r="Z429" s="5"/>
    </row>
    <row r="430">
      <c r="A430" s="5" t="str">
        <f>IFERROR(__xludf.DUMMYFUNCTION("""COMPUTED_VALUE"""),"สามชั้นลอกหนัง-vj(ไม่เรียง)5กก-108")</f>
        <v>สามชั้นลอกหนัง-vj(ไม่เรียง)5กก-108</v>
      </c>
      <c r="B430" s="5">
        <f>IFERROR(__xludf.DUMMYFUNCTION("""COMPUTED_VALUE"""),10659.0)</f>
        <v>10659</v>
      </c>
      <c r="C430" s="5" t="str">
        <f>IFERROR(__xludf.DUMMYFUNCTION("""COMPUTED_VALUE"""),"ลอก(ไม่เรียง) ถุง5กก -135")</f>
        <v>ลอก(ไม่เรียง) ถุง5กก -135</v>
      </c>
      <c r="D430" s="5" t="str">
        <f>IFERROR(__xludf.DUMMYFUNCTION("""COMPUTED_VALUE"""),"วีเจ")</f>
        <v>วีเจ</v>
      </c>
      <c r="E430" s="5"/>
      <c r="F430" s="5" t="str">
        <f>IFERROR(__xludf.DUMMYFUNCTION("""COMPUTED_VALUE"""),"N")</f>
        <v>N</v>
      </c>
      <c r="G430" s="5"/>
      <c r="H430" s="5"/>
      <c r="I430" s="5"/>
      <c r="J430" s="5"/>
      <c r="K430" s="5"/>
      <c r="L430" s="5"/>
      <c r="M430" s="5">
        <f>IFERROR(__xludf.DUMMYFUNCTION("""COMPUTED_VALUE"""),577.8)</f>
        <v>577.8</v>
      </c>
      <c r="N430" s="5"/>
      <c r="O430" s="5"/>
      <c r="P430" s="5"/>
      <c r="Q430" s="5" t="str">
        <f>IFERROR(__xludf.DUMMYFUNCTION("""COMPUTED_VALUE"""),"Y")</f>
        <v>Y</v>
      </c>
      <c r="R430" s="5"/>
      <c r="S430" s="5" t="str">
        <f>IFERROR(__xludf.DUMMYFUNCTION("""COMPUTED_VALUE"""),"บจก.วีเจ.กรุ๊ป (หมูวีเจ)")</f>
        <v>บจก.วีเจ.กรุ๊ป (หมูวีเจ)</v>
      </c>
      <c r="T430" s="5">
        <f>IFERROR(__xludf.DUMMYFUNCTION("""COMPUTED_VALUE"""),575.0)</f>
        <v>575</v>
      </c>
      <c r="U430" s="5" t="str">
        <f>IFERROR(__xludf.DUMMYFUNCTION("""COMPUTED_VALUE"""),"Y")</f>
        <v>Y</v>
      </c>
      <c r="V430" s="5">
        <f>IFERROR(__xludf.DUMMYFUNCTION("""COMPUTED_VALUE"""),675.0)</f>
        <v>675</v>
      </c>
      <c r="W430" s="5">
        <f>IFERROR(__xludf.DUMMYFUNCTION("""COMPUTED_VALUE"""),8.0)</f>
        <v>8</v>
      </c>
      <c r="X430" s="5">
        <f>IFERROR(__xludf.DUMMYFUNCTION("""COMPUTED_VALUE"""),0.0)</f>
        <v>0</v>
      </c>
      <c r="Y430" s="5"/>
      <c r="Z430" s="5"/>
    </row>
    <row r="431">
      <c r="A431" s="5" t="str">
        <f>IFERROR(__xludf.DUMMYFUNCTION("""COMPUTED_VALUE"""),"ลอกหนัง-ถุงใส-หิ้ว-1*5-กก")</f>
        <v>ลอกหนัง-ถุงใส-หิ้ว-1*5-กก</v>
      </c>
      <c r="B431" s="5">
        <f>IFERROR(__xludf.DUMMYFUNCTION("""COMPUTED_VALUE"""),10196.0)</f>
        <v>10196</v>
      </c>
      <c r="C431" s="5" t="str">
        <f>IFERROR(__xludf.DUMMYFUNCTION("""COMPUTED_VALUE"""),"ลอกหนัง (ถุงใส) 5 กก. (หิ้ว) - 98")</f>
        <v>ลอกหนัง (ถุงใส) 5 กก. (หิ้ว) - 98</v>
      </c>
      <c r="D431" s="5"/>
      <c r="E431" s="5"/>
      <c r="F431" s="5" t="str">
        <f>IFERROR(__xludf.DUMMYFUNCTION("""COMPUTED_VALUE"""),"N")</f>
        <v>N</v>
      </c>
      <c r="G431" s="5"/>
      <c r="H431" s="5"/>
      <c r="I431" s="5"/>
      <c r="J431" s="5"/>
      <c r="K431" s="5"/>
      <c r="L431" s="5"/>
      <c r="M431" s="5"/>
      <c r="N431" s="5">
        <f>IFERROR(__xludf.DUMMYFUNCTION("""COMPUTED_VALUE"""),10196.0)</f>
        <v>10196</v>
      </c>
      <c r="O431" s="5">
        <f>IFERROR(__xludf.DUMMYFUNCTION("""COMPUTED_VALUE"""),10330.0)</f>
        <v>10330</v>
      </c>
      <c r="P431" s="5">
        <f>IFERROR(__xludf.DUMMYFUNCTION("""COMPUTED_VALUE"""),5.0)</f>
        <v>5</v>
      </c>
      <c r="Q431" s="5" t="str">
        <f>IFERROR(__xludf.DUMMYFUNCTION("""COMPUTED_VALUE"""),"N")</f>
        <v>N</v>
      </c>
      <c r="R431" s="5" t="str">
        <f>IFERROR(__xludf.DUMMYFUNCTION("""COMPUTED_VALUE"""),"N")</f>
        <v>N</v>
      </c>
      <c r="S431" s="5"/>
      <c r="T431" s="5"/>
      <c r="U431" s="5" t="str">
        <f>IFERROR(__xludf.DUMMYFUNCTION("""COMPUTED_VALUE"""),"Y")</f>
        <v>Y</v>
      </c>
      <c r="V431" s="5">
        <f>IFERROR(__xludf.DUMMYFUNCTION("""COMPUTED_VALUE"""),490.0)</f>
        <v>490</v>
      </c>
      <c r="W431" s="5"/>
      <c r="X431" s="5"/>
      <c r="Y431" s="5"/>
      <c r="Z431" s="5"/>
    </row>
    <row r="432">
      <c r="A432" s="5" t="str">
        <f>IFERROR(__xludf.DUMMYFUNCTION("""COMPUTED_VALUE"""),"ลอกหนัง-ถุงใส-แพ็ค-1กก-(r100)")</f>
        <v>ลอกหนัง-ถุงใส-แพ็ค-1กก-(r100)</v>
      </c>
      <c r="B432" s="5">
        <f>IFERROR(__xludf.DUMMYFUNCTION("""COMPUTED_VALUE"""),10028.0)</f>
        <v>10028</v>
      </c>
      <c r="C432" s="5" t="str">
        <f>IFERROR(__xludf.DUMMYFUNCTION("""COMPUTED_VALUE"""),"ลอกหนัง (ถุงใส) R100(87)")</f>
        <v>ลอกหนัง (ถุงใส) R100(87)</v>
      </c>
      <c r="D432" s="5" t="str">
        <f>IFERROR(__xludf.DUMMYFUNCTION("""COMPUTED_VALUE"""),"**ร้านค้า ราคาพิเศษ")</f>
        <v>**ร้านค้า ราคาพิเศษ</v>
      </c>
      <c r="E432" s="5"/>
      <c r="F432" s="5" t="str">
        <f>IFERROR(__xludf.DUMMYFUNCTION("""COMPUTED_VALUE"""),"N")</f>
        <v>N</v>
      </c>
      <c r="G432" s="5"/>
      <c r="H432" s="5"/>
      <c r="I432" s="5"/>
      <c r="J432" s="5"/>
      <c r="K432" s="5"/>
      <c r="L432" s="5"/>
      <c r="M432" s="5"/>
      <c r="N432" s="5">
        <f>IFERROR(__xludf.DUMMYFUNCTION("""COMPUTED_VALUE"""),10028.0)</f>
        <v>10028</v>
      </c>
      <c r="O432" s="5">
        <f>IFERROR(__xludf.DUMMYFUNCTION("""COMPUTED_VALUE"""),10330.0)</f>
        <v>10330</v>
      </c>
      <c r="P432" s="5">
        <f>IFERROR(__xludf.DUMMYFUNCTION("""COMPUTED_VALUE"""),5.0)</f>
        <v>5</v>
      </c>
      <c r="Q432" s="5" t="str">
        <f>IFERROR(__xludf.DUMMYFUNCTION("""COMPUTED_VALUE"""),"N")</f>
        <v>N</v>
      </c>
      <c r="R432" s="5" t="str">
        <f>IFERROR(__xludf.DUMMYFUNCTION("""COMPUTED_VALUE"""),"N")</f>
        <v>N</v>
      </c>
      <c r="S432" s="5"/>
      <c r="T432" s="5"/>
      <c r="U432" s="5" t="str">
        <f>IFERROR(__xludf.DUMMYFUNCTION("""COMPUTED_VALUE"""),"Y")</f>
        <v>Y</v>
      </c>
      <c r="V432" s="5">
        <f>IFERROR(__xludf.DUMMYFUNCTION("""COMPUTED_VALUE"""),435.0)</f>
        <v>435</v>
      </c>
      <c r="W432" s="5"/>
      <c r="X432" s="5"/>
      <c r="Y432" s="5"/>
      <c r="Z432" s="5"/>
    </row>
    <row r="433">
      <c r="A433" s="5" t="str">
        <f>IFERROR(__xludf.DUMMYFUNCTION("""COMPUTED_VALUE"""),"ลอกหนัง1*5kg-/หิ้ว-(120)")</f>
        <v>ลอกหนัง1*5kg-/หิ้ว-(120)</v>
      </c>
      <c r="B433" s="5">
        <f>IFERROR(__xludf.DUMMYFUNCTION("""COMPUTED_VALUE"""),10053.0)</f>
        <v>10053</v>
      </c>
      <c r="C433" s="5" t="str">
        <f>IFERROR(__xludf.DUMMYFUNCTION("""COMPUTED_VALUE"""),"ลอกหนัง (ถุงใส) พิเศษ (96)")</f>
        <v>ลอกหนัง (ถุงใส) พิเศษ (96)</v>
      </c>
      <c r="D433" s="5" t="str">
        <f>IFERROR(__xludf.DUMMYFUNCTION("""COMPUTED_VALUE"""),"**ร้านค้า ราคาพิเศษ")</f>
        <v>**ร้านค้า ราคาพิเศษ</v>
      </c>
      <c r="E433" s="5"/>
      <c r="F433" s="5" t="str">
        <f>IFERROR(__xludf.DUMMYFUNCTION("""COMPUTED_VALUE"""),"N")</f>
        <v>N</v>
      </c>
      <c r="G433" s="5"/>
      <c r="H433" s="5"/>
      <c r="I433" s="5"/>
      <c r="J433" s="5"/>
      <c r="K433" s="5"/>
      <c r="L433" s="5"/>
      <c r="M433" s="5"/>
      <c r="N433" s="5"/>
      <c r="O433" s="5">
        <f>IFERROR(__xludf.DUMMYFUNCTION("""COMPUTED_VALUE"""),10330.0)</f>
        <v>10330</v>
      </c>
      <c r="P433" s="5">
        <f>IFERROR(__xludf.DUMMYFUNCTION("""COMPUTED_VALUE"""),5.0)</f>
        <v>5</v>
      </c>
      <c r="Q433" s="5" t="str">
        <f>IFERROR(__xludf.DUMMYFUNCTION("""COMPUTED_VALUE"""),"N")</f>
        <v>N</v>
      </c>
      <c r="R433" s="5" t="str">
        <f>IFERROR(__xludf.DUMMYFUNCTION("""COMPUTED_VALUE"""),"N")</f>
        <v>N</v>
      </c>
      <c r="S433" s="5"/>
      <c r="T433" s="5"/>
      <c r="U433" s="5" t="str">
        <f>IFERROR(__xludf.DUMMYFUNCTION("""COMPUTED_VALUE"""),"Y")</f>
        <v>Y</v>
      </c>
      <c r="V433" s="5">
        <f>IFERROR(__xludf.DUMMYFUNCTION("""COMPUTED_VALUE"""),480.0)</f>
        <v>480</v>
      </c>
      <c r="W433" s="5"/>
      <c r="X433" s="5"/>
      <c r="Y433" s="5"/>
      <c r="Z433" s="5"/>
    </row>
    <row r="434">
      <c r="A434" s="5" t="str">
        <f>IFERROR(__xludf.DUMMYFUNCTION("""COMPUTED_VALUE"""),"ลอกหนัง-ถุงใส-แพ็ค-1กก-r100")</f>
        <v>ลอกหนัง-ถุงใส-แพ็ค-1กก-r100</v>
      </c>
      <c r="B434" s="5">
        <f>IFERROR(__xludf.DUMMYFUNCTION("""COMPUTED_VALUE"""),10330.0)</f>
        <v>10330</v>
      </c>
      <c r="C434" s="5" t="str">
        <f>IFERROR(__xludf.DUMMYFUNCTION("""COMPUTED_VALUE"""),"ลอกหนัง (ถุงใส) แพ็ค 1กก 119")</f>
        <v>ลอกหนัง (ถุงใส) แพ็ค 1กก 119</v>
      </c>
      <c r="D434" s="5" t="str">
        <f>IFERROR(__xludf.DUMMYFUNCTION("""COMPUTED_VALUE"""),"**ของหิ้ว มหาชัย")</f>
        <v>**ของหิ้ว มหาชัย</v>
      </c>
      <c r="E434" s="5" t="str">
        <f>IFERROR(__xludf.DUMMYFUNCTION("""COMPUTED_VALUE"""),"&lt;p&gt;1&lt;/p&gt;")</f>
        <v>&lt;p&gt;1&lt;/p&gt;</v>
      </c>
      <c r="F434" s="5" t="str">
        <f>IFERROR(__xludf.DUMMYFUNCTION("""COMPUTED_VALUE"""),"N")</f>
        <v>N</v>
      </c>
      <c r="G434" s="5"/>
      <c r="H434" s="5"/>
      <c r="I434" s="5"/>
      <c r="J434" s="5"/>
      <c r="K434" s="5"/>
      <c r="L434" s="5"/>
      <c r="M434" s="5">
        <f>IFERROR(__xludf.DUMMYFUNCTION("""COMPUTED_VALUE"""),84.36)</f>
        <v>84.36</v>
      </c>
      <c r="N434" s="5">
        <f>IFERROR(__xludf.DUMMYFUNCTION("""COMPUTED_VALUE"""),10330.0)</f>
        <v>10330</v>
      </c>
      <c r="O434" s="5"/>
      <c r="P434" s="5"/>
      <c r="Q434" s="5" t="str">
        <f>IFERROR(__xludf.DUMMYFUNCTION("""COMPUTED_VALUE"""),"Y")</f>
        <v>Y</v>
      </c>
      <c r="R434" s="5"/>
      <c r="S434" s="5" t="str">
        <f>IFERROR(__xludf.DUMMYFUNCTION("""COMPUTED_VALUE"""),"ขึ้นของมหาชัย")</f>
        <v>ขึ้นของมหาชัย</v>
      </c>
      <c r="T434" s="5">
        <f>IFERROR(__xludf.DUMMYFUNCTION("""COMPUTED_VALUE"""),82.0)</f>
        <v>82</v>
      </c>
      <c r="U434" s="5" t="str">
        <f>IFERROR(__xludf.DUMMYFUNCTION("""COMPUTED_VALUE"""),"Y")</f>
        <v>Y</v>
      </c>
      <c r="V434" s="5">
        <f>IFERROR(__xludf.DUMMYFUNCTION("""COMPUTED_VALUE"""),119.0)</f>
        <v>119</v>
      </c>
      <c r="W434" s="5">
        <f>IFERROR(__xludf.DUMMYFUNCTION("""COMPUTED_VALUE"""),91.0)</f>
        <v>91</v>
      </c>
      <c r="X434" s="5">
        <f>IFERROR(__xludf.DUMMYFUNCTION("""COMPUTED_VALUE"""),150.0)</f>
        <v>150</v>
      </c>
      <c r="Y434" s="5">
        <f>IFERROR(__xludf.DUMMYFUNCTION("""COMPUTED_VALUE"""),250.0)</f>
        <v>250</v>
      </c>
      <c r="Z434" s="5"/>
    </row>
    <row r="435">
      <c r="A435" s="5" t="str">
        <f>IFERROR(__xludf.DUMMYFUNCTION("""COMPUTED_VALUE"""),"ลอกหนัง-ts-หิ้ว-5กก-(99)")</f>
        <v>ลอกหนัง-ts-หิ้ว-5กก-(99)</v>
      </c>
      <c r="B435" s="5">
        <f>IFERROR(__xludf.DUMMYFUNCTION("""COMPUTED_VALUE"""),10154.0)</f>
        <v>10154</v>
      </c>
      <c r="C435" s="5" t="str">
        <f>IFERROR(__xludf.DUMMYFUNCTION("""COMPUTED_VALUE"""),"ลอกหนัง TS 5 กก. (หิ้ว) - 95")</f>
        <v>ลอกหนัง TS 5 กก. (หิ้ว) - 95</v>
      </c>
      <c r="D435" s="5" t="str">
        <f>IFERROR(__xludf.DUMMYFUNCTION("""COMPUTED_VALUE"""),"**ของหิ้ว ร้อยเอ็ด")</f>
        <v>**ของหิ้ว ร้อยเอ็ด</v>
      </c>
      <c r="E435" s="5"/>
      <c r="F435" s="5" t="str">
        <f>IFERROR(__xludf.DUMMYFUNCTION("""COMPUTED_VALUE"""),"N")</f>
        <v>N</v>
      </c>
      <c r="G435" s="5"/>
      <c r="H435" s="5"/>
      <c r="I435" s="5"/>
      <c r="J435" s="5"/>
      <c r="K435" s="5"/>
      <c r="L435" s="5"/>
      <c r="M435" s="5">
        <f>IFERROR(__xludf.DUMMYFUNCTION("""COMPUTED_VALUE"""),390.0)</f>
        <v>390</v>
      </c>
      <c r="N435" s="5"/>
      <c r="O435" s="5"/>
      <c r="P435" s="5"/>
      <c r="Q435" s="5" t="str">
        <f>IFERROR(__xludf.DUMMYFUNCTION("""COMPUTED_VALUE"""),"Y")</f>
        <v>Y</v>
      </c>
      <c r="R435" s="5"/>
      <c r="S435" s="5" t="str">
        <f>IFERROR(__xludf.DUMMYFUNCTION("""COMPUTED_VALUE"""),"หจก กานพลู ซีฟู้ดส์")</f>
        <v>หจก กานพลู ซีฟู้ดส์</v>
      </c>
      <c r="T435" s="5">
        <f>IFERROR(__xludf.DUMMYFUNCTION("""COMPUTED_VALUE"""),390.0)</f>
        <v>390</v>
      </c>
      <c r="U435" s="5" t="str">
        <f>IFERROR(__xludf.DUMMYFUNCTION("""COMPUTED_VALUE"""),"Y")</f>
        <v>Y</v>
      </c>
      <c r="V435" s="5">
        <f>IFERROR(__xludf.DUMMYFUNCTION("""COMPUTED_VALUE"""),475.0)</f>
        <v>475</v>
      </c>
      <c r="W435" s="5">
        <f>IFERROR(__xludf.DUMMYFUNCTION("""COMPUTED_VALUE"""),31.0)</f>
        <v>31</v>
      </c>
      <c r="X435" s="5"/>
      <c r="Y435" s="5"/>
      <c r="Z435" s="5"/>
    </row>
    <row r="436">
      <c r="A436" s="5" t="str">
        <f>IFERROR(__xludf.DUMMYFUNCTION("""COMPUTED_VALUE"""),"ลอกหนัง-ts-แพ็ค-1กก-r100")</f>
        <v>ลอกหนัง-ts-แพ็ค-1กก-r100</v>
      </c>
      <c r="B436" s="5">
        <f>IFERROR(__xludf.DUMMYFUNCTION("""COMPUTED_VALUE"""),10617.0)</f>
        <v>10617</v>
      </c>
      <c r="C436" s="5" t="str">
        <f>IFERROR(__xludf.DUMMYFUNCTION("""COMPUTED_VALUE"""),"ลอกหนัง TS หิ้ว 5กกR100 (90)")</f>
        <v>ลอกหนัง TS หิ้ว 5กกR100 (90)</v>
      </c>
      <c r="D436" s="5" t="str">
        <f>IFERROR(__xludf.DUMMYFUNCTION("""COMPUTED_VALUE"""),"**ร้านค้า ราคาพิเศษ")</f>
        <v>**ร้านค้า ราคาพิเศษ</v>
      </c>
      <c r="E436" s="5"/>
      <c r="F436" s="5" t="str">
        <f>IFERROR(__xludf.DUMMYFUNCTION("""COMPUTED_VALUE"""),"N")</f>
        <v>N</v>
      </c>
      <c r="G436" s="5"/>
      <c r="H436" s="5"/>
      <c r="I436" s="5"/>
      <c r="J436" s="5"/>
      <c r="K436" s="5"/>
      <c r="L436" s="5"/>
      <c r="M436" s="5"/>
      <c r="N436" s="5"/>
      <c r="O436" s="5">
        <f>IFERROR(__xludf.DUMMYFUNCTION("""COMPUTED_VALUE"""),10154.0)</f>
        <v>10154</v>
      </c>
      <c r="P436" s="5">
        <f>IFERROR(__xludf.DUMMYFUNCTION("""COMPUTED_VALUE"""),1.0)</f>
        <v>1</v>
      </c>
      <c r="Q436" s="5" t="str">
        <f>IFERROR(__xludf.DUMMYFUNCTION("""COMPUTED_VALUE"""),"N")</f>
        <v>N</v>
      </c>
      <c r="R436" s="5" t="str">
        <f>IFERROR(__xludf.DUMMYFUNCTION("""COMPUTED_VALUE"""),"N")</f>
        <v>N</v>
      </c>
      <c r="S436" s="5"/>
      <c r="T436" s="5"/>
      <c r="U436" s="5" t="str">
        <f>IFERROR(__xludf.DUMMYFUNCTION("""COMPUTED_VALUE"""),"Y")</f>
        <v>Y</v>
      </c>
      <c r="V436" s="5">
        <f>IFERROR(__xludf.DUMMYFUNCTION("""COMPUTED_VALUE"""),450.0)</f>
        <v>450</v>
      </c>
      <c r="W436" s="5"/>
      <c r="X436" s="5"/>
      <c r="Y436" s="5"/>
      <c r="Z436" s="5"/>
    </row>
    <row r="437">
      <c r="A437" s="5" t="str">
        <f>IFERROR(__xludf.DUMMYFUNCTION("""COMPUTED_VALUE"""),"ลิ้นวัว--(225)-1")</f>
        <v>ลิ้นวัว--(225)-1</v>
      </c>
      <c r="B437" s="5">
        <f>IFERROR(__xludf.DUMMYFUNCTION("""COMPUTED_VALUE"""),10021.0)</f>
        <v>10021</v>
      </c>
      <c r="C437" s="5" t="str">
        <f>IFERROR(__xludf.DUMMYFUNCTION("""COMPUTED_VALUE"""),"ลิ้นวัว โคขุน  (225)")</f>
        <v>ลิ้นวัว โคขุน  (225)</v>
      </c>
      <c r="D437" s="5" t="str">
        <f>IFERROR(__xludf.DUMMYFUNCTION("""COMPUTED_VALUE"""),"**ชั่งน้ำหนัก")</f>
        <v>**ชั่งน้ำหนัก</v>
      </c>
      <c r="E437" s="5"/>
      <c r="F437" s="5" t="str">
        <f>IFERROR(__xludf.DUMMYFUNCTION("""COMPUTED_VALUE"""),"Y")</f>
        <v>Y</v>
      </c>
      <c r="G437" s="5"/>
      <c r="H437" s="5"/>
      <c r="I437" s="5"/>
      <c r="J437" s="5"/>
      <c r="K437" s="5"/>
      <c r="L437" s="5"/>
      <c r="M437" s="5">
        <f>IFERROR(__xludf.DUMMYFUNCTION("""COMPUTED_VALUE"""),205.0)</f>
        <v>205</v>
      </c>
      <c r="N437" s="5"/>
      <c r="O437" s="5"/>
      <c r="P437" s="5"/>
      <c r="Q437" s="5" t="str">
        <f>IFERROR(__xludf.DUMMYFUNCTION("""COMPUTED_VALUE"""),"Y")</f>
        <v>Y</v>
      </c>
      <c r="R437" s="5"/>
      <c r="S437" s="5"/>
      <c r="T437" s="5">
        <f>IFERROR(__xludf.DUMMYFUNCTION("""COMPUTED_VALUE"""),205.0)</f>
        <v>205</v>
      </c>
      <c r="U437" s="5" t="str">
        <f>IFERROR(__xludf.DUMMYFUNCTION("""COMPUTED_VALUE"""),"Y")</f>
        <v>Y</v>
      </c>
      <c r="V437" s="5">
        <f>IFERROR(__xludf.DUMMYFUNCTION("""COMPUTED_VALUE"""),225.0)</f>
        <v>225</v>
      </c>
      <c r="W437" s="5">
        <f>IFERROR(__xludf.DUMMYFUNCTION("""COMPUTED_VALUE"""),0.0)</f>
        <v>0</v>
      </c>
      <c r="X437" s="5"/>
      <c r="Y437" s="5"/>
      <c r="Z437" s="5"/>
    </row>
    <row r="438">
      <c r="A438" s="5" t="str">
        <f>IFERROR(__xludf.DUMMYFUNCTION("""COMPUTED_VALUE"""),"ลูกชิ้นการ์ตูน-1-กก.")</f>
        <v>ลูกชิ้นการ์ตูน-1-กก.</v>
      </c>
      <c r="B438" s="5">
        <f>IFERROR(__xludf.DUMMYFUNCTION("""COMPUTED_VALUE"""),10446.0)</f>
        <v>10446</v>
      </c>
      <c r="C438" s="5" t="str">
        <f>IFERROR(__xludf.DUMMYFUNCTION("""COMPUTED_VALUE"""),"ลูกชิ้นการ์ตูน 1 กก.")</f>
        <v>ลูกชิ้นการ์ตูน 1 กก.</v>
      </c>
      <c r="D438" s="5" t="str">
        <f>IFERROR(__xludf.DUMMYFUNCTION("""COMPUTED_VALUE"""),"ทวีวงษ์-PFP")</f>
        <v>ทวีวงษ์-PFP</v>
      </c>
      <c r="E438" s="5"/>
      <c r="F438" s="5" t="str">
        <f>IFERROR(__xludf.DUMMYFUNCTION("""COMPUTED_VALUE"""),"N")</f>
        <v>N</v>
      </c>
      <c r="G438" s="5"/>
      <c r="H438" s="5"/>
      <c r="I438" s="5"/>
      <c r="J438" s="5"/>
      <c r="K438" s="5"/>
      <c r="L438" s="5"/>
      <c r="M438" s="5">
        <f>IFERROR(__xludf.DUMMYFUNCTION("""COMPUTED_VALUE"""),75.0)</f>
        <v>75</v>
      </c>
      <c r="N438" s="5">
        <f>IFERROR(__xludf.DUMMYFUNCTION("""COMPUTED_VALUE"""),10446.0)</f>
        <v>10446</v>
      </c>
      <c r="O438" s="5"/>
      <c r="P438" s="5"/>
      <c r="Q438" s="5" t="str">
        <f>IFERROR(__xludf.DUMMYFUNCTION("""COMPUTED_VALUE"""),"Y")</f>
        <v>Y</v>
      </c>
      <c r="R438" s="5"/>
      <c r="S438" s="5" t="str">
        <f>IFERROR(__xludf.DUMMYFUNCTION("""COMPUTED_VALUE"""),"ทวีวงษ์")</f>
        <v>ทวีวงษ์</v>
      </c>
      <c r="T438" s="5">
        <f>IFERROR(__xludf.DUMMYFUNCTION("""COMPUTED_VALUE"""),75.0)</f>
        <v>75</v>
      </c>
      <c r="U438" s="5" t="str">
        <f>IFERROR(__xludf.DUMMYFUNCTION("""COMPUTED_VALUE"""),"Y")</f>
        <v>Y</v>
      </c>
      <c r="V438" s="5">
        <f>IFERROR(__xludf.DUMMYFUNCTION("""COMPUTED_VALUE"""),95.0)</f>
        <v>95</v>
      </c>
      <c r="W438" s="5">
        <f>IFERROR(__xludf.DUMMYFUNCTION("""COMPUTED_VALUE"""),0.0)</f>
        <v>0</v>
      </c>
      <c r="X438" s="5"/>
      <c r="Y438" s="5"/>
      <c r="Z438" s="5"/>
    </row>
    <row r="439">
      <c r="A439" s="5" t="str">
        <f>IFERROR(__xludf.DUMMYFUNCTION("""COMPUTED_VALUE"""),"ลูกชิ้นการ์ตูน-1*10-ลัง")</f>
        <v>ลูกชิ้นการ์ตูน-1*10-ลัง</v>
      </c>
      <c r="B439" s="5">
        <f>IFERROR(__xludf.DUMMYFUNCTION("""COMPUTED_VALUE"""),10447.0)</f>
        <v>10447</v>
      </c>
      <c r="C439" s="5" t="str">
        <f>IFERROR(__xludf.DUMMYFUNCTION("""COMPUTED_VALUE"""),"ลูกชิ้นการ์ตูน 1*10 ลัง")</f>
        <v>ลูกชิ้นการ์ตูน 1*10 ลัง</v>
      </c>
      <c r="D439" s="5"/>
      <c r="E439" s="5"/>
      <c r="F439" s="5" t="str">
        <f>IFERROR(__xludf.DUMMYFUNCTION("""COMPUTED_VALUE"""),"N")</f>
        <v>N</v>
      </c>
      <c r="G439" s="5"/>
      <c r="H439" s="5"/>
      <c r="I439" s="5"/>
      <c r="J439" s="5"/>
      <c r="K439" s="5"/>
      <c r="L439" s="5"/>
      <c r="M439" s="5"/>
      <c r="N439" s="5">
        <f>IFERROR(__xludf.DUMMYFUNCTION("""COMPUTED_VALUE"""),10447.0)</f>
        <v>10447</v>
      </c>
      <c r="O439" s="5">
        <f>IFERROR(__xludf.DUMMYFUNCTION("""COMPUTED_VALUE"""),10446.0)</f>
        <v>10446</v>
      </c>
      <c r="P439" s="5">
        <f>IFERROR(__xludf.DUMMYFUNCTION("""COMPUTED_VALUE"""),10.0)</f>
        <v>10</v>
      </c>
      <c r="Q439" s="5" t="str">
        <f>IFERROR(__xludf.DUMMYFUNCTION("""COMPUTED_VALUE"""),"N")</f>
        <v>N</v>
      </c>
      <c r="R439" s="5" t="str">
        <f>IFERROR(__xludf.DUMMYFUNCTION("""COMPUTED_VALUE"""),"N")</f>
        <v>N</v>
      </c>
      <c r="S439" s="5"/>
      <c r="T439" s="5"/>
      <c r="U439" s="5" t="str">
        <f>IFERROR(__xludf.DUMMYFUNCTION("""COMPUTED_VALUE"""),"Y")</f>
        <v>Y</v>
      </c>
      <c r="V439" s="5">
        <f>IFERROR(__xludf.DUMMYFUNCTION("""COMPUTED_VALUE"""),880.0)</f>
        <v>880</v>
      </c>
      <c r="W439" s="5"/>
      <c r="X439" s="5"/>
      <c r="Y439" s="5"/>
      <c r="Z439" s="5"/>
    </row>
    <row r="440">
      <c r="A440" s="5" t="str">
        <f>IFERROR(__xludf.DUMMYFUNCTION("""COMPUTED_VALUE"""),"ลูกชิ้นกุ้งมังกร")</f>
        <v>ลูกชิ้นกุ้งมังกร</v>
      </c>
      <c r="B440" s="5">
        <f>IFERROR(__xludf.DUMMYFUNCTION("""COMPUTED_VALUE"""),10075.0)</f>
        <v>10075</v>
      </c>
      <c r="C440" s="5" t="str">
        <f>IFERROR(__xludf.DUMMYFUNCTION("""COMPUTED_VALUE"""),"ลูกชิ้นกุ้งมังกร 500g1*20แพ็ค(ลัง)")</f>
        <v>ลูกชิ้นกุ้งมังกร 500g1*20แพ็ค(ลัง)</v>
      </c>
      <c r="D440" s="5" t="str">
        <f>IFERROR(__xludf.DUMMYFUNCTION("""COMPUTED_VALUE"""),"ทวีวงษ์-PFP")</f>
        <v>ทวีวงษ์-PFP</v>
      </c>
      <c r="E440" s="5"/>
      <c r="F440" s="5" t="str">
        <f>IFERROR(__xludf.DUMMYFUNCTION("""COMPUTED_VALUE"""),"N")</f>
        <v>N</v>
      </c>
      <c r="G440" s="5"/>
      <c r="H440" s="5"/>
      <c r="I440" s="5"/>
      <c r="J440" s="5"/>
      <c r="K440" s="5"/>
      <c r="L440" s="5"/>
      <c r="M440" s="5">
        <f>IFERROR(__xludf.DUMMYFUNCTION("""COMPUTED_VALUE"""),1350.0)</f>
        <v>1350</v>
      </c>
      <c r="N440" s="5">
        <f>IFERROR(__xludf.DUMMYFUNCTION("""COMPUTED_VALUE"""),10075.0)</f>
        <v>10075</v>
      </c>
      <c r="O440" s="5"/>
      <c r="P440" s="5"/>
      <c r="Q440" s="5" t="str">
        <f>IFERROR(__xludf.DUMMYFUNCTION("""COMPUTED_VALUE"""),"Y")</f>
        <v>Y</v>
      </c>
      <c r="R440" s="5"/>
      <c r="S440" s="5" t="str">
        <f>IFERROR(__xludf.DUMMYFUNCTION("""COMPUTED_VALUE"""),"ทวีวงษ์")</f>
        <v>ทวีวงษ์</v>
      </c>
      <c r="T440" s="5">
        <f>IFERROR(__xludf.DUMMYFUNCTION("""COMPUTED_VALUE"""),1350.0)</f>
        <v>1350</v>
      </c>
      <c r="U440" s="5" t="str">
        <f>IFERROR(__xludf.DUMMYFUNCTION("""COMPUTED_VALUE"""),"Y")</f>
        <v>Y</v>
      </c>
      <c r="V440" s="5">
        <f>IFERROR(__xludf.DUMMYFUNCTION("""COMPUTED_VALUE"""),1420.0)</f>
        <v>1420</v>
      </c>
      <c r="W440" s="5">
        <f>IFERROR(__xludf.DUMMYFUNCTION("""COMPUTED_VALUE"""),1.0)</f>
        <v>1</v>
      </c>
      <c r="X440" s="5"/>
      <c r="Y440" s="5"/>
      <c r="Z440" s="5"/>
    </row>
    <row r="441">
      <c r="A441" s="5" t="str">
        <f>IFERROR(__xludf.DUMMYFUNCTION("""COMPUTED_VALUE"""),"ลูกชิ้นกุ้งมังกร-แพ็ค-500g")</f>
        <v>ลูกชิ้นกุ้งมังกร-แพ็ค-500g</v>
      </c>
      <c r="B441" s="5">
        <f>IFERROR(__xludf.DUMMYFUNCTION("""COMPUTED_VALUE"""),10338.0)</f>
        <v>10338</v>
      </c>
      <c r="C441" s="5" t="str">
        <f>IFERROR(__xludf.DUMMYFUNCTION("""COMPUTED_VALUE"""),"ลูกชิ้นกุ้งมังกร แพ็ค 500g")</f>
        <v>ลูกชิ้นกุ้งมังกร แพ็ค 500g</v>
      </c>
      <c r="D441" s="5"/>
      <c r="E441" s="5"/>
      <c r="F441" s="5" t="str">
        <f>IFERROR(__xludf.DUMMYFUNCTION("""COMPUTED_VALUE"""),"N")</f>
        <v>N</v>
      </c>
      <c r="G441" s="5"/>
      <c r="H441" s="5"/>
      <c r="I441" s="5"/>
      <c r="J441" s="5"/>
      <c r="K441" s="5"/>
      <c r="L441" s="5"/>
      <c r="M441" s="5"/>
      <c r="N441" s="5">
        <f>IFERROR(__xludf.DUMMYFUNCTION("""COMPUTED_VALUE"""),8.85001663465E12)</f>
        <v>8850016634650</v>
      </c>
      <c r="O441" s="5">
        <f>IFERROR(__xludf.DUMMYFUNCTION("""COMPUTED_VALUE"""),10075.0)</f>
        <v>10075</v>
      </c>
      <c r="P441" s="5">
        <f>IFERROR(__xludf.DUMMYFUNCTION("""COMPUTED_VALUE"""),0.05)</f>
        <v>0.05</v>
      </c>
      <c r="Q441" s="5" t="str">
        <f>IFERROR(__xludf.DUMMYFUNCTION("""COMPUTED_VALUE"""),"N")</f>
        <v>N</v>
      </c>
      <c r="R441" s="5" t="str">
        <f>IFERROR(__xludf.DUMMYFUNCTION("""COMPUTED_VALUE"""),"N")</f>
        <v>N</v>
      </c>
      <c r="S441" s="5"/>
      <c r="T441" s="5"/>
      <c r="U441" s="5" t="str">
        <f>IFERROR(__xludf.DUMMYFUNCTION("""COMPUTED_VALUE"""),"Y")</f>
        <v>Y</v>
      </c>
      <c r="V441" s="5">
        <f>IFERROR(__xludf.DUMMYFUNCTION("""COMPUTED_VALUE"""),76.0)</f>
        <v>76</v>
      </c>
      <c r="W441" s="5"/>
      <c r="X441" s="5"/>
      <c r="Y441" s="5"/>
      <c r="Z441" s="5"/>
    </row>
    <row r="442">
      <c r="A442" s="5" t="str">
        <f>IFERROR(__xludf.DUMMYFUNCTION("""COMPUTED_VALUE"""),"ลูกชิ้นปลา9ดาว-แหลม-10*500กรัม-หิ้ว-5kg")</f>
        <v>ลูกชิ้นปลา9ดาว-แหลม-10*500กรัม-หิ้ว-5kg</v>
      </c>
      <c r="B442" s="5">
        <f>IFERROR(__xludf.DUMMYFUNCTION("""COMPUTED_VALUE"""),10235.0)</f>
        <v>10235</v>
      </c>
      <c r="C442" s="5" t="str">
        <f>IFERROR(__xludf.DUMMYFUNCTION("""COMPUTED_VALUE"""),"ลูกชิ้นปลา9ดาว แหลม 10*500กรัม หิ้ว 5KG")</f>
        <v>ลูกชิ้นปลา9ดาว แหลม 10*500กรัม หิ้ว 5KG</v>
      </c>
      <c r="D442" s="5" t="str">
        <f>IFERROR(__xludf.DUMMYFUNCTION("""COMPUTED_VALUE"""),"**แช่น้ำ")</f>
        <v>**แช่น้ำ</v>
      </c>
      <c r="E442" s="5"/>
      <c r="F442" s="5" t="str">
        <f>IFERROR(__xludf.DUMMYFUNCTION("""COMPUTED_VALUE"""),"N")</f>
        <v>N</v>
      </c>
      <c r="G442" s="5"/>
      <c r="H442" s="5"/>
      <c r="I442" s="5"/>
      <c r="J442" s="5"/>
      <c r="K442" s="5"/>
      <c r="L442" s="5"/>
      <c r="M442" s="5">
        <f>IFERROR(__xludf.DUMMYFUNCTION("""COMPUTED_VALUE"""),260.0)</f>
        <v>260</v>
      </c>
      <c r="N442" s="5">
        <f>IFERROR(__xludf.DUMMYFUNCTION("""COMPUTED_VALUE"""),10235.0)</f>
        <v>10235</v>
      </c>
      <c r="O442" s="5"/>
      <c r="P442" s="5"/>
      <c r="Q442" s="5" t="str">
        <f>IFERROR(__xludf.DUMMYFUNCTION("""COMPUTED_VALUE"""),"Y")</f>
        <v>Y</v>
      </c>
      <c r="R442" s="5"/>
      <c r="S442" s="5" t="str">
        <f>IFERROR(__xludf.DUMMYFUNCTION("""COMPUTED_VALUE"""),"วาริน")</f>
        <v>วาริน</v>
      </c>
      <c r="T442" s="5">
        <f>IFERROR(__xludf.DUMMYFUNCTION("""COMPUTED_VALUE"""),260.0)</f>
        <v>260</v>
      </c>
      <c r="U442" s="5" t="str">
        <f>IFERROR(__xludf.DUMMYFUNCTION("""COMPUTED_VALUE"""),"Y")</f>
        <v>Y</v>
      </c>
      <c r="V442" s="5">
        <f>IFERROR(__xludf.DUMMYFUNCTION("""COMPUTED_VALUE"""),295.0)</f>
        <v>295</v>
      </c>
      <c r="W442" s="5">
        <f>IFERROR(__xludf.DUMMYFUNCTION("""COMPUTED_VALUE"""),2.0)</f>
        <v>2</v>
      </c>
      <c r="X442" s="5"/>
      <c r="Y442" s="5"/>
      <c r="Z442" s="5"/>
    </row>
    <row r="443">
      <c r="A443" s="5" t="str">
        <f>IFERROR(__xludf.DUMMYFUNCTION("""COMPUTED_VALUE"""),"ลูกชิ้นปลา9ดาวบัวลอย-หิ้ว-5kg")</f>
        <v>ลูกชิ้นปลา9ดาวบัวลอย-หิ้ว-5kg</v>
      </c>
      <c r="B443" s="5">
        <f>IFERROR(__xludf.DUMMYFUNCTION("""COMPUTED_VALUE"""),11469.0)</f>
        <v>11469</v>
      </c>
      <c r="C443" s="5" t="str">
        <f>IFERROR(__xludf.DUMMYFUNCTION("""COMPUTED_VALUE"""),"ลูกชิ้นปลา9ดาวบัวลอย10*500กรัม หิ้ว 5KG")</f>
        <v>ลูกชิ้นปลา9ดาวบัวลอย10*500กรัม หิ้ว 5KG</v>
      </c>
      <c r="D443" s="5" t="str">
        <f>IFERROR(__xludf.DUMMYFUNCTION("""COMPUTED_VALUE"""),"**แช่น้ำ")</f>
        <v>**แช่น้ำ</v>
      </c>
      <c r="E443" s="5" t="str">
        <f>IFERROR(__xludf.DUMMYFUNCTION("""COMPUTED_VALUE"""),"&lt;p&gt;X&lt;/p&gt;")</f>
        <v>&lt;p&gt;X&lt;/p&gt;</v>
      </c>
      <c r="F443" s="5" t="str">
        <f>IFERROR(__xludf.DUMMYFUNCTION("""COMPUTED_VALUE"""),"N")</f>
        <v>N</v>
      </c>
      <c r="G443" s="5"/>
      <c r="H443" s="5"/>
      <c r="I443" s="5"/>
      <c r="J443" s="5"/>
      <c r="K443" s="5"/>
      <c r="L443" s="5"/>
      <c r="M443" s="5">
        <f>IFERROR(__xludf.DUMMYFUNCTION("""COMPUTED_VALUE"""),260.0)</f>
        <v>260</v>
      </c>
      <c r="N443" s="5">
        <f>IFERROR(__xludf.DUMMYFUNCTION("""COMPUTED_VALUE"""),11469.0)</f>
        <v>11469</v>
      </c>
      <c r="O443" s="5"/>
      <c r="P443" s="5"/>
      <c r="Q443" s="5" t="str">
        <f>IFERROR(__xludf.DUMMYFUNCTION("""COMPUTED_VALUE"""),"Y")</f>
        <v>Y</v>
      </c>
      <c r="R443" s="5"/>
      <c r="S443" s="5"/>
      <c r="T443" s="5">
        <f>IFERROR(__xludf.DUMMYFUNCTION("""COMPUTED_VALUE"""),260.0)</f>
        <v>260</v>
      </c>
      <c r="U443" s="5" t="str">
        <f>IFERROR(__xludf.DUMMYFUNCTION("""COMPUTED_VALUE"""),"Y")</f>
        <v>Y</v>
      </c>
      <c r="V443" s="5">
        <f>IFERROR(__xludf.DUMMYFUNCTION("""COMPUTED_VALUE"""),295.0)</f>
        <v>295</v>
      </c>
      <c r="W443" s="5">
        <f>IFERROR(__xludf.DUMMYFUNCTION("""COMPUTED_VALUE"""),0.0)</f>
        <v>0</v>
      </c>
      <c r="X443" s="5"/>
      <c r="Y443" s="5"/>
      <c r="Z443" s="5"/>
    </row>
    <row r="444">
      <c r="A444" s="5" t="str">
        <f>IFERROR(__xludf.DUMMYFUNCTION("""COMPUTED_VALUE"""),"ลูกชิ้นปลาปอง9ดาว-หิ้ว10*500กรัม--หิ้ว5kg")</f>
        <v>ลูกชิ้นปลาปอง9ดาว-หิ้ว10*500กรัม--หิ้ว5kg</v>
      </c>
      <c r="B444" s="5">
        <f>IFERROR(__xludf.DUMMYFUNCTION("""COMPUTED_VALUE"""),11470.0)</f>
        <v>11470</v>
      </c>
      <c r="C444" s="5" t="str">
        <f>IFERROR(__xludf.DUMMYFUNCTION("""COMPUTED_VALUE"""),"ลูกชิ้นปลากลม9ดาว หิ้ว10*500กรัม  หิ้ว5kg")</f>
        <v>ลูกชิ้นปลากลม9ดาว หิ้ว10*500กรัม  หิ้ว5kg</v>
      </c>
      <c r="D444" s="5" t="str">
        <f>IFERROR(__xludf.DUMMYFUNCTION("""COMPUTED_VALUE"""),"**แช่น้ำ")</f>
        <v>**แช่น้ำ</v>
      </c>
      <c r="E444" s="5" t="str">
        <f>IFERROR(__xludf.DUMMYFUNCTION("""COMPUTED_VALUE"""),"&lt;p&gt;X&lt;/p&gt;")</f>
        <v>&lt;p&gt;X&lt;/p&gt;</v>
      </c>
      <c r="F444" s="5" t="str">
        <f>IFERROR(__xludf.DUMMYFUNCTION("""COMPUTED_VALUE"""),"N")</f>
        <v>N</v>
      </c>
      <c r="G444" s="5"/>
      <c r="H444" s="5"/>
      <c r="I444" s="5"/>
      <c r="J444" s="5"/>
      <c r="K444" s="5"/>
      <c r="L444" s="5"/>
      <c r="M444" s="5">
        <f>IFERROR(__xludf.DUMMYFUNCTION("""COMPUTED_VALUE"""),270.0)</f>
        <v>270</v>
      </c>
      <c r="N444" s="5">
        <f>IFERROR(__xludf.DUMMYFUNCTION("""COMPUTED_VALUE"""),11470.0)</f>
        <v>11470</v>
      </c>
      <c r="O444" s="5"/>
      <c r="P444" s="5"/>
      <c r="Q444" s="5" t="str">
        <f>IFERROR(__xludf.DUMMYFUNCTION("""COMPUTED_VALUE"""),"Y")</f>
        <v>Y</v>
      </c>
      <c r="R444" s="5"/>
      <c r="S444" s="5"/>
      <c r="T444" s="5">
        <f>IFERROR(__xludf.DUMMYFUNCTION("""COMPUTED_VALUE"""),270.0)</f>
        <v>270</v>
      </c>
      <c r="U444" s="5" t="str">
        <f>IFERROR(__xludf.DUMMYFUNCTION("""COMPUTED_VALUE"""),"Y")</f>
        <v>Y</v>
      </c>
      <c r="V444" s="5">
        <f>IFERROR(__xludf.DUMMYFUNCTION("""COMPUTED_VALUE"""),295.0)</f>
        <v>295</v>
      </c>
      <c r="W444" s="5">
        <f>IFERROR(__xludf.DUMMYFUNCTION("""COMPUTED_VALUE"""),0.0)</f>
        <v>0</v>
      </c>
      <c r="X444" s="5"/>
      <c r="Y444" s="5"/>
      <c r="Z444" s="5"/>
    </row>
    <row r="445">
      <c r="A445" s="5" t="str">
        <f>IFERROR(__xludf.DUMMYFUNCTION("""COMPUTED_VALUE"""),"ลูกชิ้นแฟนซี-(พิเศษ)")</f>
        <v>ลูกชิ้นแฟนซี-(พิเศษ)</v>
      </c>
      <c r="B445" s="5">
        <f>IFERROR(__xludf.DUMMYFUNCTION("""COMPUTED_VALUE"""),10618.0)</f>
        <v>10618</v>
      </c>
      <c r="C445" s="5" t="str">
        <f>IFERROR(__xludf.DUMMYFUNCTION("""COMPUTED_VALUE"""),"ลูกชิ้นแฟนซี  (พิเศษ) ลัง")</f>
        <v>ลูกชิ้นแฟนซี  (พิเศษ) ลัง</v>
      </c>
      <c r="D445" s="5" t="str">
        <f>IFERROR(__xludf.DUMMYFUNCTION("""COMPUTED_VALUE"""),"**ร้านค้า ราคาพิเศษ")</f>
        <v>**ร้านค้า ราคาพิเศษ</v>
      </c>
      <c r="E445" s="5"/>
      <c r="F445" s="5" t="str">
        <f>IFERROR(__xludf.DUMMYFUNCTION("""COMPUTED_VALUE"""),"N")</f>
        <v>N</v>
      </c>
      <c r="G445" s="5"/>
      <c r="H445" s="5"/>
      <c r="I445" s="5"/>
      <c r="J445" s="5"/>
      <c r="K445" s="5"/>
      <c r="L445" s="5"/>
      <c r="M445" s="5"/>
      <c r="N445" s="5"/>
      <c r="O445" s="5">
        <f>IFERROR(__xludf.DUMMYFUNCTION("""COMPUTED_VALUE"""),10400.0)</f>
        <v>10400</v>
      </c>
      <c r="P445" s="5">
        <f>IFERROR(__xludf.DUMMYFUNCTION("""COMPUTED_VALUE"""),20.0)</f>
        <v>20</v>
      </c>
      <c r="Q445" s="5" t="str">
        <f>IFERROR(__xludf.DUMMYFUNCTION("""COMPUTED_VALUE"""),"N")</f>
        <v>N</v>
      </c>
      <c r="R445" s="5" t="str">
        <f>IFERROR(__xludf.DUMMYFUNCTION("""COMPUTED_VALUE"""),"N")</f>
        <v>N</v>
      </c>
      <c r="S445" s="5"/>
      <c r="T445" s="5"/>
      <c r="U445" s="5" t="str">
        <f>IFERROR(__xludf.DUMMYFUNCTION("""COMPUTED_VALUE"""),"Y")</f>
        <v>Y</v>
      </c>
      <c r="V445" s="5">
        <f>IFERROR(__xludf.DUMMYFUNCTION("""COMPUTED_VALUE"""),1040.0)</f>
        <v>1040</v>
      </c>
      <c r="W445" s="5"/>
      <c r="X445" s="5"/>
      <c r="Y445" s="5"/>
      <c r="Z445" s="5"/>
    </row>
    <row r="446">
      <c r="A446" s="5" t="str">
        <f>IFERROR(__xludf.DUMMYFUNCTION("""COMPUTED_VALUE"""),"ลูกชิ้นแฟนชี-20แพ็ค-/-ลัง")</f>
        <v>ลูกชิ้นแฟนชี-20แพ็ค-/-ลัง</v>
      </c>
      <c r="B446" s="5">
        <f>IFERROR(__xludf.DUMMYFUNCTION("""COMPUTED_VALUE"""),10399.0)</f>
        <v>10399</v>
      </c>
      <c r="C446" s="5" t="str">
        <f>IFERROR(__xludf.DUMMYFUNCTION("""COMPUTED_VALUE"""),"ลูกชิ้นแฟนซี 500 กรัม (ลัง)")</f>
        <v>ลูกชิ้นแฟนซี 500 กรัม (ลัง)</v>
      </c>
      <c r="D446" s="5"/>
      <c r="E446" s="5"/>
      <c r="F446" s="5" t="str">
        <f>IFERROR(__xludf.DUMMYFUNCTION("""COMPUTED_VALUE"""),"N")</f>
        <v>N</v>
      </c>
      <c r="G446" s="5"/>
      <c r="H446" s="5"/>
      <c r="I446" s="5"/>
      <c r="J446" s="5"/>
      <c r="K446" s="5"/>
      <c r="L446" s="5"/>
      <c r="M446" s="5"/>
      <c r="N446" s="5"/>
      <c r="O446" s="5">
        <f>IFERROR(__xludf.DUMMYFUNCTION("""COMPUTED_VALUE"""),10400.0)</f>
        <v>10400</v>
      </c>
      <c r="P446" s="5">
        <f>IFERROR(__xludf.DUMMYFUNCTION("""COMPUTED_VALUE"""),20.0)</f>
        <v>20</v>
      </c>
      <c r="Q446" s="5" t="str">
        <f>IFERROR(__xludf.DUMMYFUNCTION("""COMPUTED_VALUE"""),"N")</f>
        <v>N</v>
      </c>
      <c r="R446" s="5" t="str">
        <f>IFERROR(__xludf.DUMMYFUNCTION("""COMPUTED_VALUE"""),"N")</f>
        <v>N</v>
      </c>
      <c r="S446" s="5"/>
      <c r="T446" s="5"/>
      <c r="U446" s="5" t="str">
        <f>IFERROR(__xludf.DUMMYFUNCTION("""COMPUTED_VALUE"""),"Y")</f>
        <v>Y</v>
      </c>
      <c r="V446" s="5">
        <f>IFERROR(__xludf.DUMMYFUNCTION("""COMPUTED_VALUE"""),1050.0)</f>
        <v>1050</v>
      </c>
      <c r="W446" s="5"/>
      <c r="X446" s="5"/>
      <c r="Y446" s="5"/>
      <c r="Z446" s="5"/>
    </row>
    <row r="447">
      <c r="A447" s="5" t="str">
        <f>IFERROR(__xludf.DUMMYFUNCTION("""COMPUTED_VALUE"""),"ลูกชิ้นแฟนชี-500g-(แพ็ค)")</f>
        <v>ลูกชิ้นแฟนชี-500g-(แพ็ค)</v>
      </c>
      <c r="B447" s="5">
        <f>IFERROR(__xludf.DUMMYFUNCTION("""COMPUTED_VALUE"""),10400.0)</f>
        <v>10400</v>
      </c>
      <c r="C447" s="5" t="str">
        <f>IFERROR(__xludf.DUMMYFUNCTION("""COMPUTED_VALUE"""),"ลูกชิ้นแฟนซี 500g (แพ็ค)")</f>
        <v>ลูกชิ้นแฟนซี 500g (แพ็ค)</v>
      </c>
      <c r="D447" s="5" t="str">
        <f>IFERROR(__xludf.DUMMYFUNCTION("""COMPUTED_VALUE"""),"**ลัง มหาชัย")</f>
        <v>**ลัง มหาชัย</v>
      </c>
      <c r="E447" s="5" t="str">
        <f>IFERROR(__xludf.DUMMYFUNCTION("""COMPUTED_VALUE"""),"&lt;p&gt;0.5&lt;/p&gt;")</f>
        <v>&lt;p&gt;0.5&lt;/p&gt;</v>
      </c>
      <c r="F447" s="5" t="str">
        <f>IFERROR(__xludf.DUMMYFUNCTION("""COMPUTED_VALUE"""),"N")</f>
        <v>N</v>
      </c>
      <c r="G447" s="5"/>
      <c r="H447" s="5"/>
      <c r="I447" s="5"/>
      <c r="J447" s="5"/>
      <c r="K447" s="5"/>
      <c r="L447" s="5"/>
      <c r="M447" s="5">
        <f>IFERROR(__xludf.DUMMYFUNCTION("""COMPUTED_VALUE"""),50.47)</f>
        <v>50.47</v>
      </c>
      <c r="N447" s="5">
        <f>IFERROR(__xludf.DUMMYFUNCTION("""COMPUTED_VALUE"""),8.859896900039E12)</f>
        <v>8859896900039</v>
      </c>
      <c r="O447" s="5"/>
      <c r="P447" s="5"/>
      <c r="Q447" s="5" t="str">
        <f>IFERROR(__xludf.DUMMYFUNCTION("""COMPUTED_VALUE"""),"Y")</f>
        <v>Y</v>
      </c>
      <c r="R447" s="5"/>
      <c r="S447" s="5" t="str">
        <f>IFERROR(__xludf.DUMMYFUNCTION("""COMPUTED_VALUE"""),"ขึ้นของมหาชัย")</f>
        <v>ขึ้นของมหาชัย</v>
      </c>
      <c r="T447" s="5">
        <f>IFERROR(__xludf.DUMMYFUNCTION("""COMPUTED_VALUE"""),49.0)</f>
        <v>49</v>
      </c>
      <c r="U447" s="5" t="str">
        <f>IFERROR(__xludf.DUMMYFUNCTION("""COMPUTED_VALUE"""),"Y")</f>
        <v>Y</v>
      </c>
      <c r="V447" s="5">
        <f>IFERROR(__xludf.DUMMYFUNCTION("""COMPUTED_VALUE"""),63.0)</f>
        <v>63</v>
      </c>
      <c r="W447" s="5">
        <f>IFERROR(__xludf.DUMMYFUNCTION("""COMPUTED_VALUE"""),254.0)</f>
        <v>254</v>
      </c>
      <c r="X447" s="5">
        <f>IFERROR(__xludf.DUMMYFUNCTION("""COMPUTED_VALUE"""),20.0)</f>
        <v>20</v>
      </c>
      <c r="Y447" s="5">
        <f>IFERROR(__xludf.DUMMYFUNCTION("""COMPUTED_VALUE"""),50.0)</f>
        <v>50</v>
      </c>
      <c r="Z447" s="5"/>
    </row>
    <row r="448">
      <c r="A448" s="5" t="str">
        <f>IFERROR(__xludf.DUMMYFUNCTION("""COMPUTED_VALUE"""),"ลูกชิ้นแองกรี้เบิร์ด-500g")</f>
        <v>ลูกชิ้นแองกรี้เบิร์ด-500g</v>
      </c>
      <c r="B448" s="5">
        <f>IFERROR(__xludf.DUMMYFUNCTION("""COMPUTED_VALUE"""),11096.0)</f>
        <v>11096</v>
      </c>
      <c r="C448" s="5" t="str">
        <f>IFERROR(__xludf.DUMMYFUNCTION("""COMPUTED_VALUE"""),"ลูกชิ้นแองกรี้เบิร์ด 500g")</f>
        <v>ลูกชิ้นแองกรี้เบิร์ด 500g</v>
      </c>
      <c r="D448" s="5" t="str">
        <f>IFERROR(__xludf.DUMMYFUNCTION("""COMPUTED_VALUE"""),"ทวีวงษ์-PFP")</f>
        <v>ทวีวงษ์-PFP</v>
      </c>
      <c r="E448" s="5" t="str">
        <f>IFERROR(__xludf.DUMMYFUNCTION("""COMPUTED_VALUE"""),"&lt;p&gt;X&lt;/p&gt;")</f>
        <v>&lt;p&gt;X&lt;/p&gt;</v>
      </c>
      <c r="F448" s="5" t="str">
        <f>IFERROR(__xludf.DUMMYFUNCTION("""COMPUTED_VALUE"""),"N")</f>
        <v>N</v>
      </c>
      <c r="G448" s="5"/>
      <c r="H448" s="5"/>
      <c r="I448" s="5"/>
      <c r="J448" s="5"/>
      <c r="K448" s="5"/>
      <c r="L448" s="5"/>
      <c r="M448" s="5">
        <f>IFERROR(__xludf.DUMMYFUNCTION("""COMPUTED_VALUE"""),67.5)</f>
        <v>67.5</v>
      </c>
      <c r="N448" s="5">
        <f>IFERROR(__xludf.DUMMYFUNCTION("""COMPUTED_VALUE"""),8.85001663027E12)</f>
        <v>8850016630270</v>
      </c>
      <c r="O448" s="5"/>
      <c r="P448" s="5"/>
      <c r="Q448" s="5" t="str">
        <f>IFERROR(__xludf.DUMMYFUNCTION("""COMPUTED_VALUE"""),"Y")</f>
        <v>Y</v>
      </c>
      <c r="R448" s="5"/>
      <c r="S448" s="5" t="str">
        <f>IFERROR(__xludf.DUMMYFUNCTION("""COMPUTED_VALUE"""),"ทวีวงษ์")</f>
        <v>ทวีวงษ์</v>
      </c>
      <c r="T448" s="5">
        <f>IFERROR(__xludf.DUMMYFUNCTION("""COMPUTED_VALUE"""),67.5)</f>
        <v>67.5</v>
      </c>
      <c r="U448" s="5" t="str">
        <f>IFERROR(__xludf.DUMMYFUNCTION("""COMPUTED_VALUE"""),"Y")</f>
        <v>Y</v>
      </c>
      <c r="V448" s="5">
        <f>IFERROR(__xludf.DUMMYFUNCTION("""COMPUTED_VALUE"""),77.0)</f>
        <v>77</v>
      </c>
      <c r="W448" s="5">
        <f>IFERROR(__xludf.DUMMYFUNCTION("""COMPUTED_VALUE"""),25.0)</f>
        <v>25</v>
      </c>
      <c r="X448" s="5"/>
      <c r="Y448" s="5"/>
      <c r="Z448" s="5"/>
    </row>
    <row r="449">
      <c r="A449" s="5" t="str">
        <f>IFERROR(__xludf.DUMMYFUNCTION("""COMPUTED_VALUE"""),"วากาเมะ")</f>
        <v>วากาเมะ</v>
      </c>
      <c r="B449" s="5">
        <f>IFERROR(__xludf.DUMMYFUNCTION("""COMPUTED_VALUE"""),11380.0)</f>
        <v>11380</v>
      </c>
      <c r="C449" s="5" t="str">
        <f>IFERROR(__xludf.DUMMYFUNCTION("""COMPUTED_VALUE"""),"วากาเมะ 100 กรัม (สั้น)")</f>
        <v>วากาเมะ 100 กรัม (สั้น)</v>
      </c>
      <c r="D449" s="5" t="str">
        <f>IFERROR(__xludf.DUMMYFUNCTION("""COMPUTED_VALUE"""),"**ของแห้ง")</f>
        <v>**ของแห้ง</v>
      </c>
      <c r="E449" s="5" t="str">
        <f>IFERROR(__xludf.DUMMYFUNCTION("""COMPUTED_VALUE"""),"&lt;p&gt;A&lt;/p&gt;")</f>
        <v>&lt;p&gt;A&lt;/p&gt;</v>
      </c>
      <c r="F449" s="5" t="str">
        <f>IFERROR(__xludf.DUMMYFUNCTION("""COMPUTED_VALUE"""),"N")</f>
        <v>N</v>
      </c>
      <c r="G449" s="5"/>
      <c r="H449" s="5"/>
      <c r="I449" s="5"/>
      <c r="J449" s="5"/>
      <c r="K449" s="5"/>
      <c r="L449" s="5"/>
      <c r="M449" s="5">
        <f>IFERROR(__xludf.DUMMYFUNCTION("""COMPUTED_VALUE"""),58.64)</f>
        <v>58.64</v>
      </c>
      <c r="N449" s="5">
        <f>IFERROR(__xludf.DUMMYFUNCTION("""COMPUTED_VALUE"""),11380.0)</f>
        <v>11380</v>
      </c>
      <c r="O449" s="5"/>
      <c r="P449" s="5"/>
      <c r="Q449" s="5" t="str">
        <f>IFERROR(__xludf.DUMMYFUNCTION("""COMPUTED_VALUE"""),"Y")</f>
        <v>Y</v>
      </c>
      <c r="R449" s="5"/>
      <c r="S449" s="5" t="str">
        <f>IFERROR(__xludf.DUMMYFUNCTION("""COMPUTED_VALUE"""),"สาหร่าย วากาเมะ")</f>
        <v>สาหร่าย วากาเมะ</v>
      </c>
      <c r="T449" s="5">
        <f>IFERROR(__xludf.DUMMYFUNCTION("""COMPUTED_VALUE"""),57.0)</f>
        <v>57</v>
      </c>
      <c r="U449" s="5" t="str">
        <f>IFERROR(__xludf.DUMMYFUNCTION("""COMPUTED_VALUE"""),"Y")</f>
        <v>Y</v>
      </c>
      <c r="V449" s="5">
        <f>IFERROR(__xludf.DUMMYFUNCTION("""COMPUTED_VALUE"""),90.0)</f>
        <v>90</v>
      </c>
      <c r="W449" s="5">
        <f>IFERROR(__xludf.DUMMYFUNCTION("""COMPUTED_VALUE"""),219.0)</f>
        <v>219</v>
      </c>
      <c r="X449" s="5">
        <f>IFERROR(__xludf.DUMMYFUNCTION("""COMPUTED_VALUE"""),38.0)</f>
        <v>38</v>
      </c>
      <c r="Y449" s="5">
        <f>IFERROR(__xludf.DUMMYFUNCTION("""COMPUTED_VALUE"""),100.0)</f>
        <v>100</v>
      </c>
      <c r="Z449" s="5"/>
    </row>
    <row r="450">
      <c r="A450" s="5" t="str">
        <f>IFERROR(__xludf.DUMMYFUNCTION("""COMPUTED_VALUE"""),"วากาเมะ(สั้น)-50แพ็ค/-ลัง")</f>
        <v>วากาเมะ(สั้น)-50แพ็ค/-ลัง</v>
      </c>
      <c r="B450" s="5">
        <f>IFERROR(__xludf.DUMMYFUNCTION("""COMPUTED_VALUE"""),10279.0)</f>
        <v>10279</v>
      </c>
      <c r="C450" s="5" t="str">
        <f>IFERROR(__xludf.DUMMYFUNCTION("""COMPUTED_VALUE"""),"วากาเมะ 100g สั้น (50แพ็ค*1ลัง)")</f>
        <v>วากาเมะ 100g สั้น (50แพ็ค*1ลัง)</v>
      </c>
      <c r="D450" s="5"/>
      <c r="E450" s="5"/>
      <c r="F450" s="5" t="str">
        <f>IFERROR(__xludf.DUMMYFUNCTION("""COMPUTED_VALUE"""),"N")</f>
        <v>N</v>
      </c>
      <c r="G450" s="5"/>
      <c r="H450" s="5"/>
      <c r="I450" s="5"/>
      <c r="J450" s="5"/>
      <c r="K450" s="5"/>
      <c r="L450" s="5"/>
      <c r="M450" s="5"/>
      <c r="N450" s="5">
        <f>IFERROR(__xludf.DUMMYFUNCTION("""COMPUTED_VALUE"""),10279.0)</f>
        <v>10279</v>
      </c>
      <c r="O450" s="5">
        <f>IFERROR(__xludf.DUMMYFUNCTION("""COMPUTED_VALUE"""),11380.0)</f>
        <v>11380</v>
      </c>
      <c r="P450" s="5">
        <f>IFERROR(__xludf.DUMMYFUNCTION("""COMPUTED_VALUE"""),50.0)</f>
        <v>50</v>
      </c>
      <c r="Q450" s="5" t="str">
        <f>IFERROR(__xludf.DUMMYFUNCTION("""COMPUTED_VALUE"""),"N")</f>
        <v>N</v>
      </c>
      <c r="R450" s="5" t="str">
        <f>IFERROR(__xludf.DUMMYFUNCTION("""COMPUTED_VALUE"""),"N")</f>
        <v>N</v>
      </c>
      <c r="S450" s="5"/>
      <c r="T450" s="5"/>
      <c r="U450" s="5" t="str">
        <f>IFERROR(__xludf.DUMMYFUNCTION("""COMPUTED_VALUE"""),"Y")</f>
        <v>Y</v>
      </c>
      <c r="V450" s="5">
        <f>IFERROR(__xludf.DUMMYFUNCTION("""COMPUTED_VALUE"""),3800.0)</f>
        <v>3800</v>
      </c>
      <c r="W450" s="5"/>
      <c r="X450" s="5"/>
      <c r="Y450" s="5"/>
      <c r="Z450" s="5"/>
    </row>
    <row r="451">
      <c r="A451" s="5" t="str">
        <f>IFERROR(__xludf.DUMMYFUNCTION("""COMPUTED_VALUE"""),"วากาเมะ-200-g-(สั้น)-30แพ็ค/-ลัง")</f>
        <v>วากาเมะ-200-g-(สั้น)-30แพ็ค/-ลัง</v>
      </c>
      <c r="B451" s="5">
        <f>IFERROR(__xludf.DUMMYFUNCTION("""COMPUTED_VALUE"""),10180.0)</f>
        <v>10180</v>
      </c>
      <c r="C451" s="5" t="str">
        <f>IFERROR(__xludf.DUMMYFUNCTION("""COMPUTED_VALUE"""),"วากาเมะ 200 g (สั้น)")</f>
        <v>วากาเมะ 200 g (สั้น)</v>
      </c>
      <c r="D451" s="5" t="str">
        <f>IFERROR(__xludf.DUMMYFUNCTION("""COMPUTED_VALUE"""),"**ของแห้ง")</f>
        <v>**ของแห้ง</v>
      </c>
      <c r="E451" s="5"/>
      <c r="F451" s="5" t="str">
        <f>IFERROR(__xludf.DUMMYFUNCTION("""COMPUTED_VALUE"""),"N")</f>
        <v>N</v>
      </c>
      <c r="G451" s="5"/>
      <c r="H451" s="5"/>
      <c r="I451" s="5"/>
      <c r="J451" s="5"/>
      <c r="K451" s="5"/>
      <c r="L451" s="5"/>
      <c r="M451" s="5">
        <f>IFERROR(__xludf.DUMMYFUNCTION("""COMPUTED_VALUE"""),110.0)</f>
        <v>110</v>
      </c>
      <c r="N451" s="5"/>
      <c r="O451" s="5"/>
      <c r="P451" s="5"/>
      <c r="Q451" s="5" t="str">
        <f>IFERROR(__xludf.DUMMYFUNCTION("""COMPUTED_VALUE"""),"Y")</f>
        <v>Y</v>
      </c>
      <c r="R451" s="5"/>
      <c r="S451" s="5" t="str">
        <f>IFERROR(__xludf.DUMMYFUNCTION("""COMPUTED_VALUE"""),"สาหร่าย วากาเมะ")</f>
        <v>สาหร่าย วากาเมะ</v>
      </c>
      <c r="T451" s="5">
        <f>IFERROR(__xludf.DUMMYFUNCTION("""COMPUTED_VALUE"""),100.0)</f>
        <v>100</v>
      </c>
      <c r="U451" s="5" t="str">
        <f>IFERROR(__xludf.DUMMYFUNCTION("""COMPUTED_VALUE"""),"Y")</f>
        <v>Y</v>
      </c>
      <c r="V451" s="5">
        <f>IFERROR(__xludf.DUMMYFUNCTION("""COMPUTED_VALUE"""),150.0)</f>
        <v>150</v>
      </c>
      <c r="W451" s="5">
        <f>IFERROR(__xludf.DUMMYFUNCTION("""COMPUTED_VALUE"""),0.0)</f>
        <v>0</v>
      </c>
      <c r="X451" s="5"/>
      <c r="Y451" s="5">
        <f>IFERROR(__xludf.DUMMYFUNCTION("""COMPUTED_VALUE"""),100.0)</f>
        <v>100</v>
      </c>
      <c r="Z451" s="5"/>
    </row>
    <row r="452">
      <c r="A452" s="5" t="str">
        <f>IFERROR(__xludf.DUMMYFUNCTION("""COMPUTED_VALUE"""),"วากาเมะ-100-g-(สั้น)-1")</f>
        <v>วากาเมะ-100-g-(สั้น)-1</v>
      </c>
      <c r="B452" s="5">
        <f>IFERROR(__xludf.DUMMYFUNCTION("""COMPUTED_VALUE"""),10331.0)</f>
        <v>10331</v>
      </c>
      <c r="C452" s="5" t="str">
        <f>IFERROR(__xludf.DUMMYFUNCTION("""COMPUTED_VALUE"""),"วากาเมะ 200g สั้น (30แพ็ค*1ลัง)")</f>
        <v>วากาเมะ 200g สั้น (30แพ็ค*1ลัง)</v>
      </c>
      <c r="D452" s="5"/>
      <c r="E452" s="5"/>
      <c r="F452" s="5" t="str">
        <f>IFERROR(__xludf.DUMMYFUNCTION("""COMPUTED_VALUE"""),"N")</f>
        <v>N</v>
      </c>
      <c r="G452" s="5"/>
      <c r="H452" s="5"/>
      <c r="I452" s="5"/>
      <c r="J452" s="5"/>
      <c r="K452" s="5"/>
      <c r="L452" s="5"/>
      <c r="M452" s="5"/>
      <c r="N452" s="5"/>
      <c r="O452" s="5">
        <f>IFERROR(__xludf.DUMMYFUNCTION("""COMPUTED_VALUE"""),10180.0)</f>
        <v>10180</v>
      </c>
      <c r="P452" s="5">
        <f>IFERROR(__xludf.DUMMYFUNCTION("""COMPUTED_VALUE"""),30.0)</f>
        <v>30</v>
      </c>
      <c r="Q452" s="5" t="str">
        <f>IFERROR(__xludf.DUMMYFUNCTION("""COMPUTED_VALUE"""),"N")</f>
        <v>N</v>
      </c>
      <c r="R452" s="5" t="str">
        <f>IFERROR(__xludf.DUMMYFUNCTION("""COMPUTED_VALUE"""),"N")</f>
        <v>N</v>
      </c>
      <c r="S452" s="5"/>
      <c r="T452" s="5"/>
      <c r="U452" s="5" t="str">
        <f>IFERROR(__xludf.DUMMYFUNCTION("""COMPUTED_VALUE"""),"Y")</f>
        <v>Y</v>
      </c>
      <c r="V452" s="5">
        <f>IFERROR(__xludf.DUMMYFUNCTION("""COMPUTED_VALUE"""),3500.0)</f>
        <v>3500</v>
      </c>
      <c r="W452" s="5"/>
      <c r="X452" s="5"/>
      <c r="Y452" s="5"/>
      <c r="Z452" s="5"/>
    </row>
    <row r="453">
      <c r="A453" s="5" t="str">
        <f>IFERROR(__xludf.DUMMYFUNCTION("""COMPUTED_VALUE"""),"สาหร่ายวากาเมะ-(ยาว)-24แพ็ค-/-ลัง")</f>
        <v>สาหร่ายวากาเมะ-(ยาว)-24แพ็ค-/-ลัง</v>
      </c>
      <c r="B453" s="5">
        <f>IFERROR(__xludf.DUMMYFUNCTION("""COMPUTED_VALUE"""),10259.0)</f>
        <v>10259</v>
      </c>
      <c r="C453" s="5" t="str">
        <f>IFERROR(__xludf.DUMMYFUNCTION("""COMPUTED_VALUE"""),"วากาเมะ A 100 กรัม (ยาว)")</f>
        <v>วากาเมะ A 100 กรัม (ยาว)</v>
      </c>
      <c r="D453" s="5" t="str">
        <f>IFERROR(__xludf.DUMMYFUNCTION("""COMPUTED_VALUE"""),"**ของแห้ง")</f>
        <v>**ของแห้ง</v>
      </c>
      <c r="E453" s="5" t="str">
        <f>IFERROR(__xludf.DUMMYFUNCTION("""COMPUTED_VALUE"""),"&lt;p&gt;B&lt;/p&gt;")</f>
        <v>&lt;p&gt;B&lt;/p&gt;</v>
      </c>
      <c r="F453" s="5" t="str">
        <f>IFERROR(__xludf.DUMMYFUNCTION("""COMPUTED_VALUE"""),"N")</f>
        <v>N</v>
      </c>
      <c r="G453" s="5"/>
      <c r="H453" s="5"/>
      <c r="I453" s="5"/>
      <c r="J453" s="5"/>
      <c r="K453" s="5"/>
      <c r="L453" s="5"/>
      <c r="M453" s="5">
        <f>IFERROR(__xludf.DUMMYFUNCTION("""COMPUTED_VALUE"""),83.33)</f>
        <v>83.33</v>
      </c>
      <c r="N453" s="5">
        <f>IFERROR(__xludf.DUMMYFUNCTION("""COMPUTED_VALUE"""),10259.0)</f>
        <v>10259</v>
      </c>
      <c r="O453" s="5"/>
      <c r="P453" s="5"/>
      <c r="Q453" s="5" t="str">
        <f>IFERROR(__xludf.DUMMYFUNCTION("""COMPUTED_VALUE"""),"Y")</f>
        <v>Y</v>
      </c>
      <c r="R453" s="5"/>
      <c r="S453" s="5" t="str">
        <f>IFERROR(__xludf.DUMMYFUNCTION("""COMPUTED_VALUE"""),"สาหร่าย วากาเมะ")</f>
        <v>สาหร่าย วากาเมะ</v>
      </c>
      <c r="T453" s="5">
        <f>IFERROR(__xludf.DUMMYFUNCTION("""COMPUTED_VALUE"""),80.0)</f>
        <v>80</v>
      </c>
      <c r="U453" s="5" t="str">
        <f>IFERROR(__xludf.DUMMYFUNCTION("""COMPUTED_VALUE"""),"Y")</f>
        <v>Y</v>
      </c>
      <c r="V453" s="5">
        <f>IFERROR(__xludf.DUMMYFUNCTION("""COMPUTED_VALUE"""),120.0)</f>
        <v>120</v>
      </c>
      <c r="W453" s="5">
        <f>IFERROR(__xludf.DUMMYFUNCTION("""COMPUTED_VALUE"""),21.0)</f>
        <v>21</v>
      </c>
      <c r="X453" s="5">
        <f>IFERROR(__xludf.DUMMYFUNCTION("""COMPUTED_VALUE"""),1.0)</f>
        <v>1</v>
      </c>
      <c r="Y453" s="5">
        <f>IFERROR(__xludf.DUMMYFUNCTION("""COMPUTED_VALUE"""),1.0)</f>
        <v>1</v>
      </c>
      <c r="Z453" s="5"/>
    </row>
    <row r="454">
      <c r="A454" s="5" t="str">
        <f>IFERROR(__xludf.DUMMYFUNCTION("""COMPUTED_VALUE"""),"สาหร่ายวากาแมะ-1ถุง")</f>
        <v>สาหร่ายวากาแมะ-1ถุง</v>
      </c>
      <c r="B454" s="5">
        <f>IFERROR(__xludf.DUMMYFUNCTION("""COMPUTED_VALUE"""),10919.0)</f>
        <v>10919</v>
      </c>
      <c r="C454" s="5" t="str">
        <f>IFERROR(__xludf.DUMMYFUNCTION("""COMPUTED_VALUE"""),"วากาเมะA ยาว  (24แพ็ค*1ลัง)")</f>
        <v>วากาเมะA ยาว  (24แพ็ค*1ลัง)</v>
      </c>
      <c r="D454" s="5"/>
      <c r="E454" s="5" t="str">
        <f>IFERROR(__xludf.DUMMYFUNCTION("""COMPUTED_VALUE"""),"&lt;p&gt;S&lt;/p&gt;")</f>
        <v>&lt;p&gt;S&lt;/p&gt;</v>
      </c>
      <c r="F454" s="5" t="str">
        <f>IFERROR(__xludf.DUMMYFUNCTION("""COMPUTED_VALUE"""),"N")</f>
        <v>N</v>
      </c>
      <c r="G454" s="5"/>
      <c r="H454" s="5"/>
      <c r="I454" s="5"/>
      <c r="J454" s="5"/>
      <c r="K454" s="5"/>
      <c r="L454" s="5"/>
      <c r="M454" s="5"/>
      <c r="N454" s="5">
        <f>IFERROR(__xludf.DUMMYFUNCTION("""COMPUTED_VALUE"""),6.943904843998E12)</f>
        <v>6943904843998</v>
      </c>
      <c r="O454" s="5">
        <f>IFERROR(__xludf.DUMMYFUNCTION("""COMPUTED_VALUE"""),10259.0)</f>
        <v>10259</v>
      </c>
      <c r="P454" s="5">
        <f>IFERROR(__xludf.DUMMYFUNCTION("""COMPUTED_VALUE"""),24.0)</f>
        <v>24</v>
      </c>
      <c r="Q454" s="5" t="str">
        <f>IFERROR(__xludf.DUMMYFUNCTION("""COMPUTED_VALUE"""),"N")</f>
        <v>N</v>
      </c>
      <c r="R454" s="5" t="str">
        <f>IFERROR(__xludf.DUMMYFUNCTION("""COMPUTED_VALUE"""),"N")</f>
        <v>N</v>
      </c>
      <c r="S454" s="5"/>
      <c r="T454" s="5"/>
      <c r="U454" s="5" t="str">
        <f>IFERROR(__xludf.DUMMYFUNCTION("""COMPUTED_VALUE"""),"Y")</f>
        <v>Y</v>
      </c>
      <c r="V454" s="5">
        <f>IFERROR(__xludf.DUMMYFUNCTION("""COMPUTED_VALUE"""),2280.0)</f>
        <v>2280</v>
      </c>
      <c r="W454" s="5"/>
      <c r="X454" s="5"/>
      <c r="Y454" s="5"/>
      <c r="Z454" s="5"/>
    </row>
    <row r="455">
      <c r="A455" s="5" t="str">
        <f>IFERROR(__xludf.DUMMYFUNCTION("""COMPUTED_VALUE"""),"วุ้นเส้นกิเลน-500กรัม")</f>
        <v>วุ้นเส้นกิเลน-500กรัม</v>
      </c>
      <c r="B455" s="5">
        <f>IFERROR(__xludf.DUMMYFUNCTION("""COMPUTED_VALUE"""),10353.0)</f>
        <v>10353</v>
      </c>
      <c r="C455" s="5" t="str">
        <f>IFERROR(__xludf.DUMMYFUNCTION("""COMPUTED_VALUE"""),"วุ้นเส้น กิเลน 500กรัม")</f>
        <v>วุ้นเส้น กิเลน 500กรัม</v>
      </c>
      <c r="D455" s="5"/>
      <c r="E455" s="5"/>
      <c r="F455" s="5" t="str">
        <f>IFERROR(__xludf.DUMMYFUNCTION("""COMPUTED_VALUE"""),"N")</f>
        <v>N</v>
      </c>
      <c r="G455" s="5"/>
      <c r="H455" s="5"/>
      <c r="I455" s="5"/>
      <c r="J455" s="5"/>
      <c r="K455" s="5"/>
      <c r="L455" s="5"/>
      <c r="M455" s="5"/>
      <c r="N455" s="5">
        <f>IFERROR(__xludf.DUMMYFUNCTION("""COMPUTED_VALUE"""),8.850122103132E12)</f>
        <v>8850122103132</v>
      </c>
      <c r="O455" s="5">
        <f>IFERROR(__xludf.DUMMYFUNCTION("""COMPUTED_VALUE"""),10323.0)</f>
        <v>10323</v>
      </c>
      <c r="P455" s="5">
        <f>IFERROR(__xludf.DUMMYFUNCTION("""COMPUTED_VALUE"""),0.1)</f>
        <v>0.1</v>
      </c>
      <c r="Q455" s="5" t="str">
        <f>IFERROR(__xludf.DUMMYFUNCTION("""COMPUTED_VALUE"""),"N")</f>
        <v>N</v>
      </c>
      <c r="R455" s="5" t="str">
        <f>IFERROR(__xludf.DUMMYFUNCTION("""COMPUTED_VALUE"""),"N")</f>
        <v>N</v>
      </c>
      <c r="S455" s="5"/>
      <c r="T455" s="5"/>
      <c r="U455" s="5" t="str">
        <f>IFERROR(__xludf.DUMMYFUNCTION("""COMPUTED_VALUE"""),"Y")</f>
        <v>Y</v>
      </c>
      <c r="V455" s="5">
        <f>IFERROR(__xludf.DUMMYFUNCTION("""COMPUTED_VALUE"""),25.0)</f>
        <v>25</v>
      </c>
      <c r="W455" s="5"/>
      <c r="X455" s="5"/>
      <c r="Y455" s="5"/>
      <c r="Z455" s="5"/>
    </row>
    <row r="456">
      <c r="A456" s="5" t="str">
        <f>IFERROR(__xludf.DUMMYFUNCTION("""COMPUTED_VALUE"""),"วุ้นเส้น-มังกรคู่-80-กรัม-1")</f>
        <v>วุ้นเส้น-มังกรคู่-80-กรัม-1</v>
      </c>
      <c r="B456" s="5">
        <f>IFERROR(__xludf.DUMMYFUNCTION("""COMPUTED_VALUE"""),20085.0)</f>
        <v>20085</v>
      </c>
      <c r="C456" s="5" t="str">
        <f>IFERROR(__xludf.DUMMYFUNCTION("""COMPUTED_VALUE"""),"วุ้นเส้น กิเลนคู่ 200กรัม")</f>
        <v>วุ้นเส้น กิเลนคู่ 200กรัม</v>
      </c>
      <c r="D456" s="5"/>
      <c r="E456" s="5" t="str">
        <f>IFERROR(__xludf.DUMMYFUNCTION("""COMPUTED_VALUE"""),"&lt;p&gt;X&lt;/p&gt;")</f>
        <v>&lt;p&gt;X&lt;/p&gt;</v>
      </c>
      <c r="F456" s="5" t="str">
        <f>IFERROR(__xludf.DUMMYFUNCTION("""COMPUTED_VALUE"""),"N")</f>
        <v>N</v>
      </c>
      <c r="G456" s="5"/>
      <c r="H456" s="5"/>
      <c r="I456" s="5"/>
      <c r="J456" s="5"/>
      <c r="K456" s="5"/>
      <c r="L456" s="5"/>
      <c r="M456" s="5"/>
      <c r="N456" s="5">
        <f>IFERROR(__xludf.DUMMYFUNCTION("""COMPUTED_VALUE"""),8.850122103149E12)</f>
        <v>8850122103149</v>
      </c>
      <c r="O456" s="5">
        <f>IFERROR(__xludf.DUMMYFUNCTION("""COMPUTED_VALUE"""),10319.0)</f>
        <v>10319</v>
      </c>
      <c r="P456" s="5">
        <f>IFERROR(__xludf.DUMMYFUNCTION("""COMPUTED_VALUE"""),0.05)</f>
        <v>0.05</v>
      </c>
      <c r="Q456" s="5" t="str">
        <f>IFERROR(__xludf.DUMMYFUNCTION("""COMPUTED_VALUE"""),"N")</f>
        <v>N</v>
      </c>
      <c r="R456" s="5" t="str">
        <f>IFERROR(__xludf.DUMMYFUNCTION("""COMPUTED_VALUE"""),"N")</f>
        <v>N</v>
      </c>
      <c r="S456" s="5"/>
      <c r="T456" s="5"/>
      <c r="U456" s="5" t="str">
        <f>IFERROR(__xludf.DUMMYFUNCTION("""COMPUTED_VALUE"""),"Y")</f>
        <v>Y</v>
      </c>
      <c r="V456" s="5">
        <f>IFERROR(__xludf.DUMMYFUNCTION("""COMPUTED_VALUE"""),15.0)</f>
        <v>15</v>
      </c>
      <c r="W456" s="5"/>
      <c r="X456" s="5"/>
      <c r="Y456" s="5"/>
      <c r="Z456" s="5"/>
    </row>
    <row r="457">
      <c r="A457" s="5" t="str">
        <f>IFERROR(__xludf.DUMMYFUNCTION("""COMPUTED_VALUE"""),"วุ้นเส้นตราหงส์-200g")</f>
        <v>วุ้นเส้นตราหงส์-200g</v>
      </c>
      <c r="B457" s="5">
        <f>IFERROR(__xludf.DUMMYFUNCTION("""COMPUTED_VALUE"""),11067.0)</f>
        <v>11067</v>
      </c>
      <c r="C457" s="5" t="str">
        <f>IFERROR(__xludf.DUMMYFUNCTION("""COMPUTED_VALUE"""),"วุ้นเส้น ตราหงษ์ 200g")</f>
        <v>วุ้นเส้น ตราหงษ์ 200g</v>
      </c>
      <c r="D457" s="5"/>
      <c r="E457" s="5" t="str">
        <f>IFERROR(__xludf.DUMMYFUNCTION("""COMPUTED_VALUE"""),"&lt;p&gt;X&lt;/p&gt;")</f>
        <v>&lt;p&gt;X&lt;/p&gt;</v>
      </c>
      <c r="F457" s="5" t="str">
        <f>IFERROR(__xludf.DUMMYFUNCTION("""COMPUTED_VALUE"""),"N")</f>
        <v>N</v>
      </c>
      <c r="G457" s="5"/>
      <c r="H457" s="5"/>
      <c r="I457" s="5"/>
      <c r="J457" s="5"/>
      <c r="K457" s="5"/>
      <c r="L457" s="5"/>
      <c r="M457" s="5"/>
      <c r="N457" s="5">
        <f>IFERROR(__xludf.DUMMYFUNCTION("""COMPUTED_VALUE"""),8.850122102524E12)</f>
        <v>8850122102524</v>
      </c>
      <c r="O457" s="5">
        <f>IFERROR(__xludf.DUMMYFUNCTION("""COMPUTED_VALUE"""),10213.0)</f>
        <v>10213</v>
      </c>
      <c r="P457" s="5">
        <f>IFERROR(__xludf.DUMMYFUNCTION("""COMPUTED_VALUE"""),0.04)</f>
        <v>0.04</v>
      </c>
      <c r="Q457" s="5" t="str">
        <f>IFERROR(__xludf.DUMMYFUNCTION("""COMPUTED_VALUE"""),"N")</f>
        <v>N</v>
      </c>
      <c r="R457" s="5" t="str">
        <f>IFERROR(__xludf.DUMMYFUNCTION("""COMPUTED_VALUE"""),"N")</f>
        <v>N</v>
      </c>
      <c r="S457" s="5"/>
      <c r="T457" s="5"/>
      <c r="U457" s="5" t="str">
        <f>IFERROR(__xludf.DUMMYFUNCTION("""COMPUTED_VALUE"""),"Y")</f>
        <v>Y</v>
      </c>
      <c r="V457" s="5">
        <f>IFERROR(__xludf.DUMMYFUNCTION("""COMPUTED_VALUE"""),10.0)</f>
        <v>10</v>
      </c>
      <c r="W457" s="5"/>
      <c r="X457" s="5"/>
      <c r="Y457" s="5"/>
      <c r="Z457" s="5"/>
    </row>
    <row r="458">
      <c r="A458" s="5" t="str">
        <f>IFERROR(__xludf.DUMMYFUNCTION("""COMPUTED_VALUE"""),"(s)-วุ้นเส้นตราหงส์-500g")</f>
        <v>(s)-วุ้นเส้นตราหงส์-500g</v>
      </c>
      <c r="B458" s="5">
        <f>IFERROR(__xludf.DUMMYFUNCTION("""COMPUTED_VALUE"""),31068.0)</f>
        <v>31068</v>
      </c>
      <c r="C458" s="5" t="str">
        <f>IFERROR(__xludf.DUMMYFUNCTION("""COMPUTED_VALUE"""),"วุ้นเส้น ตราหงษ์ 500g")</f>
        <v>วุ้นเส้น ตราหงษ์ 500g</v>
      </c>
      <c r="D458" s="5"/>
      <c r="E458" s="5" t="str">
        <f>IFERROR(__xludf.DUMMYFUNCTION("""COMPUTED_VALUE"""),"&lt;p&gt;X&lt;/p&gt;")</f>
        <v>&lt;p&gt;X&lt;/p&gt;</v>
      </c>
      <c r="F458" s="5" t="str">
        <f>IFERROR(__xludf.DUMMYFUNCTION("""COMPUTED_VALUE"""),"N")</f>
        <v>N</v>
      </c>
      <c r="G458" s="5"/>
      <c r="H458" s="5"/>
      <c r="I458" s="5"/>
      <c r="J458" s="5"/>
      <c r="K458" s="5"/>
      <c r="L458" s="5"/>
      <c r="M458" s="5"/>
      <c r="N458" s="5">
        <f>IFERROR(__xludf.DUMMYFUNCTION("""COMPUTED_VALUE"""),8.850122102517E12)</f>
        <v>8850122102517</v>
      </c>
      <c r="O458" s="5">
        <f>IFERROR(__xludf.DUMMYFUNCTION("""COMPUTED_VALUE"""),10214.0)</f>
        <v>10214</v>
      </c>
      <c r="P458" s="5">
        <f>IFERROR(__xludf.DUMMYFUNCTION("""COMPUTED_VALUE"""),0.1)</f>
        <v>0.1</v>
      </c>
      <c r="Q458" s="5" t="str">
        <f>IFERROR(__xludf.DUMMYFUNCTION("""COMPUTED_VALUE"""),"N")</f>
        <v>N</v>
      </c>
      <c r="R458" s="5" t="str">
        <f>IFERROR(__xludf.DUMMYFUNCTION("""COMPUTED_VALUE"""),"N")</f>
        <v>N</v>
      </c>
      <c r="S458" s="5"/>
      <c r="T458" s="5"/>
      <c r="U458" s="5" t="str">
        <f>IFERROR(__xludf.DUMMYFUNCTION("""COMPUTED_VALUE"""),"Y")</f>
        <v>Y</v>
      </c>
      <c r="V458" s="5">
        <f>IFERROR(__xludf.DUMMYFUNCTION("""COMPUTED_VALUE"""),20.0)</f>
        <v>20</v>
      </c>
      <c r="W458" s="5"/>
      <c r="X458" s="5"/>
      <c r="Y458" s="5"/>
      <c r="Z458" s="5"/>
    </row>
    <row r="459">
      <c r="A459" s="5" t="str">
        <f>IFERROR(__xludf.DUMMYFUNCTION("""COMPUTED_VALUE"""),"วุ้นเส้น-แห้ง-ห่อใหญ่-10กก")</f>
        <v>วุ้นเส้น-แห้ง-ห่อใหญ่-10กก</v>
      </c>
      <c r="B459" s="5">
        <f>IFERROR(__xludf.DUMMYFUNCTION("""COMPUTED_VALUE"""),10219.0)</f>
        <v>10219</v>
      </c>
      <c r="C459" s="5" t="str">
        <f>IFERROR(__xludf.DUMMYFUNCTION("""COMPUTED_VALUE"""),"วุ้นเส้น แห้ง ห่อใหญ่ 10กก")</f>
        <v>วุ้นเส้น แห้ง ห่อใหญ่ 10กก</v>
      </c>
      <c r="D459" s="5" t="str">
        <f>IFERROR(__xludf.DUMMYFUNCTION("""COMPUTED_VALUE"""),"**ของแห้ง")</f>
        <v>**ของแห้ง</v>
      </c>
      <c r="E459" s="5"/>
      <c r="F459" s="5" t="str">
        <f>IFERROR(__xludf.DUMMYFUNCTION("""COMPUTED_VALUE"""),"N")</f>
        <v>N</v>
      </c>
      <c r="G459" s="5"/>
      <c r="H459" s="5"/>
      <c r="I459" s="5"/>
      <c r="J459" s="5"/>
      <c r="K459" s="5"/>
      <c r="L459" s="5"/>
      <c r="M459" s="5">
        <f>IFERROR(__xludf.DUMMYFUNCTION("""COMPUTED_VALUE"""),400.0)</f>
        <v>400</v>
      </c>
      <c r="N459" s="5"/>
      <c r="O459" s="5"/>
      <c r="P459" s="5"/>
      <c r="Q459" s="5" t="str">
        <f>IFERROR(__xludf.DUMMYFUNCTION("""COMPUTED_VALUE"""),"Y")</f>
        <v>Y</v>
      </c>
      <c r="R459" s="5"/>
      <c r="S459" s="5" t="str">
        <f>IFERROR(__xludf.DUMMYFUNCTION("""COMPUTED_VALUE"""),"วุ้นเส้น")</f>
        <v>วุ้นเส้น</v>
      </c>
      <c r="T459" s="5">
        <f>IFERROR(__xludf.DUMMYFUNCTION("""COMPUTED_VALUE"""),400.0)</f>
        <v>400</v>
      </c>
      <c r="U459" s="5" t="str">
        <f>IFERROR(__xludf.DUMMYFUNCTION("""COMPUTED_VALUE"""),"Y")</f>
        <v>Y</v>
      </c>
      <c r="V459" s="5">
        <f>IFERROR(__xludf.DUMMYFUNCTION("""COMPUTED_VALUE"""),550.0)</f>
        <v>550</v>
      </c>
      <c r="W459" s="5">
        <f>IFERROR(__xludf.DUMMYFUNCTION("""COMPUTED_VALUE"""),4.0)</f>
        <v>4</v>
      </c>
      <c r="X459" s="5"/>
      <c r="Y459" s="5"/>
      <c r="Z459" s="5"/>
    </row>
    <row r="460">
      <c r="A460" s="5" t="str">
        <f>IFERROR(__xludf.DUMMYFUNCTION("""COMPUTED_VALUE"""),"วุ้นกิเลน500กรัม/หิ้ว")</f>
        <v>วุ้นกิเลน500กรัม/หิ้ว</v>
      </c>
      <c r="B460" s="5">
        <f>IFERROR(__xludf.DUMMYFUNCTION("""COMPUTED_VALUE"""),10323.0)</f>
        <v>10323</v>
      </c>
      <c r="C460" s="5" t="str">
        <f>IFERROR(__xludf.DUMMYFUNCTION("""COMPUTED_VALUE"""),"วุ้นเส้นกิเลน 10*500 กรัม/หิ้ว")</f>
        <v>วุ้นเส้นกิเลน 10*500 กรัม/หิ้ว</v>
      </c>
      <c r="D460" s="5" t="str">
        <f>IFERROR(__xludf.DUMMYFUNCTION("""COMPUTED_VALUE"""),"**ของแห้ง")</f>
        <v>**ของแห้ง</v>
      </c>
      <c r="E460" s="5"/>
      <c r="F460" s="5" t="str">
        <f>IFERROR(__xludf.DUMMYFUNCTION("""COMPUTED_VALUE"""),"N")</f>
        <v>N</v>
      </c>
      <c r="G460" s="5"/>
      <c r="H460" s="5"/>
      <c r="I460" s="5"/>
      <c r="J460" s="5"/>
      <c r="K460" s="5"/>
      <c r="L460" s="5"/>
      <c r="M460" s="5">
        <f>IFERROR(__xludf.DUMMYFUNCTION("""COMPUTED_VALUE"""),139.89)</f>
        <v>139.89</v>
      </c>
      <c r="N460" s="5">
        <f>IFERROR(__xludf.DUMMYFUNCTION("""COMPUTED_VALUE"""),10323.0)</f>
        <v>10323</v>
      </c>
      <c r="O460" s="5"/>
      <c r="P460" s="5"/>
      <c r="Q460" s="5" t="str">
        <f>IFERROR(__xludf.DUMMYFUNCTION("""COMPUTED_VALUE"""),"Y")</f>
        <v>Y</v>
      </c>
      <c r="R460" s="5"/>
      <c r="S460" s="5" t="str">
        <f>IFERROR(__xludf.DUMMYFUNCTION("""COMPUTED_VALUE"""),"วุ้นเส้น")</f>
        <v>วุ้นเส้น</v>
      </c>
      <c r="T460" s="5">
        <f>IFERROR(__xludf.DUMMYFUNCTION("""COMPUTED_VALUE"""),141.0)</f>
        <v>141</v>
      </c>
      <c r="U460" s="5" t="str">
        <f>IFERROR(__xludf.DUMMYFUNCTION("""COMPUTED_VALUE"""),"Y")</f>
        <v>Y</v>
      </c>
      <c r="V460" s="5">
        <f>IFERROR(__xludf.DUMMYFUNCTION("""COMPUTED_VALUE"""),150.0)</f>
        <v>150</v>
      </c>
      <c r="W460" s="5">
        <f>IFERROR(__xludf.DUMMYFUNCTION("""COMPUTED_VALUE"""),27.0)</f>
        <v>27</v>
      </c>
      <c r="X460" s="5">
        <f>IFERROR(__xludf.DUMMYFUNCTION("""COMPUTED_VALUE"""),0.0)</f>
        <v>0</v>
      </c>
      <c r="Y460" s="5"/>
      <c r="Z460" s="5"/>
    </row>
    <row r="461">
      <c r="A461" s="5" t="str">
        <f>IFERROR(__xludf.DUMMYFUNCTION("""COMPUTED_VALUE"""),"วุ้นเส้นกิเลน200กรัม/หิ้ว")</f>
        <v>วุ้นเส้นกิเลน200กรัม/หิ้ว</v>
      </c>
      <c r="B461" s="5">
        <f>IFERROR(__xludf.DUMMYFUNCTION("""COMPUTED_VALUE"""),10319.0)</f>
        <v>10319</v>
      </c>
      <c r="C461" s="5" t="str">
        <f>IFERROR(__xludf.DUMMYFUNCTION("""COMPUTED_VALUE"""),"วุ้นเส้นกิเลน 25*200 กรัม/หิ้ว")</f>
        <v>วุ้นเส้นกิเลน 25*200 กรัม/หิ้ว</v>
      </c>
      <c r="D461" s="5" t="str">
        <f>IFERROR(__xludf.DUMMYFUNCTION("""COMPUTED_VALUE"""),"**ของแห้ง")</f>
        <v>**ของแห้ง</v>
      </c>
      <c r="E461" s="5"/>
      <c r="F461" s="5" t="str">
        <f>IFERROR(__xludf.DUMMYFUNCTION("""COMPUTED_VALUE"""),"N")</f>
        <v>N</v>
      </c>
      <c r="G461" s="5"/>
      <c r="H461" s="5"/>
      <c r="I461" s="5"/>
      <c r="J461" s="5"/>
      <c r="K461" s="5"/>
      <c r="L461" s="5"/>
      <c r="M461" s="5">
        <f>IFERROR(__xludf.DUMMYFUNCTION("""COMPUTED_VALUE"""),150.0)</f>
        <v>150</v>
      </c>
      <c r="N461" s="5">
        <f>IFERROR(__xludf.DUMMYFUNCTION("""COMPUTED_VALUE"""),10319.0)</f>
        <v>10319</v>
      </c>
      <c r="O461" s="5"/>
      <c r="P461" s="5"/>
      <c r="Q461" s="5" t="str">
        <f>IFERROR(__xludf.DUMMYFUNCTION("""COMPUTED_VALUE"""),"Y")</f>
        <v>Y</v>
      </c>
      <c r="R461" s="5"/>
      <c r="S461" s="5" t="str">
        <f>IFERROR(__xludf.DUMMYFUNCTION("""COMPUTED_VALUE"""),"วุ้นเส้น")</f>
        <v>วุ้นเส้น</v>
      </c>
      <c r="T461" s="5">
        <f>IFERROR(__xludf.DUMMYFUNCTION("""COMPUTED_VALUE"""),150.0)</f>
        <v>150</v>
      </c>
      <c r="U461" s="5" t="str">
        <f>IFERROR(__xludf.DUMMYFUNCTION("""COMPUTED_VALUE"""),"Y")</f>
        <v>Y</v>
      </c>
      <c r="V461" s="5">
        <f>IFERROR(__xludf.DUMMYFUNCTION("""COMPUTED_VALUE"""),160.0)</f>
        <v>160</v>
      </c>
      <c r="W461" s="5">
        <f>IFERROR(__xludf.DUMMYFUNCTION("""COMPUTED_VALUE"""),19.0)</f>
        <v>19</v>
      </c>
      <c r="X461" s="5">
        <f>IFERROR(__xludf.DUMMYFUNCTION("""COMPUTED_VALUE"""),0.0)</f>
        <v>0</v>
      </c>
      <c r="Y461" s="5"/>
      <c r="Z461" s="5"/>
    </row>
    <row r="462">
      <c r="A462" s="5" t="str">
        <f>IFERROR(__xludf.DUMMYFUNCTION("""COMPUTED_VALUE"""),"วุ้นเส้นตราหงส์-500g-หิ้ว-1")</f>
        <v>วุ้นเส้นตราหงส์-500g-หิ้ว-1</v>
      </c>
      <c r="B462" s="5">
        <f>IFERROR(__xludf.DUMMYFUNCTION("""COMPUTED_VALUE"""),10214.0)</f>
        <v>10214</v>
      </c>
      <c r="C462" s="5" t="str">
        <f>IFERROR(__xludf.DUMMYFUNCTION("""COMPUTED_VALUE"""),"วุ้นเส้นหงส์ 10*500 กรัม/หิ้ว")</f>
        <v>วุ้นเส้นหงส์ 10*500 กรัม/หิ้ว</v>
      </c>
      <c r="D462" s="5" t="str">
        <f>IFERROR(__xludf.DUMMYFUNCTION("""COMPUTED_VALUE"""),"**ของแห้ง")</f>
        <v>**ของแห้ง</v>
      </c>
      <c r="E462" s="5" t="str">
        <f>IFERROR(__xludf.DUMMYFUNCTION("""COMPUTED_VALUE"""),"&lt;p&gt;S&lt;/p&gt;")</f>
        <v>&lt;p&gt;S&lt;/p&gt;</v>
      </c>
      <c r="F462" s="5" t="str">
        <f>IFERROR(__xludf.DUMMYFUNCTION("""COMPUTED_VALUE"""),"N")</f>
        <v>N</v>
      </c>
      <c r="G462" s="5"/>
      <c r="H462" s="5"/>
      <c r="I462" s="5"/>
      <c r="J462" s="5"/>
      <c r="K462" s="5"/>
      <c r="L462" s="5"/>
      <c r="M462" s="5">
        <f>IFERROR(__xludf.DUMMYFUNCTION("""COMPUTED_VALUE"""),124.36)</f>
        <v>124.36</v>
      </c>
      <c r="N462" s="5">
        <f>IFERROR(__xludf.DUMMYFUNCTION("""COMPUTED_VALUE"""),10214.0)</f>
        <v>10214</v>
      </c>
      <c r="O462" s="5"/>
      <c r="P462" s="5"/>
      <c r="Q462" s="5" t="str">
        <f>IFERROR(__xludf.DUMMYFUNCTION("""COMPUTED_VALUE"""),"Y")</f>
        <v>Y</v>
      </c>
      <c r="R462" s="5"/>
      <c r="S462" s="5"/>
      <c r="T462" s="5">
        <f>IFERROR(__xludf.DUMMYFUNCTION("""COMPUTED_VALUE"""),126.0)</f>
        <v>126</v>
      </c>
      <c r="U462" s="5" t="str">
        <f>IFERROR(__xludf.DUMMYFUNCTION("""COMPUTED_VALUE"""),"Y")</f>
        <v>Y</v>
      </c>
      <c r="V462" s="5">
        <f>IFERROR(__xludf.DUMMYFUNCTION("""COMPUTED_VALUE"""),140.0)</f>
        <v>140</v>
      </c>
      <c r="W462" s="5">
        <f>IFERROR(__xludf.DUMMYFUNCTION("""COMPUTED_VALUE"""),24.4)</f>
        <v>24.4</v>
      </c>
      <c r="X462" s="5">
        <f>IFERROR(__xludf.DUMMYFUNCTION("""COMPUTED_VALUE"""),10.0)</f>
        <v>10</v>
      </c>
      <c r="Y462" s="5"/>
      <c r="Z462" s="5"/>
    </row>
    <row r="463">
      <c r="A463" s="5" t="str">
        <f>IFERROR(__xludf.DUMMYFUNCTION("""COMPUTED_VALUE"""),"วุ้นเส้นตราหงส์-200g-หิ้ว-1")</f>
        <v>วุ้นเส้นตราหงส์-200g-หิ้ว-1</v>
      </c>
      <c r="B463" s="5">
        <f>IFERROR(__xludf.DUMMYFUNCTION("""COMPUTED_VALUE"""),10213.0)</f>
        <v>10213</v>
      </c>
      <c r="C463" s="5" t="str">
        <f>IFERROR(__xludf.DUMMYFUNCTION("""COMPUTED_VALUE"""),"วุ้นเส้นหงส์ 25*200 กรัม/หิ้ว")</f>
        <v>วุ้นเส้นหงส์ 25*200 กรัม/หิ้ว</v>
      </c>
      <c r="D463" s="5" t="str">
        <f>IFERROR(__xludf.DUMMYFUNCTION("""COMPUTED_VALUE"""),"**ของแห้ง")</f>
        <v>**ของแห้ง</v>
      </c>
      <c r="E463" s="5" t="str">
        <f>IFERROR(__xludf.DUMMYFUNCTION("""COMPUTED_VALUE"""),"&lt;p&gt;S&lt;/p&gt;")</f>
        <v>&lt;p&gt;S&lt;/p&gt;</v>
      </c>
      <c r="F463" s="5" t="str">
        <f>IFERROR(__xludf.DUMMYFUNCTION("""COMPUTED_VALUE"""),"N")</f>
        <v>N</v>
      </c>
      <c r="G463" s="5"/>
      <c r="H463" s="5"/>
      <c r="I463" s="5"/>
      <c r="J463" s="5"/>
      <c r="K463" s="5"/>
      <c r="L463" s="5"/>
      <c r="M463" s="5">
        <f>IFERROR(__xludf.DUMMYFUNCTION("""COMPUTED_VALUE"""),130.84)</f>
        <v>130.84</v>
      </c>
      <c r="N463" s="5">
        <f>IFERROR(__xludf.DUMMYFUNCTION("""COMPUTED_VALUE"""),10213.0)</f>
        <v>10213</v>
      </c>
      <c r="O463" s="5"/>
      <c r="P463" s="5"/>
      <c r="Q463" s="5" t="str">
        <f>IFERROR(__xludf.DUMMYFUNCTION("""COMPUTED_VALUE"""),"Y")</f>
        <v>Y</v>
      </c>
      <c r="R463" s="5"/>
      <c r="S463" s="5"/>
      <c r="T463" s="5">
        <f>IFERROR(__xludf.DUMMYFUNCTION("""COMPUTED_VALUE"""),131.0)</f>
        <v>131</v>
      </c>
      <c r="U463" s="5" t="str">
        <f>IFERROR(__xludf.DUMMYFUNCTION("""COMPUTED_VALUE"""),"Y")</f>
        <v>Y</v>
      </c>
      <c r="V463" s="5">
        <f>IFERROR(__xludf.DUMMYFUNCTION("""COMPUTED_VALUE"""),150.0)</f>
        <v>150</v>
      </c>
      <c r="W463" s="5">
        <f>IFERROR(__xludf.DUMMYFUNCTION("""COMPUTED_VALUE"""),7.8)</f>
        <v>7.8</v>
      </c>
      <c r="X463" s="5"/>
      <c r="Y463" s="5"/>
      <c r="Z463" s="5"/>
    </row>
    <row r="464">
      <c r="A464" s="5" t="str">
        <f>IFERROR(__xludf.DUMMYFUNCTION("""COMPUTED_VALUE"""),"วุ้นเส้นเกาหลี10*-500gหิ้ว")</f>
        <v>วุ้นเส้นเกาหลี10*-500gหิ้ว</v>
      </c>
      <c r="B464" s="5">
        <f>IFERROR(__xludf.DUMMYFUNCTION("""COMPUTED_VALUE"""),10037.0)</f>
        <v>10037</v>
      </c>
      <c r="C464" s="5" t="str">
        <f>IFERROR(__xludf.DUMMYFUNCTION("""COMPUTED_VALUE"""),"วุ้นเส้นเกาหลี 10*500 กรัม/หิ้ว")</f>
        <v>วุ้นเส้นเกาหลี 10*500 กรัม/หิ้ว</v>
      </c>
      <c r="D464" s="5" t="str">
        <f>IFERROR(__xludf.DUMMYFUNCTION("""COMPUTED_VALUE"""),"**ของแห้ง")</f>
        <v>**ของแห้ง</v>
      </c>
      <c r="E464" s="5"/>
      <c r="F464" s="5" t="str">
        <f>IFERROR(__xludf.DUMMYFUNCTION("""COMPUTED_VALUE"""),"N")</f>
        <v>N</v>
      </c>
      <c r="G464" s="5"/>
      <c r="H464" s="5"/>
      <c r="I464" s="5"/>
      <c r="J464" s="5"/>
      <c r="K464" s="5"/>
      <c r="L464" s="5"/>
      <c r="M464" s="5">
        <f>IFERROR(__xludf.DUMMYFUNCTION("""COMPUTED_VALUE"""),215.0)</f>
        <v>215</v>
      </c>
      <c r="N464" s="5"/>
      <c r="O464" s="5"/>
      <c r="P464" s="5"/>
      <c r="Q464" s="5" t="str">
        <f>IFERROR(__xludf.DUMMYFUNCTION("""COMPUTED_VALUE"""),"Y")</f>
        <v>Y</v>
      </c>
      <c r="R464" s="5"/>
      <c r="S464" s="5" t="str">
        <f>IFERROR(__xludf.DUMMYFUNCTION("""COMPUTED_VALUE"""),"วุ้นเส้น")</f>
        <v>วุ้นเส้น</v>
      </c>
      <c r="T464" s="5">
        <f>IFERROR(__xludf.DUMMYFUNCTION("""COMPUTED_VALUE"""),205.0)</f>
        <v>205</v>
      </c>
      <c r="U464" s="5" t="str">
        <f>IFERROR(__xludf.DUMMYFUNCTION("""COMPUTED_VALUE"""),"Y")</f>
        <v>Y</v>
      </c>
      <c r="V464" s="5">
        <f>IFERROR(__xludf.DUMMYFUNCTION("""COMPUTED_VALUE"""),235.0)</f>
        <v>235</v>
      </c>
      <c r="W464" s="5">
        <f>IFERROR(__xludf.DUMMYFUNCTION("""COMPUTED_VALUE"""),0.0)</f>
        <v>0</v>
      </c>
      <c r="X464" s="5"/>
      <c r="Y464" s="5"/>
      <c r="Z464" s="5"/>
    </row>
    <row r="465">
      <c r="A465" s="5" t="str">
        <f>IFERROR(__xludf.DUMMYFUNCTION("""COMPUTED_VALUE"""),"วุ้นเส้นเกาหลี")</f>
        <v>วุ้นเส้นเกาหลี</v>
      </c>
      <c r="B465" s="5">
        <f>IFERROR(__xludf.DUMMYFUNCTION("""COMPUTED_VALUE"""),11282.0)</f>
        <v>11282</v>
      </c>
      <c r="C465" s="5" t="str">
        <f>IFERROR(__xludf.DUMMYFUNCTION("""COMPUTED_VALUE"""),"วุ้นเส้นเกาหลี 500 g")</f>
        <v>วุ้นเส้นเกาหลี 500 g</v>
      </c>
      <c r="D465" s="5"/>
      <c r="E465" s="5" t="str">
        <f>IFERROR(__xludf.DUMMYFUNCTION("""COMPUTED_VALUE"""),"&lt;p&gt;X&lt;/p&gt;")</f>
        <v>&lt;p&gt;X&lt;/p&gt;</v>
      </c>
      <c r="F465" s="5" t="str">
        <f>IFERROR(__xludf.DUMMYFUNCTION("""COMPUTED_VALUE"""),"N")</f>
        <v>N</v>
      </c>
      <c r="G465" s="5"/>
      <c r="H465" s="5"/>
      <c r="I465" s="5"/>
      <c r="J465" s="5"/>
      <c r="K465" s="5"/>
      <c r="L465" s="5"/>
      <c r="M465" s="5"/>
      <c r="N465" s="5">
        <f>IFERROR(__xludf.DUMMYFUNCTION("""COMPUTED_VALUE"""),8.850122103194E12)</f>
        <v>8850122103194</v>
      </c>
      <c r="O465" s="5">
        <f>IFERROR(__xludf.DUMMYFUNCTION("""COMPUTED_VALUE"""),10037.0)</f>
        <v>10037</v>
      </c>
      <c r="P465" s="5">
        <f>IFERROR(__xludf.DUMMYFUNCTION("""COMPUTED_VALUE"""),0.1)</f>
        <v>0.1</v>
      </c>
      <c r="Q465" s="5" t="str">
        <f>IFERROR(__xludf.DUMMYFUNCTION("""COMPUTED_VALUE"""),"N")</f>
        <v>N</v>
      </c>
      <c r="R465" s="5" t="str">
        <f>IFERROR(__xludf.DUMMYFUNCTION("""COMPUTED_VALUE"""),"N")</f>
        <v>N</v>
      </c>
      <c r="S465" s="5"/>
      <c r="T465" s="5"/>
      <c r="U465" s="5" t="str">
        <f>IFERROR(__xludf.DUMMYFUNCTION("""COMPUTED_VALUE"""),"Y")</f>
        <v>Y</v>
      </c>
      <c r="V465" s="5">
        <f>IFERROR(__xludf.DUMMYFUNCTION("""COMPUTED_VALUE"""),30.0)</f>
        <v>30</v>
      </c>
      <c r="W465" s="5"/>
      <c r="X465" s="5"/>
      <c r="Y465" s="5"/>
      <c r="Z465" s="5"/>
    </row>
    <row r="466">
      <c r="A466" s="5" t="str">
        <f>IFERROR(__xludf.DUMMYFUNCTION("""COMPUTED_VALUE"""),"สันคอสไลด์-7+3-1kg-1")</f>
        <v>สันคอสไลด์-7+3-1kg-1</v>
      </c>
      <c r="B466" s="5">
        <f>IFERROR(__xludf.DUMMYFUNCTION("""COMPUTED_VALUE"""),10068.0)</f>
        <v>10068</v>
      </c>
      <c r="C466" s="5" t="str">
        <f>IFERROR(__xludf.DUMMYFUNCTION("""COMPUTED_VALUE"""),"สันคอ (2มิล) เบทาโกร 1Kg-170")</f>
        <v>สันคอ (2มิล) เบทาโกร 1Kg-170</v>
      </c>
      <c r="D466" s="5"/>
      <c r="E466" s="5" t="str">
        <f>IFERROR(__xludf.DUMMYFUNCTION("""COMPUTED_VALUE"""),"&lt;p&gt;X&lt;/p&gt;")</f>
        <v>&lt;p&gt;X&lt;/p&gt;</v>
      </c>
      <c r="F466" s="5" t="str">
        <f>IFERROR(__xludf.DUMMYFUNCTION("""COMPUTED_VALUE"""),"N")</f>
        <v>N</v>
      </c>
      <c r="G466" s="5"/>
      <c r="H466" s="5"/>
      <c r="I466" s="5"/>
      <c r="J466" s="5"/>
      <c r="K466" s="5"/>
      <c r="L466" s="5"/>
      <c r="M466" s="5">
        <f>IFERROR(__xludf.DUMMYFUNCTION("""COMPUTED_VALUE"""),153.0)</f>
        <v>153</v>
      </c>
      <c r="N466" s="5">
        <f>IFERROR(__xludf.DUMMYFUNCTION("""COMPUTED_VALUE"""),10068.0)</f>
        <v>10068</v>
      </c>
      <c r="O466" s="5"/>
      <c r="P466" s="5"/>
      <c r="Q466" s="5" t="str">
        <f>IFERROR(__xludf.DUMMYFUNCTION("""COMPUTED_VALUE"""),"Y")</f>
        <v>Y</v>
      </c>
      <c r="R466" s="5"/>
      <c r="S466" s="5"/>
      <c r="T466" s="5">
        <f>IFERROR(__xludf.DUMMYFUNCTION("""COMPUTED_VALUE"""),0.0)</f>
        <v>0</v>
      </c>
      <c r="U466" s="5" t="str">
        <f>IFERROR(__xludf.DUMMYFUNCTION("""COMPUTED_VALUE"""),"Y")</f>
        <v>Y</v>
      </c>
      <c r="V466" s="5">
        <f>IFERROR(__xludf.DUMMYFUNCTION("""COMPUTED_VALUE"""),170.0)</f>
        <v>170</v>
      </c>
      <c r="W466" s="5">
        <f>IFERROR(__xludf.DUMMYFUNCTION("""COMPUTED_VALUE"""),0.0)</f>
        <v>0</v>
      </c>
      <c r="X466" s="5">
        <f>IFERROR(__xludf.DUMMYFUNCTION("""COMPUTED_VALUE"""),30.0)</f>
        <v>30</v>
      </c>
      <c r="Y466" s="5"/>
      <c r="Z466" s="5"/>
    </row>
    <row r="467">
      <c r="A467" s="5" t="str">
        <f>IFERROR(__xludf.DUMMYFUNCTION("""COMPUTED_VALUE"""),"สันคอสไลด์-7+3-ลัง-10kg-1")</f>
        <v>สันคอสไลด์-7+3-ลัง-10kg-1</v>
      </c>
      <c r="B467" s="5">
        <f>IFERROR(__xludf.DUMMYFUNCTION("""COMPUTED_VALUE"""),10069.0)</f>
        <v>10069</v>
      </c>
      <c r="C467" s="5" t="str">
        <f>IFERROR(__xludf.DUMMYFUNCTION("""COMPUTED_VALUE"""),"สันคอ (2มิล)ชาบู เบทาโกร  ลัง 10Kg")</f>
        <v>สันคอ (2มิล)ชาบู เบทาโกร  ลัง 10Kg</v>
      </c>
      <c r="D467" s="5"/>
      <c r="E467" s="5" t="str">
        <f>IFERROR(__xludf.DUMMYFUNCTION("""COMPUTED_VALUE"""),"&lt;p&gt;X&lt;/p&gt;")</f>
        <v>&lt;p&gt;X&lt;/p&gt;</v>
      </c>
      <c r="F467" s="5" t="str">
        <f>IFERROR(__xludf.DUMMYFUNCTION("""COMPUTED_VALUE"""),"N")</f>
        <v>N</v>
      </c>
      <c r="G467" s="5"/>
      <c r="H467" s="5"/>
      <c r="I467" s="5"/>
      <c r="J467" s="5"/>
      <c r="K467" s="5"/>
      <c r="L467" s="5"/>
      <c r="M467" s="5"/>
      <c r="N467" s="5">
        <f>IFERROR(__xludf.DUMMYFUNCTION("""COMPUTED_VALUE"""),10069.0)</f>
        <v>10069</v>
      </c>
      <c r="O467" s="5">
        <f>IFERROR(__xludf.DUMMYFUNCTION("""COMPUTED_VALUE"""),10068.0)</f>
        <v>10068</v>
      </c>
      <c r="P467" s="5">
        <f>IFERROR(__xludf.DUMMYFUNCTION("""COMPUTED_VALUE"""),10.0)</f>
        <v>10</v>
      </c>
      <c r="Q467" s="5" t="str">
        <f>IFERROR(__xludf.DUMMYFUNCTION("""COMPUTED_VALUE"""),"N")</f>
        <v>N</v>
      </c>
      <c r="R467" s="5" t="str">
        <f>IFERROR(__xludf.DUMMYFUNCTION("""COMPUTED_VALUE"""),"N")</f>
        <v>N</v>
      </c>
      <c r="S467" s="5"/>
      <c r="T467" s="5"/>
      <c r="U467" s="5" t="str">
        <f>IFERROR(__xludf.DUMMYFUNCTION("""COMPUTED_VALUE"""),"N")</f>
        <v>N</v>
      </c>
      <c r="V467" s="5">
        <f>IFERROR(__xludf.DUMMYFUNCTION("""COMPUTED_VALUE"""),1550.0)</f>
        <v>1550</v>
      </c>
      <c r="W467" s="5"/>
      <c r="X467" s="5"/>
      <c r="Y467" s="5"/>
      <c r="Z467" s="5"/>
    </row>
    <row r="468">
      <c r="A468" s="5" t="str">
        <f>IFERROR(__xludf.DUMMYFUNCTION("""COMPUTED_VALUE"""),"สันคอก้อน-1kg")</f>
        <v>สันคอก้อน-1kg</v>
      </c>
      <c r="B468" s="5">
        <f>IFERROR(__xludf.DUMMYFUNCTION("""COMPUTED_VALUE"""),10724.0)</f>
        <v>10724</v>
      </c>
      <c r="C468" s="5" t="str">
        <f>IFERROR(__xludf.DUMMYFUNCTION("""COMPUTED_VALUE"""),"สันคอ Mfood (เหลือง) 5 กก.(หิ้ว) -148")</f>
        <v>สันคอ Mfood (เหลือง) 5 กก.(หิ้ว) -148</v>
      </c>
      <c r="D468" s="5" t="str">
        <f>IFERROR(__xludf.DUMMYFUNCTION("""COMPUTED_VALUE"""),"**ของหิ้ว มหาชัย")</f>
        <v>**ของหิ้ว มหาชัย</v>
      </c>
      <c r="E468" s="5" t="str">
        <f>IFERROR(__xludf.DUMMYFUNCTION("""COMPUTED_VALUE"""),"&lt;p&gt;5&lt;/p&gt;")</f>
        <v>&lt;p&gt;5&lt;/p&gt;</v>
      </c>
      <c r="F468" s="5" t="str">
        <f>IFERROR(__xludf.DUMMYFUNCTION("""COMPUTED_VALUE"""),"N")</f>
        <v>N</v>
      </c>
      <c r="G468" s="5"/>
      <c r="H468" s="5"/>
      <c r="I468" s="5"/>
      <c r="J468" s="5"/>
      <c r="K468" s="5"/>
      <c r="L468" s="5"/>
      <c r="M468" s="5">
        <f>IFERROR(__xludf.DUMMYFUNCTION("""COMPUTED_VALUE"""),653.47)</f>
        <v>653.47</v>
      </c>
      <c r="N468" s="5">
        <f>IFERROR(__xludf.DUMMYFUNCTION("""COMPUTED_VALUE"""),10724.0)</f>
        <v>10724</v>
      </c>
      <c r="O468" s="5"/>
      <c r="P468" s="5"/>
      <c r="Q468" s="5" t="str">
        <f>IFERROR(__xludf.DUMMYFUNCTION("""COMPUTED_VALUE"""),"Y")</f>
        <v>Y</v>
      </c>
      <c r="R468" s="5"/>
      <c r="S468" s="5" t="str">
        <f>IFERROR(__xludf.DUMMYFUNCTION("""COMPUTED_VALUE"""),"ขึ้นของมหาชัย")</f>
        <v>ขึ้นของมหาชัย</v>
      </c>
      <c r="T468" s="5">
        <f>IFERROR(__xludf.DUMMYFUNCTION("""COMPUTED_VALUE"""),660.0)</f>
        <v>660</v>
      </c>
      <c r="U468" s="5" t="str">
        <f>IFERROR(__xludf.DUMMYFUNCTION("""COMPUTED_VALUE"""),"Y")</f>
        <v>Y</v>
      </c>
      <c r="V468" s="5">
        <f>IFERROR(__xludf.DUMMYFUNCTION("""COMPUTED_VALUE"""),740.0)</f>
        <v>740</v>
      </c>
      <c r="W468" s="5">
        <f>IFERROR(__xludf.DUMMYFUNCTION("""COMPUTED_VALUE"""),8.0)</f>
        <v>8</v>
      </c>
      <c r="X468" s="5">
        <f>IFERROR(__xludf.DUMMYFUNCTION("""COMPUTED_VALUE"""),5.0)</f>
        <v>5</v>
      </c>
      <c r="Y468" s="5">
        <f>IFERROR(__xludf.DUMMYFUNCTION("""COMPUTED_VALUE"""),15.0)</f>
        <v>15</v>
      </c>
      <c r="Z468" s="5"/>
    </row>
    <row r="469">
      <c r="A469" s="5" t="str">
        <f>IFERROR(__xludf.DUMMYFUNCTION("""COMPUTED_VALUE"""),"สันคอโคขุน")</f>
        <v>สันคอโคขุน</v>
      </c>
      <c r="B469" s="5">
        <f>IFERROR(__xludf.DUMMYFUNCTION("""COMPUTED_VALUE"""),10424.0)</f>
        <v>10424</v>
      </c>
      <c r="C469" s="5" t="str">
        <f>IFERROR(__xludf.DUMMYFUNCTION("""COMPUTED_VALUE"""),"สันคอ โคขุน(187)")</f>
        <v>สันคอ โคขุน(187)</v>
      </c>
      <c r="D469" s="5" t="str">
        <f>IFERROR(__xludf.DUMMYFUNCTION("""COMPUTED_VALUE"""),"**ชั่งน้ำหนัก")</f>
        <v>**ชั่งน้ำหนัก</v>
      </c>
      <c r="E469" s="5"/>
      <c r="F469" s="5" t="str">
        <f>IFERROR(__xludf.DUMMYFUNCTION("""COMPUTED_VALUE"""),"Y")</f>
        <v>Y</v>
      </c>
      <c r="G469" s="5"/>
      <c r="H469" s="5"/>
      <c r="I469" s="5"/>
      <c r="J469" s="5"/>
      <c r="K469" s="5"/>
      <c r="L469" s="5"/>
      <c r="M469" s="5">
        <f>IFERROR(__xludf.DUMMYFUNCTION("""COMPUTED_VALUE"""),174.94)</f>
        <v>174.94</v>
      </c>
      <c r="N469" s="5">
        <f>IFERROR(__xludf.DUMMYFUNCTION("""COMPUTED_VALUE"""),10424.0)</f>
        <v>10424</v>
      </c>
      <c r="O469" s="5"/>
      <c r="P469" s="5"/>
      <c r="Q469" s="5" t="str">
        <f>IFERROR(__xludf.DUMMYFUNCTION("""COMPUTED_VALUE"""),"Y")</f>
        <v>Y</v>
      </c>
      <c r="R469" s="5"/>
      <c r="S469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69" s="5">
        <f>IFERROR(__xludf.DUMMYFUNCTION("""COMPUTED_VALUE"""),175.0)</f>
        <v>175</v>
      </c>
      <c r="U469" s="5" t="str">
        <f>IFERROR(__xludf.DUMMYFUNCTION("""COMPUTED_VALUE"""),"Y")</f>
        <v>Y</v>
      </c>
      <c r="V469" s="5">
        <f>IFERROR(__xludf.DUMMYFUNCTION("""COMPUTED_VALUE"""),187.0)</f>
        <v>187</v>
      </c>
      <c r="W469" s="5">
        <f>IFERROR(__xludf.DUMMYFUNCTION("""COMPUTED_VALUE"""),7.44)</f>
        <v>7.44</v>
      </c>
      <c r="X469" s="5"/>
      <c r="Y469" s="5">
        <f>IFERROR(__xludf.DUMMYFUNCTION("""COMPUTED_VALUE"""),30.0)</f>
        <v>30</v>
      </c>
      <c r="Z469" s="5"/>
    </row>
    <row r="470">
      <c r="A470" s="5" t="str">
        <f>IFERROR(__xludf.DUMMYFUNCTION("""COMPUTED_VALUE"""),"สันคอสไลด์ชาบู-ถุงใส-(5kg)-หิ้ว")</f>
        <v>สันคอสไลด์ชาบู-ถุงใส-(5kg)-หิ้ว</v>
      </c>
      <c r="B470" s="5">
        <f>IFERROR(__xludf.DUMMYFUNCTION("""COMPUTED_VALUE"""),10898.0)</f>
        <v>10898</v>
      </c>
      <c r="C470" s="5" t="str">
        <f>IFERROR(__xludf.DUMMYFUNCTION("""COMPUTED_VALUE"""),"สันคอชาบู หมูอร่อย 5 กก./หิ้วเขียว - 110")</f>
        <v>สันคอชาบู หมูอร่อย 5 กก./หิ้วเขียว - 110</v>
      </c>
      <c r="D470" s="5"/>
      <c r="E470" s="5" t="str">
        <f>IFERROR(__xludf.DUMMYFUNCTION("""COMPUTED_VALUE"""),"&lt;p&gt;S&lt;/p&gt;")</f>
        <v>&lt;p&gt;S&lt;/p&gt;</v>
      </c>
      <c r="F470" s="5" t="str">
        <f>IFERROR(__xludf.DUMMYFUNCTION("""COMPUTED_VALUE"""),"N")</f>
        <v>N</v>
      </c>
      <c r="G470" s="5"/>
      <c r="H470" s="5"/>
      <c r="I470" s="5"/>
      <c r="J470" s="5"/>
      <c r="K470" s="5"/>
      <c r="L470" s="5"/>
      <c r="M470" s="5"/>
      <c r="N470" s="5">
        <f>IFERROR(__xludf.DUMMYFUNCTION("""COMPUTED_VALUE"""),10898.0)</f>
        <v>10898</v>
      </c>
      <c r="O470" s="5">
        <f>IFERROR(__xludf.DUMMYFUNCTION("""COMPUTED_VALUE"""),10990.0)</f>
        <v>10990</v>
      </c>
      <c r="P470" s="5">
        <f>IFERROR(__xludf.DUMMYFUNCTION("""COMPUTED_VALUE"""),5.0)</f>
        <v>5</v>
      </c>
      <c r="Q470" s="5" t="str">
        <f>IFERROR(__xludf.DUMMYFUNCTION("""COMPUTED_VALUE"""),"N")</f>
        <v>N</v>
      </c>
      <c r="R470" s="5" t="str">
        <f>IFERROR(__xludf.DUMMYFUNCTION("""COMPUTED_VALUE"""),"N")</f>
        <v>N</v>
      </c>
      <c r="S470" s="5"/>
      <c r="T470" s="5"/>
      <c r="U470" s="5" t="str">
        <f>IFERROR(__xludf.DUMMYFUNCTION("""COMPUTED_VALUE"""),"Y")</f>
        <v>Y</v>
      </c>
      <c r="V470" s="5">
        <f>IFERROR(__xludf.DUMMYFUNCTION("""COMPUTED_VALUE"""),550.0)</f>
        <v>550</v>
      </c>
      <c r="W470" s="5"/>
      <c r="X470" s="5"/>
      <c r="Y470" s="5"/>
      <c r="Z470" s="5"/>
    </row>
    <row r="471">
      <c r="A471" s="5" t="str">
        <f>IFERROR(__xludf.DUMMYFUNCTION("""COMPUTED_VALUE"""),"ร้านโบว์ตั๋น-สันคอหิ้วเขียว(99)")</f>
        <v>ร้านโบว์ตั๋น-สันคอหิ้วเขียว(99)</v>
      </c>
      <c r="B471" s="5">
        <f>IFERROR(__xludf.DUMMYFUNCTION("""COMPUTED_VALUE"""),11342.0)</f>
        <v>11342</v>
      </c>
      <c r="C471" s="5" t="str">
        <f>IFERROR(__xludf.DUMMYFUNCTION("""COMPUTED_VALUE"""),"สันคอชาบู หมูอร่อย 5Kg - พิเศษ (112)")</f>
        <v>สันคอชาบู หมูอร่อย 5Kg - พิเศษ (112)</v>
      </c>
      <c r="D471" s="5" t="str">
        <f>IFERROR(__xludf.DUMMYFUNCTION("""COMPUTED_VALUE"""),"**ร้านค้า ราคาพิเศษ")</f>
        <v>**ร้านค้า ราคาพิเศษ</v>
      </c>
      <c r="E471" s="5" t="str">
        <f>IFERROR(__xludf.DUMMYFUNCTION("""COMPUTED_VALUE"""),"&lt;p&gt;X&lt;/p&gt;")</f>
        <v>&lt;p&gt;X&lt;/p&gt;</v>
      </c>
      <c r="F471" s="5" t="str">
        <f>IFERROR(__xludf.DUMMYFUNCTION("""COMPUTED_VALUE"""),"N")</f>
        <v>N</v>
      </c>
      <c r="G471" s="5"/>
      <c r="H471" s="5"/>
      <c r="I471" s="5"/>
      <c r="J471" s="5"/>
      <c r="K471" s="5"/>
      <c r="L471" s="5"/>
      <c r="M471" s="5"/>
      <c r="N471" s="5">
        <f>IFERROR(__xludf.DUMMYFUNCTION("""COMPUTED_VALUE"""),11342.0)</f>
        <v>11342</v>
      </c>
      <c r="O471" s="5">
        <f>IFERROR(__xludf.DUMMYFUNCTION("""COMPUTED_VALUE"""),10990.0)</f>
        <v>10990</v>
      </c>
      <c r="P471" s="5">
        <f>IFERROR(__xludf.DUMMYFUNCTION("""COMPUTED_VALUE"""),5.0)</f>
        <v>5</v>
      </c>
      <c r="Q471" s="5" t="str">
        <f>IFERROR(__xludf.DUMMYFUNCTION("""COMPUTED_VALUE"""),"N")</f>
        <v>N</v>
      </c>
      <c r="R471" s="5" t="str">
        <f>IFERROR(__xludf.DUMMYFUNCTION("""COMPUTED_VALUE"""),"N")</f>
        <v>N</v>
      </c>
      <c r="S471" s="5"/>
      <c r="T471" s="5"/>
      <c r="U471" s="5" t="str">
        <f>IFERROR(__xludf.DUMMYFUNCTION("""COMPUTED_VALUE"""),"N")</f>
        <v>N</v>
      </c>
      <c r="V471" s="5">
        <f>IFERROR(__xludf.DUMMYFUNCTION("""COMPUTED_VALUE"""),560.0)</f>
        <v>560</v>
      </c>
      <c r="W471" s="5"/>
      <c r="X471" s="5"/>
      <c r="Y471" s="5"/>
      <c r="Z471" s="5"/>
    </row>
    <row r="472">
      <c r="A472" s="5" t="str">
        <f>IFERROR(__xludf.DUMMYFUNCTION("""COMPUTED_VALUE"""),"สันคอสไลด์-(ถาด)-1หิ้ว")</f>
        <v>สันคอสไลด์-(ถาด)-1หิ้ว</v>
      </c>
      <c r="B472" s="5">
        <f>IFERROR(__xludf.DUMMYFUNCTION("""COMPUTED_VALUE"""),11088.0)</f>
        <v>11088</v>
      </c>
      <c r="C472" s="5" t="str">
        <f>IFERROR(__xludf.DUMMYFUNCTION("""COMPUTED_VALUE"""),"สันคอสไลด์ (ถาด)10แพ็ค/หิ้ว")</f>
        <v>สันคอสไลด์ (ถาด)10แพ็ค/หิ้ว</v>
      </c>
      <c r="D472" s="5"/>
      <c r="E472" s="5" t="str">
        <f>IFERROR(__xludf.DUMMYFUNCTION("""COMPUTED_VALUE"""),"&lt;p&gt;S&lt;/p&gt;")</f>
        <v>&lt;p&gt;S&lt;/p&gt;</v>
      </c>
      <c r="F472" s="5" t="str">
        <f>IFERROR(__xludf.DUMMYFUNCTION("""COMPUTED_VALUE"""),"N")</f>
        <v>N</v>
      </c>
      <c r="G472" s="5"/>
      <c r="H472" s="5"/>
      <c r="I472" s="5"/>
      <c r="J472" s="5"/>
      <c r="K472" s="5"/>
      <c r="L472" s="5"/>
      <c r="M472" s="5"/>
      <c r="N472" s="5">
        <f>IFERROR(__xludf.DUMMYFUNCTION("""COMPUTED_VALUE"""),11088.0)</f>
        <v>11088</v>
      </c>
      <c r="O472" s="5">
        <f>IFERROR(__xludf.DUMMYFUNCTION("""COMPUTED_VALUE"""),11061.0)</f>
        <v>11061</v>
      </c>
      <c r="P472" s="5">
        <f>IFERROR(__xludf.DUMMYFUNCTION("""COMPUTED_VALUE"""),10.0)</f>
        <v>10</v>
      </c>
      <c r="Q472" s="5" t="str">
        <f>IFERROR(__xludf.DUMMYFUNCTION("""COMPUTED_VALUE"""),"N")</f>
        <v>N</v>
      </c>
      <c r="R472" s="5" t="str">
        <f>IFERROR(__xludf.DUMMYFUNCTION("""COMPUTED_VALUE"""),"N")</f>
        <v>N</v>
      </c>
      <c r="S472" s="5"/>
      <c r="T472" s="5"/>
      <c r="U472" s="5" t="str">
        <f>IFERROR(__xludf.DUMMYFUNCTION("""COMPUTED_VALUE"""),"Y")</f>
        <v>Y</v>
      </c>
      <c r="V472" s="5">
        <f>IFERROR(__xludf.DUMMYFUNCTION("""COMPUTED_VALUE"""),750.0)</f>
        <v>750</v>
      </c>
      <c r="W472" s="5"/>
      <c r="X472" s="5"/>
      <c r="Y472" s="5"/>
      <c r="Z472" s="5"/>
    </row>
    <row r="473">
      <c r="A473" s="5" t="str">
        <f>IFERROR(__xludf.DUMMYFUNCTION("""COMPUTED_VALUE"""),"สันคอสไลด์-ถาด-10แพ็ค(ลัง-)")</f>
        <v>สันคอสไลด์-ถาด-10แพ็ค(ลัง-)</v>
      </c>
      <c r="B473" s="5">
        <f>IFERROR(__xludf.DUMMYFUNCTION("""COMPUTED_VALUE"""),11524.0)</f>
        <v>11524</v>
      </c>
      <c r="C473" s="5" t="str">
        <f>IFERROR(__xludf.DUMMYFUNCTION("""COMPUTED_VALUE"""),"สันคอสไลด์ (ถาด)20แพ็ค/ลัง")</f>
        <v>สันคอสไลด์ (ถาด)20แพ็ค/ลัง</v>
      </c>
      <c r="D473" s="5"/>
      <c r="E473" s="5" t="str">
        <f>IFERROR(__xludf.DUMMYFUNCTION("""COMPUTED_VALUE"""),"&lt;p&gt;S&lt;/p&gt;")</f>
        <v>&lt;p&gt;S&lt;/p&gt;</v>
      </c>
      <c r="F473" s="5" t="str">
        <f>IFERROR(__xludf.DUMMYFUNCTION("""COMPUTED_VALUE"""),"N")</f>
        <v>N</v>
      </c>
      <c r="G473" s="5"/>
      <c r="H473" s="5"/>
      <c r="I473" s="5"/>
      <c r="J473" s="5"/>
      <c r="K473" s="5"/>
      <c r="L473" s="5"/>
      <c r="M473" s="5"/>
      <c r="N473" s="5">
        <f>IFERROR(__xludf.DUMMYFUNCTION("""COMPUTED_VALUE"""),11524.0)</f>
        <v>11524</v>
      </c>
      <c r="O473" s="5">
        <f>IFERROR(__xludf.DUMMYFUNCTION("""COMPUTED_VALUE"""),11061.0)</f>
        <v>11061</v>
      </c>
      <c r="P473" s="5">
        <f>IFERROR(__xludf.DUMMYFUNCTION("""COMPUTED_VALUE"""),20.0)</f>
        <v>20</v>
      </c>
      <c r="Q473" s="5" t="str">
        <f>IFERROR(__xludf.DUMMYFUNCTION("""COMPUTED_VALUE"""),"N")</f>
        <v>N</v>
      </c>
      <c r="R473" s="5" t="str">
        <f>IFERROR(__xludf.DUMMYFUNCTION("""COMPUTED_VALUE"""),"N")</f>
        <v>N</v>
      </c>
      <c r="S473" s="5"/>
      <c r="T473" s="5"/>
      <c r="U473" s="5" t="str">
        <f>IFERROR(__xludf.DUMMYFUNCTION("""COMPUTED_VALUE"""),"Y")</f>
        <v>Y</v>
      </c>
      <c r="V473" s="5">
        <f>IFERROR(__xludf.DUMMYFUNCTION("""COMPUTED_VALUE"""),1400.0)</f>
        <v>1400</v>
      </c>
      <c r="W473" s="5"/>
      <c r="X473" s="5"/>
      <c r="Y473" s="5"/>
      <c r="Z473" s="5"/>
    </row>
    <row r="474">
      <c r="A474" s="5" t="str">
        <f>IFERROR(__xludf.DUMMYFUNCTION("""COMPUTED_VALUE"""),"สันคอสไลด์-(ถาด)")</f>
        <v>สันคอสไลด์-(ถาด)</v>
      </c>
      <c r="B474" s="5">
        <f>IFERROR(__xludf.DUMMYFUNCTION("""COMPUTED_VALUE"""),11061.0)</f>
        <v>11061</v>
      </c>
      <c r="C474" s="5" t="str">
        <f>IFERROR(__xludf.DUMMYFUNCTION("""COMPUTED_VALUE"""),"สันคอสไลด์(ถาด)")</f>
        <v>สันคอสไลด์(ถาด)</v>
      </c>
      <c r="D474" s="5" t="str">
        <f>IFERROR(__xludf.DUMMYFUNCTION("""COMPUTED_VALUE"""),"**ลัง ร้อยเอ็ด")</f>
        <v>**ลัง ร้อยเอ็ด</v>
      </c>
      <c r="E474" s="5" t="str">
        <f>IFERROR(__xludf.DUMMYFUNCTION("""COMPUTED_VALUE"""),"&lt;p&gt;X&lt;/p&gt;")</f>
        <v>&lt;p&gt;X&lt;/p&gt;</v>
      </c>
      <c r="F474" s="5" t="str">
        <f>IFERROR(__xludf.DUMMYFUNCTION("""COMPUTED_VALUE"""),"N")</f>
        <v>N</v>
      </c>
      <c r="G474" s="5"/>
      <c r="H474" s="5"/>
      <c r="I474" s="5"/>
      <c r="J474" s="5"/>
      <c r="K474" s="5"/>
      <c r="L474" s="5"/>
      <c r="M474" s="5">
        <f>IFERROR(__xludf.DUMMYFUNCTION("""COMPUTED_VALUE"""),53.33)</f>
        <v>53.33</v>
      </c>
      <c r="N474" s="5">
        <f>IFERROR(__xludf.DUMMYFUNCTION("""COMPUTED_VALUE"""),11061.0)</f>
        <v>11061</v>
      </c>
      <c r="O474" s="5"/>
      <c r="P474" s="5"/>
      <c r="Q474" s="5" t="str">
        <f>IFERROR(__xludf.DUMMYFUNCTION("""COMPUTED_VALUE"""),"Y")</f>
        <v>Y</v>
      </c>
      <c r="R474" s="5"/>
      <c r="S474" s="5" t="str">
        <f>IFERROR(__xludf.DUMMYFUNCTION("""COMPUTED_VALUE"""),"สินเจริญชัย")</f>
        <v>สินเจริญชัย</v>
      </c>
      <c r="T474" s="5">
        <f>IFERROR(__xludf.DUMMYFUNCTION("""COMPUTED_VALUE"""),51.0)</f>
        <v>51</v>
      </c>
      <c r="U474" s="5" t="str">
        <f>IFERROR(__xludf.DUMMYFUNCTION("""COMPUTED_VALUE"""),"Y")</f>
        <v>Y</v>
      </c>
      <c r="V474" s="5">
        <f>IFERROR(__xludf.DUMMYFUNCTION("""COMPUTED_VALUE"""),75.0)</f>
        <v>75</v>
      </c>
      <c r="W474" s="5">
        <f>IFERROR(__xludf.DUMMYFUNCTION("""COMPUTED_VALUE"""),0.0)</f>
        <v>0</v>
      </c>
      <c r="X474" s="5">
        <f>IFERROR(__xludf.DUMMYFUNCTION("""COMPUTED_VALUE"""),20.0)</f>
        <v>20</v>
      </c>
      <c r="Y474" s="5">
        <f>IFERROR(__xludf.DUMMYFUNCTION("""COMPUTED_VALUE"""),60.0)</f>
        <v>60</v>
      </c>
      <c r="Z474" s="5"/>
    </row>
    <row r="475">
      <c r="A475" s="5" t="str">
        <f>IFERROR(__xludf.DUMMYFUNCTION("""COMPUTED_VALUE"""),"สันคอ(สด-ชั่งนน-180)")</f>
        <v>สันคอ(สด-ชั่งนน-180)</v>
      </c>
      <c r="B475" s="5">
        <f>IFERROR(__xludf.DUMMYFUNCTION("""COMPUTED_VALUE"""),10181.0)</f>
        <v>10181</v>
      </c>
      <c r="C475" s="5" t="str">
        <f>IFERROR(__xludf.DUMMYFUNCTION("""COMPUTED_VALUE"""),"สันคอแท่ง CP (128)")</f>
        <v>สันคอแท่ง CP (128)</v>
      </c>
      <c r="D475" s="5" t="str">
        <f>IFERROR(__xludf.DUMMYFUNCTION("""COMPUTED_VALUE"""),"**ชั่งน้ำหนัก")</f>
        <v>**ชั่งน้ำหนัก</v>
      </c>
      <c r="E475" s="5" t="str">
        <f>IFERROR(__xludf.DUMMYFUNCTION("""COMPUTED_VALUE"""),"&lt;p&gt;D&lt;/p&gt;")</f>
        <v>&lt;p&gt;D&lt;/p&gt;</v>
      </c>
      <c r="F475" s="5" t="str">
        <f>IFERROR(__xludf.DUMMYFUNCTION("""COMPUTED_VALUE"""),"Y")</f>
        <v>Y</v>
      </c>
      <c r="G475" s="5"/>
      <c r="H475" s="5"/>
      <c r="I475" s="5"/>
      <c r="J475" s="5"/>
      <c r="K475" s="5"/>
      <c r="L475" s="5"/>
      <c r="M475" s="5">
        <f>IFERROR(__xludf.DUMMYFUNCTION("""COMPUTED_VALUE"""),117.0)</f>
        <v>117</v>
      </c>
      <c r="N475" s="5">
        <f>IFERROR(__xludf.DUMMYFUNCTION("""COMPUTED_VALUE"""),10181.0)</f>
        <v>10181</v>
      </c>
      <c r="O475" s="5"/>
      <c r="P475" s="5"/>
      <c r="Q475" s="5" t="str">
        <f>IFERROR(__xludf.DUMMYFUNCTION("""COMPUTED_VALUE"""),"Y")</f>
        <v>Y</v>
      </c>
      <c r="R475" s="5"/>
      <c r="S475" s="5" t="str">
        <f>IFERROR(__xludf.DUMMYFUNCTION("""COMPUTED_VALUE"""),"CP")</f>
        <v>CP</v>
      </c>
      <c r="T475" s="5">
        <f>IFERROR(__xludf.DUMMYFUNCTION("""COMPUTED_VALUE"""),117.0)</f>
        <v>117</v>
      </c>
      <c r="U475" s="5" t="str">
        <f>IFERROR(__xludf.DUMMYFUNCTION("""COMPUTED_VALUE"""),"Y")</f>
        <v>Y</v>
      </c>
      <c r="V475" s="5">
        <f>IFERROR(__xludf.DUMMYFUNCTION("""COMPUTED_VALUE"""),128.0)</f>
        <v>128</v>
      </c>
      <c r="W475" s="5">
        <f>IFERROR(__xludf.DUMMYFUNCTION("""COMPUTED_VALUE"""),14.7)</f>
        <v>14.7</v>
      </c>
      <c r="X475" s="5"/>
      <c r="Y475" s="5"/>
      <c r="Z475" s="5"/>
    </row>
    <row r="476">
      <c r="A476" s="5" t="str">
        <f>IFERROR(__xludf.DUMMYFUNCTION("""COMPUTED_VALUE"""),"สันคอแท่ง-(พิเศษ)-140")</f>
        <v>สันคอแท่ง-(พิเศษ)-140</v>
      </c>
      <c r="B476" s="5">
        <f>IFERROR(__xludf.DUMMYFUNCTION("""COMPUTED_VALUE"""),10666.0)</f>
        <v>10666</v>
      </c>
      <c r="C476" s="5" t="str">
        <f>IFERROR(__xludf.DUMMYFUNCTION("""COMPUTED_VALUE"""),"สันคอแท่ง เบ (พิเศษ)-158")</f>
        <v>สันคอแท่ง เบ (พิเศษ)-158</v>
      </c>
      <c r="D476" s="5" t="str">
        <f>IFERROR(__xludf.DUMMYFUNCTION("""COMPUTED_VALUE"""),"**ร้านค้า ราคาพิเศษ")</f>
        <v>**ร้านค้า ราคาพิเศษ</v>
      </c>
      <c r="E476" s="5"/>
      <c r="F476" s="5" t="str">
        <f>IFERROR(__xludf.DUMMYFUNCTION("""COMPUTED_VALUE"""),"Y")</f>
        <v>Y</v>
      </c>
      <c r="G476" s="5"/>
      <c r="H476" s="5"/>
      <c r="I476" s="5"/>
      <c r="J476" s="5"/>
      <c r="K476" s="5"/>
      <c r="L476" s="5"/>
      <c r="M476" s="5"/>
      <c r="N476" s="5"/>
      <c r="O476" s="5">
        <f>IFERROR(__xludf.DUMMYFUNCTION("""COMPUTED_VALUE"""),11178.0)</f>
        <v>11178</v>
      </c>
      <c r="P476" s="5">
        <f>IFERROR(__xludf.DUMMYFUNCTION("""COMPUTED_VALUE"""),1.0)</f>
        <v>1</v>
      </c>
      <c r="Q476" s="5" t="str">
        <f>IFERROR(__xludf.DUMMYFUNCTION("""COMPUTED_VALUE"""),"N")</f>
        <v>N</v>
      </c>
      <c r="R476" s="5" t="str">
        <f>IFERROR(__xludf.DUMMYFUNCTION("""COMPUTED_VALUE"""),"N")</f>
        <v>N</v>
      </c>
      <c r="S476" s="5"/>
      <c r="T476" s="5"/>
      <c r="U476" s="5" t="str">
        <f>IFERROR(__xludf.DUMMYFUNCTION("""COMPUTED_VALUE"""),"Y")</f>
        <v>Y</v>
      </c>
      <c r="V476" s="5">
        <f>IFERROR(__xludf.DUMMYFUNCTION("""COMPUTED_VALUE"""),158.0)</f>
        <v>158</v>
      </c>
      <c r="W476" s="5"/>
      <c r="X476" s="5"/>
      <c r="Y476" s="5"/>
      <c r="Z476" s="5"/>
    </row>
    <row r="477">
      <c r="A477" s="5" t="str">
        <f>IFERROR(__xludf.DUMMYFUNCTION("""COMPUTED_VALUE"""),"สันคอแท่ง-เบทาโกร-(150)")</f>
        <v>สันคอแท่ง-เบทาโกร-(150)</v>
      </c>
      <c r="B477" s="5">
        <f>IFERROR(__xludf.DUMMYFUNCTION("""COMPUTED_VALUE"""),11178.0)</f>
        <v>11178</v>
      </c>
      <c r="C477" s="5" t="str">
        <f>IFERROR(__xludf.DUMMYFUNCTION("""COMPUTED_VALUE"""),"สันคอแท่ง เบทาโกร (160)")</f>
        <v>สันคอแท่ง เบทาโกร (160)</v>
      </c>
      <c r="D477" s="5" t="str">
        <f>IFERROR(__xludf.DUMMYFUNCTION("""COMPUTED_VALUE"""),"**ชั่งน้ำหนัก")</f>
        <v>**ชั่งน้ำหนัก</v>
      </c>
      <c r="E477" s="5" t="str">
        <f>IFERROR(__xludf.DUMMYFUNCTION("""COMPUTED_VALUE"""),"&lt;p&gt;A&lt;/p&gt;")</f>
        <v>&lt;p&gt;A&lt;/p&gt;</v>
      </c>
      <c r="F477" s="5" t="str">
        <f>IFERROR(__xludf.DUMMYFUNCTION("""COMPUTED_VALUE"""),"Y")</f>
        <v>Y</v>
      </c>
      <c r="G477" s="5"/>
      <c r="H477" s="5"/>
      <c r="I477" s="5"/>
      <c r="J477" s="5"/>
      <c r="K477" s="5"/>
      <c r="L477" s="5"/>
      <c r="M477" s="5">
        <f>IFERROR(__xludf.DUMMYFUNCTION("""COMPUTED_VALUE"""),137.85)</f>
        <v>137.85</v>
      </c>
      <c r="N477" s="5">
        <f>IFERROR(__xludf.DUMMYFUNCTION("""COMPUTED_VALUE"""),11178.0)</f>
        <v>11178</v>
      </c>
      <c r="O477" s="5"/>
      <c r="P477" s="5"/>
      <c r="Q477" s="5" t="str">
        <f>IFERROR(__xludf.DUMMYFUNCTION("""COMPUTED_VALUE"""),"Y")</f>
        <v>Y</v>
      </c>
      <c r="R477" s="5"/>
      <c r="S477" s="5" t="str">
        <f>IFERROR(__xludf.DUMMYFUNCTION("""COMPUTED_VALUE"""),"เบทาโกร")</f>
        <v>เบทาโกร</v>
      </c>
      <c r="T477" s="5">
        <f>IFERROR(__xludf.DUMMYFUNCTION("""COMPUTED_VALUE"""),130.0)</f>
        <v>130</v>
      </c>
      <c r="U477" s="5" t="str">
        <f>IFERROR(__xludf.DUMMYFUNCTION("""COMPUTED_VALUE"""),"Y")</f>
        <v>Y</v>
      </c>
      <c r="V477" s="5">
        <f>IFERROR(__xludf.DUMMYFUNCTION("""COMPUTED_VALUE"""),160.0)</f>
        <v>160</v>
      </c>
      <c r="W477" s="5">
        <f>IFERROR(__xludf.DUMMYFUNCTION("""COMPUTED_VALUE"""),876.5)</f>
        <v>876.5</v>
      </c>
      <c r="X477" s="5">
        <f>IFERROR(__xludf.DUMMYFUNCTION("""COMPUTED_VALUE"""),33.0)</f>
        <v>33</v>
      </c>
      <c r="Y477" s="5">
        <f>IFERROR(__xludf.DUMMYFUNCTION("""COMPUTED_VALUE"""),56.0)</f>
        <v>56</v>
      </c>
      <c r="Z477" s="5"/>
    </row>
    <row r="478">
      <c r="A478" s="5" t="str">
        <f>IFERROR(__xludf.DUMMYFUNCTION("""COMPUTED_VALUE"""),"dd-สามชั้นสไลด์ชาบู--(ราคาส่ง)")</f>
        <v>dd-สามชั้นสไลด์ชาบู--(ราคาส่ง)</v>
      </c>
      <c r="B478" s="5">
        <f>IFERROR(__xludf.DUMMYFUNCTION("""COMPUTED_VALUE"""),10963.0)</f>
        <v>10963</v>
      </c>
      <c r="C478" s="5" t="str">
        <f>IFERROR(__xludf.DUMMYFUNCTION("""COMPUTED_VALUE"""),"สันนอก(2มิล) ชาบู เบทาโกร ลัง 10 kg")</f>
        <v>สันนอก(2มิล) ชาบู เบทาโกร ลัง 10 kg</v>
      </c>
      <c r="D478" s="5"/>
      <c r="E478" s="5" t="str">
        <f>IFERROR(__xludf.DUMMYFUNCTION("""COMPUTED_VALUE"""),"&lt;p&gt;D&lt;/p&gt;")</f>
        <v>&lt;p&gt;D&lt;/p&gt;</v>
      </c>
      <c r="F478" s="5" t="str">
        <f>IFERROR(__xludf.DUMMYFUNCTION("""COMPUTED_VALUE"""),"N")</f>
        <v>N</v>
      </c>
      <c r="G478" s="5"/>
      <c r="H478" s="5"/>
      <c r="I478" s="5"/>
      <c r="J478" s="5"/>
      <c r="K478" s="5"/>
      <c r="L478" s="5"/>
      <c r="M478" s="5"/>
      <c r="N478" s="5">
        <f>IFERROR(__xludf.DUMMYFUNCTION("""COMPUTED_VALUE"""),10963.0)</f>
        <v>10963</v>
      </c>
      <c r="O478" s="5">
        <f>IFERROR(__xludf.DUMMYFUNCTION("""COMPUTED_VALUE"""),10172.0)</f>
        <v>10172</v>
      </c>
      <c r="P478" s="5">
        <f>IFERROR(__xludf.DUMMYFUNCTION("""COMPUTED_VALUE"""),10.0)</f>
        <v>10</v>
      </c>
      <c r="Q478" s="5" t="str">
        <f>IFERROR(__xludf.DUMMYFUNCTION("""COMPUTED_VALUE"""),"N")</f>
        <v>N</v>
      </c>
      <c r="R478" s="5" t="str">
        <f>IFERROR(__xludf.DUMMYFUNCTION("""COMPUTED_VALUE"""),"N")</f>
        <v>N</v>
      </c>
      <c r="S478" s="5"/>
      <c r="T478" s="5"/>
      <c r="U478" s="5" t="str">
        <f>IFERROR(__xludf.DUMMYFUNCTION("""COMPUTED_VALUE"""),"N")</f>
        <v>N</v>
      </c>
      <c r="V478" s="5">
        <f>IFERROR(__xludf.DUMMYFUNCTION("""COMPUTED_VALUE"""),1250.0)</f>
        <v>1250</v>
      </c>
      <c r="W478" s="5"/>
      <c r="X478" s="5"/>
      <c r="Y478" s="5"/>
      <c r="Z478" s="5"/>
    </row>
    <row r="479">
      <c r="A479" s="5" t="str">
        <f>IFERROR(__xludf.DUMMYFUNCTION("""COMPUTED_VALUE"""),"สามชั้นม้วนกลม-500-กรัม-1")</f>
        <v>สามชั้นม้วนกลม-500-กรัม-1</v>
      </c>
      <c r="B479" s="5">
        <f>IFERROR(__xludf.DUMMYFUNCTION("""COMPUTED_VALUE"""),10172.0)</f>
        <v>10172</v>
      </c>
      <c r="C479" s="5" t="str">
        <f>IFERROR(__xludf.DUMMYFUNCTION("""COMPUTED_VALUE"""),"สันนอก(2มิล) ชาบู เบทาโกร1 kg")</f>
        <v>สันนอก(2มิล) ชาบู เบทาโกร1 kg</v>
      </c>
      <c r="D479" s="5"/>
      <c r="E479" s="5" t="str">
        <f>IFERROR(__xludf.DUMMYFUNCTION("""COMPUTED_VALUE"""),"&lt;p&gt;X&lt;/p&gt;")</f>
        <v>&lt;p&gt;X&lt;/p&gt;</v>
      </c>
      <c r="F479" s="5" t="str">
        <f>IFERROR(__xludf.DUMMYFUNCTION("""COMPUTED_VALUE"""),"N")</f>
        <v>N</v>
      </c>
      <c r="G479" s="5"/>
      <c r="H479" s="5"/>
      <c r="I479" s="5"/>
      <c r="J479" s="5"/>
      <c r="K479" s="5"/>
      <c r="L479" s="5"/>
      <c r="M479" s="5">
        <f>IFERROR(__xludf.DUMMYFUNCTION("""COMPUTED_VALUE"""),115.0)</f>
        <v>115</v>
      </c>
      <c r="N479" s="5">
        <f>IFERROR(__xludf.DUMMYFUNCTION("""COMPUTED_VALUE"""),10172.0)</f>
        <v>10172</v>
      </c>
      <c r="O479" s="5"/>
      <c r="P479" s="5"/>
      <c r="Q479" s="5" t="str">
        <f>IFERROR(__xludf.DUMMYFUNCTION("""COMPUTED_VALUE"""),"Y")</f>
        <v>Y</v>
      </c>
      <c r="R479" s="5"/>
      <c r="S479" s="5"/>
      <c r="T479" s="5">
        <f>IFERROR(__xludf.DUMMYFUNCTION("""COMPUTED_VALUE"""),0.0)</f>
        <v>0</v>
      </c>
      <c r="U479" s="5" t="str">
        <f>IFERROR(__xludf.DUMMYFUNCTION("""COMPUTED_VALUE"""),"N")</f>
        <v>N</v>
      </c>
      <c r="V479" s="5">
        <f>IFERROR(__xludf.DUMMYFUNCTION("""COMPUTED_VALUE"""),130.0)</f>
        <v>130</v>
      </c>
      <c r="W479" s="5">
        <f>IFERROR(__xludf.DUMMYFUNCTION("""COMPUTED_VALUE"""),0.0)</f>
        <v>0</v>
      </c>
      <c r="X479" s="5">
        <f>IFERROR(__xludf.DUMMYFUNCTION("""COMPUTED_VALUE"""),0.0)</f>
        <v>0</v>
      </c>
      <c r="Y479" s="5"/>
      <c r="Z479" s="5"/>
    </row>
    <row r="480">
      <c r="A480" s="5" t="str">
        <f>IFERROR(__xludf.DUMMYFUNCTION("""COMPUTED_VALUE"""),"สันนอกหมู-แท่ง-เบทาโกร-(ชั่งน้ำหนัก)-118")</f>
        <v>สันนอกหมู-แท่ง-เบทาโกร-(ชั่งน้ำหนัก)-118</v>
      </c>
      <c r="B480" s="5">
        <f>IFERROR(__xludf.DUMMYFUNCTION("""COMPUTED_VALUE"""),11173.0)</f>
        <v>11173</v>
      </c>
      <c r="C480" s="5" t="str">
        <f>IFERROR(__xludf.DUMMYFUNCTION("""COMPUTED_VALUE"""),"สันนอกแท่ง เบ (ชั่่ง) -125")</f>
        <v>สันนอกแท่ง เบ (ชั่่ง) -125</v>
      </c>
      <c r="D480" s="5" t="str">
        <f>IFERROR(__xludf.DUMMYFUNCTION("""COMPUTED_VALUE"""),"**ชั่งน้ำหนัก")</f>
        <v>**ชั่งน้ำหนัก</v>
      </c>
      <c r="E480" s="5" t="str">
        <f>IFERROR(__xludf.DUMMYFUNCTION("""COMPUTED_VALUE"""),"&lt;p&gt;B&lt;/p&gt;")</f>
        <v>&lt;p&gt;B&lt;/p&gt;</v>
      </c>
      <c r="F480" s="5" t="str">
        <f>IFERROR(__xludf.DUMMYFUNCTION("""COMPUTED_VALUE"""),"Y")</f>
        <v>Y</v>
      </c>
      <c r="G480" s="5"/>
      <c r="H480" s="5"/>
      <c r="I480" s="5"/>
      <c r="J480" s="5"/>
      <c r="K480" s="5"/>
      <c r="L480" s="5"/>
      <c r="M480" s="5">
        <f>IFERROR(__xludf.DUMMYFUNCTION("""COMPUTED_VALUE"""),95.0)</f>
        <v>95</v>
      </c>
      <c r="N480" s="5">
        <f>IFERROR(__xludf.DUMMYFUNCTION("""COMPUTED_VALUE"""),11173.0)</f>
        <v>11173</v>
      </c>
      <c r="O480" s="5"/>
      <c r="P480" s="5"/>
      <c r="Q480" s="5" t="str">
        <f>IFERROR(__xludf.DUMMYFUNCTION("""COMPUTED_VALUE"""),"Y")</f>
        <v>Y</v>
      </c>
      <c r="R480" s="5"/>
      <c r="S480" s="5" t="str">
        <f>IFERROR(__xludf.DUMMYFUNCTION("""COMPUTED_VALUE"""),"เบทาโกร")</f>
        <v>เบทาโกร</v>
      </c>
      <c r="T480" s="5">
        <f>IFERROR(__xludf.DUMMYFUNCTION("""COMPUTED_VALUE"""),95.0)</f>
        <v>95</v>
      </c>
      <c r="U480" s="5" t="str">
        <f>IFERROR(__xludf.DUMMYFUNCTION("""COMPUTED_VALUE"""),"Y")</f>
        <v>Y</v>
      </c>
      <c r="V480" s="5">
        <f>IFERROR(__xludf.DUMMYFUNCTION("""COMPUTED_VALUE"""),125.0)</f>
        <v>125</v>
      </c>
      <c r="W480" s="5">
        <f>IFERROR(__xludf.DUMMYFUNCTION("""COMPUTED_VALUE"""),88.3)</f>
        <v>88.3</v>
      </c>
      <c r="X480" s="5">
        <f>IFERROR(__xludf.DUMMYFUNCTION("""COMPUTED_VALUE"""),3.0)</f>
        <v>3</v>
      </c>
      <c r="Y480" s="5">
        <f>IFERROR(__xludf.DUMMYFUNCTION("""COMPUTED_VALUE"""),5.0)</f>
        <v>5</v>
      </c>
      <c r="Z480" s="5"/>
    </row>
    <row r="481">
      <c r="A481" s="5" t="str">
        <f>IFERROR(__xludf.DUMMYFUNCTION("""COMPUTED_VALUE"""),"สันนอกแท่ง-(พิเศษ)-150")</f>
        <v>สันนอกแท่ง-(พิเศษ)-150</v>
      </c>
      <c r="B481" s="5">
        <f>IFERROR(__xludf.DUMMYFUNCTION("""COMPUTED_VALUE"""),10314.0)</f>
        <v>10314</v>
      </c>
      <c r="C481" s="5" t="str">
        <f>IFERROR(__xludf.DUMMYFUNCTION("""COMPUTED_VALUE"""),"สันนอกแท่ง เบ (พิเศษ) 120")</f>
        <v>สันนอกแท่ง เบ (พิเศษ) 120</v>
      </c>
      <c r="D481" s="5" t="str">
        <f>IFERROR(__xludf.DUMMYFUNCTION("""COMPUTED_VALUE"""),"**ร้านค้า ราคาพิเศษ")</f>
        <v>**ร้านค้า ราคาพิเศษ</v>
      </c>
      <c r="E481" s="5"/>
      <c r="F481" s="5" t="str">
        <f>IFERROR(__xludf.DUMMYFUNCTION("""COMPUTED_VALUE"""),"Y")</f>
        <v>Y</v>
      </c>
      <c r="G481" s="5"/>
      <c r="H481" s="5"/>
      <c r="I481" s="5"/>
      <c r="J481" s="5"/>
      <c r="K481" s="5"/>
      <c r="L481" s="5"/>
      <c r="M481" s="5"/>
      <c r="N481" s="5"/>
      <c r="O481" s="5">
        <f>IFERROR(__xludf.DUMMYFUNCTION("""COMPUTED_VALUE"""),11173.0)</f>
        <v>11173</v>
      </c>
      <c r="P481" s="5">
        <f>IFERROR(__xludf.DUMMYFUNCTION("""COMPUTED_VALUE"""),1.0)</f>
        <v>1</v>
      </c>
      <c r="Q481" s="5" t="str">
        <f>IFERROR(__xludf.DUMMYFUNCTION("""COMPUTED_VALUE"""),"N")</f>
        <v>N</v>
      </c>
      <c r="R481" s="5" t="str">
        <f>IFERROR(__xludf.DUMMYFUNCTION("""COMPUTED_VALUE"""),"N")</f>
        <v>N</v>
      </c>
      <c r="S481" s="5"/>
      <c r="T481" s="5"/>
      <c r="U481" s="5" t="str">
        <f>IFERROR(__xludf.DUMMYFUNCTION("""COMPUTED_VALUE"""),"Y")</f>
        <v>Y</v>
      </c>
      <c r="V481" s="5">
        <f>IFERROR(__xludf.DUMMYFUNCTION("""COMPUTED_VALUE"""),120.0)</f>
        <v>120</v>
      </c>
      <c r="W481" s="5"/>
      <c r="X481" s="5"/>
      <c r="Y481" s="5"/>
      <c r="Z481" s="5"/>
    </row>
    <row r="482">
      <c r="A482" s="5" t="str">
        <f>IFERROR(__xludf.DUMMYFUNCTION("""COMPUTED_VALUE"""),"สันในวัว")</f>
        <v>สันในวัว</v>
      </c>
      <c r="B482" s="5">
        <f>IFERROR(__xludf.DUMMYFUNCTION("""COMPUTED_VALUE"""),10889.0)</f>
        <v>10889</v>
      </c>
      <c r="C482" s="5" t="str">
        <f>IFERROR(__xludf.DUMMYFUNCTION("""COMPUTED_VALUE"""),"สันในวัว โคขุน")</f>
        <v>สันในวัว โคขุน</v>
      </c>
      <c r="D482" s="5"/>
      <c r="E482" s="5"/>
      <c r="F482" s="5" t="str">
        <f>IFERROR(__xludf.DUMMYFUNCTION("""COMPUTED_VALUE"""),"Y")</f>
        <v>Y</v>
      </c>
      <c r="G482" s="5"/>
      <c r="H482" s="5"/>
      <c r="I482" s="5"/>
      <c r="J482" s="5"/>
      <c r="K482" s="5"/>
      <c r="L482" s="5"/>
      <c r="M482" s="5">
        <f>IFERROR(__xludf.DUMMYFUNCTION("""COMPUTED_VALUE"""),162.0)</f>
        <v>162</v>
      </c>
      <c r="N482" s="5"/>
      <c r="O482" s="5"/>
      <c r="P482" s="5"/>
      <c r="Q482" s="5" t="str">
        <f>IFERROR(__xludf.DUMMYFUNCTION("""COMPUTED_VALUE"""),"Y")</f>
        <v>Y</v>
      </c>
      <c r="R482" s="5"/>
      <c r="S482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82" s="5">
        <f>IFERROR(__xludf.DUMMYFUNCTION("""COMPUTED_VALUE"""),162.0)</f>
        <v>162</v>
      </c>
      <c r="U482" s="5" t="str">
        <f>IFERROR(__xludf.DUMMYFUNCTION("""COMPUTED_VALUE"""),"Y")</f>
        <v>Y</v>
      </c>
      <c r="V482" s="5">
        <f>IFERROR(__xludf.DUMMYFUNCTION("""COMPUTED_VALUE"""),225.0)</f>
        <v>225</v>
      </c>
      <c r="W482" s="5">
        <f>IFERROR(__xludf.DUMMYFUNCTION("""COMPUTED_VALUE"""),3.7)</f>
        <v>3.7</v>
      </c>
      <c r="X482" s="5">
        <f>IFERROR(__xludf.DUMMYFUNCTION("""COMPUTED_VALUE"""),0.0)</f>
        <v>0</v>
      </c>
      <c r="Y482" s="5"/>
      <c r="Z482" s="5"/>
    </row>
    <row r="483">
      <c r="A483" s="5" t="str">
        <f>IFERROR(__xludf.DUMMYFUNCTION("""COMPUTED_VALUE"""),"สามชั้นงา-(ถุงใส)--r100")</f>
        <v>สามชั้นงา-(ถุงใส)--r100</v>
      </c>
      <c r="B483" s="5">
        <f>IFERROR(__xludf.DUMMYFUNCTION("""COMPUTED_VALUE"""),10685.0)</f>
        <v>10685</v>
      </c>
      <c r="C483" s="5" t="str">
        <f>IFERROR(__xludf.DUMMYFUNCTION("""COMPUTED_VALUE"""),"สามชั้น (ถุงใส) งา  R100-93")</f>
        <v>สามชั้น (ถุงใส) งา  R100-93</v>
      </c>
      <c r="D483" s="5" t="str">
        <f>IFERROR(__xludf.DUMMYFUNCTION("""COMPUTED_VALUE"""),"**ร้านค้า ราคาพิเศษ")</f>
        <v>**ร้านค้า ราคาพิเศษ</v>
      </c>
      <c r="E483" s="5"/>
      <c r="F483" s="5" t="str">
        <f>IFERROR(__xludf.DUMMYFUNCTION("""COMPUTED_VALUE"""),"N")</f>
        <v>N</v>
      </c>
      <c r="G483" s="5"/>
      <c r="H483" s="5"/>
      <c r="I483" s="5"/>
      <c r="J483" s="5"/>
      <c r="K483" s="5"/>
      <c r="L483" s="5"/>
      <c r="M483" s="5"/>
      <c r="N483" s="5"/>
      <c r="O483" s="5">
        <f>IFERROR(__xludf.DUMMYFUNCTION("""COMPUTED_VALUE"""),10682.0)</f>
        <v>10682</v>
      </c>
      <c r="P483" s="5">
        <f>IFERROR(__xludf.DUMMYFUNCTION("""COMPUTED_VALUE"""),1.0)</f>
        <v>1</v>
      </c>
      <c r="Q483" s="5" t="str">
        <f>IFERROR(__xludf.DUMMYFUNCTION("""COMPUTED_VALUE"""),"N")</f>
        <v>N</v>
      </c>
      <c r="R483" s="5" t="str">
        <f>IFERROR(__xludf.DUMMYFUNCTION("""COMPUTED_VALUE"""),"N")</f>
        <v>N</v>
      </c>
      <c r="S483" s="5"/>
      <c r="T483" s="5"/>
      <c r="U483" s="5" t="str">
        <f>IFERROR(__xludf.DUMMYFUNCTION("""COMPUTED_VALUE"""),"N")</f>
        <v>N</v>
      </c>
      <c r="V483" s="5">
        <f>IFERROR(__xludf.DUMMYFUNCTION("""COMPUTED_VALUE"""),465.0)</f>
        <v>465</v>
      </c>
      <c r="W483" s="5"/>
      <c r="X483" s="5"/>
      <c r="Y483" s="5"/>
      <c r="Z483" s="5"/>
    </row>
    <row r="484">
      <c r="A484" s="5" t="str">
        <f>IFERROR(__xludf.DUMMYFUNCTION("""COMPUTED_VALUE"""),"สามชั้นงา-(ถุงใส)-5กก(85)")</f>
        <v>สามชั้นงา-(ถุงใส)-5กก(85)</v>
      </c>
      <c r="B484" s="5">
        <f>IFERROR(__xludf.DUMMYFUNCTION("""COMPUTED_VALUE"""),10682.0)</f>
        <v>10682</v>
      </c>
      <c r="C484" s="5" t="str">
        <f>IFERROR(__xludf.DUMMYFUNCTION("""COMPUTED_VALUE"""),"สามชั้น (ถุงใส) งา - 98")</f>
        <v>สามชั้น (ถุงใส) งา - 98</v>
      </c>
      <c r="D484" s="5" t="str">
        <f>IFERROR(__xludf.DUMMYFUNCTION("""COMPUTED_VALUE"""),"กานพู")</f>
        <v>กานพู</v>
      </c>
      <c r="E484" s="5"/>
      <c r="F484" s="5" t="str">
        <f>IFERROR(__xludf.DUMMYFUNCTION("""COMPUTED_VALUE"""),"N")</f>
        <v>N</v>
      </c>
      <c r="G484" s="5"/>
      <c r="H484" s="5"/>
      <c r="I484" s="5"/>
      <c r="J484" s="5"/>
      <c r="K484" s="5"/>
      <c r="L484" s="5"/>
      <c r="M484" s="5">
        <f>IFERROR(__xludf.DUMMYFUNCTION("""COMPUTED_VALUE"""),400.0)</f>
        <v>400</v>
      </c>
      <c r="N484" s="5"/>
      <c r="O484" s="5"/>
      <c r="P484" s="5"/>
      <c r="Q484" s="5" t="str">
        <f>IFERROR(__xludf.DUMMYFUNCTION("""COMPUTED_VALUE"""),"Y")</f>
        <v>Y</v>
      </c>
      <c r="R484" s="5"/>
      <c r="S484" s="5" t="str">
        <f>IFERROR(__xludf.DUMMYFUNCTION("""COMPUTED_VALUE"""),"หจก กานพลู ซีฟู้ดส์")</f>
        <v>หจก กานพลู ซีฟู้ดส์</v>
      </c>
      <c r="T484" s="5">
        <f>IFERROR(__xludf.DUMMYFUNCTION("""COMPUTED_VALUE"""),425.0)</f>
        <v>425</v>
      </c>
      <c r="U484" s="5" t="str">
        <f>IFERROR(__xludf.DUMMYFUNCTION("""COMPUTED_VALUE"""),"Y")</f>
        <v>Y</v>
      </c>
      <c r="V484" s="5">
        <f>IFERROR(__xludf.DUMMYFUNCTION("""COMPUTED_VALUE"""),490.0)</f>
        <v>490</v>
      </c>
      <c r="W484" s="5">
        <f>IFERROR(__xludf.DUMMYFUNCTION("""COMPUTED_VALUE"""),13.0)</f>
        <v>13</v>
      </c>
      <c r="X484" s="5"/>
      <c r="Y484" s="5"/>
      <c r="Z484" s="5"/>
    </row>
    <row r="485">
      <c r="A485" s="5" t="str">
        <f>IFERROR(__xludf.DUMMYFUNCTION("""COMPUTED_VALUE"""),"สามชั้นนุ่ม-(ถุงใส)--r100")</f>
        <v>สามชั้นนุ่ม-(ถุงใส)--r100</v>
      </c>
      <c r="B485" s="5">
        <f>IFERROR(__xludf.DUMMYFUNCTION("""COMPUTED_VALUE"""),10667.0)</f>
        <v>10667</v>
      </c>
      <c r="C485" s="5" t="str">
        <f>IFERROR(__xludf.DUMMYFUNCTION("""COMPUTED_VALUE"""),"สามชั้น (ถุงใส) นุ่ม R100-93")</f>
        <v>สามชั้น (ถุงใส) นุ่ม R100-93</v>
      </c>
      <c r="D485" s="5" t="str">
        <f>IFERROR(__xludf.DUMMYFUNCTION("""COMPUTED_VALUE"""),"**ร้านค้า ราคาพิเศษ")</f>
        <v>**ร้านค้า ราคาพิเศษ</v>
      </c>
      <c r="E485" s="5"/>
      <c r="F485" s="5" t="str">
        <f>IFERROR(__xludf.DUMMYFUNCTION("""COMPUTED_VALUE"""),"N")</f>
        <v>N</v>
      </c>
      <c r="G485" s="5"/>
      <c r="H485" s="5"/>
      <c r="I485" s="5"/>
      <c r="J485" s="5"/>
      <c r="K485" s="5"/>
      <c r="L485" s="5"/>
      <c r="M485" s="5"/>
      <c r="N485" s="5"/>
      <c r="O485" s="5">
        <f>IFERROR(__xludf.DUMMYFUNCTION("""COMPUTED_VALUE"""),10662.0)</f>
        <v>10662</v>
      </c>
      <c r="P485" s="5">
        <f>IFERROR(__xludf.DUMMYFUNCTION("""COMPUTED_VALUE"""),1.0)</f>
        <v>1</v>
      </c>
      <c r="Q485" s="5" t="str">
        <f>IFERROR(__xludf.DUMMYFUNCTION("""COMPUTED_VALUE"""),"N")</f>
        <v>N</v>
      </c>
      <c r="R485" s="5" t="str">
        <f>IFERROR(__xludf.DUMMYFUNCTION("""COMPUTED_VALUE"""),"N")</f>
        <v>N</v>
      </c>
      <c r="S485" s="5"/>
      <c r="T485" s="5"/>
      <c r="U485" s="5" t="str">
        <f>IFERROR(__xludf.DUMMYFUNCTION("""COMPUTED_VALUE"""),"N")</f>
        <v>N</v>
      </c>
      <c r="V485" s="5">
        <f>IFERROR(__xludf.DUMMYFUNCTION("""COMPUTED_VALUE"""),465.0)</f>
        <v>465</v>
      </c>
      <c r="W485" s="5"/>
      <c r="X485" s="5"/>
      <c r="Y485" s="5"/>
      <c r="Z485" s="5"/>
    </row>
    <row r="486">
      <c r="A486" s="5" t="str">
        <f>IFERROR(__xludf.DUMMYFUNCTION("""COMPUTED_VALUE"""),"สามชั้นนุ่ม-ถุงใส-5-กก.-(85)")</f>
        <v>สามชั้นนุ่ม-ถุงใส-5-กก.-(85)</v>
      </c>
      <c r="B486" s="5">
        <f>IFERROR(__xludf.DUMMYFUNCTION("""COMPUTED_VALUE"""),10662.0)</f>
        <v>10662</v>
      </c>
      <c r="C486" s="5" t="str">
        <f>IFERROR(__xludf.DUMMYFUNCTION("""COMPUTED_VALUE"""),"สามชั้น (ถุงใส) นุ่ม-98")</f>
        <v>สามชั้น (ถุงใส) นุ่ม-98</v>
      </c>
      <c r="D486" s="5" t="str">
        <f>IFERROR(__xludf.DUMMYFUNCTION("""COMPUTED_VALUE"""),"กานพู")</f>
        <v>กานพู</v>
      </c>
      <c r="E486" s="5" t="str">
        <f>IFERROR(__xludf.DUMMYFUNCTION("""COMPUTED_VALUE"""),"&lt;p&gt;A&lt;/p&gt;")</f>
        <v>&lt;p&gt;A&lt;/p&gt;</v>
      </c>
      <c r="F486" s="5" t="str">
        <f>IFERROR(__xludf.DUMMYFUNCTION("""COMPUTED_VALUE"""),"N")</f>
        <v>N</v>
      </c>
      <c r="G486" s="5"/>
      <c r="H486" s="5"/>
      <c r="I486" s="5"/>
      <c r="J486" s="5"/>
      <c r="K486" s="5"/>
      <c r="L486" s="5"/>
      <c r="M486" s="5">
        <f>IFERROR(__xludf.DUMMYFUNCTION("""COMPUTED_VALUE"""),405.24)</f>
        <v>405.24</v>
      </c>
      <c r="N486" s="5"/>
      <c r="O486" s="5"/>
      <c r="P486" s="5"/>
      <c r="Q486" s="5" t="str">
        <f>IFERROR(__xludf.DUMMYFUNCTION("""COMPUTED_VALUE"""),"Y")</f>
        <v>Y</v>
      </c>
      <c r="R486" s="5"/>
      <c r="S486" s="5" t="str">
        <f>IFERROR(__xludf.DUMMYFUNCTION("""COMPUTED_VALUE"""),"หจก กานพลู ซีฟู้ดส์")</f>
        <v>หจก กานพลู ซีฟู้ดส์</v>
      </c>
      <c r="T486" s="5">
        <f>IFERROR(__xludf.DUMMYFUNCTION("""COMPUTED_VALUE"""),425.0)</f>
        <v>425</v>
      </c>
      <c r="U486" s="5" t="str">
        <f>IFERROR(__xludf.DUMMYFUNCTION("""COMPUTED_VALUE"""),"Y")</f>
        <v>Y</v>
      </c>
      <c r="V486" s="5">
        <f>IFERROR(__xludf.DUMMYFUNCTION("""COMPUTED_VALUE"""),490.0)</f>
        <v>490</v>
      </c>
      <c r="W486" s="5">
        <f>IFERROR(__xludf.DUMMYFUNCTION("""COMPUTED_VALUE"""),7.0)</f>
        <v>7</v>
      </c>
      <c r="X486" s="5">
        <f>IFERROR(__xludf.DUMMYFUNCTION("""COMPUTED_VALUE"""),10.0)</f>
        <v>10</v>
      </c>
      <c r="Y486" s="5">
        <f>IFERROR(__xludf.DUMMYFUNCTION("""COMPUTED_VALUE"""),17.0)</f>
        <v>17</v>
      </c>
      <c r="Z486" s="5"/>
    </row>
    <row r="487">
      <c r="A487" s="5" t="str">
        <f>IFERROR(__xludf.DUMMYFUNCTION("""COMPUTED_VALUE"""),"ทองสุข-สามชั้นงา-5กก-ถุง")</f>
        <v>ทองสุข-สามชั้นงา-5กก-ถุง</v>
      </c>
      <c r="B487" s="5">
        <f>IFERROR(__xludf.DUMMYFUNCTION("""COMPUTED_VALUE"""),10558.0)</f>
        <v>10558</v>
      </c>
      <c r="C487" s="5" t="str">
        <f>IFERROR(__xludf.DUMMYFUNCTION("""COMPUTED_VALUE"""),"สามชั้น (นุ่ม) AAA 5 กก./ถุง - 110")</f>
        <v>สามชั้น (นุ่ม) AAA 5 กก./ถุง - 110</v>
      </c>
      <c r="D487" s="5" t="str">
        <f>IFERROR(__xludf.DUMMYFUNCTION("""COMPUTED_VALUE"""),"กานพู")</f>
        <v>กานพู</v>
      </c>
      <c r="E487" s="5" t="str">
        <f>IFERROR(__xludf.DUMMYFUNCTION("""COMPUTED_VALUE"""),"&lt;p&gt;A&lt;/p&gt;")</f>
        <v>&lt;p&gt;A&lt;/p&gt;</v>
      </c>
      <c r="F487" s="5" t="str">
        <f>IFERROR(__xludf.DUMMYFUNCTION("""COMPUTED_VALUE"""),"N")</f>
        <v>N</v>
      </c>
      <c r="G487" s="5"/>
      <c r="H487" s="5"/>
      <c r="I487" s="5"/>
      <c r="J487" s="5"/>
      <c r="K487" s="5"/>
      <c r="L487" s="5"/>
      <c r="M487" s="5">
        <f>IFERROR(__xludf.DUMMYFUNCTION("""COMPUTED_VALUE"""),488.38)</f>
        <v>488.38</v>
      </c>
      <c r="N487" s="5">
        <f>IFERROR(__xludf.DUMMYFUNCTION("""COMPUTED_VALUE"""),10558.0)</f>
        <v>10558</v>
      </c>
      <c r="O487" s="5"/>
      <c r="P487" s="5"/>
      <c r="Q487" s="5" t="str">
        <f>IFERROR(__xludf.DUMMYFUNCTION("""COMPUTED_VALUE"""),"Y")</f>
        <v>Y</v>
      </c>
      <c r="R487" s="5"/>
      <c r="S487" s="5" t="str">
        <f>IFERROR(__xludf.DUMMYFUNCTION("""COMPUTED_VALUE"""),"หจก กานพลู ซีฟู้ดส์")</f>
        <v>หจก กานพลู ซีฟู้ดส์</v>
      </c>
      <c r="T487" s="5">
        <f>IFERROR(__xludf.DUMMYFUNCTION("""COMPUTED_VALUE"""),475.0)</f>
        <v>475</v>
      </c>
      <c r="U487" s="5" t="str">
        <f>IFERROR(__xludf.DUMMYFUNCTION("""COMPUTED_VALUE"""),"N")</f>
        <v>N</v>
      </c>
      <c r="V487" s="5">
        <f>IFERROR(__xludf.DUMMYFUNCTION("""COMPUTED_VALUE"""),550.0)</f>
        <v>550</v>
      </c>
      <c r="W487" s="5">
        <f>IFERROR(__xludf.DUMMYFUNCTION("""COMPUTED_VALUE"""),0.0)</f>
        <v>0</v>
      </c>
      <c r="X487" s="5">
        <f>IFERROR(__xludf.DUMMYFUNCTION("""COMPUTED_VALUE"""),32.0)</f>
        <v>32</v>
      </c>
      <c r="Y487" s="5">
        <f>IFERROR(__xludf.DUMMYFUNCTION("""COMPUTED_VALUE"""),55.0)</f>
        <v>55</v>
      </c>
      <c r="Z487" s="5"/>
    </row>
    <row r="488">
      <c r="A488" s="5" t="str">
        <f>IFERROR(__xludf.DUMMYFUNCTION("""COMPUTED_VALUE"""),"สามชั้นหมักงา-2k-(80)")</f>
        <v>สามชั้นหมักงา-2k-(80)</v>
      </c>
      <c r="B488" s="5">
        <f>IFERROR(__xludf.DUMMYFUNCTION("""COMPUTED_VALUE"""),10363.0)</f>
        <v>10363</v>
      </c>
      <c r="C488" s="5" t="str">
        <f>IFERROR(__xludf.DUMMYFUNCTION("""COMPUTED_VALUE"""),"สามชั้น 2k (งา)  -105")</f>
        <v>สามชั้น 2k (งา)  -105</v>
      </c>
      <c r="D488" s="5" t="str">
        <f>IFERROR(__xludf.DUMMYFUNCTION("""COMPUTED_VALUE"""),"วีเจ")</f>
        <v>วีเจ</v>
      </c>
      <c r="E488" s="5" t="str">
        <f>IFERROR(__xludf.DUMMYFUNCTION("""COMPUTED_VALUE"""),"&lt;p&gt;B&lt;/p&gt;")</f>
        <v>&lt;p&gt;B&lt;/p&gt;</v>
      </c>
      <c r="F488" s="5" t="str">
        <f>IFERROR(__xludf.DUMMYFUNCTION("""COMPUTED_VALUE"""),"N")</f>
        <v>N</v>
      </c>
      <c r="G488" s="5"/>
      <c r="H488" s="5"/>
      <c r="I488" s="5"/>
      <c r="J488" s="5"/>
      <c r="K488" s="5"/>
      <c r="L488" s="5"/>
      <c r="M488" s="5">
        <f>IFERROR(__xludf.DUMMYFUNCTION("""COMPUTED_VALUE"""),440.0)</f>
        <v>440</v>
      </c>
      <c r="N488" s="5"/>
      <c r="O488" s="5"/>
      <c r="P488" s="5"/>
      <c r="Q488" s="5" t="str">
        <f>IFERROR(__xludf.DUMMYFUNCTION("""COMPUTED_VALUE"""),"Y")</f>
        <v>Y</v>
      </c>
      <c r="R488" s="5"/>
      <c r="S488" s="5" t="str">
        <f>IFERROR(__xludf.DUMMYFUNCTION("""COMPUTED_VALUE"""),"บจก.วีเจ.กรุ๊ป (หมูวีเจ)")</f>
        <v>บจก.วีเจ.กรุ๊ป (หมูวีเจ)</v>
      </c>
      <c r="T488" s="5">
        <f>IFERROR(__xludf.DUMMYFUNCTION("""COMPUTED_VALUE"""),440.0)</f>
        <v>440</v>
      </c>
      <c r="U488" s="5" t="str">
        <f>IFERROR(__xludf.DUMMYFUNCTION("""COMPUTED_VALUE"""),"Y")</f>
        <v>Y</v>
      </c>
      <c r="V488" s="5">
        <f>IFERROR(__xludf.DUMMYFUNCTION("""COMPUTED_VALUE"""),525.0)</f>
        <v>525</v>
      </c>
      <c r="W488" s="5">
        <f>IFERROR(__xludf.DUMMYFUNCTION("""COMPUTED_VALUE"""),16.0)</f>
        <v>16</v>
      </c>
      <c r="X488" s="5">
        <f>IFERROR(__xludf.DUMMYFUNCTION("""COMPUTED_VALUE"""),5.0)</f>
        <v>5</v>
      </c>
      <c r="Y488" s="5">
        <f>IFERROR(__xludf.DUMMYFUNCTION("""COMPUTED_VALUE"""),8.0)</f>
        <v>8</v>
      </c>
      <c r="Z488" s="5"/>
    </row>
    <row r="489">
      <c r="A489" s="5" t="str">
        <f>IFERROR(__xludf.DUMMYFUNCTION("""COMPUTED_VALUE"""),"สามชั้นหมักนุ่ม-2k")</f>
        <v>สามชั้นหมักนุ่ม-2k</v>
      </c>
      <c r="B489" s="5">
        <f>IFERROR(__xludf.DUMMYFUNCTION("""COMPUTED_VALUE"""),10671.0)</f>
        <v>10671</v>
      </c>
      <c r="C489" s="5" t="str">
        <f>IFERROR(__xludf.DUMMYFUNCTION("""COMPUTED_VALUE"""),"สามชั้น 2k (นุ่ม) - 105")</f>
        <v>สามชั้น 2k (นุ่ม) - 105</v>
      </c>
      <c r="D489" s="5" t="str">
        <f>IFERROR(__xludf.DUMMYFUNCTION("""COMPUTED_VALUE"""),"วีเจ")</f>
        <v>วีเจ</v>
      </c>
      <c r="E489" s="5" t="str">
        <f>IFERROR(__xludf.DUMMYFUNCTION("""COMPUTED_VALUE"""),"&lt;p&gt;A&lt;/p&gt;")</f>
        <v>&lt;p&gt;A&lt;/p&gt;</v>
      </c>
      <c r="F489" s="5" t="str">
        <f>IFERROR(__xludf.DUMMYFUNCTION("""COMPUTED_VALUE"""),"N")</f>
        <v>N</v>
      </c>
      <c r="G489" s="5"/>
      <c r="H489" s="5"/>
      <c r="I489" s="5"/>
      <c r="J489" s="5"/>
      <c r="K489" s="5"/>
      <c r="L489" s="5"/>
      <c r="M489" s="5">
        <f>IFERROR(__xludf.DUMMYFUNCTION("""COMPUTED_VALUE"""),447.41)</f>
        <v>447.41</v>
      </c>
      <c r="N489" s="5"/>
      <c r="O489" s="5"/>
      <c r="P489" s="5"/>
      <c r="Q489" s="5" t="str">
        <f>IFERROR(__xludf.DUMMYFUNCTION("""COMPUTED_VALUE"""),"Y")</f>
        <v>Y</v>
      </c>
      <c r="R489" s="5"/>
      <c r="S489" s="5" t="str">
        <f>IFERROR(__xludf.DUMMYFUNCTION("""COMPUTED_VALUE"""),"บจก.วีเจ.กรุ๊ป (หมูวีเจ)")</f>
        <v>บจก.วีเจ.กรุ๊ป (หมูวีเจ)</v>
      </c>
      <c r="T489" s="5">
        <f>IFERROR(__xludf.DUMMYFUNCTION("""COMPUTED_VALUE"""),450.0)</f>
        <v>450</v>
      </c>
      <c r="U489" s="5" t="str">
        <f>IFERROR(__xludf.DUMMYFUNCTION("""COMPUTED_VALUE"""),"Y")</f>
        <v>Y</v>
      </c>
      <c r="V489" s="5">
        <f>IFERROR(__xludf.DUMMYFUNCTION("""COMPUTED_VALUE"""),525.0)</f>
        <v>525</v>
      </c>
      <c r="W489" s="5">
        <f>IFERROR(__xludf.DUMMYFUNCTION("""COMPUTED_VALUE"""),27.0)</f>
        <v>27</v>
      </c>
      <c r="X489" s="5">
        <f>IFERROR(__xludf.DUMMYFUNCTION("""COMPUTED_VALUE"""),11.0)</f>
        <v>11</v>
      </c>
      <c r="Y489" s="5">
        <f>IFERROR(__xludf.DUMMYFUNCTION("""COMPUTED_VALUE"""),17.0)</f>
        <v>17</v>
      </c>
      <c r="Z489" s="5"/>
    </row>
    <row r="490">
      <c r="A490" s="5" t="str">
        <f>IFERROR(__xludf.DUMMYFUNCTION("""COMPUTED_VALUE"""),"สามชั้นหมักพริก2k-(80)‎")</f>
        <v>สามชั้นหมักพริก2k-(80)‎</v>
      </c>
      <c r="B490" s="5">
        <f>IFERROR(__xludf.DUMMYFUNCTION("""COMPUTED_VALUE"""),10679.0)</f>
        <v>10679</v>
      </c>
      <c r="C490" s="5" t="str">
        <f>IFERROR(__xludf.DUMMYFUNCTION("""COMPUTED_VALUE"""),"สามชั้น 2k (พริก)  -105")</f>
        <v>สามชั้น 2k (พริก)  -105</v>
      </c>
      <c r="D490" s="5" t="str">
        <f>IFERROR(__xludf.DUMMYFUNCTION("""COMPUTED_VALUE"""),"วีเจ")</f>
        <v>วีเจ</v>
      </c>
      <c r="E490" s="5" t="str">
        <f>IFERROR(__xludf.DUMMYFUNCTION("""COMPUTED_VALUE"""),"&lt;p&gt;B&lt;/p&gt;")</f>
        <v>&lt;p&gt;B&lt;/p&gt;</v>
      </c>
      <c r="F490" s="5" t="str">
        <f>IFERROR(__xludf.DUMMYFUNCTION("""COMPUTED_VALUE"""),"N")</f>
        <v>N</v>
      </c>
      <c r="G490" s="5"/>
      <c r="H490" s="5"/>
      <c r="I490" s="5"/>
      <c r="J490" s="5"/>
      <c r="K490" s="5"/>
      <c r="L490" s="5"/>
      <c r="M490" s="5">
        <f>IFERROR(__xludf.DUMMYFUNCTION("""COMPUTED_VALUE"""),446.64)</f>
        <v>446.64</v>
      </c>
      <c r="N490" s="5"/>
      <c r="O490" s="5"/>
      <c r="P490" s="5"/>
      <c r="Q490" s="5" t="str">
        <f>IFERROR(__xludf.DUMMYFUNCTION("""COMPUTED_VALUE"""),"Y")</f>
        <v>Y</v>
      </c>
      <c r="R490" s="5"/>
      <c r="S490" s="5" t="str">
        <f>IFERROR(__xludf.DUMMYFUNCTION("""COMPUTED_VALUE"""),"บจก.วีเจ.กรุ๊ป (หมูวีเจ)")</f>
        <v>บจก.วีเจ.กรุ๊ป (หมูวีเจ)</v>
      </c>
      <c r="T490" s="5">
        <f>IFERROR(__xludf.DUMMYFUNCTION("""COMPUTED_VALUE"""),450.0)</f>
        <v>450</v>
      </c>
      <c r="U490" s="5" t="str">
        <f>IFERROR(__xludf.DUMMYFUNCTION("""COMPUTED_VALUE"""),"N")</f>
        <v>N</v>
      </c>
      <c r="V490" s="5">
        <f>IFERROR(__xludf.DUMMYFUNCTION("""COMPUTED_VALUE"""),525.0)</f>
        <v>525</v>
      </c>
      <c r="W490" s="5">
        <f>IFERROR(__xludf.DUMMYFUNCTION("""COMPUTED_VALUE"""),0.0)</f>
        <v>0</v>
      </c>
      <c r="X490" s="5">
        <f>IFERROR(__xludf.DUMMYFUNCTION("""COMPUTED_VALUE"""),4.0)</f>
        <v>4</v>
      </c>
      <c r="Y490" s="5">
        <f>IFERROR(__xludf.DUMMYFUNCTION("""COMPUTED_VALUE"""),6.0)</f>
        <v>6</v>
      </c>
      <c r="Z490" s="5"/>
    </row>
    <row r="491">
      <c r="A491" s="5" t="str">
        <f>IFERROR(__xludf.DUMMYFUNCTION("""COMPUTED_VALUE"""),"สามชั้นนุ่ม-(พิเศษ)-4k(130)")</f>
        <v>สามชั้นนุ่ม-(พิเศษ)-4k(130)</v>
      </c>
      <c r="B491" s="5">
        <f>IFERROR(__xludf.DUMMYFUNCTION("""COMPUTED_VALUE"""),10464.0)</f>
        <v>10464</v>
      </c>
      <c r="C491" s="5" t="str">
        <f>IFERROR(__xludf.DUMMYFUNCTION("""COMPUTED_VALUE"""),"สามชั้น 4k นุ่ม  (พิเศษ)-153")</f>
        <v>สามชั้น 4k นุ่ม  (พิเศษ)-153</v>
      </c>
      <c r="D491" s="5" t="str">
        <f>IFERROR(__xludf.DUMMYFUNCTION("""COMPUTED_VALUE"""),"**ร้านค้า ราคาพิเศษ")</f>
        <v>**ร้านค้า ราคาพิเศษ</v>
      </c>
      <c r="E491" s="5"/>
      <c r="F491" s="5" t="str">
        <f>IFERROR(__xludf.DUMMYFUNCTION("""COMPUTED_VALUE"""),"N")</f>
        <v>N</v>
      </c>
      <c r="G491" s="5"/>
      <c r="H491" s="5"/>
      <c r="I491" s="5"/>
      <c r="J491" s="5"/>
      <c r="K491" s="5"/>
      <c r="L491" s="5"/>
      <c r="M491" s="5"/>
      <c r="N491" s="5"/>
      <c r="O491" s="5">
        <f>IFERROR(__xludf.DUMMYFUNCTION("""COMPUTED_VALUE"""),10676.0)</f>
        <v>10676</v>
      </c>
      <c r="P491" s="5">
        <f>IFERROR(__xludf.DUMMYFUNCTION("""COMPUTED_VALUE"""),1.0)</f>
        <v>1</v>
      </c>
      <c r="Q491" s="5" t="str">
        <f>IFERROR(__xludf.DUMMYFUNCTION("""COMPUTED_VALUE"""),"N")</f>
        <v>N</v>
      </c>
      <c r="R491" s="5" t="str">
        <f>IFERROR(__xludf.DUMMYFUNCTION("""COMPUTED_VALUE"""),"N")</f>
        <v>N</v>
      </c>
      <c r="S491" s="5"/>
      <c r="T491" s="5"/>
      <c r="U491" s="5" t="str">
        <f>IFERROR(__xludf.DUMMYFUNCTION("""COMPUTED_VALUE"""),"N")</f>
        <v>N</v>
      </c>
      <c r="V491" s="5">
        <f>IFERROR(__xludf.DUMMYFUNCTION("""COMPUTED_VALUE"""),765.0)</f>
        <v>765</v>
      </c>
      <c r="W491" s="5"/>
      <c r="X491" s="5"/>
      <c r="Y491" s="5"/>
      <c r="Z491" s="5"/>
    </row>
    <row r="492">
      <c r="A492" s="5" t="str">
        <f>IFERROR(__xludf.DUMMYFUNCTION("""COMPUTED_VALUE"""),"สามชั้นหมักนุ่ม-4k")</f>
        <v>สามชั้นหมักนุ่ม-4k</v>
      </c>
      <c r="B492" s="5">
        <f>IFERROR(__xludf.DUMMYFUNCTION("""COMPUTED_VALUE"""),10676.0)</f>
        <v>10676</v>
      </c>
      <c r="C492" s="5" t="str">
        <f>IFERROR(__xludf.DUMMYFUNCTION("""COMPUTED_VALUE"""),"สามชั้น 4k นุ่ม - 153")</f>
        <v>สามชั้น 4k นุ่ม - 153</v>
      </c>
      <c r="D492" s="5" t="str">
        <f>IFERROR(__xludf.DUMMYFUNCTION("""COMPUTED_VALUE"""),"**หมู ถุง5 กก")</f>
        <v>**หมู ถุง5 กก</v>
      </c>
      <c r="E492" s="5" t="str">
        <f>IFERROR(__xludf.DUMMYFUNCTION("""COMPUTED_VALUE"""),"&lt;p&gt;A&lt;/p&gt;")</f>
        <v>&lt;p&gt;A&lt;/p&gt;</v>
      </c>
      <c r="F492" s="5" t="str">
        <f>IFERROR(__xludf.DUMMYFUNCTION("""COMPUTED_VALUE"""),"N")</f>
        <v>N</v>
      </c>
      <c r="G492" s="5"/>
      <c r="H492" s="5"/>
      <c r="I492" s="5"/>
      <c r="J492" s="5"/>
      <c r="K492" s="5"/>
      <c r="L492" s="5"/>
      <c r="M492" s="5">
        <f>IFERROR(__xludf.DUMMYFUNCTION("""COMPUTED_VALUE"""),725.0)</f>
        <v>725</v>
      </c>
      <c r="N492" s="5"/>
      <c r="O492" s="5"/>
      <c r="P492" s="5"/>
      <c r="Q492" s="5" t="str">
        <f>IFERROR(__xludf.DUMMYFUNCTION("""COMPUTED_VALUE"""),"Y")</f>
        <v>Y</v>
      </c>
      <c r="R492" s="5"/>
      <c r="S492" s="5" t="str">
        <f>IFERROR(__xludf.DUMMYFUNCTION("""COMPUTED_VALUE"""),"อินเตอร์ฟู้ด")</f>
        <v>อินเตอร์ฟู้ด</v>
      </c>
      <c r="T492" s="5">
        <f>IFERROR(__xludf.DUMMYFUNCTION("""COMPUTED_VALUE"""),725.0)</f>
        <v>725</v>
      </c>
      <c r="U492" s="5" t="str">
        <f>IFERROR(__xludf.DUMMYFUNCTION("""COMPUTED_VALUE"""),"Y")</f>
        <v>Y</v>
      </c>
      <c r="V492" s="5">
        <f>IFERROR(__xludf.DUMMYFUNCTION("""COMPUTED_VALUE"""),765.0)</f>
        <v>765</v>
      </c>
      <c r="W492" s="5">
        <f>IFERROR(__xludf.DUMMYFUNCTION("""COMPUTED_VALUE"""),47.0)</f>
        <v>47</v>
      </c>
      <c r="X492" s="5">
        <f>IFERROR(__xludf.DUMMYFUNCTION("""COMPUTED_VALUE"""),20.0)</f>
        <v>20</v>
      </c>
      <c r="Y492" s="5">
        <f>IFERROR(__xludf.DUMMYFUNCTION("""COMPUTED_VALUE"""),30.0)</f>
        <v>30</v>
      </c>
      <c r="Z492" s="5"/>
    </row>
    <row r="493">
      <c r="A493" s="5" t="str">
        <f>IFERROR(__xludf.DUMMYFUNCTION("""COMPUTED_VALUE"""),"สามชั้นหมัก-9t-ถุง-5-กก.(138)")</f>
        <v>สามชั้นหมัก-9t-ถุง-5-กก.(138)</v>
      </c>
      <c r="B493" s="5">
        <f>IFERROR(__xludf.DUMMYFUNCTION("""COMPUTED_VALUE"""),10016.0)</f>
        <v>10016</v>
      </c>
      <c r="C493" s="5" t="str">
        <f>IFERROR(__xludf.DUMMYFUNCTION("""COMPUTED_VALUE"""),"สามชั้น 4k พริกไทย -153")</f>
        <v>สามชั้น 4k พริกไทย -153</v>
      </c>
      <c r="D493" s="5" t="str">
        <f>IFERROR(__xludf.DUMMYFUNCTION("""COMPUTED_VALUE"""),"**หมู ถุง5 กก")</f>
        <v>**หมู ถุง5 กก</v>
      </c>
      <c r="E493" s="5" t="str">
        <f>IFERROR(__xludf.DUMMYFUNCTION("""COMPUTED_VALUE"""),"&lt;p&gt;B&lt;/p&gt;")</f>
        <v>&lt;p&gt;B&lt;/p&gt;</v>
      </c>
      <c r="F493" s="5" t="str">
        <f>IFERROR(__xludf.DUMMYFUNCTION("""COMPUTED_VALUE"""),"N")</f>
        <v>N</v>
      </c>
      <c r="G493" s="5"/>
      <c r="H493" s="5"/>
      <c r="I493" s="5"/>
      <c r="J493" s="5"/>
      <c r="K493" s="5"/>
      <c r="L493" s="5"/>
      <c r="M493" s="5">
        <f>IFERROR(__xludf.DUMMYFUNCTION("""COMPUTED_VALUE"""),724.19)</f>
        <v>724.19</v>
      </c>
      <c r="N493" s="5"/>
      <c r="O493" s="5"/>
      <c r="P493" s="5"/>
      <c r="Q493" s="5" t="str">
        <f>IFERROR(__xludf.DUMMYFUNCTION("""COMPUTED_VALUE"""),"Y")</f>
        <v>Y</v>
      </c>
      <c r="R493" s="5"/>
      <c r="S493" s="5" t="str">
        <f>IFERROR(__xludf.DUMMYFUNCTION("""COMPUTED_VALUE"""),"อินเตอร์ฟู้ด")</f>
        <v>อินเตอร์ฟู้ด</v>
      </c>
      <c r="T493" s="5">
        <f>IFERROR(__xludf.DUMMYFUNCTION("""COMPUTED_VALUE"""),725.0)</f>
        <v>725</v>
      </c>
      <c r="U493" s="5" t="str">
        <f>IFERROR(__xludf.DUMMYFUNCTION("""COMPUTED_VALUE"""),"Y")</f>
        <v>Y</v>
      </c>
      <c r="V493" s="5">
        <f>IFERROR(__xludf.DUMMYFUNCTION("""COMPUTED_VALUE"""),765.0)</f>
        <v>765</v>
      </c>
      <c r="W493" s="5">
        <f>IFERROR(__xludf.DUMMYFUNCTION("""COMPUTED_VALUE"""),40.0)</f>
        <v>40</v>
      </c>
      <c r="X493" s="5">
        <f>IFERROR(__xludf.DUMMYFUNCTION("""COMPUTED_VALUE"""),3.0)</f>
        <v>3</v>
      </c>
      <c r="Y493" s="5">
        <f>IFERROR(__xludf.DUMMYFUNCTION("""COMPUTED_VALUE"""),4.0)</f>
        <v>4</v>
      </c>
      <c r="Z493" s="5"/>
    </row>
    <row r="494">
      <c r="A494" s="5" t="str">
        <f>IFERROR(__xludf.DUMMYFUNCTION("""COMPUTED_VALUE"""),"สามชั้นพริกไทย-4k(พิเศษ)-130)")</f>
        <v>สามชั้นพริกไทย-4k(พิเศษ)-130)</v>
      </c>
      <c r="B494" s="5">
        <f>IFERROR(__xludf.DUMMYFUNCTION("""COMPUTED_VALUE"""),10535.0)</f>
        <v>10535</v>
      </c>
      <c r="C494" s="5" t="str">
        <f>IFERROR(__xludf.DUMMYFUNCTION("""COMPUTED_VALUE"""),"สามชั้น 4k พริกไทย (พิเศษ)-153")</f>
        <v>สามชั้น 4k พริกไทย (พิเศษ)-153</v>
      </c>
      <c r="D494" s="5" t="str">
        <f>IFERROR(__xludf.DUMMYFUNCTION("""COMPUTED_VALUE"""),"**ร้านค้า ราคาพิเศษ")</f>
        <v>**ร้านค้า ราคาพิเศษ</v>
      </c>
      <c r="E494" s="5"/>
      <c r="F494" s="5" t="str">
        <f>IFERROR(__xludf.DUMMYFUNCTION("""COMPUTED_VALUE"""),"N")</f>
        <v>N</v>
      </c>
      <c r="G494" s="5"/>
      <c r="H494" s="5"/>
      <c r="I494" s="5"/>
      <c r="J494" s="5"/>
      <c r="K494" s="5"/>
      <c r="L494" s="5"/>
      <c r="M494" s="5"/>
      <c r="N494" s="5"/>
      <c r="O494" s="5">
        <f>IFERROR(__xludf.DUMMYFUNCTION("""COMPUTED_VALUE"""),10016.0)</f>
        <v>10016</v>
      </c>
      <c r="P494" s="5">
        <f>IFERROR(__xludf.DUMMYFUNCTION("""COMPUTED_VALUE"""),1.0)</f>
        <v>1</v>
      </c>
      <c r="Q494" s="5" t="str">
        <f>IFERROR(__xludf.DUMMYFUNCTION("""COMPUTED_VALUE"""),"N")</f>
        <v>N</v>
      </c>
      <c r="R494" s="5" t="str">
        <f>IFERROR(__xludf.DUMMYFUNCTION("""COMPUTED_VALUE"""),"N")</f>
        <v>N</v>
      </c>
      <c r="S494" s="5"/>
      <c r="T494" s="5"/>
      <c r="U494" s="5" t="str">
        <f>IFERROR(__xludf.DUMMYFUNCTION("""COMPUTED_VALUE"""),"N")</f>
        <v>N</v>
      </c>
      <c r="V494" s="5">
        <f>IFERROR(__xludf.DUMMYFUNCTION("""COMPUTED_VALUE"""),765.0)</f>
        <v>765</v>
      </c>
      <c r="W494" s="5"/>
      <c r="X494" s="5"/>
      <c r="Y494" s="5"/>
      <c r="Z494" s="5"/>
    </row>
    <row r="495">
      <c r="A495" s="5" t="str">
        <f>IFERROR(__xludf.DUMMYFUNCTION("""COMPUTED_VALUE"""),"สามชั้นนุ่มa-r100(113)")</f>
        <v>สามชั้นนุ่มa-r100(113)</v>
      </c>
      <c r="B495" s="5">
        <f>IFERROR(__xludf.DUMMYFUNCTION("""COMPUTED_VALUE"""),10285.0)</f>
        <v>10285</v>
      </c>
      <c r="C495" s="5" t="str">
        <f>IFERROR(__xludf.DUMMYFUNCTION("""COMPUTED_VALUE"""),"สามชั้น A (งา)  ทองสุข R100-113")</f>
        <v>สามชั้น A (งา)  ทองสุข R100-113</v>
      </c>
      <c r="D495" s="5" t="str">
        <f>IFERROR(__xludf.DUMMYFUNCTION("""COMPUTED_VALUE"""),"**ร้านค้า ราคาพิเศษ")</f>
        <v>**ร้านค้า ราคาพิเศษ</v>
      </c>
      <c r="E495" s="5"/>
      <c r="F495" s="5" t="str">
        <f>IFERROR(__xludf.DUMMYFUNCTION("""COMPUTED_VALUE"""),"N")</f>
        <v>N</v>
      </c>
      <c r="G495" s="5"/>
      <c r="H495" s="5"/>
      <c r="I495" s="5"/>
      <c r="J495" s="5"/>
      <c r="K495" s="5"/>
      <c r="L495" s="5"/>
      <c r="M495" s="5"/>
      <c r="N495" s="5"/>
      <c r="O495" s="5">
        <f>IFERROR(__xludf.DUMMYFUNCTION("""COMPUTED_VALUE"""),10506.0)</f>
        <v>10506</v>
      </c>
      <c r="P495" s="5">
        <f>IFERROR(__xludf.DUMMYFUNCTION("""COMPUTED_VALUE"""),1.0)</f>
        <v>1</v>
      </c>
      <c r="Q495" s="5" t="str">
        <f>IFERROR(__xludf.DUMMYFUNCTION("""COMPUTED_VALUE"""),"N")</f>
        <v>N</v>
      </c>
      <c r="R495" s="5" t="str">
        <f>IFERROR(__xludf.DUMMYFUNCTION("""COMPUTED_VALUE"""),"N")</f>
        <v>N</v>
      </c>
      <c r="S495" s="5"/>
      <c r="T495" s="5"/>
      <c r="U495" s="5" t="str">
        <f>IFERROR(__xludf.DUMMYFUNCTION("""COMPUTED_VALUE"""),"N")</f>
        <v>N</v>
      </c>
      <c r="V495" s="5">
        <f>IFERROR(__xludf.DUMMYFUNCTION("""COMPUTED_VALUE"""),565.0)</f>
        <v>565</v>
      </c>
      <c r="W495" s="5"/>
      <c r="X495" s="5"/>
      <c r="Y495" s="5"/>
      <c r="Z495" s="5"/>
    </row>
    <row r="496">
      <c r="A496" s="5" t="str">
        <f>IFERROR(__xludf.DUMMYFUNCTION("""COMPUTED_VALUE"""),"สามชั้นงา-พรีเมี่ยมทองสุข--(ถุง)")</f>
        <v>สามชั้นงา-พรีเมี่ยมทองสุข--(ถุง)</v>
      </c>
      <c r="B496" s="5">
        <f>IFERROR(__xludf.DUMMYFUNCTION("""COMPUTED_VALUE"""),10506.0)</f>
        <v>10506</v>
      </c>
      <c r="C496" s="5" t="str">
        <f>IFERROR(__xludf.DUMMYFUNCTION("""COMPUTED_VALUE"""),"สามชั้น A (งา) ทองสุข -118")</f>
        <v>สามชั้น A (งา) ทองสุข -118</v>
      </c>
      <c r="D496" s="5" t="str">
        <f>IFERROR(__xludf.DUMMYFUNCTION("""COMPUTED_VALUE"""),"**หมู ถุง5 กก")</f>
        <v>**หมู ถุง5 กก</v>
      </c>
      <c r="E496" s="5"/>
      <c r="F496" s="5" t="str">
        <f>IFERROR(__xludf.DUMMYFUNCTION("""COMPUTED_VALUE"""),"N")</f>
        <v>N</v>
      </c>
      <c r="G496" s="5"/>
      <c r="H496" s="5"/>
      <c r="I496" s="5"/>
      <c r="J496" s="5"/>
      <c r="K496" s="5"/>
      <c r="L496" s="5"/>
      <c r="M496" s="5">
        <f>IFERROR(__xludf.DUMMYFUNCTION("""COMPUTED_VALUE"""),550.0)</f>
        <v>550</v>
      </c>
      <c r="N496" s="5"/>
      <c r="O496" s="5"/>
      <c r="P496" s="5"/>
      <c r="Q496" s="5" t="str">
        <f>IFERROR(__xludf.DUMMYFUNCTION("""COMPUTED_VALUE"""),"Y")</f>
        <v>Y</v>
      </c>
      <c r="R496" s="5"/>
      <c r="S496" s="5" t="str">
        <f>IFERROR(__xludf.DUMMYFUNCTION("""COMPUTED_VALUE"""),"อินเตอร์ฟู้ด")</f>
        <v>อินเตอร์ฟู้ด</v>
      </c>
      <c r="T496" s="5">
        <f>IFERROR(__xludf.DUMMYFUNCTION("""COMPUTED_VALUE"""),550.0)</f>
        <v>550</v>
      </c>
      <c r="U496" s="5" t="str">
        <f>IFERROR(__xludf.DUMMYFUNCTION("""COMPUTED_VALUE"""),"Y")</f>
        <v>Y</v>
      </c>
      <c r="V496" s="5">
        <f>IFERROR(__xludf.DUMMYFUNCTION("""COMPUTED_VALUE"""),590.0)</f>
        <v>590</v>
      </c>
      <c r="W496" s="5">
        <f>IFERROR(__xludf.DUMMYFUNCTION("""COMPUTED_VALUE"""),0.0)</f>
        <v>0</v>
      </c>
      <c r="X496" s="5"/>
      <c r="Y496" s="5"/>
      <c r="Z496" s="5"/>
    </row>
    <row r="497">
      <c r="A497" s="5" t="str">
        <f>IFERROR(__xludf.DUMMYFUNCTION("""COMPUTED_VALUE"""),"สามชั้นนุ่มa-ทองสุข-(พิเศษ)r100-113")</f>
        <v>สามชั้นนุ่มa-ทองสุข-(พิเศษ)r100-113</v>
      </c>
      <c r="B497" s="5">
        <f>IFERROR(__xludf.DUMMYFUNCTION("""COMPUTED_VALUE"""),10358.0)</f>
        <v>10358</v>
      </c>
      <c r="C497" s="5" t="str">
        <f>IFERROR(__xludf.DUMMYFUNCTION("""COMPUTED_VALUE"""),"สามชั้น A (นุ่ม)  ทองสุข R100-113")</f>
        <v>สามชั้น A (นุ่ม)  ทองสุข R100-113</v>
      </c>
      <c r="D497" s="5" t="str">
        <f>IFERROR(__xludf.DUMMYFUNCTION("""COMPUTED_VALUE"""),"**ร้านค้า ราคาพิเศษ")</f>
        <v>**ร้านค้า ราคาพิเศษ</v>
      </c>
      <c r="E497" s="5"/>
      <c r="F497" s="5" t="str">
        <f>IFERROR(__xludf.DUMMYFUNCTION("""COMPUTED_VALUE"""),"N")</f>
        <v>N</v>
      </c>
      <c r="G497" s="5"/>
      <c r="H497" s="5"/>
      <c r="I497" s="5"/>
      <c r="J497" s="5"/>
      <c r="K497" s="5"/>
      <c r="L497" s="5"/>
      <c r="M497" s="5"/>
      <c r="N497" s="5"/>
      <c r="O497" s="5">
        <f>IFERROR(__xludf.DUMMYFUNCTION("""COMPUTED_VALUE"""),10263.0)</f>
        <v>10263</v>
      </c>
      <c r="P497" s="5">
        <f>IFERROR(__xludf.DUMMYFUNCTION("""COMPUTED_VALUE"""),1.0)</f>
        <v>1</v>
      </c>
      <c r="Q497" s="5" t="str">
        <f>IFERROR(__xludf.DUMMYFUNCTION("""COMPUTED_VALUE"""),"N")</f>
        <v>N</v>
      </c>
      <c r="R497" s="5" t="str">
        <f>IFERROR(__xludf.DUMMYFUNCTION("""COMPUTED_VALUE"""),"N")</f>
        <v>N</v>
      </c>
      <c r="S497" s="5"/>
      <c r="T497" s="5"/>
      <c r="U497" s="5" t="str">
        <f>IFERROR(__xludf.DUMMYFUNCTION("""COMPUTED_VALUE"""),"N")</f>
        <v>N</v>
      </c>
      <c r="V497" s="5">
        <f>IFERROR(__xludf.DUMMYFUNCTION("""COMPUTED_VALUE"""),565.0)</f>
        <v>565</v>
      </c>
      <c r="W497" s="5"/>
      <c r="X497" s="5"/>
      <c r="Y497" s="5"/>
      <c r="Z497" s="5"/>
    </row>
    <row r="498">
      <c r="A498" s="5" t="str">
        <f>IFERROR(__xludf.DUMMYFUNCTION("""COMPUTED_VALUE"""),"สามชั้น(นุ่ม)-aทองสุข-ถุง5kg-(118)")</f>
        <v>สามชั้น(นุ่ม)-aทองสุข-ถุง5kg-(118)</v>
      </c>
      <c r="B498" s="5">
        <f>IFERROR(__xludf.DUMMYFUNCTION("""COMPUTED_VALUE"""),10263.0)</f>
        <v>10263</v>
      </c>
      <c r="C498" s="5" t="str">
        <f>IFERROR(__xludf.DUMMYFUNCTION("""COMPUTED_VALUE"""),"สามชั้น A (นุ่ม) ทองสุข  -118")</f>
        <v>สามชั้น A (นุ่ม) ทองสุข  -118</v>
      </c>
      <c r="D498" s="5" t="str">
        <f>IFERROR(__xludf.DUMMYFUNCTION("""COMPUTED_VALUE"""),"**หมู ถุง5 กก")</f>
        <v>**หมู ถุง5 กก</v>
      </c>
      <c r="E498" s="5"/>
      <c r="F498" s="5" t="str">
        <f>IFERROR(__xludf.DUMMYFUNCTION("""COMPUTED_VALUE"""),"N")</f>
        <v>N</v>
      </c>
      <c r="G498" s="5"/>
      <c r="H498" s="5"/>
      <c r="I498" s="5"/>
      <c r="J498" s="5"/>
      <c r="K498" s="5"/>
      <c r="L498" s="5"/>
      <c r="M498" s="5">
        <f>IFERROR(__xludf.DUMMYFUNCTION("""COMPUTED_VALUE"""),550.0)</f>
        <v>550</v>
      </c>
      <c r="N498" s="5"/>
      <c r="O498" s="5"/>
      <c r="P498" s="5"/>
      <c r="Q498" s="5" t="str">
        <f>IFERROR(__xludf.DUMMYFUNCTION("""COMPUTED_VALUE"""),"Y")</f>
        <v>Y</v>
      </c>
      <c r="R498" s="5"/>
      <c r="S498" s="5" t="str">
        <f>IFERROR(__xludf.DUMMYFUNCTION("""COMPUTED_VALUE"""),"อินเตอร์ฟู้ด")</f>
        <v>อินเตอร์ฟู้ด</v>
      </c>
      <c r="T498" s="5">
        <f>IFERROR(__xludf.DUMMYFUNCTION("""COMPUTED_VALUE"""),550.0)</f>
        <v>550</v>
      </c>
      <c r="U498" s="5" t="str">
        <f>IFERROR(__xludf.DUMMYFUNCTION("""COMPUTED_VALUE"""),"Y")</f>
        <v>Y</v>
      </c>
      <c r="V498" s="5">
        <f>IFERROR(__xludf.DUMMYFUNCTION("""COMPUTED_VALUE"""),590.0)</f>
        <v>590</v>
      </c>
      <c r="W498" s="5">
        <f>IFERROR(__xludf.DUMMYFUNCTION("""COMPUTED_VALUE"""),54.0)</f>
        <v>54</v>
      </c>
      <c r="X498" s="5"/>
      <c r="Y498" s="5"/>
      <c r="Z498" s="5"/>
    </row>
    <row r="499">
      <c r="A499" s="5" t="str">
        <f>IFERROR(__xludf.DUMMYFUNCTION("""COMPUTED_VALUE"""),"สามชั้นพริกไทยa-ทองสุข-ถุง5-กก.(110)")</f>
        <v>สามชั้นพริกไทยa-ทองสุข-ถุง5-กก.(110)</v>
      </c>
      <c r="B499" s="5">
        <f>IFERROR(__xludf.DUMMYFUNCTION("""COMPUTED_VALUE"""),10639.0)</f>
        <v>10639</v>
      </c>
      <c r="C499" s="5" t="str">
        <f>IFERROR(__xludf.DUMMYFUNCTION("""COMPUTED_VALUE"""),"สามชั้น A (พริก)  ทองสุข -118")</f>
        <v>สามชั้น A (พริก)  ทองสุข -118</v>
      </c>
      <c r="D499" s="5" t="str">
        <f>IFERROR(__xludf.DUMMYFUNCTION("""COMPUTED_VALUE"""),"**หมู ถุง5 กก")</f>
        <v>**หมู ถุง5 กก</v>
      </c>
      <c r="E499" s="5" t="str">
        <f>IFERROR(__xludf.DUMMYFUNCTION("""COMPUTED_VALUE"""),"&lt;p&gt;B&lt;/p&gt;")</f>
        <v>&lt;p&gt;B&lt;/p&gt;</v>
      </c>
      <c r="F499" s="5" t="str">
        <f>IFERROR(__xludf.DUMMYFUNCTION("""COMPUTED_VALUE"""),"N")</f>
        <v>N</v>
      </c>
      <c r="G499" s="5"/>
      <c r="H499" s="5"/>
      <c r="I499" s="5"/>
      <c r="J499" s="5"/>
      <c r="K499" s="5"/>
      <c r="L499" s="5"/>
      <c r="M499" s="5">
        <f>IFERROR(__xludf.DUMMYFUNCTION("""COMPUTED_VALUE"""),549.94)</f>
        <v>549.94</v>
      </c>
      <c r="N499" s="5"/>
      <c r="O499" s="5"/>
      <c r="P499" s="5"/>
      <c r="Q499" s="5" t="str">
        <f>IFERROR(__xludf.DUMMYFUNCTION("""COMPUTED_VALUE"""),"Y")</f>
        <v>Y</v>
      </c>
      <c r="R499" s="5"/>
      <c r="S499" s="5" t="str">
        <f>IFERROR(__xludf.DUMMYFUNCTION("""COMPUTED_VALUE"""),"อินเตอร์ฟู้ด")</f>
        <v>อินเตอร์ฟู้ด</v>
      </c>
      <c r="T499" s="5">
        <f>IFERROR(__xludf.DUMMYFUNCTION("""COMPUTED_VALUE"""),550.0)</f>
        <v>550</v>
      </c>
      <c r="U499" s="5" t="str">
        <f>IFERROR(__xludf.DUMMYFUNCTION("""COMPUTED_VALUE"""),"Y")</f>
        <v>Y</v>
      </c>
      <c r="V499" s="5">
        <f>IFERROR(__xludf.DUMMYFUNCTION("""COMPUTED_VALUE"""),590.0)</f>
        <v>590</v>
      </c>
      <c r="W499" s="5">
        <f>IFERROR(__xludf.DUMMYFUNCTION("""COMPUTED_VALUE"""),26.0)</f>
        <v>26</v>
      </c>
      <c r="X499" s="5">
        <f>IFERROR(__xludf.DUMMYFUNCTION("""COMPUTED_VALUE"""),3.0)</f>
        <v>3</v>
      </c>
      <c r="Y499" s="5">
        <f>IFERROR(__xludf.DUMMYFUNCTION("""COMPUTED_VALUE"""),6.0)</f>
        <v>6</v>
      </c>
      <c r="Z499" s="5"/>
    </row>
    <row r="500">
      <c r="A500" s="5" t="str">
        <f>IFERROR(__xludf.DUMMYFUNCTION("""COMPUTED_VALUE"""),"สามชั้นพริกa-ทองสุข-(พิเศษ)r100-113")</f>
        <v>สามชั้นพริกa-ทองสุข-(พิเศษ)r100-113</v>
      </c>
      <c r="B500" s="5">
        <f>IFERROR(__xludf.DUMMYFUNCTION("""COMPUTED_VALUE"""),10301.0)</f>
        <v>10301</v>
      </c>
      <c r="C500" s="5" t="str">
        <f>IFERROR(__xludf.DUMMYFUNCTION("""COMPUTED_VALUE"""),"สามชั้น A (พริก)  ทองสุข R100-113")</f>
        <v>สามชั้น A (พริก)  ทองสุข R100-113</v>
      </c>
      <c r="D500" s="5" t="str">
        <f>IFERROR(__xludf.DUMMYFUNCTION("""COMPUTED_VALUE"""),"**ร้านค้า ราคาพิเศษ")</f>
        <v>**ร้านค้า ราคาพิเศษ</v>
      </c>
      <c r="E500" s="5"/>
      <c r="F500" s="5" t="str">
        <f>IFERROR(__xludf.DUMMYFUNCTION("""COMPUTED_VALUE"""),"N")</f>
        <v>N</v>
      </c>
      <c r="G500" s="5"/>
      <c r="H500" s="5"/>
      <c r="I500" s="5"/>
      <c r="J500" s="5"/>
      <c r="K500" s="5"/>
      <c r="L500" s="5"/>
      <c r="M500" s="5"/>
      <c r="N500" s="5"/>
      <c r="O500" s="5">
        <f>IFERROR(__xludf.DUMMYFUNCTION("""COMPUTED_VALUE"""),10639.0)</f>
        <v>10639</v>
      </c>
      <c r="P500" s="5">
        <f>IFERROR(__xludf.DUMMYFUNCTION("""COMPUTED_VALUE"""),1.0)</f>
        <v>1</v>
      </c>
      <c r="Q500" s="5" t="str">
        <f>IFERROR(__xludf.DUMMYFUNCTION("""COMPUTED_VALUE"""),"N")</f>
        <v>N</v>
      </c>
      <c r="R500" s="5" t="str">
        <f>IFERROR(__xludf.DUMMYFUNCTION("""COMPUTED_VALUE"""),"N")</f>
        <v>N</v>
      </c>
      <c r="S500" s="5"/>
      <c r="T500" s="5"/>
      <c r="U500" s="5" t="str">
        <f>IFERROR(__xludf.DUMMYFUNCTION("""COMPUTED_VALUE"""),"N")</f>
        <v>N</v>
      </c>
      <c r="V500" s="5">
        <f>IFERROR(__xludf.DUMMYFUNCTION("""COMPUTED_VALUE"""),565.0)</f>
        <v>565</v>
      </c>
      <c r="W500" s="5"/>
      <c r="X500" s="5"/>
      <c r="Y500" s="5"/>
      <c r="Z500" s="5"/>
    </row>
    <row r="501">
      <c r="A501" s="5" t="str">
        <f>IFERROR(__xludf.DUMMYFUNCTION("""COMPUTED_VALUE"""),"สามชั้น-พีเมียมvj")</f>
        <v>สามชั้น-พีเมียมvj</v>
      </c>
      <c r="B501" s="5">
        <f>IFERROR(__xludf.DUMMYFUNCTION("""COMPUTED_VALUE"""),11379.0)</f>
        <v>11379</v>
      </c>
      <c r="C501" s="5" t="str">
        <f>IFERROR(__xludf.DUMMYFUNCTION("""COMPUTED_VALUE"""),"สามชั้น พีเมียม Vj ถุง5kg(145)")</f>
        <v>สามชั้น พีเมียม Vj ถุง5kg(145)</v>
      </c>
      <c r="D501" s="5" t="str">
        <f>IFERROR(__xludf.DUMMYFUNCTION("""COMPUTED_VALUE"""),"วีเจ")</f>
        <v>วีเจ</v>
      </c>
      <c r="E501" s="5" t="str">
        <f>IFERROR(__xludf.DUMMYFUNCTION("""COMPUTED_VALUE"""),"&lt;p&gt;B&lt;/p&gt;")</f>
        <v>&lt;p&gt;B&lt;/p&gt;</v>
      </c>
      <c r="F501" s="5" t="str">
        <f>IFERROR(__xludf.DUMMYFUNCTION("""COMPUTED_VALUE"""),"N")</f>
        <v>N</v>
      </c>
      <c r="G501" s="5"/>
      <c r="H501" s="5"/>
      <c r="I501" s="5"/>
      <c r="J501" s="5"/>
      <c r="K501" s="5"/>
      <c r="L501" s="5"/>
      <c r="M501" s="5">
        <f>IFERROR(__xludf.DUMMYFUNCTION("""COMPUTED_VALUE"""),631.9)</f>
        <v>631.9</v>
      </c>
      <c r="N501" s="5">
        <f>IFERROR(__xludf.DUMMYFUNCTION("""COMPUTED_VALUE"""),11379.0)</f>
        <v>11379</v>
      </c>
      <c r="O501" s="5"/>
      <c r="P501" s="5"/>
      <c r="Q501" s="5" t="str">
        <f>IFERROR(__xludf.DUMMYFUNCTION("""COMPUTED_VALUE"""),"Y")</f>
        <v>Y</v>
      </c>
      <c r="R501" s="5"/>
      <c r="S501" s="5" t="str">
        <f>IFERROR(__xludf.DUMMYFUNCTION("""COMPUTED_VALUE"""),"บจก.วีเจ.กรุ๊ป (หมูวีเจ)")</f>
        <v>บจก.วีเจ.กรุ๊ป (หมูวีเจ)</v>
      </c>
      <c r="T501" s="5">
        <f>IFERROR(__xludf.DUMMYFUNCTION("""COMPUTED_VALUE"""),635.0)</f>
        <v>635</v>
      </c>
      <c r="U501" s="5" t="str">
        <f>IFERROR(__xludf.DUMMYFUNCTION("""COMPUTED_VALUE"""),"Y")</f>
        <v>Y</v>
      </c>
      <c r="V501" s="5">
        <f>IFERROR(__xludf.DUMMYFUNCTION("""COMPUTED_VALUE"""),725.0)</f>
        <v>725</v>
      </c>
      <c r="W501" s="5">
        <f>IFERROR(__xludf.DUMMYFUNCTION("""COMPUTED_VALUE"""),29.0)</f>
        <v>29</v>
      </c>
      <c r="X501" s="5">
        <f>IFERROR(__xludf.DUMMYFUNCTION("""COMPUTED_VALUE"""),4.0)</f>
        <v>4</v>
      </c>
      <c r="Y501" s="5">
        <f>IFERROR(__xludf.DUMMYFUNCTION("""COMPUTED_VALUE"""),6.0)</f>
        <v>6</v>
      </c>
      <c r="Z501" s="5"/>
    </row>
    <row r="502">
      <c r="A502" s="5" t="str">
        <f>IFERROR(__xludf.DUMMYFUNCTION("""COMPUTED_VALUE"""),"dd-สามชั้นชาบู-ถาด200-g-ลัง")</f>
        <v>dd-สามชั้นชาบู-ถาด200-g-ลัง</v>
      </c>
      <c r="B502" s="5">
        <f>IFERROR(__xludf.DUMMYFUNCTION("""COMPUTED_VALUE"""),10901.0)</f>
        <v>10901</v>
      </c>
      <c r="C502" s="5" t="str">
        <f>IFERROR(__xludf.DUMMYFUNCTION("""COMPUTED_VALUE"""),"สามชั้น(2มิล) ชาบู เบทาโกร ลัง 10kg")</f>
        <v>สามชั้น(2มิล) ชาบู เบทาโกร ลัง 10kg</v>
      </c>
      <c r="D502" s="5"/>
      <c r="E502" s="5" t="str">
        <f>IFERROR(__xludf.DUMMYFUNCTION("""COMPUTED_VALUE"""),"&lt;p&gt;X&lt;/p&gt;")</f>
        <v>&lt;p&gt;X&lt;/p&gt;</v>
      </c>
      <c r="F502" s="5" t="str">
        <f>IFERROR(__xludf.DUMMYFUNCTION("""COMPUTED_VALUE"""),"N")</f>
        <v>N</v>
      </c>
      <c r="G502" s="5"/>
      <c r="H502" s="5"/>
      <c r="I502" s="5"/>
      <c r="J502" s="5"/>
      <c r="K502" s="5"/>
      <c r="L502" s="5"/>
      <c r="M502" s="5"/>
      <c r="N502" s="5">
        <f>IFERROR(__xludf.DUMMYFUNCTION("""COMPUTED_VALUE"""),10901.0)</f>
        <v>10901</v>
      </c>
      <c r="O502" s="5">
        <f>IFERROR(__xludf.DUMMYFUNCTION("""COMPUTED_VALUE"""),10896.0)</f>
        <v>10896</v>
      </c>
      <c r="P502" s="5">
        <f>IFERROR(__xludf.DUMMYFUNCTION("""COMPUTED_VALUE"""),10.0)</f>
        <v>10</v>
      </c>
      <c r="Q502" s="5" t="str">
        <f>IFERROR(__xludf.DUMMYFUNCTION("""COMPUTED_VALUE"""),"N")</f>
        <v>N</v>
      </c>
      <c r="R502" s="5" t="str">
        <f>IFERROR(__xludf.DUMMYFUNCTION("""COMPUTED_VALUE"""),"N")</f>
        <v>N</v>
      </c>
      <c r="S502" s="5"/>
      <c r="T502" s="5"/>
      <c r="U502" s="5" t="str">
        <f>IFERROR(__xludf.DUMMYFUNCTION("""COMPUTED_VALUE"""),"N")</f>
        <v>N</v>
      </c>
      <c r="V502" s="5">
        <f>IFERROR(__xludf.DUMMYFUNCTION("""COMPUTED_VALUE"""),1680.0)</f>
        <v>1680</v>
      </c>
      <c r="W502" s="5"/>
      <c r="X502" s="5"/>
      <c r="Y502" s="5"/>
      <c r="Z502" s="5"/>
    </row>
    <row r="503">
      <c r="A503" s="5" t="str">
        <f>IFERROR(__xludf.DUMMYFUNCTION("""COMPUTED_VALUE"""),"dd-สามชั้นม้วนกลม-ถาด200-g")</f>
        <v>dd-สามชั้นม้วนกลม-ถาด200-g</v>
      </c>
      <c r="B503" s="5">
        <f>IFERROR(__xludf.DUMMYFUNCTION("""COMPUTED_VALUE"""),10896.0)</f>
        <v>10896</v>
      </c>
      <c r="C503" s="5" t="str">
        <f>IFERROR(__xludf.DUMMYFUNCTION("""COMPUTED_VALUE"""),"สามชั้น(2มิล) ชาบู เบทาโกร1kg")</f>
        <v>สามชั้น(2มิล) ชาบู เบทาโกร1kg</v>
      </c>
      <c r="D503" s="5"/>
      <c r="E503" s="5" t="str">
        <f>IFERROR(__xludf.DUMMYFUNCTION("""COMPUTED_VALUE"""),"&lt;p&gt;X&lt;/p&gt;")</f>
        <v>&lt;p&gt;X&lt;/p&gt;</v>
      </c>
      <c r="F503" s="5" t="str">
        <f>IFERROR(__xludf.DUMMYFUNCTION("""COMPUTED_VALUE"""),"N")</f>
        <v>N</v>
      </c>
      <c r="G503" s="5"/>
      <c r="H503" s="5"/>
      <c r="I503" s="5"/>
      <c r="J503" s="5"/>
      <c r="K503" s="5"/>
      <c r="L503" s="5"/>
      <c r="M503" s="5">
        <f>IFERROR(__xludf.DUMMYFUNCTION("""COMPUTED_VALUE"""),162.0)</f>
        <v>162</v>
      </c>
      <c r="N503" s="5">
        <f>IFERROR(__xludf.DUMMYFUNCTION("""COMPUTED_VALUE"""),10896.0)</f>
        <v>10896</v>
      </c>
      <c r="O503" s="5"/>
      <c r="P503" s="5"/>
      <c r="Q503" s="5" t="str">
        <f>IFERROR(__xludf.DUMMYFUNCTION("""COMPUTED_VALUE"""),"Y")</f>
        <v>Y</v>
      </c>
      <c r="R503" s="5"/>
      <c r="S503" s="5"/>
      <c r="T503" s="5">
        <f>IFERROR(__xludf.DUMMYFUNCTION("""COMPUTED_VALUE"""),0.0)</f>
        <v>0</v>
      </c>
      <c r="U503" s="5" t="str">
        <f>IFERROR(__xludf.DUMMYFUNCTION("""COMPUTED_VALUE"""),"Y")</f>
        <v>Y</v>
      </c>
      <c r="V503" s="5">
        <f>IFERROR(__xludf.DUMMYFUNCTION("""COMPUTED_VALUE"""),179.0)</f>
        <v>179</v>
      </c>
      <c r="W503" s="5">
        <f>IFERROR(__xludf.DUMMYFUNCTION("""COMPUTED_VALUE"""),0.0)</f>
        <v>0</v>
      </c>
      <c r="X503" s="5">
        <f>IFERROR(__xludf.DUMMYFUNCTION("""COMPUTED_VALUE"""),30.0)</f>
        <v>30</v>
      </c>
      <c r="Y503" s="5"/>
      <c r="Z503" s="5"/>
    </row>
    <row r="504">
      <c r="A504" s="5" t="str">
        <f>IFERROR(__xludf.DUMMYFUNCTION("""COMPUTED_VALUE"""),"สามชั้นทองสุขb-ถุง-5-กก.")</f>
        <v>สามชั้นทองสุขb-ถุง-5-กก.</v>
      </c>
      <c r="B504" s="5">
        <f>IFERROR(__xludf.DUMMYFUNCTION("""COMPUTED_VALUE"""),10411.0)</f>
        <v>10411</v>
      </c>
      <c r="C504" s="5" t="str">
        <f>IFERROR(__xludf.DUMMYFUNCTION("""COMPUTED_VALUE"""),"สามชั้นB  นุ่ม  ถุง 5 กก.(105)")</f>
        <v>สามชั้นB  นุ่ม  ถุง 5 กก.(105)</v>
      </c>
      <c r="D504" s="5" t="str">
        <f>IFERROR(__xludf.DUMMYFUNCTION("""COMPUTED_VALUE"""),"**หมู ถุง5 กก")</f>
        <v>**หมู ถุง5 กก</v>
      </c>
      <c r="E504" s="5" t="str">
        <f>IFERROR(__xludf.DUMMYFUNCTION("""COMPUTED_VALUE"""),"&lt;p&gt;A&lt;/p&gt;")</f>
        <v>&lt;p&gt;A&lt;/p&gt;</v>
      </c>
      <c r="F504" s="5" t="str">
        <f>IFERROR(__xludf.DUMMYFUNCTION("""COMPUTED_VALUE"""),"N")</f>
        <v>N</v>
      </c>
      <c r="G504" s="5"/>
      <c r="H504" s="5"/>
      <c r="I504" s="5"/>
      <c r="J504" s="5"/>
      <c r="K504" s="5"/>
      <c r="L504" s="5"/>
      <c r="M504" s="5">
        <f>IFERROR(__xludf.DUMMYFUNCTION("""COMPUTED_VALUE"""),450.0)</f>
        <v>450</v>
      </c>
      <c r="N504" s="5">
        <f>IFERROR(__xludf.DUMMYFUNCTION("""COMPUTED_VALUE"""),10411.0)</f>
        <v>10411</v>
      </c>
      <c r="O504" s="5"/>
      <c r="P504" s="5"/>
      <c r="Q504" s="5" t="str">
        <f>IFERROR(__xludf.DUMMYFUNCTION("""COMPUTED_VALUE"""),"Y")</f>
        <v>Y</v>
      </c>
      <c r="R504" s="5"/>
      <c r="S504" s="5" t="str">
        <f>IFERROR(__xludf.DUMMYFUNCTION("""COMPUTED_VALUE"""),"อินเตอร์ฟู้ด")</f>
        <v>อินเตอร์ฟู้ด</v>
      </c>
      <c r="T504" s="5">
        <f>IFERROR(__xludf.DUMMYFUNCTION("""COMPUTED_VALUE"""),450.0)</f>
        <v>450</v>
      </c>
      <c r="U504" s="5" t="str">
        <f>IFERROR(__xludf.DUMMYFUNCTION("""COMPUTED_VALUE"""),"Y")</f>
        <v>Y</v>
      </c>
      <c r="V504" s="5">
        <f>IFERROR(__xludf.DUMMYFUNCTION("""COMPUTED_VALUE"""),525.0)</f>
        <v>525</v>
      </c>
      <c r="W504" s="5">
        <f>IFERROR(__xludf.DUMMYFUNCTION("""COMPUTED_VALUE"""),0.0)</f>
        <v>0</v>
      </c>
      <c r="X504" s="5">
        <f>IFERROR(__xludf.DUMMYFUNCTION("""COMPUTED_VALUE"""),15.0)</f>
        <v>15</v>
      </c>
      <c r="Y504" s="5">
        <f>IFERROR(__xludf.DUMMYFUNCTION("""COMPUTED_VALUE"""),26.0)</f>
        <v>26</v>
      </c>
      <c r="Z504" s="5"/>
    </row>
    <row r="505">
      <c r="A505" s="5" t="str">
        <f>IFERROR(__xludf.DUMMYFUNCTION("""COMPUTED_VALUE"""),"สามชั้นชาบู-500g-(ราคาลัง)")</f>
        <v>สามชั้นชาบู-500g-(ราคาลัง)</v>
      </c>
      <c r="B505" s="5">
        <f>IFERROR(__xludf.DUMMYFUNCTION("""COMPUTED_VALUE"""),11428.0)</f>
        <v>11428</v>
      </c>
      <c r="C505" s="5" t="str">
        <f>IFERROR(__xludf.DUMMYFUNCTION("""COMPUTED_VALUE"""),"สามชั้นชาบู 500g (ราคาลัง)")</f>
        <v>สามชั้นชาบู 500g (ราคาลัง)</v>
      </c>
      <c r="D505" s="5"/>
      <c r="E505" s="5" t="str">
        <f>IFERROR(__xludf.DUMMYFUNCTION("""COMPUTED_VALUE"""),"D")</f>
        <v>D</v>
      </c>
      <c r="F505" s="5" t="str">
        <f>IFERROR(__xludf.DUMMYFUNCTION("""COMPUTED_VALUE"""),"N")</f>
        <v>N</v>
      </c>
      <c r="G505" s="5"/>
      <c r="H505" s="5"/>
      <c r="I505" s="5"/>
      <c r="J505" s="5"/>
      <c r="K505" s="5"/>
      <c r="L505" s="5"/>
      <c r="M505" s="5"/>
      <c r="N505" s="5">
        <f>IFERROR(__xludf.DUMMYFUNCTION("""COMPUTED_VALUE"""),11428.0)</f>
        <v>11428</v>
      </c>
      <c r="O505" s="5">
        <f>IFERROR(__xludf.DUMMYFUNCTION("""COMPUTED_VALUE"""),10071.0)</f>
        <v>10071</v>
      </c>
      <c r="P505" s="5">
        <f>IFERROR(__xludf.DUMMYFUNCTION("""COMPUTED_VALUE"""),1.0)</f>
        <v>1</v>
      </c>
      <c r="Q505" s="5" t="str">
        <f>IFERROR(__xludf.DUMMYFUNCTION("""COMPUTED_VALUE"""),"N")</f>
        <v>N</v>
      </c>
      <c r="R505" s="5" t="str">
        <f>IFERROR(__xludf.DUMMYFUNCTION("""COMPUTED_VALUE"""),"N")</f>
        <v>N</v>
      </c>
      <c r="S505" s="5"/>
      <c r="T505" s="5"/>
      <c r="U505" s="5" t="str">
        <f>IFERROR(__xludf.DUMMYFUNCTION("""COMPUTED_VALUE"""),"Y")</f>
        <v>Y</v>
      </c>
      <c r="V505" s="5">
        <f>IFERROR(__xludf.DUMMYFUNCTION("""COMPUTED_VALUE"""),90.0)</f>
        <v>90</v>
      </c>
      <c r="W505" s="5"/>
      <c r="X505" s="5"/>
      <c r="Y505" s="5"/>
      <c r="Z505" s="5"/>
    </row>
    <row r="506">
      <c r="A506" s="5" t="str">
        <f>IFERROR(__xludf.DUMMYFUNCTION("""COMPUTED_VALUE"""),"สามชั้นม้วนกลมสไลด์-(m)5กก/หิ้ว")</f>
        <v>สามชั้นม้วนกลมสไลด์-(m)5กก/หิ้ว</v>
      </c>
      <c r="B506" s="5">
        <f>IFERROR(__xludf.DUMMYFUNCTION("""COMPUTED_VALUE"""),10242.0)</f>
        <v>10242</v>
      </c>
      <c r="C506" s="5" t="str">
        <f>IFERROR(__xludf.DUMMYFUNCTION("""COMPUTED_VALUE"""),"สามชั้นม้วน ถาดส้ม Mfood 5กก/หิ้ว-159")</f>
        <v>สามชั้นม้วน ถาดส้ม Mfood 5กก/หิ้ว-159</v>
      </c>
      <c r="D506" s="5" t="str">
        <f>IFERROR(__xludf.DUMMYFUNCTION("""COMPUTED_VALUE"""),"**ของหิ้ว มหาชัย")</f>
        <v>**ของหิ้ว มหาชัย</v>
      </c>
      <c r="E506" s="5" t="str">
        <f>IFERROR(__xludf.DUMMYFUNCTION("""COMPUTED_VALUE"""),"&lt;p&gt;5&lt;/p&gt;")</f>
        <v>&lt;p&gt;5&lt;/p&gt;</v>
      </c>
      <c r="F506" s="5" t="str">
        <f>IFERROR(__xludf.DUMMYFUNCTION("""COMPUTED_VALUE"""),"N")</f>
        <v>N</v>
      </c>
      <c r="G506" s="5"/>
      <c r="H506" s="5"/>
      <c r="I506" s="5"/>
      <c r="J506" s="5"/>
      <c r="K506" s="5"/>
      <c r="L506" s="5"/>
      <c r="M506" s="5">
        <f>IFERROR(__xludf.DUMMYFUNCTION("""COMPUTED_VALUE"""),746.38)</f>
        <v>746.38</v>
      </c>
      <c r="N506" s="5"/>
      <c r="O506" s="5"/>
      <c r="P506" s="5"/>
      <c r="Q506" s="5" t="str">
        <f>IFERROR(__xludf.DUMMYFUNCTION("""COMPUTED_VALUE"""),"Y")</f>
        <v>Y</v>
      </c>
      <c r="R506" s="5"/>
      <c r="S506" s="5" t="str">
        <f>IFERROR(__xludf.DUMMYFUNCTION("""COMPUTED_VALUE"""),"ขึ้นของมหาชัย")</f>
        <v>ขึ้นของมหาชัย</v>
      </c>
      <c r="T506" s="5">
        <f>IFERROR(__xludf.DUMMYFUNCTION("""COMPUTED_VALUE"""),720.0)</f>
        <v>720</v>
      </c>
      <c r="U506" s="5" t="str">
        <f>IFERROR(__xludf.DUMMYFUNCTION("""COMPUTED_VALUE"""),"Y")</f>
        <v>Y</v>
      </c>
      <c r="V506" s="5">
        <f>IFERROR(__xludf.DUMMYFUNCTION("""COMPUTED_VALUE"""),795.0)</f>
        <v>795</v>
      </c>
      <c r="W506" s="5">
        <f>IFERROR(__xludf.DUMMYFUNCTION("""COMPUTED_VALUE"""),10.0)</f>
        <v>10</v>
      </c>
      <c r="X506" s="5">
        <f>IFERROR(__xludf.DUMMYFUNCTION("""COMPUTED_VALUE"""),5.0)</f>
        <v>5</v>
      </c>
      <c r="Y506" s="5">
        <f>IFERROR(__xludf.DUMMYFUNCTION("""COMPUTED_VALUE"""),15.0)</f>
        <v>15</v>
      </c>
      <c r="Z506" s="5"/>
    </row>
    <row r="507">
      <c r="A507" s="5" t="str">
        <f>IFERROR(__xludf.DUMMYFUNCTION("""COMPUTED_VALUE"""),"สามชั้นลอกเรียง-1กก.vj-หิ้ว5-กก.(119)")</f>
        <v>สามชั้นลอกเรียง-1กก.vj-หิ้ว5-กก.(119)</v>
      </c>
      <c r="B507" s="5">
        <f>IFERROR(__xludf.DUMMYFUNCTION("""COMPUTED_VALUE"""),10835.0)</f>
        <v>10835</v>
      </c>
      <c r="C507" s="5" t="str">
        <f>IFERROR(__xludf.DUMMYFUNCTION("""COMPUTED_VALUE"""),"สามชั้นลอก (เรียง) 1kg (หิ้ว5กก) -145")</f>
        <v>สามชั้นลอก (เรียง) 1kg (หิ้ว5กก) -145</v>
      </c>
      <c r="D507" s="5" t="str">
        <f>IFERROR(__xludf.DUMMYFUNCTION("""COMPUTED_VALUE"""),"วีเจ")</f>
        <v>วีเจ</v>
      </c>
      <c r="E507" s="5"/>
      <c r="F507" s="5" t="str">
        <f>IFERROR(__xludf.DUMMYFUNCTION("""COMPUTED_VALUE"""),"N")</f>
        <v>N</v>
      </c>
      <c r="G507" s="5"/>
      <c r="H507" s="5"/>
      <c r="I507" s="5"/>
      <c r="J507" s="5"/>
      <c r="K507" s="5"/>
      <c r="L507" s="5"/>
      <c r="M507" s="5">
        <f>IFERROR(__xludf.DUMMYFUNCTION("""COMPUTED_VALUE"""),625.0)</f>
        <v>625</v>
      </c>
      <c r="N507" s="5"/>
      <c r="O507" s="5"/>
      <c r="P507" s="5"/>
      <c r="Q507" s="5" t="str">
        <f>IFERROR(__xludf.DUMMYFUNCTION("""COMPUTED_VALUE"""),"Y")</f>
        <v>Y</v>
      </c>
      <c r="R507" s="5"/>
      <c r="S507" s="5" t="str">
        <f>IFERROR(__xludf.DUMMYFUNCTION("""COMPUTED_VALUE"""),"บจก.วีเจ.กรุ๊ป (หมูวีเจ)")</f>
        <v>บจก.วีเจ.กรุ๊ป (หมูวีเจ)</v>
      </c>
      <c r="T507" s="5">
        <f>IFERROR(__xludf.DUMMYFUNCTION("""COMPUTED_VALUE"""),625.0)</f>
        <v>625</v>
      </c>
      <c r="U507" s="5" t="str">
        <f>IFERROR(__xludf.DUMMYFUNCTION("""COMPUTED_VALUE"""),"Y")</f>
        <v>Y</v>
      </c>
      <c r="V507" s="5">
        <f>IFERROR(__xludf.DUMMYFUNCTION("""COMPUTED_VALUE"""),725.0)</f>
        <v>725</v>
      </c>
      <c r="W507" s="5">
        <f>IFERROR(__xludf.DUMMYFUNCTION("""COMPUTED_VALUE"""),4.0)</f>
        <v>4</v>
      </c>
      <c r="X507" s="5">
        <f>IFERROR(__xludf.DUMMYFUNCTION("""COMPUTED_VALUE"""),0.0)</f>
        <v>0</v>
      </c>
      <c r="Y507" s="5"/>
      <c r="Z507" s="5"/>
    </row>
    <row r="508">
      <c r="A508" s="5" t="str">
        <f>IFERROR(__xludf.DUMMYFUNCTION("""COMPUTED_VALUE"""),"สามชั้นลอกเรียง--ถุง1kg(พิเศษ)-117")</f>
        <v>สามชั้นลอกเรียง--ถุง1kg(พิเศษ)-117</v>
      </c>
      <c r="B508" s="5">
        <f>IFERROR(__xludf.DUMMYFUNCTION("""COMPUTED_VALUE"""),10842.0)</f>
        <v>10842</v>
      </c>
      <c r="C508" s="5" t="str">
        <f>IFERROR(__xludf.DUMMYFUNCTION("""COMPUTED_VALUE"""),"สามชั้นลอก (เรียง) 1kg หิ้ว5kg *พิเศษ*(145)")</f>
        <v>สามชั้นลอก (เรียง) 1kg หิ้ว5kg *พิเศษ*(145)</v>
      </c>
      <c r="D508" s="5" t="str">
        <f>IFERROR(__xludf.DUMMYFUNCTION("""COMPUTED_VALUE"""),"**ร้านค้า ราคาพิเศษ")</f>
        <v>**ร้านค้า ราคาพิเศษ</v>
      </c>
      <c r="E508" s="5"/>
      <c r="F508" s="5" t="str">
        <f>IFERROR(__xludf.DUMMYFUNCTION("""COMPUTED_VALUE"""),"N")</f>
        <v>N</v>
      </c>
      <c r="G508" s="5"/>
      <c r="H508" s="5"/>
      <c r="I508" s="5"/>
      <c r="J508" s="5"/>
      <c r="K508" s="5"/>
      <c r="L508" s="5"/>
      <c r="M508" s="5"/>
      <c r="N508" s="5"/>
      <c r="O508" s="5">
        <f>IFERROR(__xludf.DUMMYFUNCTION("""COMPUTED_VALUE"""),10835.0)</f>
        <v>10835</v>
      </c>
      <c r="P508" s="5">
        <f>IFERROR(__xludf.DUMMYFUNCTION("""COMPUTED_VALUE"""),1.0)</f>
        <v>1</v>
      </c>
      <c r="Q508" s="5" t="str">
        <f>IFERROR(__xludf.DUMMYFUNCTION("""COMPUTED_VALUE"""),"N")</f>
        <v>N</v>
      </c>
      <c r="R508" s="5" t="str">
        <f>IFERROR(__xludf.DUMMYFUNCTION("""COMPUTED_VALUE"""),"N")</f>
        <v>N</v>
      </c>
      <c r="S508" s="5"/>
      <c r="T508" s="5"/>
      <c r="U508" s="5" t="str">
        <f>IFERROR(__xludf.DUMMYFUNCTION("""COMPUTED_VALUE"""),"N")</f>
        <v>N</v>
      </c>
      <c r="V508" s="5">
        <f>IFERROR(__xludf.DUMMYFUNCTION("""COMPUTED_VALUE"""),725.0)</f>
        <v>725</v>
      </c>
      <c r="W508" s="5"/>
      <c r="X508" s="5"/>
      <c r="Y508" s="5"/>
      <c r="Z508" s="5"/>
    </row>
    <row r="509">
      <c r="A509" s="5" t="str">
        <f>IFERROR(__xludf.DUMMYFUNCTION("""COMPUTED_VALUE"""),"สามชั้นสไลด์สด-เบทาโกร-1*10-kg-(ลัง)")</f>
        <v>สามชั้นสไลด์สด-เบทาโกร-1*10-kg-(ลัง)</v>
      </c>
      <c r="B509" s="5">
        <f>IFERROR(__xludf.DUMMYFUNCTION("""COMPUTED_VALUE"""),11164.0)</f>
        <v>11164</v>
      </c>
      <c r="C509" s="5" t="str">
        <f>IFERROR(__xludf.DUMMYFUNCTION("""COMPUTED_VALUE"""),"สามชั้นสไลด์ (4มิล) 10kg(ลัง)-185")</f>
        <v>สามชั้นสไลด์ (4มิล) 10kg(ลัง)-185</v>
      </c>
      <c r="D509" s="5" t="str">
        <f>IFERROR(__xludf.DUMMYFUNCTION("""COMPUTED_VALUE"""),"**ลัง ร้อยเอ็ด")</f>
        <v>**ลัง ร้อยเอ็ด</v>
      </c>
      <c r="E509" s="5" t="str">
        <f>IFERROR(__xludf.DUMMYFUNCTION("""COMPUTED_VALUE"""),"&lt;p&gt;S&lt;/p&gt;")</f>
        <v>&lt;p&gt;S&lt;/p&gt;</v>
      </c>
      <c r="F509" s="5" t="str">
        <f>IFERROR(__xludf.DUMMYFUNCTION("""COMPUTED_VALUE"""),"N")</f>
        <v>N</v>
      </c>
      <c r="G509" s="5"/>
      <c r="H509" s="5"/>
      <c r="I509" s="5"/>
      <c r="J509" s="5"/>
      <c r="K509" s="5"/>
      <c r="L509" s="5"/>
      <c r="M509" s="5">
        <f>IFERROR(__xludf.DUMMYFUNCTION("""COMPUTED_VALUE"""),1600.0)</f>
        <v>1600</v>
      </c>
      <c r="N509" s="5">
        <f>IFERROR(__xludf.DUMMYFUNCTION("""COMPUTED_VALUE"""),11164.0)</f>
        <v>11164</v>
      </c>
      <c r="O509" s="5"/>
      <c r="P509" s="5"/>
      <c r="Q509" s="5" t="str">
        <f>IFERROR(__xludf.DUMMYFUNCTION("""COMPUTED_VALUE"""),"Y")</f>
        <v>Y</v>
      </c>
      <c r="R509" s="5"/>
      <c r="S509" s="5" t="str">
        <f>IFERROR(__xludf.DUMMYFUNCTION("""COMPUTED_VALUE"""),"เบทาโกร")</f>
        <v>เบทาโกร</v>
      </c>
      <c r="T509" s="5">
        <f>IFERROR(__xludf.DUMMYFUNCTION("""COMPUTED_VALUE"""),1650.0)</f>
        <v>1650</v>
      </c>
      <c r="U509" s="5" t="str">
        <f>IFERROR(__xludf.DUMMYFUNCTION("""COMPUTED_VALUE"""),"Y")</f>
        <v>Y</v>
      </c>
      <c r="V509" s="5">
        <f>IFERROR(__xludf.DUMMYFUNCTION("""COMPUTED_VALUE"""),1850.0)</f>
        <v>1850</v>
      </c>
      <c r="W509" s="5">
        <f>IFERROR(__xludf.DUMMYFUNCTION("""COMPUTED_VALUE"""),0.0)</f>
        <v>0</v>
      </c>
      <c r="X509" s="5"/>
      <c r="Y509" s="5"/>
      <c r="Z509" s="5"/>
    </row>
    <row r="510">
      <c r="A510" s="5" t="str">
        <f>IFERROR(__xludf.DUMMYFUNCTION("""COMPUTED_VALUE"""),"สามชั้นสไลด์-4-มิล-พิเศษ-(ลัง)-173")</f>
        <v>สามชั้นสไลด์-4-มิล-พิเศษ-(ลัง)-173</v>
      </c>
      <c r="B510" s="5">
        <f>IFERROR(__xludf.DUMMYFUNCTION("""COMPUTED_VALUE"""),10022.0)</f>
        <v>10022</v>
      </c>
      <c r="C510" s="5" t="str">
        <f>IFERROR(__xludf.DUMMYFUNCTION("""COMPUTED_VALUE"""),"สามชั้นสไลด์ (4มิล) พิเศษ (ลัง) -173")</f>
        <v>สามชั้นสไลด์ (4มิล) พิเศษ (ลัง) -173</v>
      </c>
      <c r="D510" s="5" t="str">
        <f>IFERROR(__xludf.DUMMYFUNCTION("""COMPUTED_VALUE"""),"**ร้านค้า ราคาพิเศษ")</f>
        <v>**ร้านค้า ราคาพิเศษ</v>
      </c>
      <c r="E510" s="5"/>
      <c r="F510" s="5" t="str">
        <f>IFERROR(__xludf.DUMMYFUNCTION("""COMPUTED_VALUE"""),"N")</f>
        <v>N</v>
      </c>
      <c r="G510" s="5"/>
      <c r="H510" s="5"/>
      <c r="I510" s="5"/>
      <c r="J510" s="5"/>
      <c r="K510" s="5"/>
      <c r="L510" s="5"/>
      <c r="M510" s="5"/>
      <c r="N510" s="5"/>
      <c r="O510" s="5">
        <f>IFERROR(__xludf.DUMMYFUNCTION("""COMPUTED_VALUE"""),11164.0)</f>
        <v>11164</v>
      </c>
      <c r="P510" s="5">
        <f>IFERROR(__xludf.DUMMYFUNCTION("""COMPUTED_VALUE"""),1.0)</f>
        <v>1</v>
      </c>
      <c r="Q510" s="5" t="str">
        <f>IFERROR(__xludf.DUMMYFUNCTION("""COMPUTED_VALUE"""),"N")</f>
        <v>N</v>
      </c>
      <c r="R510" s="5" t="str">
        <f>IFERROR(__xludf.DUMMYFUNCTION("""COMPUTED_VALUE"""),"N")</f>
        <v>N</v>
      </c>
      <c r="S510" s="5"/>
      <c r="T510" s="5"/>
      <c r="U510" s="5" t="str">
        <f>IFERROR(__xludf.DUMMYFUNCTION("""COMPUTED_VALUE"""),"Y")</f>
        <v>Y</v>
      </c>
      <c r="V510" s="5">
        <f>IFERROR(__xludf.DUMMYFUNCTION("""COMPUTED_VALUE"""),1730.0)</f>
        <v>1730</v>
      </c>
      <c r="W510" s="5"/>
      <c r="X510" s="5"/>
      <c r="Y510" s="5"/>
      <c r="Z510" s="5"/>
    </row>
    <row r="511">
      <c r="A511" s="5" t="str">
        <f>IFERROR(__xludf.DUMMYFUNCTION("""COMPUTED_VALUE"""),"สามชั้นสไลด์(4มิล)-เบ-ถุง1กก--175")</f>
        <v>สามชั้นสไลด์(4มิล)-เบ-ถุง1กก--175</v>
      </c>
      <c r="B511" s="5">
        <f>IFERROR(__xludf.DUMMYFUNCTION("""COMPUTED_VALUE"""),10061.0)</f>
        <v>10061</v>
      </c>
      <c r="C511" s="5" t="str">
        <f>IFERROR(__xludf.DUMMYFUNCTION("""COMPUTED_VALUE"""),"สามชั้นสไลด์ (4มิล) หิ้ว 5กก-185")</f>
        <v>สามชั้นสไลด์ (4มิล) หิ้ว 5กก-185</v>
      </c>
      <c r="D511" s="5"/>
      <c r="E511" s="5"/>
      <c r="F511" s="5" t="str">
        <f>IFERROR(__xludf.DUMMYFUNCTION("""COMPUTED_VALUE"""),"N")</f>
        <v>N</v>
      </c>
      <c r="G511" s="5"/>
      <c r="H511" s="5"/>
      <c r="I511" s="5"/>
      <c r="J511" s="5"/>
      <c r="K511" s="5"/>
      <c r="L511" s="5"/>
      <c r="M511" s="5"/>
      <c r="N511" s="5"/>
      <c r="O511" s="5">
        <f>IFERROR(__xludf.DUMMYFUNCTION("""COMPUTED_VALUE"""),11164.0)</f>
        <v>11164</v>
      </c>
      <c r="P511" s="5">
        <f>IFERROR(__xludf.DUMMYFUNCTION("""COMPUTED_VALUE"""),0.5)</f>
        <v>0.5</v>
      </c>
      <c r="Q511" s="5" t="str">
        <f>IFERROR(__xludf.DUMMYFUNCTION("""COMPUTED_VALUE"""),"N")</f>
        <v>N</v>
      </c>
      <c r="R511" s="5" t="str">
        <f>IFERROR(__xludf.DUMMYFUNCTION("""COMPUTED_VALUE"""),"N")</f>
        <v>N</v>
      </c>
      <c r="S511" s="5"/>
      <c r="T511" s="5"/>
      <c r="U511" s="5" t="str">
        <f>IFERROR(__xludf.DUMMYFUNCTION("""COMPUTED_VALUE"""),"Y")</f>
        <v>Y</v>
      </c>
      <c r="V511" s="5">
        <f>IFERROR(__xludf.DUMMYFUNCTION("""COMPUTED_VALUE"""),925.0)</f>
        <v>925</v>
      </c>
      <c r="W511" s="5"/>
      <c r="X511" s="5"/>
      <c r="Y511" s="5"/>
      <c r="Z511" s="5"/>
    </row>
    <row r="512">
      <c r="A512" s="5" t="str">
        <f>IFERROR(__xludf.DUMMYFUNCTION("""COMPUTED_VALUE"""),"สามชั้นสไลด์เรียง-ถุง-5-กก.")</f>
        <v>สามชั้นสไลด์เรียง-ถุง-5-กก.</v>
      </c>
      <c r="B512" s="5">
        <f>IFERROR(__xludf.DUMMYFUNCTION("""COMPUTED_VALUE"""),10710.0)</f>
        <v>10710</v>
      </c>
      <c r="C512" s="5" t="str">
        <f>IFERROR(__xludf.DUMMYFUNCTION("""COMPUTED_VALUE"""),"สามชั้นสไลด์ A  (ถุง 5 กก.) -185")</f>
        <v>สามชั้นสไลด์ A  (ถุง 5 กก.) -185</v>
      </c>
      <c r="D512" s="5" t="str">
        <f>IFERROR(__xludf.DUMMYFUNCTION("""COMPUTED_VALUE"""),"**ของหิ้ว ร้อยเอ็ด")</f>
        <v>**ของหิ้ว ร้อยเอ็ด</v>
      </c>
      <c r="E512" s="5"/>
      <c r="F512" s="5" t="str">
        <f>IFERROR(__xludf.DUMMYFUNCTION("""COMPUTED_VALUE"""),"N")</f>
        <v>N</v>
      </c>
      <c r="G512" s="5"/>
      <c r="H512" s="5"/>
      <c r="I512" s="5"/>
      <c r="J512" s="5"/>
      <c r="K512" s="5"/>
      <c r="L512" s="5"/>
      <c r="M512" s="5">
        <f>IFERROR(__xludf.DUMMYFUNCTION("""COMPUTED_VALUE"""),875.0)</f>
        <v>875</v>
      </c>
      <c r="N512" s="5"/>
      <c r="O512" s="5"/>
      <c r="P512" s="5"/>
      <c r="Q512" s="5" t="str">
        <f>IFERROR(__xludf.DUMMYFUNCTION("""COMPUTED_VALUE"""),"Y")</f>
        <v>Y</v>
      </c>
      <c r="R512" s="5"/>
      <c r="S512" s="5" t="str">
        <f>IFERROR(__xludf.DUMMYFUNCTION("""COMPUTED_VALUE"""),"กานพลูซีฟู้ดส์")</f>
        <v>กานพลูซีฟู้ดส์</v>
      </c>
      <c r="T512" s="5">
        <f>IFERROR(__xludf.DUMMYFUNCTION("""COMPUTED_VALUE"""),750.0)</f>
        <v>750</v>
      </c>
      <c r="U512" s="5" t="str">
        <f>IFERROR(__xludf.DUMMYFUNCTION("""COMPUTED_VALUE"""),"N")</f>
        <v>N</v>
      </c>
      <c r="V512" s="5">
        <f>IFERROR(__xludf.DUMMYFUNCTION("""COMPUTED_VALUE"""),925.0)</f>
        <v>925</v>
      </c>
      <c r="W512" s="5">
        <f>IFERROR(__xludf.DUMMYFUNCTION("""COMPUTED_VALUE"""),0.0)</f>
        <v>0</v>
      </c>
      <c r="X512" s="5"/>
      <c r="Y512" s="5"/>
      <c r="Z512" s="5"/>
    </row>
    <row r="513">
      <c r="A513" s="5" t="str">
        <f>IFERROR(__xludf.DUMMYFUNCTION("""COMPUTED_VALUE"""),"สามชั้นสไลด์aถุง1กก(-5กก/หิ้ว)-158")</f>
        <v>สามชั้นสไลด์aถุง1กก(-5กก/หิ้ว)-158</v>
      </c>
      <c r="B513" s="5">
        <f>IFERROR(__xludf.DUMMYFUNCTION("""COMPUTED_VALUE"""),10142.0)</f>
        <v>10142</v>
      </c>
      <c r="C513" s="5" t="str">
        <f>IFERROR(__xludf.DUMMYFUNCTION("""COMPUTED_VALUE"""),"สามชั้นสไลด์ A ถุง 1กก 10kg(หิ้ว)-158")</f>
        <v>สามชั้นสไลด์ A ถุง 1กก 10kg(หิ้ว)-158</v>
      </c>
      <c r="D513" s="5" t="str">
        <f>IFERROR(__xludf.DUMMYFUNCTION("""COMPUTED_VALUE"""),"**ของหิ้ว ร้อยเอ็ด")</f>
        <v>**ของหิ้ว ร้อยเอ็ด</v>
      </c>
      <c r="E513" s="5"/>
      <c r="F513" s="5" t="str">
        <f>IFERROR(__xludf.DUMMYFUNCTION("""COMPUTED_VALUE"""),"N")</f>
        <v>N</v>
      </c>
      <c r="G513" s="5"/>
      <c r="H513" s="5"/>
      <c r="I513" s="5"/>
      <c r="J513" s="5"/>
      <c r="K513" s="5"/>
      <c r="L513" s="5"/>
      <c r="M513" s="5">
        <f>IFERROR(__xludf.DUMMYFUNCTION("""COMPUTED_VALUE"""),1449.91)</f>
        <v>1449.91</v>
      </c>
      <c r="N513" s="5"/>
      <c r="O513" s="5"/>
      <c r="P513" s="5"/>
      <c r="Q513" s="5" t="str">
        <f>IFERROR(__xludf.DUMMYFUNCTION("""COMPUTED_VALUE"""),"Y")</f>
        <v>Y</v>
      </c>
      <c r="R513" s="5"/>
      <c r="S513" s="5" t="str">
        <f>IFERROR(__xludf.DUMMYFUNCTION("""COMPUTED_VALUE"""),"หมูอร่อย")</f>
        <v>หมูอร่อย</v>
      </c>
      <c r="T513" s="5">
        <f>IFERROR(__xludf.DUMMYFUNCTION("""COMPUTED_VALUE"""),1400.0)</f>
        <v>1400</v>
      </c>
      <c r="U513" s="5" t="str">
        <f>IFERROR(__xludf.DUMMYFUNCTION("""COMPUTED_VALUE"""),"N")</f>
        <v>N</v>
      </c>
      <c r="V513" s="5">
        <f>IFERROR(__xludf.DUMMYFUNCTION("""COMPUTED_VALUE"""),1580.0)</f>
        <v>1580</v>
      </c>
      <c r="W513" s="5">
        <f>IFERROR(__xludf.DUMMYFUNCTION("""COMPUTED_VALUE"""),0.0)</f>
        <v>0</v>
      </c>
      <c r="X513" s="5"/>
      <c r="Y513" s="5"/>
      <c r="Z513" s="5"/>
    </row>
    <row r="514">
      <c r="A514" s="5" t="str">
        <f>IFERROR(__xludf.DUMMYFUNCTION("""COMPUTED_VALUE"""),"สามชั้นสไลด์aถุง1กก(-5กก/หิ้ว)-158-1")</f>
        <v>สามชั้นสไลด์aถุง1กก(-5กก/หิ้ว)-158-1</v>
      </c>
      <c r="B514" s="5">
        <f>IFERROR(__xludf.DUMMYFUNCTION("""COMPUTED_VALUE"""),10745.0)</f>
        <v>10745</v>
      </c>
      <c r="C514" s="5" t="str">
        <f>IFERROR(__xludf.DUMMYFUNCTION("""COMPUTED_VALUE"""),"สามชั้นสไลด์ A ถุง1กก 5กก(หิ้ว)-158")</f>
        <v>สามชั้นสไลด์ A ถุง1กก 5กก(หิ้ว)-158</v>
      </c>
      <c r="D514" s="5"/>
      <c r="E514" s="5"/>
      <c r="F514" s="5" t="str">
        <f>IFERROR(__xludf.DUMMYFUNCTION("""COMPUTED_VALUE"""),"N")</f>
        <v>N</v>
      </c>
      <c r="G514" s="5"/>
      <c r="H514" s="5"/>
      <c r="I514" s="5"/>
      <c r="J514" s="5"/>
      <c r="K514" s="5"/>
      <c r="L514" s="5"/>
      <c r="M514" s="5"/>
      <c r="N514" s="5"/>
      <c r="O514" s="5">
        <f>IFERROR(__xludf.DUMMYFUNCTION("""COMPUTED_VALUE"""),10142.0)</f>
        <v>10142</v>
      </c>
      <c r="P514" s="5">
        <f>IFERROR(__xludf.DUMMYFUNCTION("""COMPUTED_VALUE"""),0.5)</f>
        <v>0.5</v>
      </c>
      <c r="Q514" s="5" t="str">
        <f>IFERROR(__xludf.DUMMYFUNCTION("""COMPUTED_VALUE"""),"N")</f>
        <v>N</v>
      </c>
      <c r="R514" s="5" t="str">
        <f>IFERROR(__xludf.DUMMYFUNCTION("""COMPUTED_VALUE"""),"N")</f>
        <v>N</v>
      </c>
      <c r="S514" s="5"/>
      <c r="T514" s="5"/>
      <c r="U514" s="5" t="str">
        <f>IFERROR(__xludf.DUMMYFUNCTION("""COMPUTED_VALUE"""),"N")</f>
        <v>N</v>
      </c>
      <c r="V514" s="5">
        <f>IFERROR(__xludf.DUMMYFUNCTION("""COMPUTED_VALUE"""),790.0)</f>
        <v>790</v>
      </c>
      <c r="W514" s="5"/>
      <c r="X514" s="5"/>
      <c r="Y514" s="5"/>
      <c r="Z514" s="5"/>
    </row>
    <row r="515">
      <c r="A515" s="5" t="str">
        <f>IFERROR(__xludf.DUMMYFUNCTION("""COMPUTED_VALUE"""),"สามชั้นสไลด์เรียง-ถุง-5-กก.(หิ้ว)-185-.")</f>
        <v>สามชั้นสไลด์เรียง-ถุง-5-กก.(หิ้ว)-185-.</v>
      </c>
      <c r="B515" s="5">
        <f>IFERROR(__xludf.DUMMYFUNCTION("""COMPUTED_VALUE"""),10144.0)</f>
        <v>10144</v>
      </c>
      <c r="C515" s="5" t="str">
        <f>IFERROR(__xludf.DUMMYFUNCTION("""COMPUTED_VALUE"""),"สามชั้นสไลด์เรียง ถุง 5 กก.(หิ้ว) 185-.")</f>
        <v>สามชั้นสไลด์เรียง ถุง 5 กก.(หิ้ว) 185-.</v>
      </c>
      <c r="D515" s="5"/>
      <c r="E515" s="5"/>
      <c r="F515" s="5" t="str">
        <f>IFERROR(__xludf.DUMMYFUNCTION("""COMPUTED_VALUE"""),"N")</f>
        <v>N</v>
      </c>
      <c r="G515" s="5"/>
      <c r="H515" s="5"/>
      <c r="I515" s="5"/>
      <c r="J515" s="5"/>
      <c r="K515" s="5"/>
      <c r="L515" s="5"/>
      <c r="M515" s="5">
        <f>IFERROR(__xludf.DUMMYFUNCTION("""COMPUTED_VALUE"""),800.0)</f>
        <v>800</v>
      </c>
      <c r="N515" s="5"/>
      <c r="O515" s="5"/>
      <c r="P515" s="5"/>
      <c r="Q515" s="5" t="str">
        <f>IFERROR(__xludf.DUMMYFUNCTION("""COMPUTED_VALUE"""),"Y")</f>
        <v>Y</v>
      </c>
      <c r="R515" s="5"/>
      <c r="S515" s="5" t="str">
        <f>IFERROR(__xludf.DUMMYFUNCTION("""COMPUTED_VALUE"""),"กานพลูซีฟู้ดส์")</f>
        <v>กานพลูซีฟู้ดส์</v>
      </c>
      <c r="T515" s="5">
        <f>IFERROR(__xludf.DUMMYFUNCTION("""COMPUTED_VALUE"""),800.0)</f>
        <v>800</v>
      </c>
      <c r="U515" s="5" t="str">
        <f>IFERROR(__xludf.DUMMYFUNCTION("""COMPUTED_VALUE"""),"Y")</f>
        <v>Y</v>
      </c>
      <c r="V515" s="5">
        <f>IFERROR(__xludf.DUMMYFUNCTION("""COMPUTED_VALUE"""),925.0)</f>
        <v>925</v>
      </c>
      <c r="W515" s="5">
        <f>IFERROR(__xludf.DUMMYFUNCTION("""COMPUTED_VALUE"""),18.0)</f>
        <v>18</v>
      </c>
      <c r="X515" s="5"/>
      <c r="Y515" s="5"/>
      <c r="Z515" s="5"/>
    </row>
    <row r="516">
      <c r="A516" s="5" t="str">
        <f>IFERROR(__xludf.DUMMYFUNCTION("""COMPUTED_VALUE"""),"เนื้อหมูติดหนัง-mfood--ด-5กก/หิ้ว-129")</f>
        <v>เนื้อหมูติดหนัง-mfood--ด-5กก/หิ้ว-129</v>
      </c>
      <c r="B516" s="5">
        <f>IFERROR(__xludf.DUMMYFUNCTION("""COMPUTED_VALUE"""),10761.0)</f>
        <v>10761</v>
      </c>
      <c r="C516" s="5" t="str">
        <f>IFERROR(__xludf.DUMMYFUNCTION("""COMPUTED_VALUE"""),"สามชั้นเทียม Mfood ด 5 กก.(หิ้ว) - 143")</f>
        <v>สามชั้นเทียม Mfood ด 5 กก.(หิ้ว) - 143</v>
      </c>
      <c r="D516" s="5" t="str">
        <f>IFERROR(__xludf.DUMMYFUNCTION("""COMPUTED_VALUE"""),"**ของหิ้ว มหาชัย")</f>
        <v>**ของหิ้ว มหาชัย</v>
      </c>
      <c r="E516" s="5" t="str">
        <f>IFERROR(__xludf.DUMMYFUNCTION("""COMPUTED_VALUE"""),"&lt;p&gt;5&lt;/p&gt;")</f>
        <v>&lt;p&gt;5&lt;/p&gt;</v>
      </c>
      <c r="F516" s="5" t="str">
        <f>IFERROR(__xludf.DUMMYFUNCTION("""COMPUTED_VALUE"""),"N")</f>
        <v>N</v>
      </c>
      <c r="G516" s="5"/>
      <c r="H516" s="5"/>
      <c r="I516" s="5"/>
      <c r="J516" s="5"/>
      <c r="K516" s="5"/>
      <c r="L516" s="5"/>
      <c r="M516" s="5">
        <f>IFERROR(__xludf.DUMMYFUNCTION("""COMPUTED_VALUE"""),663.43)</f>
        <v>663.43</v>
      </c>
      <c r="N516" s="5"/>
      <c r="O516" s="5"/>
      <c r="P516" s="5"/>
      <c r="Q516" s="5" t="str">
        <f>IFERROR(__xludf.DUMMYFUNCTION("""COMPUTED_VALUE"""),"Y")</f>
        <v>Y</v>
      </c>
      <c r="R516" s="5"/>
      <c r="S516" s="5" t="str">
        <f>IFERROR(__xludf.DUMMYFUNCTION("""COMPUTED_VALUE"""),"ขึ้นของมหาชัย")</f>
        <v>ขึ้นของมหาชัย</v>
      </c>
      <c r="T516" s="5">
        <f>IFERROR(__xludf.DUMMYFUNCTION("""COMPUTED_VALUE"""),650.0)</f>
        <v>650</v>
      </c>
      <c r="U516" s="5" t="str">
        <f>IFERROR(__xludf.DUMMYFUNCTION("""COMPUTED_VALUE"""),"Y")</f>
        <v>Y</v>
      </c>
      <c r="V516" s="5">
        <f>IFERROR(__xludf.DUMMYFUNCTION("""COMPUTED_VALUE"""),715.0)</f>
        <v>715</v>
      </c>
      <c r="W516" s="5">
        <f>IFERROR(__xludf.DUMMYFUNCTION("""COMPUTED_VALUE"""),31.0)</f>
        <v>31</v>
      </c>
      <c r="X516" s="5">
        <f>IFERROR(__xludf.DUMMYFUNCTION("""COMPUTED_VALUE"""),5.0)</f>
        <v>5</v>
      </c>
      <c r="Y516" s="5">
        <f>IFERROR(__xludf.DUMMYFUNCTION("""COMPUTED_VALUE"""),15.0)</f>
        <v>15</v>
      </c>
      <c r="Z516" s="5"/>
    </row>
    <row r="517">
      <c r="A517" s="5" t="str">
        <f>IFERROR(__xludf.DUMMYFUNCTION("""COMPUTED_VALUE"""),"สามชั้นแท่ง-cp--(128)")</f>
        <v>สามชั้นแท่ง-cp--(128)</v>
      </c>
      <c r="B517" s="5">
        <f>IFERROR(__xludf.DUMMYFUNCTION("""COMPUTED_VALUE"""),10737.0)</f>
        <v>10737</v>
      </c>
      <c r="C517" s="5" t="str">
        <f>IFERROR(__xludf.DUMMYFUNCTION("""COMPUTED_VALUE"""),"สามชั้นแท่ง CP  (139)")</f>
        <v>สามชั้นแท่ง CP  (139)</v>
      </c>
      <c r="D517" s="5" t="str">
        <f>IFERROR(__xludf.DUMMYFUNCTION("""COMPUTED_VALUE"""),"**ลัง ร้อยเอ็ด")</f>
        <v>**ลัง ร้อยเอ็ด</v>
      </c>
      <c r="E517" s="5"/>
      <c r="F517" s="5" t="str">
        <f>IFERROR(__xludf.DUMMYFUNCTION("""COMPUTED_VALUE"""),"Y")</f>
        <v>Y</v>
      </c>
      <c r="G517" s="5"/>
      <c r="H517" s="5"/>
      <c r="I517" s="5"/>
      <c r="J517" s="5"/>
      <c r="K517" s="5"/>
      <c r="L517" s="5"/>
      <c r="M517" s="5">
        <f>IFERROR(__xludf.DUMMYFUNCTION("""COMPUTED_VALUE"""),126.43)</f>
        <v>126.43</v>
      </c>
      <c r="N517" s="5"/>
      <c r="O517" s="5"/>
      <c r="P517" s="5"/>
      <c r="Q517" s="5" t="str">
        <f>IFERROR(__xludf.DUMMYFUNCTION("""COMPUTED_VALUE"""),"Y")</f>
        <v>Y</v>
      </c>
      <c r="R517" s="5"/>
      <c r="S517" s="5"/>
      <c r="T517" s="5">
        <f>IFERROR(__xludf.DUMMYFUNCTION("""COMPUTED_VALUE"""),131.0)</f>
        <v>131</v>
      </c>
      <c r="U517" s="5" t="str">
        <f>IFERROR(__xludf.DUMMYFUNCTION("""COMPUTED_VALUE"""),"Y")</f>
        <v>Y</v>
      </c>
      <c r="V517" s="5">
        <f>IFERROR(__xludf.DUMMYFUNCTION("""COMPUTED_VALUE"""),139.0)</f>
        <v>139</v>
      </c>
      <c r="W517" s="5">
        <f>IFERROR(__xludf.DUMMYFUNCTION("""COMPUTED_VALUE"""),19.3)</f>
        <v>19.3</v>
      </c>
      <c r="X517" s="5"/>
      <c r="Y517" s="5"/>
      <c r="Z517" s="5"/>
    </row>
    <row r="518">
      <c r="A518" s="5" t="str">
        <f>IFERROR(__xludf.DUMMYFUNCTION("""COMPUTED_VALUE"""),"สามชั้นแท่ง-cp-*พิเศษ*--(135)")</f>
        <v>สามชั้นแท่ง-cp-*พิเศษ*--(135)</v>
      </c>
      <c r="B518" s="5">
        <f>IFERROR(__xludf.DUMMYFUNCTION("""COMPUTED_VALUE"""),10024.0)</f>
        <v>10024</v>
      </c>
      <c r="C518" s="5" t="str">
        <f>IFERROR(__xludf.DUMMYFUNCTION("""COMPUTED_VALUE"""),"สามชั้นแท่ง CP *พิเศษ*  (135)")</f>
        <v>สามชั้นแท่ง CP *พิเศษ*  (135)</v>
      </c>
      <c r="D518" s="5" t="str">
        <f>IFERROR(__xludf.DUMMYFUNCTION("""COMPUTED_VALUE"""),"**ร้านค้า ราคาพิเศษ")</f>
        <v>**ร้านค้า ราคาพิเศษ</v>
      </c>
      <c r="E518" s="5"/>
      <c r="F518" s="5" t="str">
        <f>IFERROR(__xludf.DUMMYFUNCTION("""COMPUTED_VALUE"""),"N")</f>
        <v>N</v>
      </c>
      <c r="G518" s="5"/>
      <c r="H518" s="5"/>
      <c r="I518" s="5"/>
      <c r="J518" s="5"/>
      <c r="K518" s="5"/>
      <c r="L518" s="5"/>
      <c r="M518" s="5"/>
      <c r="N518" s="5"/>
      <c r="O518" s="5">
        <f>IFERROR(__xludf.DUMMYFUNCTION("""COMPUTED_VALUE"""),10737.0)</f>
        <v>10737</v>
      </c>
      <c r="P518" s="5">
        <f>IFERROR(__xludf.DUMMYFUNCTION("""COMPUTED_VALUE"""),1.0)</f>
        <v>1</v>
      </c>
      <c r="Q518" s="5" t="str">
        <f>IFERROR(__xludf.DUMMYFUNCTION("""COMPUTED_VALUE"""),"N")</f>
        <v>N</v>
      </c>
      <c r="R518" s="5" t="str">
        <f>IFERROR(__xludf.DUMMYFUNCTION("""COMPUTED_VALUE"""),"N")</f>
        <v>N</v>
      </c>
      <c r="S518" s="5"/>
      <c r="T518" s="5"/>
      <c r="U518" s="5" t="str">
        <f>IFERROR(__xludf.DUMMYFUNCTION("""COMPUTED_VALUE"""),"Y")</f>
        <v>Y</v>
      </c>
      <c r="V518" s="5">
        <f>IFERROR(__xludf.DUMMYFUNCTION("""COMPUTED_VALUE"""),135.0)</f>
        <v>135</v>
      </c>
      <c r="W518" s="5"/>
      <c r="X518" s="5"/>
      <c r="Y518" s="5"/>
      <c r="Z518" s="5"/>
    </row>
    <row r="519">
      <c r="A519" s="5" t="str">
        <f>IFERROR(__xludf.DUMMYFUNCTION("""COMPUTED_VALUE"""),"ร้าน-เบ้อเร่อ-สามชั้นแท่ง-(155)")</f>
        <v>ร้าน-เบ้อเร่อ-สามชั้นแท่ง-(155)</v>
      </c>
      <c r="B519" s="5">
        <f>IFERROR(__xludf.DUMMYFUNCTION("""COMPUTED_VALUE"""),11441.0)</f>
        <v>11441</v>
      </c>
      <c r="C519" s="5" t="str">
        <f>IFERROR(__xludf.DUMMYFUNCTION("""COMPUTED_VALUE"""),"สามชั้นแท่ง เบ  *พิเศษ* (168)")</f>
        <v>สามชั้นแท่ง เบ  *พิเศษ* (168)</v>
      </c>
      <c r="D519" s="5" t="str">
        <f>IFERROR(__xludf.DUMMYFUNCTION("""COMPUTED_VALUE"""),"**ร้านค้า ราคาพิเศษ")</f>
        <v>**ร้านค้า ราคาพิเศษ</v>
      </c>
      <c r="E519" s="5" t="str">
        <f>IFERROR(__xludf.DUMMYFUNCTION("""COMPUTED_VALUE"""),"&lt;p&gt;X&lt;/p&gt;")</f>
        <v>&lt;p&gt;X&lt;/p&gt;</v>
      </c>
      <c r="F519" s="5" t="str">
        <f>IFERROR(__xludf.DUMMYFUNCTION("""COMPUTED_VALUE"""),"Y")</f>
        <v>Y</v>
      </c>
      <c r="G519" s="5"/>
      <c r="H519" s="5"/>
      <c r="I519" s="5"/>
      <c r="J519" s="5"/>
      <c r="K519" s="5"/>
      <c r="L519" s="5"/>
      <c r="M519" s="5"/>
      <c r="N519" s="5">
        <f>IFERROR(__xludf.DUMMYFUNCTION("""COMPUTED_VALUE"""),11441.0)</f>
        <v>11441</v>
      </c>
      <c r="O519" s="5">
        <f>IFERROR(__xludf.DUMMYFUNCTION("""COMPUTED_VALUE"""),11299.0)</f>
        <v>11299</v>
      </c>
      <c r="P519" s="5">
        <f>IFERROR(__xludf.DUMMYFUNCTION("""COMPUTED_VALUE"""),1.0)</f>
        <v>1</v>
      </c>
      <c r="Q519" s="5" t="str">
        <f>IFERROR(__xludf.DUMMYFUNCTION("""COMPUTED_VALUE"""),"N")</f>
        <v>N</v>
      </c>
      <c r="R519" s="5" t="str">
        <f>IFERROR(__xludf.DUMMYFUNCTION("""COMPUTED_VALUE"""),"N")</f>
        <v>N</v>
      </c>
      <c r="S519" s="5"/>
      <c r="T519" s="5"/>
      <c r="U519" s="5" t="str">
        <f>IFERROR(__xludf.DUMMYFUNCTION("""COMPUTED_VALUE"""),"Y")</f>
        <v>Y</v>
      </c>
      <c r="V519" s="5">
        <f>IFERROR(__xludf.DUMMYFUNCTION("""COMPUTED_VALUE"""),168.0)</f>
        <v>168</v>
      </c>
      <c r="W519" s="5"/>
      <c r="X519" s="5"/>
      <c r="Y519" s="5"/>
      <c r="Z519" s="5"/>
    </row>
    <row r="520">
      <c r="A520" s="5" t="str">
        <f>IFERROR(__xludf.DUMMYFUNCTION("""COMPUTED_VALUE"""),"สามชั้นม้วนลอกหนัง-แท่ง-เบทาโกร")</f>
        <v>สามชั้นม้วนลอกหนัง-แท่ง-เบทาโกร</v>
      </c>
      <c r="B520" s="5">
        <f>IFERROR(__xludf.DUMMYFUNCTION("""COMPUTED_VALUE"""),11299.0)</f>
        <v>11299</v>
      </c>
      <c r="C520" s="5" t="str">
        <f>IFERROR(__xludf.DUMMYFUNCTION("""COMPUTED_VALUE"""),"สามชั้นแท่ง เบทาโกร (170)")</f>
        <v>สามชั้นแท่ง เบทาโกร (170)</v>
      </c>
      <c r="D520" s="5" t="str">
        <f>IFERROR(__xludf.DUMMYFUNCTION("""COMPUTED_VALUE"""),"**ชั่งน้ำหนัก")</f>
        <v>**ชั่งน้ำหนัก</v>
      </c>
      <c r="E520" s="5" t="str">
        <f>IFERROR(__xludf.DUMMYFUNCTION("""COMPUTED_VALUE"""),"&lt;p&gt;A&lt;/p&gt;")</f>
        <v>&lt;p&gt;A&lt;/p&gt;</v>
      </c>
      <c r="F520" s="5" t="str">
        <f>IFERROR(__xludf.DUMMYFUNCTION("""COMPUTED_VALUE"""),"Y")</f>
        <v>Y</v>
      </c>
      <c r="G520" s="5"/>
      <c r="H520" s="5"/>
      <c r="I520" s="5"/>
      <c r="J520" s="5"/>
      <c r="K520" s="5"/>
      <c r="L520" s="5"/>
      <c r="M520" s="5">
        <f>IFERROR(__xludf.DUMMYFUNCTION("""COMPUTED_VALUE"""),150.0)</f>
        <v>150</v>
      </c>
      <c r="N520" s="5">
        <f>IFERROR(__xludf.DUMMYFUNCTION("""COMPUTED_VALUE"""),11299.0)</f>
        <v>11299</v>
      </c>
      <c r="O520" s="5"/>
      <c r="P520" s="5"/>
      <c r="Q520" s="5" t="str">
        <f>IFERROR(__xludf.DUMMYFUNCTION("""COMPUTED_VALUE"""),"Y")</f>
        <v>Y</v>
      </c>
      <c r="R520" s="5"/>
      <c r="S520" s="5" t="str">
        <f>IFERROR(__xludf.DUMMYFUNCTION("""COMPUTED_VALUE"""),"เบทาโกร")</f>
        <v>เบทาโกร</v>
      </c>
      <c r="T520" s="5">
        <f>IFERROR(__xludf.DUMMYFUNCTION("""COMPUTED_VALUE"""),150.0)</f>
        <v>150</v>
      </c>
      <c r="U520" s="5" t="str">
        <f>IFERROR(__xludf.DUMMYFUNCTION("""COMPUTED_VALUE"""),"Y")</f>
        <v>Y</v>
      </c>
      <c r="V520" s="5">
        <f>IFERROR(__xludf.DUMMYFUNCTION("""COMPUTED_VALUE"""),170.0)</f>
        <v>170</v>
      </c>
      <c r="W520" s="5">
        <f>IFERROR(__xludf.DUMMYFUNCTION("""COMPUTED_VALUE"""),425.57)</f>
        <v>425.57</v>
      </c>
      <c r="X520" s="5">
        <f>IFERROR(__xludf.DUMMYFUNCTION("""COMPUTED_VALUE"""),27.0)</f>
        <v>27</v>
      </c>
      <c r="Y520" s="5">
        <f>IFERROR(__xludf.DUMMYFUNCTION("""COMPUTED_VALUE"""),45.0)</f>
        <v>45</v>
      </c>
      <c r="Z520" s="5"/>
    </row>
    <row r="521">
      <c r="A521" s="5" t="str">
        <f>IFERROR(__xludf.DUMMYFUNCTION("""COMPUTED_VALUE"""),"สามชั้นแผ่น-(เบทาโกร)-พิเศษ-160")</f>
        <v>สามชั้นแผ่น-(เบทาโกร)-พิเศษ-160</v>
      </c>
      <c r="B521" s="5">
        <f>IFERROR(__xludf.DUMMYFUNCTION("""COMPUTED_VALUE"""),10310.0)</f>
        <v>10310</v>
      </c>
      <c r="C521" s="5" t="str">
        <f>IFERROR(__xludf.DUMMYFUNCTION("""COMPUTED_VALUE"""),"สามชั้นแผ่น (เบ) พิเศษ149")</f>
        <v>สามชั้นแผ่น (เบ) พิเศษ149</v>
      </c>
      <c r="D521" s="5" t="str">
        <f>IFERROR(__xludf.DUMMYFUNCTION("""COMPUTED_VALUE"""),"**ร้านค้า ราคาพิเศษ")</f>
        <v>**ร้านค้า ราคาพิเศษ</v>
      </c>
      <c r="E521" s="5"/>
      <c r="F521" s="5" t="str">
        <f>IFERROR(__xludf.DUMMYFUNCTION("""COMPUTED_VALUE"""),"Y")</f>
        <v>Y</v>
      </c>
      <c r="G521" s="5"/>
      <c r="H521" s="5"/>
      <c r="I521" s="5"/>
      <c r="J521" s="5"/>
      <c r="K521" s="5"/>
      <c r="L521" s="5"/>
      <c r="M521" s="5"/>
      <c r="N521" s="5"/>
      <c r="O521" s="5">
        <f>IFERROR(__xludf.DUMMYFUNCTION("""COMPUTED_VALUE"""),11026.0)</f>
        <v>11026</v>
      </c>
      <c r="P521" s="5">
        <f>IFERROR(__xludf.DUMMYFUNCTION("""COMPUTED_VALUE"""),1.0)</f>
        <v>1</v>
      </c>
      <c r="Q521" s="5" t="str">
        <f>IFERROR(__xludf.DUMMYFUNCTION("""COMPUTED_VALUE"""),"N")</f>
        <v>N</v>
      </c>
      <c r="R521" s="5" t="str">
        <f>IFERROR(__xludf.DUMMYFUNCTION("""COMPUTED_VALUE"""),"N")</f>
        <v>N</v>
      </c>
      <c r="S521" s="5"/>
      <c r="T521" s="5"/>
      <c r="U521" s="5" t="str">
        <f>IFERROR(__xludf.DUMMYFUNCTION("""COMPUTED_VALUE"""),"Y")</f>
        <v>Y</v>
      </c>
      <c r="V521" s="5">
        <f>IFERROR(__xludf.DUMMYFUNCTION("""COMPUTED_VALUE"""),149.0)</f>
        <v>149</v>
      </c>
      <c r="W521" s="5"/>
      <c r="X521" s="5"/>
      <c r="Y521" s="5"/>
      <c r="Z521" s="5"/>
    </row>
    <row r="522">
      <c r="A522" s="5" t="str">
        <f>IFERROR(__xludf.DUMMYFUNCTION("""COMPUTED_VALUE"""),"รัตนามาเก็ต-สามชั้นแผ่น")</f>
        <v>รัตนามาเก็ต-สามชั้นแผ่น</v>
      </c>
      <c r="B522" s="5">
        <f>IFERROR(__xludf.DUMMYFUNCTION("""COMPUTED_VALUE"""),11026.0)</f>
        <v>11026</v>
      </c>
      <c r="C522" s="5" t="str">
        <f>IFERROR(__xludf.DUMMYFUNCTION("""COMPUTED_VALUE"""),"สามชั้นแผ่น (เบทาโกร) -179")</f>
        <v>สามชั้นแผ่น (เบทาโกร) -179</v>
      </c>
      <c r="D522" s="5" t="str">
        <f>IFERROR(__xludf.DUMMYFUNCTION("""COMPUTED_VALUE"""),"**ชั่งน้ำหนัก")</f>
        <v>**ชั่งน้ำหนัก</v>
      </c>
      <c r="E522" s="5" t="str">
        <f>IFERROR(__xludf.DUMMYFUNCTION("""COMPUTED_VALUE"""),"&lt;p&gt;A&lt;/p&gt;")</f>
        <v>&lt;p&gt;A&lt;/p&gt;</v>
      </c>
      <c r="F522" s="5" t="str">
        <f>IFERROR(__xludf.DUMMYFUNCTION("""COMPUTED_VALUE"""),"Y")</f>
        <v>Y</v>
      </c>
      <c r="G522" s="5"/>
      <c r="H522" s="5"/>
      <c r="I522" s="5"/>
      <c r="J522" s="5"/>
      <c r="K522" s="5"/>
      <c r="L522" s="5"/>
      <c r="M522" s="5">
        <f>IFERROR(__xludf.DUMMYFUNCTION("""COMPUTED_VALUE"""),142.14)</f>
        <v>142.14</v>
      </c>
      <c r="N522" s="5">
        <f>IFERROR(__xludf.DUMMYFUNCTION("""COMPUTED_VALUE"""),11026.0)</f>
        <v>11026</v>
      </c>
      <c r="O522" s="5"/>
      <c r="P522" s="5"/>
      <c r="Q522" s="5" t="str">
        <f>IFERROR(__xludf.DUMMYFUNCTION("""COMPUTED_VALUE"""),"Y")</f>
        <v>Y</v>
      </c>
      <c r="R522" s="5"/>
      <c r="S522" s="5" t="str">
        <f>IFERROR(__xludf.DUMMYFUNCTION("""COMPUTED_VALUE"""),"เบทาโกร")</f>
        <v>เบทาโกร</v>
      </c>
      <c r="T522" s="5">
        <f>IFERROR(__xludf.DUMMYFUNCTION("""COMPUTED_VALUE"""),145.0)</f>
        <v>145</v>
      </c>
      <c r="U522" s="5" t="str">
        <f>IFERROR(__xludf.DUMMYFUNCTION("""COMPUTED_VALUE"""),"Y")</f>
        <v>Y</v>
      </c>
      <c r="V522" s="5">
        <f>IFERROR(__xludf.DUMMYFUNCTION("""COMPUTED_VALUE"""),179.0)</f>
        <v>179</v>
      </c>
      <c r="W522" s="5">
        <f>IFERROR(__xludf.DUMMYFUNCTION("""COMPUTED_VALUE"""),45.2)</f>
        <v>45.2</v>
      </c>
      <c r="X522" s="5">
        <f>IFERROR(__xludf.DUMMYFUNCTION("""COMPUTED_VALUE"""),7.0)</f>
        <v>7</v>
      </c>
      <c r="Y522" s="5">
        <f>IFERROR(__xludf.DUMMYFUNCTION("""COMPUTED_VALUE"""),12.0)</f>
        <v>12</v>
      </c>
      <c r="Z522" s="5"/>
    </row>
    <row r="523">
      <c r="A523" s="5" t="str">
        <f>IFERROR(__xludf.DUMMYFUNCTION("""COMPUTED_VALUE"""),"สาหร่าย-(ฟินิกซ์)-1*20")</f>
        <v>สาหร่าย-(ฟินิกซ์)-1*20</v>
      </c>
      <c r="B523" s="5">
        <f>IFERROR(__xludf.DUMMYFUNCTION("""COMPUTED_VALUE"""),10418.0)</f>
        <v>10418</v>
      </c>
      <c r="C523" s="5" t="str">
        <f>IFERROR(__xludf.DUMMYFUNCTION("""COMPUTED_VALUE"""),"สาหร่ายแผ่นกลม (ฟินิกซ์)20แพ็ค/หิ้ว")</f>
        <v>สาหร่ายแผ่นกลม (ฟินิกซ์)20แพ็ค/หิ้ว</v>
      </c>
      <c r="D523" s="5" t="str">
        <f>IFERROR(__xludf.DUMMYFUNCTION("""COMPUTED_VALUE"""),"**ของแห้ง")</f>
        <v>**ของแห้ง</v>
      </c>
      <c r="E523" s="5" t="str">
        <f>IFERROR(__xludf.DUMMYFUNCTION("""COMPUTED_VALUE"""),"&lt;p&gt;S&lt;/p&gt;")</f>
        <v>&lt;p&gt;S&lt;/p&gt;</v>
      </c>
      <c r="F523" s="5" t="str">
        <f>IFERROR(__xludf.DUMMYFUNCTION("""COMPUTED_VALUE"""),"N")</f>
        <v>N</v>
      </c>
      <c r="G523" s="5"/>
      <c r="H523" s="5"/>
      <c r="I523" s="5"/>
      <c r="J523" s="5"/>
      <c r="K523" s="5"/>
      <c r="L523" s="5"/>
      <c r="M523" s="5">
        <f>IFERROR(__xludf.DUMMYFUNCTION("""COMPUTED_VALUE"""),176.61)</f>
        <v>176.61</v>
      </c>
      <c r="N523" s="5">
        <f>IFERROR(__xludf.DUMMYFUNCTION("""COMPUTED_VALUE"""),10418.0)</f>
        <v>10418</v>
      </c>
      <c r="O523" s="5"/>
      <c r="P523" s="5"/>
      <c r="Q523" s="5" t="str">
        <f>IFERROR(__xludf.DUMMYFUNCTION("""COMPUTED_VALUE"""),"Y")</f>
        <v>Y</v>
      </c>
      <c r="R523" s="5"/>
      <c r="S523" s="5" t="str">
        <f>IFERROR(__xludf.DUMMYFUNCTION("""COMPUTED_VALUE"""),"เห็ดแห้ง (ฟิกนิกซ์)")</f>
        <v>เห็ดแห้ง (ฟิกนิกซ์)</v>
      </c>
      <c r="T523" s="5">
        <f>IFERROR(__xludf.DUMMYFUNCTION("""COMPUTED_VALUE"""),166.67)</f>
        <v>166.67</v>
      </c>
      <c r="U523" s="5" t="str">
        <f>IFERROR(__xludf.DUMMYFUNCTION("""COMPUTED_VALUE"""),"Y")</f>
        <v>Y</v>
      </c>
      <c r="V523" s="5">
        <f>IFERROR(__xludf.DUMMYFUNCTION("""COMPUTED_VALUE"""),220.0)</f>
        <v>220</v>
      </c>
      <c r="W523" s="5">
        <f>IFERROR(__xludf.DUMMYFUNCTION("""COMPUTED_VALUE"""),19.0)</f>
        <v>19</v>
      </c>
      <c r="X523" s="5"/>
      <c r="Y523" s="5"/>
      <c r="Z523" s="5"/>
    </row>
    <row r="524">
      <c r="A524" s="5" t="str">
        <f>IFERROR(__xludf.DUMMYFUNCTION("""COMPUTED_VALUE"""),"สาหร่ายแผ่นกลม-6หิ้ว(ลัง)-1")</f>
        <v>สาหร่ายแผ่นกลม-6หิ้ว(ลัง)-1</v>
      </c>
      <c r="B524" s="5">
        <f>IFERROR(__xludf.DUMMYFUNCTION("""COMPUTED_VALUE"""),10744.0)</f>
        <v>10744</v>
      </c>
      <c r="C524" s="5" t="str">
        <f>IFERROR(__xludf.DUMMYFUNCTION("""COMPUTED_VALUE"""),"สาหร่ายแผ่นกลม 6หิ้ว(ลัง)")</f>
        <v>สาหร่ายแผ่นกลม 6หิ้ว(ลัง)</v>
      </c>
      <c r="D524" s="5"/>
      <c r="E524" s="5"/>
      <c r="F524" s="5" t="str">
        <f>IFERROR(__xludf.DUMMYFUNCTION("""COMPUTED_VALUE"""),"N")</f>
        <v>N</v>
      </c>
      <c r="G524" s="5"/>
      <c r="H524" s="5"/>
      <c r="I524" s="5"/>
      <c r="J524" s="5"/>
      <c r="K524" s="5"/>
      <c r="L524" s="5"/>
      <c r="M524" s="5"/>
      <c r="N524" s="5"/>
      <c r="O524" s="5">
        <f>IFERROR(__xludf.DUMMYFUNCTION("""COMPUTED_VALUE"""),10418.0)</f>
        <v>10418</v>
      </c>
      <c r="P524" s="5">
        <f>IFERROR(__xludf.DUMMYFUNCTION("""COMPUTED_VALUE"""),6.0)</f>
        <v>6</v>
      </c>
      <c r="Q524" s="5" t="str">
        <f>IFERROR(__xludf.DUMMYFUNCTION("""COMPUTED_VALUE"""),"N")</f>
        <v>N</v>
      </c>
      <c r="R524" s="5" t="str">
        <f>IFERROR(__xludf.DUMMYFUNCTION("""COMPUTED_VALUE"""),"N")</f>
        <v>N</v>
      </c>
      <c r="S524" s="5"/>
      <c r="T524" s="5"/>
      <c r="U524" s="5" t="str">
        <f>IFERROR(__xludf.DUMMYFUNCTION("""COMPUTED_VALUE"""),"Y")</f>
        <v>Y</v>
      </c>
      <c r="V524" s="5">
        <f>IFERROR(__xludf.DUMMYFUNCTION("""COMPUTED_VALUE"""),1200.0)</f>
        <v>1200</v>
      </c>
      <c r="W524" s="5"/>
      <c r="X524" s="5"/>
      <c r="Y524" s="5"/>
      <c r="Z524" s="5"/>
    </row>
    <row r="525">
      <c r="A525" s="5" t="str">
        <f>IFERROR(__xludf.DUMMYFUNCTION("""COMPUTED_VALUE"""),"สไบจุก--r100(85)")</f>
        <v>สไบจุก--r100(85)</v>
      </c>
      <c r="B525" s="5">
        <f>IFERROR(__xludf.DUMMYFUNCTION("""COMPUTED_VALUE"""),10099.0)</f>
        <v>10099</v>
      </c>
      <c r="C525" s="5" t="str">
        <f>IFERROR(__xludf.DUMMYFUNCTION("""COMPUTED_VALUE"""),"สไบจุก  R100(135)")</f>
        <v>สไบจุก  R100(135)</v>
      </c>
      <c r="D525" s="5" t="str">
        <f>IFERROR(__xludf.DUMMYFUNCTION("""COMPUTED_VALUE"""),"**ร้านค้า ราคาพิเศษ")</f>
        <v>**ร้านค้า ราคาพิเศษ</v>
      </c>
      <c r="E525" s="5"/>
      <c r="F525" s="5" t="str">
        <f>IFERROR(__xludf.DUMMYFUNCTION("""COMPUTED_VALUE"""),"N")</f>
        <v>N</v>
      </c>
      <c r="G525" s="5"/>
      <c r="H525" s="5"/>
      <c r="I525" s="5"/>
      <c r="J525" s="5"/>
      <c r="K525" s="5"/>
      <c r="L525" s="5"/>
      <c r="M525" s="5"/>
      <c r="N525" s="5"/>
      <c r="O525" s="5">
        <f>IFERROR(__xludf.DUMMYFUNCTION("""COMPUTED_VALUE"""),11421.0)</f>
        <v>11421</v>
      </c>
      <c r="P525" s="5">
        <f>IFERROR(__xludf.DUMMYFUNCTION("""COMPUTED_VALUE"""),1.0)</f>
        <v>1</v>
      </c>
      <c r="Q525" s="5" t="str">
        <f>IFERROR(__xludf.DUMMYFUNCTION("""COMPUTED_VALUE"""),"N")</f>
        <v>N</v>
      </c>
      <c r="R525" s="5" t="str">
        <f>IFERROR(__xludf.DUMMYFUNCTION("""COMPUTED_VALUE"""),"N")</f>
        <v>N</v>
      </c>
      <c r="S525" s="5"/>
      <c r="T525" s="5"/>
      <c r="U525" s="5" t="str">
        <f>IFERROR(__xludf.DUMMYFUNCTION("""COMPUTED_VALUE"""),"N")</f>
        <v>N</v>
      </c>
      <c r="V525" s="5">
        <f>IFERROR(__xludf.DUMMYFUNCTION("""COMPUTED_VALUE"""),675.0)</f>
        <v>675</v>
      </c>
      <c r="W525" s="5"/>
      <c r="X525" s="5"/>
      <c r="Y525" s="5"/>
      <c r="Z525" s="5"/>
    </row>
    <row r="526">
      <c r="A526" s="5" t="str">
        <f>IFERROR(__xludf.DUMMYFUNCTION("""COMPUTED_VALUE"""),"สไบ(จุก)")</f>
        <v>สไบ(จุก)</v>
      </c>
      <c r="B526" s="5">
        <f>IFERROR(__xludf.DUMMYFUNCTION("""COMPUTED_VALUE"""),11421.0)</f>
        <v>11421</v>
      </c>
      <c r="C526" s="5" t="str">
        <f>IFERROR(__xludf.DUMMYFUNCTION("""COMPUTED_VALUE"""),"สไบจุก 5 กก/ถุง  -132")</f>
        <v>สไบจุก 5 กก/ถุง  -132</v>
      </c>
      <c r="D526" s="5" t="str">
        <f>IFERROR(__xludf.DUMMYFUNCTION("""COMPUTED_VALUE"""),"**แช่น้ำ")</f>
        <v>**แช่น้ำ</v>
      </c>
      <c r="E526" s="5" t="str">
        <f>IFERROR(__xludf.DUMMYFUNCTION("""COMPUTED_VALUE"""),"&lt;p&gt;ส&lt;/p&gt;")</f>
        <v>&lt;p&gt;ส&lt;/p&gt;</v>
      </c>
      <c r="F526" s="5" t="str">
        <f>IFERROR(__xludf.DUMMYFUNCTION("""COMPUTED_VALUE"""),"N")</f>
        <v>N</v>
      </c>
      <c r="G526" s="5"/>
      <c r="H526" s="5"/>
      <c r="I526" s="5"/>
      <c r="J526" s="5"/>
      <c r="K526" s="5"/>
      <c r="L526" s="5"/>
      <c r="M526" s="5">
        <f>IFERROR(__xludf.DUMMYFUNCTION("""COMPUTED_VALUE"""),615.0)</f>
        <v>615</v>
      </c>
      <c r="N526" s="5">
        <f>IFERROR(__xludf.DUMMYFUNCTION("""COMPUTED_VALUE"""),11421.0)</f>
        <v>11421</v>
      </c>
      <c r="O526" s="5"/>
      <c r="P526" s="5"/>
      <c r="Q526" s="5" t="str">
        <f>IFERROR(__xludf.DUMMYFUNCTION("""COMPUTED_VALUE"""),"Y")</f>
        <v>Y</v>
      </c>
      <c r="R526" s="5"/>
      <c r="S526" s="5" t="str">
        <f>IFERROR(__xludf.DUMMYFUNCTION("""COMPUTED_VALUE"""),"ดานีนฟู้ด (สไบเบิร์ด)")</f>
        <v>ดานีนฟู้ด (สไบเบิร์ด)</v>
      </c>
      <c r="T526" s="5">
        <f>IFERROR(__xludf.DUMMYFUNCTION("""COMPUTED_VALUE"""),615.0)</f>
        <v>615</v>
      </c>
      <c r="U526" s="5" t="str">
        <f>IFERROR(__xludf.DUMMYFUNCTION("""COMPUTED_VALUE"""),"Y")</f>
        <v>Y</v>
      </c>
      <c r="V526" s="5">
        <f>IFERROR(__xludf.DUMMYFUNCTION("""COMPUTED_VALUE"""),660.0)</f>
        <v>660</v>
      </c>
      <c r="W526" s="5">
        <f>IFERROR(__xludf.DUMMYFUNCTION("""COMPUTED_VALUE"""),0.0)</f>
        <v>0</v>
      </c>
      <c r="X526" s="5">
        <f>IFERROR(__xludf.DUMMYFUNCTION("""COMPUTED_VALUE"""),5.0)</f>
        <v>5</v>
      </c>
      <c r="Y526" s="5">
        <f>IFERROR(__xludf.DUMMYFUNCTION("""COMPUTED_VALUE"""),16.0)</f>
        <v>16</v>
      </c>
      <c r="Z526" s="5"/>
    </row>
    <row r="527">
      <c r="A527" s="5" t="str">
        <f>IFERROR(__xludf.DUMMYFUNCTION("""COMPUTED_VALUE"""),"สไบนาง-แพ็ค500g")</f>
        <v>สไบนาง-แพ็ค500g</v>
      </c>
      <c r="B527" s="5">
        <f>IFERROR(__xludf.DUMMYFUNCTION("""COMPUTED_VALUE"""),10456.0)</f>
        <v>10456</v>
      </c>
      <c r="C527" s="5" t="str">
        <f>IFERROR(__xludf.DUMMYFUNCTION("""COMPUTED_VALUE"""),"สไบผืน A 5 Kg  R100 (150)")</f>
        <v>สไบผืน A 5 Kg  R100 (150)</v>
      </c>
      <c r="D527" s="5" t="str">
        <f>IFERROR(__xludf.DUMMYFUNCTION("""COMPUTED_VALUE"""),"**ร้านค้า ราคาพิเศษ")</f>
        <v>**ร้านค้า ราคาพิเศษ</v>
      </c>
      <c r="E527" s="5" t="str">
        <f>IFERROR(__xludf.DUMMYFUNCTION("""COMPUTED_VALUE"""),"&lt;p&gt;X&lt;/p&gt;")</f>
        <v>&lt;p&gt;X&lt;/p&gt;</v>
      </c>
      <c r="F527" s="5" t="str">
        <f>IFERROR(__xludf.DUMMYFUNCTION("""COMPUTED_VALUE"""),"N")</f>
        <v>N</v>
      </c>
      <c r="G527" s="5"/>
      <c r="H527" s="5"/>
      <c r="I527" s="5"/>
      <c r="J527" s="5"/>
      <c r="K527" s="5"/>
      <c r="L527" s="5"/>
      <c r="M527" s="5"/>
      <c r="N527" s="5">
        <f>IFERROR(__xludf.DUMMYFUNCTION("""COMPUTED_VALUE"""),10456.0)</f>
        <v>10456</v>
      </c>
      <c r="O527" s="5">
        <f>IFERROR(__xludf.DUMMYFUNCTION("""COMPUTED_VALUE"""),10373.0)</f>
        <v>10373</v>
      </c>
      <c r="P527" s="5">
        <f>IFERROR(__xludf.DUMMYFUNCTION("""COMPUTED_VALUE"""),1.0)</f>
        <v>1</v>
      </c>
      <c r="Q527" s="5" t="str">
        <f>IFERROR(__xludf.DUMMYFUNCTION("""COMPUTED_VALUE"""),"N")</f>
        <v>N</v>
      </c>
      <c r="R527" s="5" t="str">
        <f>IFERROR(__xludf.DUMMYFUNCTION("""COMPUTED_VALUE"""),"N")</f>
        <v>N</v>
      </c>
      <c r="S527" s="5"/>
      <c r="T527" s="5"/>
      <c r="U527" s="5" t="str">
        <f>IFERROR(__xludf.DUMMYFUNCTION("""COMPUTED_VALUE"""),"Y")</f>
        <v>Y</v>
      </c>
      <c r="V527" s="5">
        <f>IFERROR(__xludf.DUMMYFUNCTION("""COMPUTED_VALUE"""),750.0)</f>
        <v>750</v>
      </c>
      <c r="W527" s="5"/>
      <c r="X527" s="5"/>
      <c r="Y527" s="5"/>
      <c r="Z527" s="5"/>
    </row>
    <row r="528">
      <c r="A528" s="5" t="str">
        <f>IFERROR(__xludf.DUMMYFUNCTION("""COMPUTED_VALUE"""),"10373")</f>
        <v>10373</v>
      </c>
      <c r="B528" s="5">
        <f>IFERROR(__xludf.DUMMYFUNCTION("""COMPUTED_VALUE"""),10373.0)</f>
        <v>10373</v>
      </c>
      <c r="C528" s="5" t="str">
        <f>IFERROR(__xludf.DUMMYFUNCTION("""COMPUTED_VALUE"""),"สไบผืน A 5 กก./ถุง - 155")</f>
        <v>สไบผืน A 5 กก./ถุง - 155</v>
      </c>
      <c r="D528" s="5" t="str">
        <f>IFERROR(__xludf.DUMMYFUNCTION("""COMPUTED_VALUE"""),"**แช่น้ำ")</f>
        <v>**แช่น้ำ</v>
      </c>
      <c r="E528" s="5" t="str">
        <f>IFERROR(__xludf.DUMMYFUNCTION("""COMPUTED_VALUE"""),"&lt;p&gt;B&lt;/p&gt;")</f>
        <v>&lt;p&gt;B&lt;/p&gt;</v>
      </c>
      <c r="F528" s="5" t="str">
        <f>IFERROR(__xludf.DUMMYFUNCTION("""COMPUTED_VALUE"""),"N")</f>
        <v>N</v>
      </c>
      <c r="G528" s="5"/>
      <c r="H528" s="5"/>
      <c r="I528" s="5"/>
      <c r="J528" s="5"/>
      <c r="K528" s="5"/>
      <c r="L528" s="5"/>
      <c r="M528" s="5">
        <f>IFERROR(__xludf.DUMMYFUNCTION("""COMPUTED_VALUE"""),725.0)</f>
        <v>725</v>
      </c>
      <c r="N528" s="5">
        <f>IFERROR(__xludf.DUMMYFUNCTION("""COMPUTED_VALUE"""),10373.0)</f>
        <v>10373</v>
      </c>
      <c r="O528" s="5"/>
      <c r="P528" s="5"/>
      <c r="Q528" s="5" t="str">
        <f>IFERROR(__xludf.DUMMYFUNCTION("""COMPUTED_VALUE"""),"Y")</f>
        <v>Y</v>
      </c>
      <c r="R528" s="5"/>
      <c r="S528" s="5" t="str">
        <f>IFERROR(__xludf.DUMMYFUNCTION("""COMPUTED_VALUE"""),"ดานีนฟู้ด (สไบเบิร์ด)")</f>
        <v>ดานีนฟู้ด (สไบเบิร์ด)</v>
      </c>
      <c r="T528" s="5">
        <f>IFERROR(__xludf.DUMMYFUNCTION("""COMPUTED_VALUE"""),725.0)</f>
        <v>725</v>
      </c>
      <c r="U528" s="5" t="str">
        <f>IFERROR(__xludf.DUMMYFUNCTION("""COMPUTED_VALUE"""),"Y")</f>
        <v>Y</v>
      </c>
      <c r="V528" s="5">
        <f>IFERROR(__xludf.DUMMYFUNCTION("""COMPUTED_VALUE"""),775.0)</f>
        <v>775</v>
      </c>
      <c r="W528" s="5">
        <f>IFERROR(__xludf.DUMMYFUNCTION("""COMPUTED_VALUE"""),21.0)</f>
        <v>21</v>
      </c>
      <c r="X528" s="5">
        <f>IFERROR(__xludf.DUMMYFUNCTION("""COMPUTED_VALUE"""),10.0)</f>
        <v>10</v>
      </c>
      <c r="Y528" s="5">
        <f>IFERROR(__xludf.DUMMYFUNCTION("""COMPUTED_VALUE"""),15.0)</f>
        <v>15</v>
      </c>
      <c r="Z528" s="5"/>
    </row>
    <row r="529">
      <c r="A529" s="5" t="str">
        <f>IFERROR(__xludf.DUMMYFUNCTION("""COMPUTED_VALUE"""),"สไบผืน-เกรดb-5kg(120)")</f>
        <v>สไบผืน-เกรดb-5kg(120)</v>
      </c>
      <c r="B529" s="5">
        <f>IFERROR(__xludf.DUMMYFUNCTION("""COMPUTED_VALUE"""),10780.0)</f>
        <v>10780</v>
      </c>
      <c r="C529" s="5" t="str">
        <f>IFERROR(__xludf.DUMMYFUNCTION("""COMPUTED_VALUE"""),"สไบผืน เกรดB 5Kg(145)")</f>
        <v>สไบผืน เกรดB 5Kg(145)</v>
      </c>
      <c r="D529" s="5" t="str">
        <f>IFERROR(__xludf.DUMMYFUNCTION("""COMPUTED_VALUE"""),"**แช่น้ำ")</f>
        <v>**แช่น้ำ</v>
      </c>
      <c r="E529" s="5"/>
      <c r="F529" s="5" t="str">
        <f>IFERROR(__xludf.DUMMYFUNCTION("""COMPUTED_VALUE"""),"N")</f>
        <v>N</v>
      </c>
      <c r="G529" s="5"/>
      <c r="H529" s="5"/>
      <c r="I529" s="5"/>
      <c r="J529" s="5"/>
      <c r="K529" s="5"/>
      <c r="L529" s="5"/>
      <c r="M529" s="5">
        <f>IFERROR(__xludf.DUMMYFUNCTION("""COMPUTED_VALUE"""),675.0)</f>
        <v>675</v>
      </c>
      <c r="N529" s="5"/>
      <c r="O529" s="5"/>
      <c r="P529" s="5"/>
      <c r="Q529" s="5" t="str">
        <f>IFERROR(__xludf.DUMMYFUNCTION("""COMPUTED_VALUE"""),"Y")</f>
        <v>Y</v>
      </c>
      <c r="R529" s="5"/>
      <c r="S529" s="5" t="str">
        <f>IFERROR(__xludf.DUMMYFUNCTION("""COMPUTED_VALUE"""),"ดานีนฟู้ด (สไบเบิร์ด)")</f>
        <v>ดานีนฟู้ด (สไบเบิร์ด)</v>
      </c>
      <c r="T529" s="5">
        <f>IFERROR(__xludf.DUMMYFUNCTION("""COMPUTED_VALUE"""),675.0)</f>
        <v>675</v>
      </c>
      <c r="U529" s="5" t="str">
        <f>IFERROR(__xludf.DUMMYFUNCTION("""COMPUTED_VALUE"""),"N")</f>
        <v>N</v>
      </c>
      <c r="V529" s="5">
        <f>IFERROR(__xludf.DUMMYFUNCTION("""COMPUTED_VALUE"""),725.0)</f>
        <v>725</v>
      </c>
      <c r="W529" s="5">
        <f>IFERROR(__xludf.DUMMYFUNCTION("""COMPUTED_VALUE"""),0.0)</f>
        <v>0</v>
      </c>
      <c r="X529" s="5"/>
      <c r="Y529" s="5"/>
      <c r="Z529" s="5"/>
    </row>
    <row r="530">
      <c r="A530" s="5" t="str">
        <f>IFERROR(__xludf.DUMMYFUNCTION("""COMPUTED_VALUE"""),"สไบนางหั่น-5-กก-r100-(88)")</f>
        <v>สไบนางหั่น-5-กก-r100-(88)</v>
      </c>
      <c r="B530" s="5">
        <f>IFERROR(__xludf.DUMMYFUNCTION("""COMPUTED_VALUE"""),11596.0)</f>
        <v>11596</v>
      </c>
      <c r="C530" s="5" t="str">
        <f>IFERROR(__xludf.DUMMYFUNCTION("""COMPUTED_VALUE"""),"สไบหั่น 5 กก R100(138)")</f>
        <v>สไบหั่น 5 กก R100(138)</v>
      </c>
      <c r="D530" s="5" t="str">
        <f>IFERROR(__xludf.DUMMYFUNCTION("""COMPUTED_VALUE"""),"**ร้านค้า ราคาพิเศษ")</f>
        <v>**ร้านค้า ราคาพิเศษ</v>
      </c>
      <c r="E530" s="5" t="str">
        <f>IFERROR(__xludf.DUMMYFUNCTION("""COMPUTED_VALUE"""),"&lt;p&gt;X&lt;/p&gt;")</f>
        <v>&lt;p&gt;X&lt;/p&gt;</v>
      </c>
      <c r="F530" s="5" t="str">
        <f>IFERROR(__xludf.DUMMYFUNCTION("""COMPUTED_VALUE"""),"N")</f>
        <v>N</v>
      </c>
      <c r="G530" s="5"/>
      <c r="H530" s="5"/>
      <c r="I530" s="5"/>
      <c r="J530" s="5"/>
      <c r="K530" s="5"/>
      <c r="L530" s="5"/>
      <c r="M530" s="5"/>
      <c r="N530" s="5">
        <f>IFERROR(__xludf.DUMMYFUNCTION("""COMPUTED_VALUE"""),11596.0)</f>
        <v>11596</v>
      </c>
      <c r="O530" s="5">
        <f>IFERROR(__xludf.DUMMYFUNCTION("""COMPUTED_VALUE"""),10233.0)</f>
        <v>10233</v>
      </c>
      <c r="P530" s="5">
        <f>IFERROR(__xludf.DUMMYFUNCTION("""COMPUTED_VALUE"""),1.0)</f>
        <v>1</v>
      </c>
      <c r="Q530" s="5" t="str">
        <f>IFERROR(__xludf.DUMMYFUNCTION("""COMPUTED_VALUE"""),"N")</f>
        <v>N</v>
      </c>
      <c r="R530" s="5" t="str">
        <f>IFERROR(__xludf.DUMMYFUNCTION("""COMPUTED_VALUE"""),"N")</f>
        <v>N</v>
      </c>
      <c r="S530" s="5"/>
      <c r="T530" s="5"/>
      <c r="U530" s="5" t="str">
        <f>IFERROR(__xludf.DUMMYFUNCTION("""COMPUTED_VALUE"""),"Y")</f>
        <v>Y</v>
      </c>
      <c r="V530" s="5">
        <f>IFERROR(__xludf.DUMMYFUNCTION("""COMPUTED_VALUE"""),690.0)</f>
        <v>690</v>
      </c>
      <c r="W530" s="5"/>
      <c r="X530" s="5"/>
      <c r="Y530" s="5"/>
      <c r="Z530" s="5"/>
    </row>
    <row r="531">
      <c r="A531" s="5" t="str">
        <f>IFERROR(__xludf.DUMMYFUNCTION("""COMPUTED_VALUE"""),"สไบนางหั่น-5-kg-ถุง-1")</f>
        <v>สไบนางหั่น-5-kg-ถุง-1</v>
      </c>
      <c r="B531" s="5">
        <f>IFERROR(__xludf.DUMMYFUNCTION("""COMPUTED_VALUE"""),10233.0)</f>
        <v>10233</v>
      </c>
      <c r="C531" s="5" t="str">
        <f>IFERROR(__xludf.DUMMYFUNCTION("""COMPUTED_VALUE"""),"สไบหั่น 5กก/ถุง -138")</f>
        <v>สไบหั่น 5กก/ถุง -138</v>
      </c>
      <c r="D531" s="5" t="str">
        <f>IFERROR(__xludf.DUMMYFUNCTION("""COMPUTED_VALUE"""),"**แช่น้ำ")</f>
        <v>**แช่น้ำ</v>
      </c>
      <c r="E531" s="5" t="str">
        <f>IFERROR(__xludf.DUMMYFUNCTION("""COMPUTED_VALUE"""),"&lt;p&gt;ส&lt;/p&gt;")</f>
        <v>&lt;p&gt;ส&lt;/p&gt;</v>
      </c>
      <c r="F531" s="5" t="str">
        <f>IFERROR(__xludf.DUMMYFUNCTION("""COMPUTED_VALUE"""),"N")</f>
        <v>N</v>
      </c>
      <c r="G531" s="5"/>
      <c r="H531" s="5"/>
      <c r="I531" s="5"/>
      <c r="J531" s="5"/>
      <c r="K531" s="5"/>
      <c r="L531" s="5"/>
      <c r="M531" s="5">
        <f>IFERROR(__xludf.DUMMYFUNCTION("""COMPUTED_VALUE"""),675.0)</f>
        <v>675</v>
      </c>
      <c r="N531" s="5">
        <f>IFERROR(__xludf.DUMMYFUNCTION("""COMPUTED_VALUE"""),10233.0)</f>
        <v>10233</v>
      </c>
      <c r="O531" s="5"/>
      <c r="P531" s="5"/>
      <c r="Q531" s="5" t="str">
        <f>IFERROR(__xludf.DUMMYFUNCTION("""COMPUTED_VALUE"""),"Y")</f>
        <v>Y</v>
      </c>
      <c r="R531" s="5"/>
      <c r="S531" s="5" t="str">
        <f>IFERROR(__xludf.DUMMYFUNCTION("""COMPUTED_VALUE"""),"ดานีนฟู้ด (สไบเบิร์ด)")</f>
        <v>ดานีนฟู้ด (สไบเบิร์ด)</v>
      </c>
      <c r="T531" s="5">
        <f>IFERROR(__xludf.DUMMYFUNCTION("""COMPUTED_VALUE"""),675.0)</f>
        <v>675</v>
      </c>
      <c r="U531" s="5" t="str">
        <f>IFERROR(__xludf.DUMMYFUNCTION("""COMPUTED_VALUE"""),"Y")</f>
        <v>Y</v>
      </c>
      <c r="V531" s="5">
        <f>IFERROR(__xludf.DUMMYFUNCTION("""COMPUTED_VALUE"""),690.0)</f>
        <v>690</v>
      </c>
      <c r="W531" s="5">
        <f>IFERROR(__xludf.DUMMYFUNCTION("""COMPUTED_VALUE"""),42.0)</f>
        <v>42</v>
      </c>
      <c r="X531" s="5"/>
      <c r="Y531" s="5"/>
      <c r="Z531" s="5"/>
    </row>
    <row r="532">
      <c r="A532" s="5" t="str">
        <f>IFERROR(__xludf.DUMMYFUNCTION("""COMPUTED_VALUE"""),"หนวดหั่น-ลัง-10kg")</f>
        <v>หนวดหั่น-ลัง-10kg</v>
      </c>
      <c r="B532" s="5">
        <f>IFERROR(__xludf.DUMMYFUNCTION("""COMPUTED_VALUE"""),10429.0)</f>
        <v>10429</v>
      </c>
      <c r="C532" s="5" t="str">
        <f>IFERROR(__xludf.DUMMYFUNCTION("""COMPUTED_VALUE"""),"หนวดหั่น (ลัง)")</f>
        <v>หนวดหั่น (ลัง)</v>
      </c>
      <c r="D532" s="5"/>
      <c r="E532" s="5" t="str">
        <f>IFERROR(__xludf.DUMMYFUNCTION("""COMPUTED_VALUE"""),"&lt;p&gt;S&lt;/p&gt;")</f>
        <v>&lt;p&gt;S&lt;/p&gt;</v>
      </c>
      <c r="F532" s="5" t="str">
        <f>IFERROR(__xludf.DUMMYFUNCTION("""COMPUTED_VALUE"""),"N")</f>
        <v>N</v>
      </c>
      <c r="G532" s="5"/>
      <c r="H532" s="5"/>
      <c r="I532" s="5"/>
      <c r="J532" s="5"/>
      <c r="K532" s="5"/>
      <c r="L532" s="5"/>
      <c r="M532" s="5"/>
      <c r="N532" s="5">
        <f>IFERROR(__xludf.DUMMYFUNCTION("""COMPUTED_VALUE"""),10429.0)</f>
        <v>10429</v>
      </c>
      <c r="O532" s="5">
        <f>IFERROR(__xludf.DUMMYFUNCTION("""COMPUTED_VALUE"""),10013.0)</f>
        <v>10013</v>
      </c>
      <c r="P532" s="5">
        <f>IFERROR(__xludf.DUMMYFUNCTION("""COMPUTED_VALUE"""),10.0)</f>
        <v>10</v>
      </c>
      <c r="Q532" s="5" t="str">
        <f>IFERROR(__xludf.DUMMYFUNCTION("""COMPUTED_VALUE"""),"N")</f>
        <v>N</v>
      </c>
      <c r="R532" s="5" t="str">
        <f>IFERROR(__xludf.DUMMYFUNCTION("""COMPUTED_VALUE"""),"N")</f>
        <v>N</v>
      </c>
      <c r="S532" s="5"/>
      <c r="T532" s="5"/>
      <c r="U532" s="5" t="str">
        <f>IFERROR(__xludf.DUMMYFUNCTION("""COMPUTED_VALUE"""),"Y")</f>
        <v>Y</v>
      </c>
      <c r="V532" s="5">
        <f>IFERROR(__xludf.DUMMYFUNCTION("""COMPUTED_VALUE"""),550.0)</f>
        <v>550</v>
      </c>
      <c r="W532" s="5"/>
      <c r="X532" s="5"/>
      <c r="Y532" s="5"/>
      <c r="Z532" s="5"/>
    </row>
    <row r="533">
      <c r="A533" s="5" t="str">
        <f>IFERROR(__xludf.DUMMYFUNCTION("""COMPUTED_VALUE"""),"หนวดหั่น-1kg")</f>
        <v>หนวดหั่น-1kg</v>
      </c>
      <c r="B533" s="5">
        <f>IFERROR(__xludf.DUMMYFUNCTION("""COMPUTED_VALUE"""),10013.0)</f>
        <v>10013</v>
      </c>
      <c r="C533" s="5" t="str">
        <f>IFERROR(__xludf.DUMMYFUNCTION("""COMPUTED_VALUE"""),"หนวดหั่น 1Kg")</f>
        <v>หนวดหั่น 1Kg</v>
      </c>
      <c r="D533" s="5" t="str">
        <f>IFERROR(__xludf.DUMMYFUNCTION("""COMPUTED_VALUE"""),"**ลัง มหาชัย")</f>
        <v>**ลัง มหาชัย</v>
      </c>
      <c r="E533" s="5" t="str">
        <f>IFERROR(__xludf.DUMMYFUNCTION("""COMPUTED_VALUE"""),"&lt;p&gt;1&lt;/p&gt;")</f>
        <v>&lt;p&gt;1&lt;/p&gt;</v>
      </c>
      <c r="F533" s="5" t="str">
        <f>IFERROR(__xludf.DUMMYFUNCTION("""COMPUTED_VALUE"""),"N")</f>
        <v>N</v>
      </c>
      <c r="G533" s="5"/>
      <c r="H533" s="5"/>
      <c r="I533" s="5"/>
      <c r="J533" s="5"/>
      <c r="K533" s="5"/>
      <c r="L533" s="5"/>
      <c r="M533" s="5">
        <f>IFERROR(__xludf.DUMMYFUNCTION("""COMPUTED_VALUE"""),45.1)</f>
        <v>45.1</v>
      </c>
      <c r="N533" s="5">
        <f>IFERROR(__xludf.DUMMYFUNCTION("""COMPUTED_VALUE"""),10013.0)</f>
        <v>10013</v>
      </c>
      <c r="O533" s="5"/>
      <c r="P533" s="5"/>
      <c r="Q533" s="5" t="str">
        <f>IFERROR(__xludf.DUMMYFUNCTION("""COMPUTED_VALUE"""),"Y")</f>
        <v>Y</v>
      </c>
      <c r="R533" s="5"/>
      <c r="S533" s="5" t="str">
        <f>IFERROR(__xludf.DUMMYFUNCTION("""COMPUTED_VALUE"""),"ขึ้นของมหาชัย")</f>
        <v>ขึ้นของมหาชัย</v>
      </c>
      <c r="T533" s="5">
        <f>IFERROR(__xludf.DUMMYFUNCTION("""COMPUTED_VALUE"""),44.0)</f>
        <v>44</v>
      </c>
      <c r="U533" s="5" t="str">
        <f>IFERROR(__xludf.DUMMYFUNCTION("""COMPUTED_VALUE"""),"Y")</f>
        <v>Y</v>
      </c>
      <c r="V533" s="5">
        <f>IFERROR(__xludf.DUMMYFUNCTION("""COMPUTED_VALUE"""),63.0)</f>
        <v>63</v>
      </c>
      <c r="W533" s="5">
        <f>IFERROR(__xludf.DUMMYFUNCTION("""COMPUTED_VALUE"""),150.0)</f>
        <v>150</v>
      </c>
      <c r="X533" s="5">
        <f>IFERROR(__xludf.DUMMYFUNCTION("""COMPUTED_VALUE"""),30.0)</f>
        <v>30</v>
      </c>
      <c r="Y533" s="5">
        <f>IFERROR(__xludf.DUMMYFUNCTION("""COMPUTED_VALUE"""),80.0)</f>
        <v>80</v>
      </c>
      <c r="Z533" s="5"/>
    </row>
    <row r="534">
      <c r="A534" s="5" t="str">
        <f>IFERROR(__xludf.DUMMYFUNCTION("""COMPUTED_VALUE"""),"หนวดเบบี๋จิ๋ว-ลัง-10kg")</f>
        <v>หนวดเบบี๋จิ๋ว-ลัง-10kg</v>
      </c>
      <c r="B534" s="5">
        <f>IFERROR(__xludf.DUMMYFUNCTION("""COMPUTED_VALUE"""),10609.0)</f>
        <v>10609</v>
      </c>
      <c r="C534" s="5" t="str">
        <f>IFERROR(__xludf.DUMMYFUNCTION("""COMPUTED_VALUE"""),"หนวดเบบี๋จิ๋ว (ลัง)")</f>
        <v>หนวดเบบี๋จิ๋ว (ลัง)</v>
      </c>
      <c r="D534" s="5"/>
      <c r="E534" s="5"/>
      <c r="F534" s="5" t="str">
        <f>IFERROR(__xludf.DUMMYFUNCTION("""COMPUTED_VALUE"""),"N")</f>
        <v>N</v>
      </c>
      <c r="G534" s="5"/>
      <c r="H534" s="5"/>
      <c r="I534" s="5"/>
      <c r="J534" s="5"/>
      <c r="K534" s="5"/>
      <c r="L534" s="5"/>
      <c r="M534" s="5"/>
      <c r="N534" s="5"/>
      <c r="O534" s="5">
        <f>IFERROR(__xludf.DUMMYFUNCTION("""COMPUTED_VALUE"""),10123.0)</f>
        <v>10123</v>
      </c>
      <c r="P534" s="5">
        <f>IFERROR(__xludf.DUMMYFUNCTION("""COMPUTED_VALUE"""),10.0)</f>
        <v>10</v>
      </c>
      <c r="Q534" s="5" t="str">
        <f>IFERROR(__xludf.DUMMYFUNCTION("""COMPUTED_VALUE"""),"N")</f>
        <v>N</v>
      </c>
      <c r="R534" s="5" t="str">
        <f>IFERROR(__xludf.DUMMYFUNCTION("""COMPUTED_VALUE"""),"N")</f>
        <v>N</v>
      </c>
      <c r="S534" s="5"/>
      <c r="T534" s="5"/>
      <c r="U534" s="5" t="str">
        <f>IFERROR(__xludf.DUMMYFUNCTION("""COMPUTED_VALUE"""),"Y")</f>
        <v>Y</v>
      </c>
      <c r="V534" s="5">
        <f>IFERROR(__xludf.DUMMYFUNCTION("""COMPUTED_VALUE"""),600.0)</f>
        <v>600</v>
      </c>
      <c r="W534" s="5"/>
      <c r="X534" s="5"/>
      <c r="Y534" s="5"/>
      <c r="Z534" s="5"/>
    </row>
    <row r="535">
      <c r="A535" s="5" t="str">
        <f>IFERROR(__xludf.DUMMYFUNCTION("""COMPUTED_VALUE"""),"หนวดเบบี๋จิ๋ว-แพ็ค-1kg-1")</f>
        <v>หนวดเบบี๋จิ๋ว-แพ็ค-1kg-1</v>
      </c>
      <c r="B535" s="5">
        <f>IFERROR(__xludf.DUMMYFUNCTION("""COMPUTED_VALUE"""),10123.0)</f>
        <v>10123</v>
      </c>
      <c r="C535" s="5" t="str">
        <f>IFERROR(__xludf.DUMMYFUNCTION("""COMPUTED_VALUE"""),"หนวดเบบี๋จิ๋ว แพ็ค 1Kg")</f>
        <v>หนวดเบบี๋จิ๋ว แพ็ค 1Kg</v>
      </c>
      <c r="D535" s="5" t="str">
        <f>IFERROR(__xludf.DUMMYFUNCTION("""COMPUTED_VALUE"""),"**ลัง มหาชัย")</f>
        <v>**ลัง มหาชัย</v>
      </c>
      <c r="E535" s="5" t="str">
        <f>IFERROR(__xludf.DUMMYFUNCTION("""COMPUTED_VALUE"""),"1")</f>
        <v>1</v>
      </c>
      <c r="F535" s="5" t="str">
        <f>IFERROR(__xludf.DUMMYFUNCTION("""COMPUTED_VALUE"""),"N")</f>
        <v>N</v>
      </c>
      <c r="G535" s="5"/>
      <c r="H535" s="5"/>
      <c r="I535" s="5"/>
      <c r="J535" s="5"/>
      <c r="K535" s="5"/>
      <c r="L535" s="5"/>
      <c r="M535" s="5">
        <f>IFERROR(__xludf.DUMMYFUNCTION("""COMPUTED_VALUE"""),48.06)</f>
        <v>48.06</v>
      </c>
      <c r="N535" s="5">
        <f>IFERROR(__xludf.DUMMYFUNCTION("""COMPUTED_VALUE"""),10123.0)</f>
        <v>10123</v>
      </c>
      <c r="O535" s="5"/>
      <c r="P535" s="5"/>
      <c r="Q535" s="5" t="str">
        <f>IFERROR(__xludf.DUMMYFUNCTION("""COMPUTED_VALUE"""),"Y")</f>
        <v>Y</v>
      </c>
      <c r="R535" s="5"/>
      <c r="S535" s="5" t="str">
        <f>IFERROR(__xludf.DUMMYFUNCTION("""COMPUTED_VALUE"""),"ขึ้นของมหาชัย")</f>
        <v>ขึ้นของมหาชัย</v>
      </c>
      <c r="T535" s="5">
        <f>IFERROR(__xludf.DUMMYFUNCTION("""COMPUTED_VALUE"""),46.0)</f>
        <v>46</v>
      </c>
      <c r="U535" s="5" t="str">
        <f>IFERROR(__xludf.DUMMYFUNCTION("""COMPUTED_VALUE"""),"Y")</f>
        <v>Y</v>
      </c>
      <c r="V535" s="5">
        <f>IFERROR(__xludf.DUMMYFUNCTION("""COMPUTED_VALUE"""),70.0)</f>
        <v>70</v>
      </c>
      <c r="W535" s="5">
        <f>IFERROR(__xludf.DUMMYFUNCTION("""COMPUTED_VALUE"""),189.0)</f>
        <v>189</v>
      </c>
      <c r="X535" s="5">
        <f>IFERROR(__xludf.DUMMYFUNCTION("""COMPUTED_VALUE"""),20.0)</f>
        <v>20</v>
      </c>
      <c r="Y535" s="5">
        <f>IFERROR(__xludf.DUMMYFUNCTION("""COMPUTED_VALUE"""),70.0)</f>
        <v>70</v>
      </c>
      <c r="Z535" s="5"/>
    </row>
    <row r="536">
      <c r="A536" s="5" t="str">
        <f>IFERROR(__xludf.DUMMYFUNCTION("""COMPUTED_VALUE"""),"หนวดเบบี๋จิ๋ว-ลัง-10kg-r100")</f>
        <v>หนวดเบบี๋จิ๋ว-ลัง-10kg-r100</v>
      </c>
      <c r="B536" s="5">
        <f>IFERROR(__xludf.DUMMYFUNCTION("""COMPUTED_VALUE"""),10246.0)</f>
        <v>10246</v>
      </c>
      <c r="C536" s="5" t="str">
        <f>IFERROR(__xludf.DUMMYFUNCTION("""COMPUTED_VALUE"""),"หนวดเบบี๋จิ๋ว10kg/ลัง  R100")</f>
        <v>หนวดเบบี๋จิ๋ว10kg/ลัง  R100</v>
      </c>
      <c r="D536" s="5" t="str">
        <f>IFERROR(__xludf.DUMMYFUNCTION("""COMPUTED_VALUE"""),"**ร้านค้า ราคาพิเศษ")</f>
        <v>**ร้านค้า ราคาพิเศษ</v>
      </c>
      <c r="E536" s="5"/>
      <c r="F536" s="5" t="str">
        <f>IFERROR(__xludf.DUMMYFUNCTION("""COMPUTED_VALUE"""),"N")</f>
        <v>N</v>
      </c>
      <c r="G536" s="5"/>
      <c r="H536" s="5"/>
      <c r="I536" s="5"/>
      <c r="J536" s="5"/>
      <c r="K536" s="5"/>
      <c r="L536" s="5"/>
      <c r="M536" s="5"/>
      <c r="N536" s="5">
        <f>IFERROR(__xludf.DUMMYFUNCTION("""COMPUTED_VALUE"""),10246.0)</f>
        <v>10246</v>
      </c>
      <c r="O536" s="5">
        <f>IFERROR(__xludf.DUMMYFUNCTION("""COMPUTED_VALUE"""),10123.0)</f>
        <v>10123</v>
      </c>
      <c r="P536" s="5">
        <f>IFERROR(__xludf.DUMMYFUNCTION("""COMPUTED_VALUE"""),10.0)</f>
        <v>10</v>
      </c>
      <c r="Q536" s="5" t="str">
        <f>IFERROR(__xludf.DUMMYFUNCTION("""COMPUTED_VALUE"""),"N")</f>
        <v>N</v>
      </c>
      <c r="R536" s="5" t="str">
        <f>IFERROR(__xludf.DUMMYFUNCTION("""COMPUTED_VALUE"""),"N")</f>
        <v>N</v>
      </c>
      <c r="S536" s="5"/>
      <c r="T536" s="5"/>
      <c r="U536" s="5" t="str">
        <f>IFERROR(__xludf.DUMMYFUNCTION("""COMPUTED_VALUE"""),"Y")</f>
        <v>Y</v>
      </c>
      <c r="V536" s="5">
        <f>IFERROR(__xludf.DUMMYFUNCTION("""COMPUTED_VALUE"""),550.0)</f>
        <v>550</v>
      </c>
      <c r="W536" s="5"/>
      <c r="X536" s="5"/>
      <c r="Y536" s="5"/>
      <c r="Z536" s="5"/>
    </row>
    <row r="537">
      <c r="A537" s="5" t="str">
        <f>IFERROR(__xludf.DUMMYFUNCTION("""COMPUTED_VALUE"""),"หนังเป็ดลัง-12kg")</f>
        <v>หนังเป็ดลัง-12kg</v>
      </c>
      <c r="B537" s="5">
        <f>IFERROR(__xludf.DUMMYFUNCTION("""COMPUTED_VALUE"""),11467.0)</f>
        <v>11467</v>
      </c>
      <c r="C537" s="5" t="str">
        <f>IFERROR(__xludf.DUMMYFUNCTION("""COMPUTED_VALUE"""),"หนังเป็ด 1*12 (ลัง)")</f>
        <v>หนังเป็ด 1*12 (ลัง)</v>
      </c>
      <c r="D537" s="5"/>
      <c r="E537" s="5" t="str">
        <f>IFERROR(__xludf.DUMMYFUNCTION("""COMPUTED_VALUE"""),"&lt;p&gt;X&lt;/p&gt;")</f>
        <v>&lt;p&gt;X&lt;/p&gt;</v>
      </c>
      <c r="F537" s="5" t="str">
        <f>IFERROR(__xludf.DUMMYFUNCTION("""COMPUTED_VALUE"""),"N")</f>
        <v>N</v>
      </c>
      <c r="G537" s="5"/>
      <c r="H537" s="5"/>
      <c r="I537" s="5"/>
      <c r="J537" s="5"/>
      <c r="K537" s="5"/>
      <c r="L537" s="5"/>
      <c r="M537" s="5"/>
      <c r="N537" s="5">
        <f>IFERROR(__xludf.DUMMYFUNCTION("""COMPUTED_VALUE"""),11467.0)</f>
        <v>11467</v>
      </c>
      <c r="O537" s="5">
        <f>IFERROR(__xludf.DUMMYFUNCTION("""COMPUTED_VALUE"""),11192.0)</f>
        <v>11192</v>
      </c>
      <c r="P537" s="5">
        <f>IFERROR(__xludf.DUMMYFUNCTION("""COMPUTED_VALUE"""),12.0)</f>
        <v>12</v>
      </c>
      <c r="Q537" s="5" t="str">
        <f>IFERROR(__xludf.DUMMYFUNCTION("""COMPUTED_VALUE"""),"N")</f>
        <v>N</v>
      </c>
      <c r="R537" s="5" t="str">
        <f>IFERROR(__xludf.DUMMYFUNCTION("""COMPUTED_VALUE"""),"N")</f>
        <v>N</v>
      </c>
      <c r="S537" s="5"/>
      <c r="T537" s="5"/>
      <c r="U537" s="5" t="str">
        <f>IFERROR(__xludf.DUMMYFUNCTION("""COMPUTED_VALUE"""),"Y")</f>
        <v>Y</v>
      </c>
      <c r="V537" s="5">
        <f>IFERROR(__xludf.DUMMYFUNCTION("""COMPUTED_VALUE"""),900.0)</f>
        <v>900</v>
      </c>
      <c r="W537" s="5"/>
      <c r="X537" s="5"/>
      <c r="Y537" s="5"/>
      <c r="Z537" s="5"/>
    </row>
    <row r="538">
      <c r="A538" s="5" t="str">
        <f>IFERROR(__xludf.DUMMYFUNCTION("""COMPUTED_VALUE"""),"หนังเป็ด-แพ็ค-1-กก")</f>
        <v>หนังเป็ด-แพ็ค-1-กก</v>
      </c>
      <c r="B538" s="5">
        <f>IFERROR(__xludf.DUMMYFUNCTION("""COMPUTED_VALUE"""),11192.0)</f>
        <v>11192</v>
      </c>
      <c r="C538" s="5" t="str">
        <f>IFERROR(__xludf.DUMMYFUNCTION("""COMPUTED_VALUE"""),"หนังเป็ด แพ็ค 1 กก")</f>
        <v>หนังเป็ด แพ็ค 1 กก</v>
      </c>
      <c r="D538" s="5" t="str">
        <f>IFERROR(__xludf.DUMMYFUNCTION("""COMPUTED_VALUE"""),"**ลัง ร้อยเอ็ด")</f>
        <v>**ลัง ร้อยเอ็ด</v>
      </c>
      <c r="E538" s="5" t="str">
        <f>IFERROR(__xludf.DUMMYFUNCTION("""COMPUTED_VALUE"""),"&lt;p&gt;X&lt;/p&gt;")</f>
        <v>&lt;p&gt;X&lt;/p&gt;</v>
      </c>
      <c r="F538" s="5" t="str">
        <f>IFERROR(__xludf.DUMMYFUNCTION("""COMPUTED_VALUE"""),"N")</f>
        <v>N</v>
      </c>
      <c r="G538" s="5"/>
      <c r="H538" s="5"/>
      <c r="I538" s="5"/>
      <c r="J538" s="5"/>
      <c r="K538" s="5"/>
      <c r="L538" s="5"/>
      <c r="M538" s="5">
        <f>IFERROR(__xludf.DUMMYFUNCTION("""COMPUTED_VALUE"""),57.0)</f>
        <v>57</v>
      </c>
      <c r="N538" s="5">
        <f>IFERROR(__xludf.DUMMYFUNCTION("""COMPUTED_VALUE"""),11192.0)</f>
        <v>11192</v>
      </c>
      <c r="O538" s="5"/>
      <c r="P538" s="5"/>
      <c r="Q538" s="5" t="str">
        <f>IFERROR(__xludf.DUMMYFUNCTION("""COMPUTED_VALUE"""),"Y")</f>
        <v>Y</v>
      </c>
      <c r="R538" s="5"/>
      <c r="S538" s="5"/>
      <c r="T538" s="5">
        <f>IFERROR(__xludf.DUMMYFUNCTION("""COMPUTED_VALUE"""),57.0)</f>
        <v>57</v>
      </c>
      <c r="U538" s="5" t="str">
        <f>IFERROR(__xludf.DUMMYFUNCTION("""COMPUTED_VALUE"""),"Y")</f>
        <v>Y</v>
      </c>
      <c r="V538" s="5">
        <f>IFERROR(__xludf.DUMMYFUNCTION("""COMPUTED_VALUE"""),80.0)</f>
        <v>80</v>
      </c>
      <c r="W538" s="5">
        <f>IFERROR(__xludf.DUMMYFUNCTION("""COMPUTED_VALUE"""),10.0)</f>
        <v>10</v>
      </c>
      <c r="X538" s="5"/>
      <c r="Y538" s="5"/>
      <c r="Z538" s="5"/>
    </row>
    <row r="539">
      <c r="A539" s="5" t="str">
        <f>IFERROR(__xludf.DUMMYFUNCTION("""COMPUTED_VALUE"""),"หน้ากากหมู-ตัด-ชั่งน้ำหนัก-(55)")</f>
        <v>หน้ากากหมู-ตัด-ชั่งน้ำหนัก-(55)</v>
      </c>
      <c r="B539" s="5">
        <f>IFERROR(__xludf.DUMMYFUNCTION("""COMPUTED_VALUE"""),10903.0)</f>
        <v>10903</v>
      </c>
      <c r="C539" s="5" t="str">
        <f>IFERROR(__xludf.DUMMYFUNCTION("""COMPUTED_VALUE"""),"หน้ากากหมู (พิเศษ)  60")</f>
        <v>หน้ากากหมู (พิเศษ)  60</v>
      </c>
      <c r="D539" s="5" t="str">
        <f>IFERROR(__xludf.DUMMYFUNCTION("""COMPUTED_VALUE"""),"**ร้านค้า ราคาพิเศษ")</f>
        <v>**ร้านค้า ราคาพิเศษ</v>
      </c>
      <c r="E539" s="5" t="str">
        <f>IFERROR(__xludf.DUMMYFUNCTION("""COMPUTED_VALUE"""),"&lt;p&gt;X&lt;/p&gt;")</f>
        <v>&lt;p&gt;X&lt;/p&gt;</v>
      </c>
      <c r="F539" s="5" t="str">
        <f>IFERROR(__xludf.DUMMYFUNCTION("""COMPUTED_VALUE"""),"N")</f>
        <v>N</v>
      </c>
      <c r="G539" s="5"/>
      <c r="H539" s="5"/>
      <c r="I539" s="5"/>
      <c r="J539" s="5"/>
      <c r="K539" s="5"/>
      <c r="L539" s="5"/>
      <c r="M539" s="5"/>
      <c r="N539" s="5">
        <f>IFERROR(__xludf.DUMMYFUNCTION("""COMPUTED_VALUE"""),10903.0)</f>
        <v>10903</v>
      </c>
      <c r="O539" s="5">
        <f>IFERROR(__xludf.DUMMYFUNCTION("""COMPUTED_VALUE"""),10422.0)</f>
        <v>10422</v>
      </c>
      <c r="P539" s="5">
        <f>IFERROR(__xludf.DUMMYFUNCTION("""COMPUTED_VALUE"""),1.0)</f>
        <v>1</v>
      </c>
      <c r="Q539" s="5" t="str">
        <f>IFERROR(__xludf.DUMMYFUNCTION("""COMPUTED_VALUE"""),"N")</f>
        <v>N</v>
      </c>
      <c r="R539" s="5" t="str">
        <f>IFERROR(__xludf.DUMMYFUNCTION("""COMPUTED_VALUE"""),"N")</f>
        <v>N</v>
      </c>
      <c r="S539" s="5"/>
      <c r="T539" s="5"/>
      <c r="U539" s="5" t="str">
        <f>IFERROR(__xludf.DUMMYFUNCTION("""COMPUTED_VALUE"""),"Y")</f>
        <v>Y</v>
      </c>
      <c r="V539" s="5">
        <f>IFERROR(__xludf.DUMMYFUNCTION("""COMPUTED_VALUE"""),300.0)</f>
        <v>300</v>
      </c>
      <c r="W539" s="5"/>
      <c r="X539" s="5"/>
      <c r="Y539" s="5"/>
      <c r="Z539" s="5"/>
    </row>
    <row r="540">
      <c r="A540" s="5" t="str">
        <f>IFERROR(__xludf.DUMMYFUNCTION("""COMPUTED_VALUE"""),"หน้ากากหมู-5-kg-ถุงใส")</f>
        <v>หน้ากากหมู-5-kg-ถุงใส</v>
      </c>
      <c r="B540" s="5">
        <f>IFERROR(__xludf.DUMMYFUNCTION("""COMPUTED_VALUE"""),10422.0)</f>
        <v>10422</v>
      </c>
      <c r="C540" s="5" t="str">
        <f>IFERROR(__xludf.DUMMYFUNCTION("""COMPUTED_VALUE"""),"หน้ากากหมู 5 Kg (75)")</f>
        <v>หน้ากากหมู 5 Kg (75)</v>
      </c>
      <c r="D540" s="5" t="str">
        <f>IFERROR(__xludf.DUMMYFUNCTION("""COMPUTED_VALUE"""),"**ของหิ้ว ร้อยเอ็ด")</f>
        <v>**ของหิ้ว ร้อยเอ็ด</v>
      </c>
      <c r="E540" s="5" t="str">
        <f>IFERROR(__xludf.DUMMYFUNCTION("""COMPUTED_VALUE"""),"B")</f>
        <v>B</v>
      </c>
      <c r="F540" s="5" t="str">
        <f>IFERROR(__xludf.DUMMYFUNCTION("""COMPUTED_VALUE"""),"N")</f>
        <v>N</v>
      </c>
      <c r="G540" s="5"/>
      <c r="H540" s="5"/>
      <c r="I540" s="5"/>
      <c r="J540" s="5"/>
      <c r="K540" s="5"/>
      <c r="L540" s="5"/>
      <c r="M540" s="5">
        <f>IFERROR(__xludf.DUMMYFUNCTION("""COMPUTED_VALUE"""),241.29)</f>
        <v>241.29</v>
      </c>
      <c r="N540" s="5">
        <f>IFERROR(__xludf.DUMMYFUNCTION("""COMPUTED_VALUE"""),10422.0)</f>
        <v>10422</v>
      </c>
      <c r="O540" s="5"/>
      <c r="P540" s="5"/>
      <c r="Q540" s="5" t="str">
        <f>IFERROR(__xludf.DUMMYFUNCTION("""COMPUTED_VALUE"""),"Y")</f>
        <v>Y</v>
      </c>
      <c r="R540" s="5"/>
      <c r="S540" s="5" t="str">
        <f>IFERROR(__xludf.DUMMYFUNCTION("""COMPUTED_VALUE"""),"บุญศิริ")</f>
        <v>บุญศิริ</v>
      </c>
      <c r="T540" s="5">
        <f>IFERROR(__xludf.DUMMYFUNCTION("""COMPUTED_VALUE"""),230.0)</f>
        <v>230</v>
      </c>
      <c r="U540" s="5" t="str">
        <f>IFERROR(__xludf.DUMMYFUNCTION("""COMPUTED_VALUE"""),"Y")</f>
        <v>Y</v>
      </c>
      <c r="V540" s="5">
        <f>IFERROR(__xludf.DUMMYFUNCTION("""COMPUTED_VALUE"""),375.0)</f>
        <v>375</v>
      </c>
      <c r="W540" s="5">
        <f>IFERROR(__xludf.DUMMYFUNCTION("""COMPUTED_VALUE"""),3.0)</f>
        <v>3</v>
      </c>
      <c r="X540" s="5">
        <f>IFERROR(__xludf.DUMMYFUNCTION("""COMPUTED_VALUE"""),1.0)</f>
        <v>1</v>
      </c>
      <c r="Y540" s="5">
        <f>IFERROR(__xludf.DUMMYFUNCTION("""COMPUTED_VALUE"""),1.0)</f>
        <v>1</v>
      </c>
      <c r="Z540" s="5"/>
    </row>
    <row r="541">
      <c r="A541" s="5" t="str">
        <f>IFERROR(__xludf.DUMMYFUNCTION("""COMPUTED_VALUE"""),"หมึกกรอบตัว-(ราคาพิเศษ63)")</f>
        <v>หมึกกรอบตัว-(ราคาพิเศษ63)</v>
      </c>
      <c r="B541" s="5">
        <f>IFERROR(__xludf.DUMMYFUNCTION("""COMPUTED_VALUE"""),11437.0)</f>
        <v>11437</v>
      </c>
      <c r="C541" s="5" t="str">
        <f>IFERROR(__xludf.DUMMYFUNCTION("""COMPUTED_VALUE"""),"หมึกกรอบตัว (พิเศษ)100")</f>
        <v>หมึกกรอบตัว (พิเศษ)100</v>
      </c>
      <c r="D541" s="5" t="str">
        <f>IFERROR(__xludf.DUMMYFUNCTION("""COMPUTED_VALUE"""),"**ร้านค้า ราคาพิเศษ")</f>
        <v>**ร้านค้า ราคาพิเศษ</v>
      </c>
      <c r="E541" s="5" t="str">
        <f>IFERROR(__xludf.DUMMYFUNCTION("""COMPUTED_VALUE"""),"&lt;p&gt;X&lt;/p&gt;")</f>
        <v>&lt;p&gt;X&lt;/p&gt;</v>
      </c>
      <c r="F541" s="5" t="str">
        <f>IFERROR(__xludf.DUMMYFUNCTION("""COMPUTED_VALUE"""),"N")</f>
        <v>N</v>
      </c>
      <c r="G541" s="5"/>
      <c r="H541" s="5"/>
      <c r="I541" s="5"/>
      <c r="J541" s="5"/>
      <c r="K541" s="5"/>
      <c r="L541" s="5"/>
      <c r="M541" s="5"/>
      <c r="N541" s="5">
        <f>IFERROR(__xludf.DUMMYFUNCTION("""COMPUTED_VALUE"""),11437.0)</f>
        <v>11437</v>
      </c>
      <c r="O541" s="5">
        <f>IFERROR(__xludf.DUMMYFUNCTION("""COMPUTED_VALUE"""),10335.0)</f>
        <v>10335</v>
      </c>
      <c r="P541" s="5">
        <f>IFERROR(__xludf.DUMMYFUNCTION("""COMPUTED_VALUE"""),1.0)</f>
        <v>1</v>
      </c>
      <c r="Q541" s="5" t="str">
        <f>IFERROR(__xludf.DUMMYFUNCTION("""COMPUTED_VALUE"""),"N")</f>
        <v>N</v>
      </c>
      <c r="R541" s="5" t="str">
        <f>IFERROR(__xludf.DUMMYFUNCTION("""COMPUTED_VALUE"""),"N")</f>
        <v>N</v>
      </c>
      <c r="S541" s="5"/>
      <c r="T541" s="5"/>
      <c r="U541" s="5" t="str">
        <f>IFERROR(__xludf.DUMMYFUNCTION("""COMPUTED_VALUE"""),"Y")</f>
        <v>Y</v>
      </c>
      <c r="V541" s="5">
        <f>IFERROR(__xludf.DUMMYFUNCTION("""COMPUTED_VALUE"""),500.0)</f>
        <v>500</v>
      </c>
      <c r="W541" s="5"/>
      <c r="X541" s="5"/>
      <c r="Y541" s="5"/>
      <c r="Z541" s="5"/>
    </row>
    <row r="542">
      <c r="A542" s="5" t="str">
        <f>IFERROR(__xludf.DUMMYFUNCTION("""COMPUTED_VALUE"""),"10335")</f>
        <v>10335</v>
      </c>
      <c r="B542" s="5">
        <f>IFERROR(__xludf.DUMMYFUNCTION("""COMPUTED_VALUE"""),10335.0)</f>
        <v>10335</v>
      </c>
      <c r="C542" s="5" t="str">
        <f>IFERROR(__xludf.DUMMYFUNCTION("""COMPUTED_VALUE"""),"หมึกกรอบตัว 5 กก./ถุง - 103")</f>
        <v>หมึกกรอบตัว 5 กก./ถุง - 103</v>
      </c>
      <c r="D542" s="5" t="str">
        <f>IFERROR(__xludf.DUMMYFUNCTION("""COMPUTED_VALUE"""),"**แช่น้ำ")</f>
        <v>**แช่น้ำ</v>
      </c>
      <c r="E542" s="5" t="str">
        <f>IFERROR(__xludf.DUMMYFUNCTION("""COMPUTED_VALUE"""),"&lt;p&gt;ส&lt;/p&gt;")</f>
        <v>&lt;p&gt;ส&lt;/p&gt;</v>
      </c>
      <c r="F542" s="5" t="str">
        <f>IFERROR(__xludf.DUMMYFUNCTION("""COMPUTED_VALUE"""),"N")</f>
        <v>N</v>
      </c>
      <c r="G542" s="5"/>
      <c r="H542" s="5"/>
      <c r="I542" s="5"/>
      <c r="J542" s="5"/>
      <c r="K542" s="5"/>
      <c r="L542" s="5"/>
      <c r="M542" s="5">
        <f>IFERROR(__xludf.DUMMYFUNCTION("""COMPUTED_VALUE"""),464.42)</f>
        <v>464.42</v>
      </c>
      <c r="N542" s="5">
        <f>IFERROR(__xludf.DUMMYFUNCTION("""COMPUTED_VALUE"""),10335.0)</f>
        <v>10335</v>
      </c>
      <c r="O542" s="5"/>
      <c r="P542" s="5"/>
      <c r="Q542" s="5" t="str">
        <f>IFERROR(__xludf.DUMMYFUNCTION("""COMPUTED_VALUE"""),"Y")</f>
        <v>Y</v>
      </c>
      <c r="R542" s="5"/>
      <c r="S542" s="5" t="str">
        <f>IFERROR(__xludf.DUMMYFUNCTION("""COMPUTED_VALUE"""),"ดานีนฟู้ด (สไบเบิร์ด)")</f>
        <v>ดานีนฟู้ด (สไบเบิร์ด)</v>
      </c>
      <c r="T542" s="5">
        <f>IFERROR(__xludf.DUMMYFUNCTION("""COMPUTED_VALUE"""),465.0)</f>
        <v>465</v>
      </c>
      <c r="U542" s="5" t="str">
        <f>IFERROR(__xludf.DUMMYFUNCTION("""COMPUTED_VALUE"""),"Y")</f>
        <v>Y</v>
      </c>
      <c r="V542" s="5">
        <f>IFERROR(__xludf.DUMMYFUNCTION("""COMPUTED_VALUE"""),515.0)</f>
        <v>515</v>
      </c>
      <c r="W542" s="5">
        <f>IFERROR(__xludf.DUMMYFUNCTION("""COMPUTED_VALUE"""),43.0)</f>
        <v>43</v>
      </c>
      <c r="X542" s="5">
        <f>IFERROR(__xludf.DUMMYFUNCTION("""COMPUTED_VALUE"""),5.0)</f>
        <v>5</v>
      </c>
      <c r="Y542" s="5">
        <f>IFERROR(__xludf.DUMMYFUNCTION("""COMPUTED_VALUE"""),20.0)</f>
        <v>20</v>
      </c>
      <c r="Z542" s="5"/>
    </row>
    <row r="543">
      <c r="A543" s="5" t="str">
        <f>IFERROR(__xludf.DUMMYFUNCTION("""COMPUTED_VALUE"""),"หมึกกรอบตัว--(ราคาพิเศษ)")</f>
        <v>หมึกกรอบตัว--(ราคาพิเศษ)</v>
      </c>
      <c r="B543" s="5">
        <f>IFERROR(__xludf.DUMMYFUNCTION("""COMPUTED_VALUE"""),11417.0)</f>
        <v>11417</v>
      </c>
      <c r="C543" s="5" t="str">
        <f>IFERROR(__xludf.DUMMYFUNCTION("""COMPUTED_VALUE"""),"หมึกกรอบตัว 5กก R100 (98)")</f>
        <v>หมึกกรอบตัว 5กก R100 (98)</v>
      </c>
      <c r="D543" s="5" t="str">
        <f>IFERROR(__xludf.DUMMYFUNCTION("""COMPUTED_VALUE"""),"**ร้านค้า ราคาพิเศษ")</f>
        <v>**ร้านค้า ราคาพิเศษ</v>
      </c>
      <c r="E543" s="5" t="str">
        <f>IFERROR(__xludf.DUMMYFUNCTION("""COMPUTED_VALUE"""),"&lt;p&gt;X&lt;/p&gt;")</f>
        <v>&lt;p&gt;X&lt;/p&gt;</v>
      </c>
      <c r="F543" s="5" t="str">
        <f>IFERROR(__xludf.DUMMYFUNCTION("""COMPUTED_VALUE"""),"N")</f>
        <v>N</v>
      </c>
      <c r="G543" s="5"/>
      <c r="H543" s="5"/>
      <c r="I543" s="5"/>
      <c r="J543" s="5"/>
      <c r="K543" s="5"/>
      <c r="L543" s="5"/>
      <c r="M543" s="5"/>
      <c r="N543" s="5">
        <f>IFERROR(__xludf.DUMMYFUNCTION("""COMPUTED_VALUE"""),11417.0)</f>
        <v>11417</v>
      </c>
      <c r="O543" s="5">
        <f>IFERROR(__xludf.DUMMYFUNCTION("""COMPUTED_VALUE"""),10335.0)</f>
        <v>10335</v>
      </c>
      <c r="P543" s="5">
        <f>IFERROR(__xludf.DUMMYFUNCTION("""COMPUTED_VALUE"""),1.0)</f>
        <v>1</v>
      </c>
      <c r="Q543" s="5" t="str">
        <f>IFERROR(__xludf.DUMMYFUNCTION("""COMPUTED_VALUE"""),"N")</f>
        <v>N</v>
      </c>
      <c r="R543" s="5" t="str">
        <f>IFERROR(__xludf.DUMMYFUNCTION("""COMPUTED_VALUE"""),"N")</f>
        <v>N</v>
      </c>
      <c r="S543" s="5"/>
      <c r="T543" s="5"/>
      <c r="U543" s="5" t="str">
        <f>IFERROR(__xludf.DUMMYFUNCTION("""COMPUTED_VALUE"""),"Y")</f>
        <v>Y</v>
      </c>
      <c r="V543" s="5">
        <f>IFERROR(__xludf.DUMMYFUNCTION("""COMPUTED_VALUE"""),490.0)</f>
        <v>490</v>
      </c>
      <c r="W543" s="5"/>
      <c r="X543" s="5"/>
      <c r="Y543" s="5"/>
      <c r="Z543" s="5"/>
    </row>
    <row r="544">
      <c r="A544" s="5" t="str">
        <f>IFERROR(__xludf.DUMMYFUNCTION("""COMPUTED_VALUE"""),"หมึกกรอบหั่น-(ราคาพิเศษ-65)")</f>
        <v>หมึกกรอบหั่น-(ราคาพิเศษ-65)</v>
      </c>
      <c r="B544" s="5">
        <f>IFERROR(__xludf.DUMMYFUNCTION("""COMPUTED_VALUE"""),11418.0)</f>
        <v>11418</v>
      </c>
      <c r="C544" s="5" t="str">
        <f>IFERROR(__xludf.DUMMYFUNCTION("""COMPUTED_VALUE"""),"หมึกกรอบหั่น (พิเศษ)100")</f>
        <v>หมึกกรอบหั่น (พิเศษ)100</v>
      </c>
      <c r="D544" s="5" t="str">
        <f>IFERROR(__xludf.DUMMYFUNCTION("""COMPUTED_VALUE"""),"**ร้านค้า ราคาพิเศษ")</f>
        <v>**ร้านค้า ราคาพิเศษ</v>
      </c>
      <c r="E544" s="5" t="str">
        <f>IFERROR(__xludf.DUMMYFUNCTION("""COMPUTED_VALUE"""),"&lt;p&gt;X&lt;/p&gt;")</f>
        <v>&lt;p&gt;X&lt;/p&gt;</v>
      </c>
      <c r="F544" s="5" t="str">
        <f>IFERROR(__xludf.DUMMYFUNCTION("""COMPUTED_VALUE"""),"N")</f>
        <v>N</v>
      </c>
      <c r="G544" s="5"/>
      <c r="H544" s="5"/>
      <c r="I544" s="5"/>
      <c r="J544" s="5"/>
      <c r="K544" s="5"/>
      <c r="L544" s="5"/>
      <c r="M544" s="5"/>
      <c r="N544" s="5">
        <f>IFERROR(__xludf.DUMMYFUNCTION("""COMPUTED_VALUE"""),11418.0)</f>
        <v>11418</v>
      </c>
      <c r="O544" s="5">
        <f>IFERROR(__xludf.DUMMYFUNCTION("""COMPUTED_VALUE"""),10232.0)</f>
        <v>10232</v>
      </c>
      <c r="P544" s="5">
        <f>IFERROR(__xludf.DUMMYFUNCTION("""COMPUTED_VALUE"""),1.0)</f>
        <v>1</v>
      </c>
      <c r="Q544" s="5" t="str">
        <f>IFERROR(__xludf.DUMMYFUNCTION("""COMPUTED_VALUE"""),"N")</f>
        <v>N</v>
      </c>
      <c r="R544" s="5" t="str">
        <f>IFERROR(__xludf.DUMMYFUNCTION("""COMPUTED_VALUE"""),"N")</f>
        <v>N</v>
      </c>
      <c r="S544" s="5"/>
      <c r="T544" s="5"/>
      <c r="U544" s="5" t="str">
        <f>IFERROR(__xludf.DUMMYFUNCTION("""COMPUTED_VALUE"""),"Y")</f>
        <v>Y</v>
      </c>
      <c r="V544" s="5">
        <f>IFERROR(__xludf.DUMMYFUNCTION("""COMPUTED_VALUE"""),500.0)</f>
        <v>500</v>
      </c>
      <c r="W544" s="5"/>
      <c r="X544" s="5"/>
      <c r="Y544" s="5"/>
      <c r="Z544" s="5"/>
    </row>
    <row r="545">
      <c r="A545" s="5" t="str">
        <f>IFERROR(__xludf.DUMMYFUNCTION("""COMPUTED_VALUE"""),"หมึกกรอบหั่น-ถุง-5-กก-1")</f>
        <v>หมึกกรอบหั่น-ถุง-5-กก-1</v>
      </c>
      <c r="B545" s="5">
        <f>IFERROR(__xludf.DUMMYFUNCTION("""COMPUTED_VALUE"""),10232.0)</f>
        <v>10232</v>
      </c>
      <c r="C545" s="5" t="str">
        <f>IFERROR(__xludf.DUMMYFUNCTION("""COMPUTED_VALUE"""),"หมึกกรอบหั่น 5 กก./ถุง - 103")</f>
        <v>หมึกกรอบหั่น 5 กก./ถุง - 103</v>
      </c>
      <c r="D545" s="5" t="str">
        <f>IFERROR(__xludf.DUMMYFUNCTION("""COMPUTED_VALUE"""),"**แช่น้ำ")</f>
        <v>**แช่น้ำ</v>
      </c>
      <c r="E545" s="5" t="str">
        <f>IFERROR(__xludf.DUMMYFUNCTION("""COMPUTED_VALUE"""),"&lt;p&gt;A&lt;/p&gt;")</f>
        <v>&lt;p&gt;A&lt;/p&gt;</v>
      </c>
      <c r="F545" s="5" t="str">
        <f>IFERROR(__xludf.DUMMYFUNCTION("""COMPUTED_VALUE"""),"N")</f>
        <v>N</v>
      </c>
      <c r="G545" s="5"/>
      <c r="H545" s="5"/>
      <c r="I545" s="5"/>
      <c r="J545" s="5"/>
      <c r="K545" s="5"/>
      <c r="L545" s="5"/>
      <c r="M545" s="5">
        <f>IFERROR(__xludf.DUMMYFUNCTION("""COMPUTED_VALUE"""),463.59)</f>
        <v>463.59</v>
      </c>
      <c r="N545" s="5">
        <f>IFERROR(__xludf.DUMMYFUNCTION("""COMPUTED_VALUE"""),10232.0)</f>
        <v>10232</v>
      </c>
      <c r="O545" s="5"/>
      <c r="P545" s="5"/>
      <c r="Q545" s="5" t="str">
        <f>IFERROR(__xludf.DUMMYFUNCTION("""COMPUTED_VALUE"""),"Y")</f>
        <v>Y</v>
      </c>
      <c r="R545" s="5"/>
      <c r="S545" s="5" t="str">
        <f>IFERROR(__xludf.DUMMYFUNCTION("""COMPUTED_VALUE"""),"ดานีนฟู้ด (สไบเบิร์ด)")</f>
        <v>ดานีนฟู้ด (สไบเบิร์ด)</v>
      </c>
      <c r="T545" s="5">
        <f>IFERROR(__xludf.DUMMYFUNCTION("""COMPUTED_VALUE"""),465.0)</f>
        <v>465</v>
      </c>
      <c r="U545" s="5" t="str">
        <f>IFERROR(__xludf.DUMMYFUNCTION("""COMPUTED_VALUE"""),"Y")</f>
        <v>Y</v>
      </c>
      <c r="V545" s="5">
        <f>IFERROR(__xludf.DUMMYFUNCTION("""COMPUTED_VALUE"""),515.0)</f>
        <v>515</v>
      </c>
      <c r="W545" s="5">
        <f>IFERROR(__xludf.DUMMYFUNCTION("""COMPUTED_VALUE"""),15.0)</f>
        <v>15</v>
      </c>
      <c r="X545" s="5">
        <f>IFERROR(__xludf.DUMMYFUNCTION("""COMPUTED_VALUE"""),21.0)</f>
        <v>21</v>
      </c>
      <c r="Y545" s="5">
        <f>IFERROR(__xludf.DUMMYFUNCTION("""COMPUTED_VALUE"""),31.0)</f>
        <v>31</v>
      </c>
      <c r="Z545" s="5"/>
    </row>
    <row r="546">
      <c r="A546" s="5" t="str">
        <f>IFERROR(__xludf.DUMMYFUNCTION("""COMPUTED_VALUE"""),"หมึกกรอบหั่น--r100-(60)")</f>
        <v>หมึกกรอบหั่น--r100-(60)</v>
      </c>
      <c r="B546" s="5">
        <f>IFERROR(__xludf.DUMMYFUNCTION("""COMPUTED_VALUE"""),11304.0)</f>
        <v>11304</v>
      </c>
      <c r="C546" s="5" t="str">
        <f>IFERROR(__xludf.DUMMYFUNCTION("""COMPUTED_VALUE"""),"หมึกกรอบหั่น 5กก  R100 (98)")</f>
        <v>หมึกกรอบหั่น 5กก  R100 (98)</v>
      </c>
      <c r="D546" s="5" t="str">
        <f>IFERROR(__xludf.DUMMYFUNCTION("""COMPUTED_VALUE"""),"**ร้านค้า ราคาพิเศษ")</f>
        <v>**ร้านค้า ราคาพิเศษ</v>
      </c>
      <c r="E546" s="5" t="str">
        <f>IFERROR(__xludf.DUMMYFUNCTION("""COMPUTED_VALUE"""),"&lt;p&gt;X&lt;/p&gt;")</f>
        <v>&lt;p&gt;X&lt;/p&gt;</v>
      </c>
      <c r="F546" s="5" t="str">
        <f>IFERROR(__xludf.DUMMYFUNCTION("""COMPUTED_VALUE"""),"N")</f>
        <v>N</v>
      </c>
      <c r="G546" s="5"/>
      <c r="H546" s="5"/>
      <c r="I546" s="5"/>
      <c r="J546" s="5"/>
      <c r="K546" s="5"/>
      <c r="L546" s="5"/>
      <c r="M546" s="5"/>
      <c r="N546" s="5">
        <f>IFERROR(__xludf.DUMMYFUNCTION("""COMPUTED_VALUE"""),11304.0)</f>
        <v>11304</v>
      </c>
      <c r="O546" s="5">
        <f>IFERROR(__xludf.DUMMYFUNCTION("""COMPUTED_VALUE"""),10232.0)</f>
        <v>10232</v>
      </c>
      <c r="P546" s="5">
        <f>IFERROR(__xludf.DUMMYFUNCTION("""COMPUTED_VALUE"""),1.0)</f>
        <v>1</v>
      </c>
      <c r="Q546" s="5" t="str">
        <f>IFERROR(__xludf.DUMMYFUNCTION("""COMPUTED_VALUE"""),"N")</f>
        <v>N</v>
      </c>
      <c r="R546" s="5" t="str">
        <f>IFERROR(__xludf.DUMMYFUNCTION("""COMPUTED_VALUE"""),"N")</f>
        <v>N</v>
      </c>
      <c r="S546" s="5"/>
      <c r="T546" s="5"/>
      <c r="U546" s="5" t="str">
        <f>IFERROR(__xludf.DUMMYFUNCTION("""COMPUTED_VALUE"""),"Y")</f>
        <v>Y</v>
      </c>
      <c r="V546" s="5">
        <f>IFERROR(__xludf.DUMMYFUNCTION("""COMPUTED_VALUE"""),490.0)</f>
        <v>490</v>
      </c>
      <c r="W546" s="5"/>
      <c r="X546" s="5"/>
      <c r="Y546" s="5"/>
      <c r="Z546" s="5"/>
    </row>
    <row r="547">
      <c r="A547" s="5" t="str">
        <f>IFERROR(__xludf.DUMMYFUNCTION("""COMPUTED_VALUE"""),"หมึกกล้วย-20/40(aa)-ก้อน-5-กก-(135)")</f>
        <v>หมึกกล้วย-20/40(aa)-ก้อน-5-กก-(135)</v>
      </c>
      <c r="B547" s="5">
        <f>IFERROR(__xludf.DUMMYFUNCTION("""COMPUTED_VALUE"""),10010.0)</f>
        <v>10010</v>
      </c>
      <c r="C547" s="5" t="str">
        <f>IFERROR(__xludf.DUMMYFUNCTION("""COMPUTED_VALUE"""),"หมึกกล้วย 20/40(AA) ก้อน 5 กก (135)")</f>
        <v>หมึกกล้วย 20/40(AA) ก้อน 5 กก (135)</v>
      </c>
      <c r="D547" s="5" t="str">
        <f>IFERROR(__xludf.DUMMYFUNCTION("""COMPUTED_VALUE"""),"**ทะเลสด มหาชัย")</f>
        <v>**ทะเลสด มหาชัย</v>
      </c>
      <c r="E547" s="5"/>
      <c r="F547" s="5" t="str">
        <f>IFERROR(__xludf.DUMMYFUNCTION("""COMPUTED_VALUE"""),"N")</f>
        <v>N</v>
      </c>
      <c r="G547" s="5"/>
      <c r="H547" s="5"/>
      <c r="I547" s="5"/>
      <c r="J547" s="5"/>
      <c r="K547" s="5"/>
      <c r="L547" s="5"/>
      <c r="M547" s="5">
        <f>IFERROR(__xludf.DUMMYFUNCTION("""COMPUTED_VALUE"""),574.32)</f>
        <v>574.32</v>
      </c>
      <c r="N547" s="5"/>
      <c r="O547" s="5"/>
      <c r="P547" s="5"/>
      <c r="Q547" s="5" t="str">
        <f>IFERROR(__xludf.DUMMYFUNCTION("""COMPUTED_VALUE"""),"Y")</f>
        <v>Y</v>
      </c>
      <c r="R547" s="5"/>
      <c r="S547" s="5"/>
      <c r="T547" s="5">
        <f>IFERROR(__xludf.DUMMYFUNCTION("""COMPUTED_VALUE"""),560.0)</f>
        <v>560</v>
      </c>
      <c r="U547" s="5" t="str">
        <f>IFERROR(__xludf.DUMMYFUNCTION("""COMPUTED_VALUE"""),"Y")</f>
        <v>Y</v>
      </c>
      <c r="V547" s="5">
        <f>IFERROR(__xludf.DUMMYFUNCTION("""COMPUTED_VALUE"""),675.0)</f>
        <v>675</v>
      </c>
      <c r="W547" s="5">
        <f>IFERROR(__xludf.DUMMYFUNCTION("""COMPUTED_VALUE"""),0.0)</f>
        <v>0</v>
      </c>
      <c r="X547" s="5"/>
      <c r="Y547" s="5">
        <f>IFERROR(__xludf.DUMMYFUNCTION("""COMPUTED_VALUE"""),4.0)</f>
        <v>4</v>
      </c>
      <c r="Z547" s="5"/>
    </row>
    <row r="548">
      <c r="A548" s="5" t="str">
        <f>IFERROR(__xludf.DUMMYFUNCTION("""COMPUTED_VALUE"""),"หมึกกล้วยลอก50-70-ถุง5kg-(125)")</f>
        <v>หมึกกล้วยลอก50-70-ถุง5kg-(125)</v>
      </c>
      <c r="B548" s="5">
        <f>IFERROR(__xludf.DUMMYFUNCTION("""COMPUTED_VALUE"""),11554.0)</f>
        <v>11554</v>
      </c>
      <c r="C548" s="5" t="str">
        <f>IFERROR(__xludf.DUMMYFUNCTION("""COMPUTED_VALUE"""),"หมึกกล้วย IQF 10*1kg (ลัง)")</f>
        <v>หมึกกล้วย IQF 10*1kg (ลัง)</v>
      </c>
      <c r="D548" s="5"/>
      <c r="E548" s="5" t="str">
        <f>IFERROR(__xludf.DUMMYFUNCTION("""COMPUTED_VALUE"""),"&lt;p&gt;A&lt;/p&gt;")</f>
        <v>&lt;p&gt;A&lt;/p&gt;</v>
      </c>
      <c r="F548" s="5" t="str">
        <f>IFERROR(__xludf.DUMMYFUNCTION("""COMPUTED_VALUE"""),"N")</f>
        <v>N</v>
      </c>
      <c r="G548" s="5"/>
      <c r="H548" s="5"/>
      <c r="I548" s="5"/>
      <c r="J548" s="5"/>
      <c r="K548" s="5"/>
      <c r="L548" s="5"/>
      <c r="M548" s="5">
        <f>IFERROR(__xludf.DUMMYFUNCTION("""COMPUTED_VALUE"""),815.71)</f>
        <v>815.71</v>
      </c>
      <c r="N548" s="5">
        <f>IFERROR(__xludf.DUMMYFUNCTION("""COMPUTED_VALUE"""),11554.0)</f>
        <v>11554</v>
      </c>
      <c r="O548" s="5"/>
      <c r="P548" s="5"/>
      <c r="Q548" s="5" t="str">
        <f>IFERROR(__xludf.DUMMYFUNCTION("""COMPUTED_VALUE"""),"Y")</f>
        <v>Y</v>
      </c>
      <c r="R548" s="5"/>
      <c r="S548" s="5" t="str">
        <f>IFERROR(__xludf.DUMMYFUNCTION("""COMPUTED_VALUE"""),"ขึ้นของมหาชัย")</f>
        <v>ขึ้นของมหาชัย</v>
      </c>
      <c r="T548" s="5">
        <f>IFERROR(__xludf.DUMMYFUNCTION("""COMPUTED_VALUE"""),810.0)</f>
        <v>810</v>
      </c>
      <c r="U548" s="5" t="str">
        <f>IFERROR(__xludf.DUMMYFUNCTION("""COMPUTED_VALUE"""),"N")</f>
        <v>N</v>
      </c>
      <c r="V548" s="5">
        <f>IFERROR(__xludf.DUMMYFUNCTION("""COMPUTED_VALUE"""),1000.0)</f>
        <v>1000</v>
      </c>
      <c r="W548" s="5">
        <f>IFERROR(__xludf.DUMMYFUNCTION("""COMPUTED_VALUE"""),0.0)</f>
        <v>0</v>
      </c>
      <c r="X548" s="5">
        <f>IFERROR(__xludf.DUMMYFUNCTION("""COMPUTED_VALUE"""),3.0)</f>
        <v>3</v>
      </c>
      <c r="Y548" s="5">
        <f>IFERROR(__xludf.DUMMYFUNCTION("""COMPUTED_VALUE"""),5.0)</f>
        <v>5</v>
      </c>
      <c r="Z548" s="5"/>
    </row>
    <row r="549">
      <c r="A549" s="5" t="str">
        <f>IFERROR(__xludf.DUMMYFUNCTION("""COMPUTED_VALUE"""),"หมึกกล้วย-iqf-10*1kg-(ลัง)94.-")</f>
        <v>หมึกกล้วย-iqf-10*1kg-(ลัง)94.-</v>
      </c>
      <c r="B549" s="5">
        <f>IFERROR(__xludf.DUMMYFUNCTION("""COMPUTED_VALUE"""),10597.0)</f>
        <v>10597</v>
      </c>
      <c r="C549" s="5" t="str">
        <f>IFERROR(__xludf.DUMMYFUNCTION("""COMPUTED_VALUE"""),"หมึกกล้วย IQF 10kg (ลัง)R100(94)")</f>
        <v>หมึกกล้วย IQF 10kg (ลัง)R100(94)</v>
      </c>
      <c r="D549" s="5" t="str">
        <f>IFERROR(__xludf.DUMMYFUNCTION("""COMPUTED_VALUE"""),"**ร้านค้า ราคาพิเศษ")</f>
        <v>**ร้านค้า ราคาพิเศษ</v>
      </c>
      <c r="E549" s="5"/>
      <c r="F549" s="5" t="str">
        <f>IFERROR(__xludf.DUMMYFUNCTION("""COMPUTED_VALUE"""),"N")</f>
        <v>N</v>
      </c>
      <c r="G549" s="5"/>
      <c r="H549" s="5"/>
      <c r="I549" s="5"/>
      <c r="J549" s="5"/>
      <c r="K549" s="5"/>
      <c r="L549" s="5"/>
      <c r="M549" s="5"/>
      <c r="N549" s="5"/>
      <c r="O549" s="5">
        <f>IFERROR(__xludf.DUMMYFUNCTION("""COMPUTED_VALUE"""),11554.0)</f>
        <v>11554</v>
      </c>
      <c r="P549" s="5">
        <f>IFERROR(__xludf.DUMMYFUNCTION("""COMPUTED_VALUE"""),1.0)</f>
        <v>1</v>
      </c>
      <c r="Q549" s="5" t="str">
        <f>IFERROR(__xludf.DUMMYFUNCTION("""COMPUTED_VALUE"""),"N")</f>
        <v>N</v>
      </c>
      <c r="R549" s="5" t="str">
        <f>IFERROR(__xludf.DUMMYFUNCTION("""COMPUTED_VALUE"""),"N")</f>
        <v>N</v>
      </c>
      <c r="S549" s="5"/>
      <c r="T549" s="5"/>
      <c r="U549" s="5" t="str">
        <f>IFERROR(__xludf.DUMMYFUNCTION("""COMPUTED_VALUE"""),"N")</f>
        <v>N</v>
      </c>
      <c r="V549" s="5">
        <f>IFERROR(__xludf.DUMMYFUNCTION("""COMPUTED_VALUE"""),940.0)</f>
        <v>940</v>
      </c>
      <c r="W549" s="5"/>
      <c r="X549" s="5"/>
      <c r="Y549" s="5"/>
      <c r="Z549" s="5"/>
    </row>
    <row r="550">
      <c r="A550" s="5" t="str">
        <f>IFERROR(__xludf.DUMMYFUNCTION("""COMPUTED_VALUE"""),"กล้วยไทย-2กก-(shop)")</f>
        <v>กล้วยไทย-2กก-(shop)</v>
      </c>
      <c r="B550" s="5">
        <f>IFERROR(__xludf.DUMMYFUNCTION("""COMPUTED_VALUE"""),11210.0)</f>
        <v>11210</v>
      </c>
      <c r="C550" s="5" t="str">
        <f>IFERROR(__xludf.DUMMYFUNCTION("""COMPUTED_VALUE"""),"หมึกกล้วย ปากี  ก้อน2กก (135)")</f>
        <v>หมึกกล้วย ปากี  ก้อน2กก (135)</v>
      </c>
      <c r="D550" s="5" t="str">
        <f>IFERROR(__xludf.DUMMYFUNCTION("""COMPUTED_VALUE"""),"**ลัง มหาชัย")</f>
        <v>**ลัง มหาชัย</v>
      </c>
      <c r="E550" s="5" t="str">
        <f>IFERROR(__xludf.DUMMYFUNCTION("""COMPUTED_VALUE"""),"&lt;p&gt;2&lt;/p&gt;")</f>
        <v>&lt;p&gt;2&lt;/p&gt;</v>
      </c>
      <c r="F550" s="5" t="str">
        <f>IFERROR(__xludf.DUMMYFUNCTION("""COMPUTED_VALUE"""),"N")</f>
        <v>N</v>
      </c>
      <c r="G550" s="5"/>
      <c r="H550" s="5"/>
      <c r="I550" s="5"/>
      <c r="J550" s="5"/>
      <c r="K550" s="5"/>
      <c r="L550" s="5"/>
      <c r="M550" s="5">
        <f>IFERROR(__xludf.DUMMYFUNCTION("""COMPUTED_VALUE"""),248.82)</f>
        <v>248.82</v>
      </c>
      <c r="N550" s="5">
        <f>IFERROR(__xludf.DUMMYFUNCTION("""COMPUTED_VALUE"""),11210.0)</f>
        <v>11210</v>
      </c>
      <c r="O550" s="5"/>
      <c r="P550" s="5"/>
      <c r="Q550" s="5" t="str">
        <f>IFERROR(__xludf.DUMMYFUNCTION("""COMPUTED_VALUE"""),"Y")</f>
        <v>Y</v>
      </c>
      <c r="R550" s="5"/>
      <c r="S550" s="5" t="str">
        <f>IFERROR(__xludf.DUMMYFUNCTION("""COMPUTED_VALUE"""),"ขึ้นของมหาชัย")</f>
        <v>ขึ้นของมหาชัย</v>
      </c>
      <c r="T550" s="5">
        <f>IFERROR(__xludf.DUMMYFUNCTION("""COMPUTED_VALUE"""),206.0)</f>
        <v>206</v>
      </c>
      <c r="U550" s="5" t="str">
        <f>IFERROR(__xludf.DUMMYFUNCTION("""COMPUTED_VALUE"""),"N")</f>
        <v>N</v>
      </c>
      <c r="V550" s="5">
        <f>IFERROR(__xludf.DUMMYFUNCTION("""COMPUTED_VALUE"""),270.0)</f>
        <v>270</v>
      </c>
      <c r="W550" s="5">
        <f>IFERROR(__xludf.DUMMYFUNCTION("""COMPUTED_VALUE"""),0.0)</f>
        <v>0</v>
      </c>
      <c r="X550" s="5">
        <f>IFERROR(__xludf.DUMMYFUNCTION("""COMPUTED_VALUE"""),6.0)</f>
        <v>6</v>
      </c>
      <c r="Y550" s="5">
        <f>IFERROR(__xludf.DUMMYFUNCTION("""COMPUTED_VALUE"""),24.0)</f>
        <v>24</v>
      </c>
      <c r="Z550" s="5"/>
    </row>
    <row r="551">
      <c r="A551" s="5" t="str">
        <f>IFERROR(__xludf.DUMMYFUNCTION("""COMPUTED_VALUE"""),"หมึกกล้วยไทย-10kg-(ลัง)")</f>
        <v>หมึกกล้วยไทย-10kg-(ลัง)</v>
      </c>
      <c r="B551" s="5">
        <f>IFERROR(__xludf.DUMMYFUNCTION("""COMPUTED_VALUE"""),10237.0)</f>
        <v>10237</v>
      </c>
      <c r="C551" s="5" t="str">
        <f>IFERROR(__xludf.DUMMYFUNCTION("""COMPUTED_VALUE"""),"หมึกกล้วย ปากี  ก้อน2กก 12กก(ลัง)")</f>
        <v>หมึกกล้วย ปากี  ก้อน2กก 12กก(ลัง)</v>
      </c>
      <c r="D551" s="5"/>
      <c r="E551" s="5"/>
      <c r="F551" s="5" t="str">
        <f>IFERROR(__xludf.DUMMYFUNCTION("""COMPUTED_VALUE"""),"N")</f>
        <v>N</v>
      </c>
      <c r="G551" s="5"/>
      <c r="H551" s="5"/>
      <c r="I551" s="5"/>
      <c r="J551" s="5"/>
      <c r="K551" s="5"/>
      <c r="L551" s="5"/>
      <c r="M551" s="5"/>
      <c r="N551" s="5">
        <f>IFERROR(__xludf.DUMMYFUNCTION("""COMPUTED_VALUE"""),10237.0)</f>
        <v>10237</v>
      </c>
      <c r="O551" s="5">
        <f>IFERROR(__xludf.DUMMYFUNCTION("""COMPUTED_VALUE"""),11210.0)</f>
        <v>11210</v>
      </c>
      <c r="P551" s="5">
        <f>IFERROR(__xludf.DUMMYFUNCTION("""COMPUTED_VALUE"""),6.0)</f>
        <v>6</v>
      </c>
      <c r="Q551" s="5" t="str">
        <f>IFERROR(__xludf.DUMMYFUNCTION("""COMPUTED_VALUE"""),"N")</f>
        <v>N</v>
      </c>
      <c r="R551" s="5" t="str">
        <f>IFERROR(__xludf.DUMMYFUNCTION("""COMPUTED_VALUE"""),"N")</f>
        <v>N</v>
      </c>
      <c r="S551" s="5"/>
      <c r="T551" s="5"/>
      <c r="U551" s="5" t="str">
        <f>IFERROR(__xludf.DUMMYFUNCTION("""COMPUTED_VALUE"""),"N")</f>
        <v>N</v>
      </c>
      <c r="V551" s="5">
        <f>IFERROR(__xludf.DUMMYFUNCTION("""COMPUTED_VALUE"""),1620.0)</f>
        <v>1620</v>
      </c>
      <c r="W551" s="5"/>
      <c r="X551" s="5"/>
      <c r="Y551" s="5"/>
      <c r="Z551" s="5"/>
    </row>
    <row r="552">
      <c r="A552" s="5" t="str">
        <f>IFERROR(__xludf.DUMMYFUNCTION("""COMPUTED_VALUE"""),"หมึกกล้วยลอก25/32/5-กก.")</f>
        <v>หมึกกล้วยลอก25/32/5-กก.</v>
      </c>
      <c r="B552" s="5">
        <f>IFERROR(__xludf.DUMMYFUNCTION("""COMPUTED_VALUE"""),11584.0)</f>
        <v>11584</v>
      </c>
      <c r="C552" s="5" t="str">
        <f>IFERROR(__xludf.DUMMYFUNCTION("""COMPUTED_VALUE"""),"หมึกกล้วยลอกM ถุง5กก (165)")</f>
        <v>หมึกกล้วยลอกM ถุง5กก (165)</v>
      </c>
      <c r="D552" s="5"/>
      <c r="E552" s="5" t="str">
        <f>IFERROR(__xludf.DUMMYFUNCTION("""COMPUTED_VALUE"""),"&lt;p&gt;X&lt;/p&gt;")</f>
        <v>&lt;p&gt;X&lt;/p&gt;</v>
      </c>
      <c r="F552" s="5" t="str">
        <f>IFERROR(__xludf.DUMMYFUNCTION("""COMPUTED_VALUE"""),"N")</f>
        <v>N</v>
      </c>
      <c r="G552" s="5"/>
      <c r="H552" s="5"/>
      <c r="I552" s="5"/>
      <c r="J552" s="5"/>
      <c r="K552" s="5"/>
      <c r="L552" s="5"/>
      <c r="M552" s="5">
        <f>IFERROR(__xludf.DUMMYFUNCTION("""COMPUTED_VALUE"""),775.0)</f>
        <v>775</v>
      </c>
      <c r="N552" s="5">
        <f>IFERROR(__xludf.DUMMYFUNCTION("""COMPUTED_VALUE"""),11584.0)</f>
        <v>11584</v>
      </c>
      <c r="O552" s="5"/>
      <c r="P552" s="5"/>
      <c r="Q552" s="5" t="str">
        <f>IFERROR(__xludf.DUMMYFUNCTION("""COMPUTED_VALUE"""),"Y")</f>
        <v>Y</v>
      </c>
      <c r="R552" s="5"/>
      <c r="S552" s="5" t="str">
        <f>IFERROR(__xludf.DUMMYFUNCTION("""COMPUTED_VALUE"""),"รุ่งเรืองซีฟู้ด@วันเฉลิม")</f>
        <v>รุ่งเรืองซีฟู้ด@วันเฉลิม</v>
      </c>
      <c r="T552" s="5">
        <f>IFERROR(__xludf.DUMMYFUNCTION("""COMPUTED_VALUE"""),775.0)</f>
        <v>775</v>
      </c>
      <c r="U552" s="5" t="str">
        <f>IFERROR(__xludf.DUMMYFUNCTION("""COMPUTED_VALUE"""),"Y")</f>
        <v>Y</v>
      </c>
      <c r="V552" s="5">
        <f>IFERROR(__xludf.DUMMYFUNCTION("""COMPUTED_VALUE"""),825.0)</f>
        <v>825</v>
      </c>
      <c r="W552" s="5">
        <f>IFERROR(__xludf.DUMMYFUNCTION("""COMPUTED_VALUE"""),0.0)</f>
        <v>0</v>
      </c>
      <c r="X552" s="5"/>
      <c r="Y552" s="5"/>
      <c r="Z552" s="5"/>
    </row>
    <row r="553">
      <c r="A553" s="5" t="str">
        <f>IFERROR(__xludf.DUMMYFUNCTION("""COMPUTED_VALUE"""),"หมึกดอกไม้-1kg-1")</f>
        <v>หมึกดอกไม้-1kg-1</v>
      </c>
      <c r="B553" s="5">
        <f>IFERROR(__xludf.DUMMYFUNCTION("""COMPUTED_VALUE"""),10043.0)</f>
        <v>10043</v>
      </c>
      <c r="C553" s="5" t="str">
        <f>IFERROR(__xludf.DUMMYFUNCTION("""COMPUTED_VALUE"""),"หมึกดอกไม้ 1Kg")</f>
        <v>หมึกดอกไม้ 1Kg</v>
      </c>
      <c r="D553" s="5" t="str">
        <f>IFERROR(__xludf.DUMMYFUNCTION("""COMPUTED_VALUE"""),"**ลัง มหาชัย")</f>
        <v>**ลัง มหาชัย</v>
      </c>
      <c r="E553" s="5" t="str">
        <f>IFERROR(__xludf.DUMMYFUNCTION("""COMPUTED_VALUE"""),"1")</f>
        <v>1</v>
      </c>
      <c r="F553" s="5" t="str">
        <f>IFERROR(__xludf.DUMMYFUNCTION("""COMPUTED_VALUE"""),"N")</f>
        <v>N</v>
      </c>
      <c r="G553" s="5"/>
      <c r="H553" s="5"/>
      <c r="I553" s="5"/>
      <c r="J553" s="5"/>
      <c r="K553" s="5"/>
      <c r="L553" s="5"/>
      <c r="M553" s="5">
        <f>IFERROR(__xludf.DUMMYFUNCTION("""COMPUTED_VALUE"""),50.35)</f>
        <v>50.35</v>
      </c>
      <c r="N553" s="5">
        <f>IFERROR(__xludf.DUMMYFUNCTION("""COMPUTED_VALUE"""),10043.0)</f>
        <v>10043</v>
      </c>
      <c r="O553" s="5"/>
      <c r="P553" s="5"/>
      <c r="Q553" s="5" t="str">
        <f>IFERROR(__xludf.DUMMYFUNCTION("""COMPUTED_VALUE"""),"Y")</f>
        <v>Y</v>
      </c>
      <c r="R553" s="5"/>
      <c r="S553" s="5" t="str">
        <f>IFERROR(__xludf.DUMMYFUNCTION("""COMPUTED_VALUE"""),"ขึ้นของมหาชัย")</f>
        <v>ขึ้นของมหาชัย</v>
      </c>
      <c r="T553" s="5">
        <f>IFERROR(__xludf.DUMMYFUNCTION("""COMPUTED_VALUE"""),48.0)</f>
        <v>48</v>
      </c>
      <c r="U553" s="5" t="str">
        <f>IFERROR(__xludf.DUMMYFUNCTION("""COMPUTED_VALUE"""),"Y")</f>
        <v>Y</v>
      </c>
      <c r="V553" s="5">
        <f>IFERROR(__xludf.DUMMYFUNCTION("""COMPUTED_VALUE"""),69.0)</f>
        <v>69</v>
      </c>
      <c r="W553" s="5">
        <f>IFERROR(__xludf.DUMMYFUNCTION("""COMPUTED_VALUE"""),55.0)</f>
        <v>55</v>
      </c>
      <c r="X553" s="5">
        <f>IFERROR(__xludf.DUMMYFUNCTION("""COMPUTED_VALUE"""),20.0)</f>
        <v>20</v>
      </c>
      <c r="Y553" s="5">
        <f>IFERROR(__xludf.DUMMYFUNCTION("""COMPUTED_VALUE"""),70.0)</f>
        <v>70</v>
      </c>
      <c r="Z553" s="5"/>
    </row>
    <row r="554">
      <c r="A554" s="5" t="str">
        <f>IFERROR(__xludf.DUMMYFUNCTION("""COMPUTED_VALUE"""),"หมึกดอกไม้-ลัง-10kg-1")</f>
        <v>หมึกดอกไม้-ลัง-10kg-1</v>
      </c>
      <c r="B554" s="5">
        <f>IFERROR(__xludf.DUMMYFUNCTION("""COMPUTED_VALUE"""),10044.0)</f>
        <v>10044</v>
      </c>
      <c r="C554" s="5" t="str">
        <f>IFERROR(__xludf.DUMMYFUNCTION("""COMPUTED_VALUE"""),"หมึกดอกไม้ A  (ลัง)")</f>
        <v>หมึกดอกไม้ A  (ลัง)</v>
      </c>
      <c r="D554" s="5"/>
      <c r="E554" s="5" t="str">
        <f>IFERROR(__xludf.DUMMYFUNCTION("""COMPUTED_VALUE"""),"&lt;p&gt;S&lt;/p&gt;")</f>
        <v>&lt;p&gt;S&lt;/p&gt;</v>
      </c>
      <c r="F554" s="5" t="str">
        <f>IFERROR(__xludf.DUMMYFUNCTION("""COMPUTED_VALUE"""),"N")</f>
        <v>N</v>
      </c>
      <c r="G554" s="5"/>
      <c r="H554" s="5"/>
      <c r="I554" s="5"/>
      <c r="J554" s="5"/>
      <c r="K554" s="5"/>
      <c r="L554" s="5"/>
      <c r="M554" s="5"/>
      <c r="N554" s="5">
        <f>IFERROR(__xludf.DUMMYFUNCTION("""COMPUTED_VALUE"""),10044.0)</f>
        <v>10044</v>
      </c>
      <c r="O554" s="5">
        <f>IFERROR(__xludf.DUMMYFUNCTION("""COMPUTED_VALUE"""),10043.0)</f>
        <v>10043</v>
      </c>
      <c r="P554" s="5">
        <f>IFERROR(__xludf.DUMMYFUNCTION("""COMPUTED_VALUE"""),10.0)</f>
        <v>10</v>
      </c>
      <c r="Q554" s="5" t="str">
        <f>IFERROR(__xludf.DUMMYFUNCTION("""COMPUTED_VALUE"""),"N")</f>
        <v>N</v>
      </c>
      <c r="R554" s="5" t="str">
        <f>IFERROR(__xludf.DUMMYFUNCTION("""COMPUTED_VALUE"""),"N")</f>
        <v>N</v>
      </c>
      <c r="S554" s="5"/>
      <c r="T554" s="5"/>
      <c r="U554" s="5" t="str">
        <f>IFERROR(__xludf.DUMMYFUNCTION("""COMPUTED_VALUE"""),"Y")</f>
        <v>Y</v>
      </c>
      <c r="V554" s="5">
        <f>IFERROR(__xludf.DUMMYFUNCTION("""COMPUTED_VALUE"""),610.0)</f>
        <v>610</v>
      </c>
      <c r="W554" s="5"/>
      <c r="X554" s="5"/>
      <c r="Y554" s="5"/>
      <c r="Z554" s="5"/>
    </row>
    <row r="555">
      <c r="A555" s="5" t="str">
        <f>IFERROR(__xludf.DUMMYFUNCTION("""COMPUTED_VALUE"""),"หมึกดอกไม้-ลัง-(r100)--510")</f>
        <v>หมึกดอกไม้-ลัง-(r100)--510</v>
      </c>
      <c r="B555" s="5">
        <f>IFERROR(__xludf.DUMMYFUNCTION("""COMPUTED_VALUE"""),10056.0)</f>
        <v>10056</v>
      </c>
      <c r="C555" s="5" t="str">
        <f>IFERROR(__xludf.DUMMYFUNCTION("""COMPUTED_VALUE"""),"หมึกดอกไม้ R100")</f>
        <v>หมึกดอกไม้ R100</v>
      </c>
      <c r="D555" s="5" t="str">
        <f>IFERROR(__xludf.DUMMYFUNCTION("""COMPUTED_VALUE"""),"**ร้านค้า ราคาพิเศษ")</f>
        <v>**ร้านค้า ราคาพิเศษ</v>
      </c>
      <c r="E555" s="5"/>
      <c r="F555" s="5" t="str">
        <f>IFERROR(__xludf.DUMMYFUNCTION("""COMPUTED_VALUE"""),"N")</f>
        <v>N</v>
      </c>
      <c r="G555" s="5"/>
      <c r="H555" s="5"/>
      <c r="I555" s="5"/>
      <c r="J555" s="5"/>
      <c r="K555" s="5"/>
      <c r="L555" s="5"/>
      <c r="M555" s="5"/>
      <c r="N555" s="5">
        <f>IFERROR(__xludf.DUMMYFUNCTION("""COMPUTED_VALUE"""),10056.0)</f>
        <v>10056</v>
      </c>
      <c r="O555" s="5">
        <f>IFERROR(__xludf.DUMMYFUNCTION("""COMPUTED_VALUE"""),10043.0)</f>
        <v>10043</v>
      </c>
      <c r="P555" s="5">
        <f>IFERROR(__xludf.DUMMYFUNCTION("""COMPUTED_VALUE"""),10.0)</f>
        <v>10</v>
      </c>
      <c r="Q555" s="5" t="str">
        <f>IFERROR(__xludf.DUMMYFUNCTION("""COMPUTED_VALUE"""),"N")</f>
        <v>N</v>
      </c>
      <c r="R555" s="5" t="str">
        <f>IFERROR(__xludf.DUMMYFUNCTION("""COMPUTED_VALUE"""),"N")</f>
        <v>N</v>
      </c>
      <c r="S555" s="5"/>
      <c r="T555" s="5"/>
      <c r="U555" s="5" t="str">
        <f>IFERROR(__xludf.DUMMYFUNCTION("""COMPUTED_VALUE"""),"Y")</f>
        <v>Y</v>
      </c>
      <c r="V555" s="5">
        <f>IFERROR(__xludf.DUMMYFUNCTION("""COMPUTED_VALUE"""),630.0)</f>
        <v>630</v>
      </c>
      <c r="W555" s="5"/>
      <c r="X555" s="5"/>
      <c r="Y555" s="5"/>
      <c r="Z555" s="5"/>
    </row>
    <row r="556">
      <c r="A556" s="5" t="str">
        <f>IFERROR(__xludf.DUMMYFUNCTION("""COMPUTED_VALUE"""),"หมึกบั้งa-ลัง-10kg-1")</f>
        <v>หมึกบั้งa-ลัง-10kg-1</v>
      </c>
      <c r="B556" s="5">
        <f>IFERROR(__xludf.DUMMYFUNCTION("""COMPUTED_VALUE"""),10122.0)</f>
        <v>10122</v>
      </c>
      <c r="C556" s="5" t="str">
        <f>IFERROR(__xludf.DUMMYFUNCTION("""COMPUTED_VALUE"""),"หมึกบั้ง A (ลัง) - 54")</f>
        <v>หมึกบั้ง A (ลัง) - 54</v>
      </c>
      <c r="D556" s="5"/>
      <c r="E556" s="5" t="str">
        <f>IFERROR(__xludf.DUMMYFUNCTION("""COMPUTED_VALUE"""),"&lt;p&gt;S&lt;/p&gt;")</f>
        <v>&lt;p&gt;S&lt;/p&gt;</v>
      </c>
      <c r="F556" s="5" t="str">
        <f>IFERROR(__xludf.DUMMYFUNCTION("""COMPUTED_VALUE"""),"N")</f>
        <v>N</v>
      </c>
      <c r="G556" s="5"/>
      <c r="H556" s="5"/>
      <c r="I556" s="5"/>
      <c r="J556" s="5"/>
      <c r="K556" s="5"/>
      <c r="L556" s="5"/>
      <c r="M556" s="5"/>
      <c r="N556" s="5">
        <f>IFERROR(__xludf.DUMMYFUNCTION("""COMPUTED_VALUE"""),10122.0)</f>
        <v>10122</v>
      </c>
      <c r="O556" s="5">
        <f>IFERROR(__xludf.DUMMYFUNCTION("""COMPUTED_VALUE"""),10121.0)</f>
        <v>10121</v>
      </c>
      <c r="P556" s="5">
        <f>IFERROR(__xludf.DUMMYFUNCTION("""COMPUTED_VALUE"""),10.0)</f>
        <v>10</v>
      </c>
      <c r="Q556" s="5" t="str">
        <f>IFERROR(__xludf.DUMMYFUNCTION("""COMPUTED_VALUE"""),"N")</f>
        <v>N</v>
      </c>
      <c r="R556" s="5" t="str">
        <f>IFERROR(__xludf.DUMMYFUNCTION("""COMPUTED_VALUE"""),"N")</f>
        <v>N</v>
      </c>
      <c r="S556" s="5"/>
      <c r="T556" s="5"/>
      <c r="U556" s="5" t="str">
        <f>IFERROR(__xludf.DUMMYFUNCTION("""COMPUTED_VALUE"""),"Y")</f>
        <v>Y</v>
      </c>
      <c r="V556" s="5">
        <f>IFERROR(__xludf.DUMMYFUNCTION("""COMPUTED_VALUE"""),540.0)</f>
        <v>540</v>
      </c>
      <c r="W556" s="5"/>
      <c r="X556" s="5"/>
      <c r="Y556" s="5"/>
      <c r="Z556" s="5"/>
    </row>
    <row r="557">
      <c r="A557" s="5" t="str">
        <f>IFERROR(__xludf.DUMMYFUNCTION("""COMPUTED_VALUE"""),"หมึกบั้งa--ลัง-10kg-r100-(55)")</f>
        <v>หมึกบั้งa--ลัง-10kg-r100-(55)</v>
      </c>
      <c r="B557" s="5">
        <f>IFERROR(__xludf.DUMMYFUNCTION("""COMPUTED_VALUE"""),11600.0)</f>
        <v>11600</v>
      </c>
      <c r="C557" s="5" t="str">
        <f>IFERROR(__xludf.DUMMYFUNCTION("""COMPUTED_VALUE"""),"หมึกบั้งA  ลัง 10Kg (R100)-50")</f>
        <v>หมึกบั้งA  ลัง 10Kg (R100)-50</v>
      </c>
      <c r="D557" s="5" t="str">
        <f>IFERROR(__xludf.DUMMYFUNCTION("""COMPUTED_VALUE"""),"**ร้านค้า ราคาพิเศษ")</f>
        <v>**ร้านค้า ราคาพิเศษ</v>
      </c>
      <c r="E557" s="5" t="str">
        <f>IFERROR(__xludf.DUMMYFUNCTION("""COMPUTED_VALUE"""),"&lt;p&gt;X&lt;/p&gt;")</f>
        <v>&lt;p&gt;X&lt;/p&gt;</v>
      </c>
      <c r="F557" s="5" t="str">
        <f>IFERROR(__xludf.DUMMYFUNCTION("""COMPUTED_VALUE"""),"N")</f>
        <v>N</v>
      </c>
      <c r="G557" s="5"/>
      <c r="H557" s="5"/>
      <c r="I557" s="5"/>
      <c r="J557" s="5"/>
      <c r="K557" s="5"/>
      <c r="L557" s="5"/>
      <c r="M557" s="5"/>
      <c r="N557" s="5">
        <f>IFERROR(__xludf.DUMMYFUNCTION("""COMPUTED_VALUE"""),11600.0)</f>
        <v>11600</v>
      </c>
      <c r="O557" s="5">
        <f>IFERROR(__xludf.DUMMYFUNCTION("""COMPUTED_VALUE"""),10121.0)</f>
        <v>10121</v>
      </c>
      <c r="P557" s="5">
        <f>IFERROR(__xludf.DUMMYFUNCTION("""COMPUTED_VALUE"""),10.0)</f>
        <v>10</v>
      </c>
      <c r="Q557" s="5" t="str">
        <f>IFERROR(__xludf.DUMMYFUNCTION("""COMPUTED_VALUE"""),"N")</f>
        <v>N</v>
      </c>
      <c r="R557" s="5" t="str">
        <f>IFERROR(__xludf.DUMMYFUNCTION("""COMPUTED_VALUE"""),"N")</f>
        <v>N</v>
      </c>
      <c r="S557" s="5"/>
      <c r="T557" s="5"/>
      <c r="U557" s="5" t="str">
        <f>IFERROR(__xludf.DUMMYFUNCTION("""COMPUTED_VALUE"""),"Y")</f>
        <v>Y</v>
      </c>
      <c r="V557" s="5">
        <f>IFERROR(__xludf.DUMMYFUNCTION("""COMPUTED_VALUE"""),500.0)</f>
        <v>500</v>
      </c>
      <c r="W557" s="5"/>
      <c r="X557" s="5"/>
      <c r="Y557" s="5"/>
      <c r="Z557" s="5"/>
    </row>
    <row r="558">
      <c r="A558" s="5" t="str">
        <f>IFERROR(__xludf.DUMMYFUNCTION("""COMPUTED_VALUE"""),"หมึกบั้ง-มะเฟือง-ลัง-(r100)-54")</f>
        <v>หมึกบั้ง-มะเฟือง-ลัง-(r100)-54</v>
      </c>
      <c r="B558" s="5">
        <f>IFERROR(__xludf.DUMMYFUNCTION("""COMPUTED_VALUE"""),10087.0)</f>
        <v>10087</v>
      </c>
      <c r="C558" s="5" t="str">
        <f>IFERROR(__xludf.DUMMYFUNCTION("""COMPUTED_VALUE"""),"หมึกบั้งมะเฟือง  10*1kg  R100 (ลัง)")</f>
        <v>หมึกบั้งมะเฟือง  10*1kg  R100 (ลัง)</v>
      </c>
      <c r="D558" s="5" t="str">
        <f>IFERROR(__xludf.DUMMYFUNCTION("""COMPUTED_VALUE"""),"**ร้านค้า ราคาพิเศษ")</f>
        <v>**ร้านค้า ราคาพิเศษ</v>
      </c>
      <c r="E558" s="5"/>
      <c r="F558" s="5" t="str">
        <f>IFERROR(__xludf.DUMMYFUNCTION("""COMPUTED_VALUE"""),"N")</f>
        <v>N</v>
      </c>
      <c r="G558" s="5"/>
      <c r="H558" s="5"/>
      <c r="I558" s="5"/>
      <c r="J558" s="5"/>
      <c r="K558" s="5"/>
      <c r="L558" s="5"/>
      <c r="M558" s="5"/>
      <c r="N558" s="5">
        <f>IFERROR(__xludf.DUMMYFUNCTION("""COMPUTED_VALUE"""),10087.0)</f>
        <v>10087</v>
      </c>
      <c r="O558" s="5">
        <f>IFERROR(__xludf.DUMMYFUNCTION("""COMPUTED_VALUE"""),10305.0)</f>
        <v>10305</v>
      </c>
      <c r="P558" s="5">
        <f>IFERROR(__xludf.DUMMYFUNCTION("""COMPUTED_VALUE"""),10.0)</f>
        <v>10</v>
      </c>
      <c r="Q558" s="5" t="str">
        <f>IFERROR(__xludf.DUMMYFUNCTION("""COMPUTED_VALUE"""),"N")</f>
        <v>N</v>
      </c>
      <c r="R558" s="5" t="str">
        <f>IFERROR(__xludf.DUMMYFUNCTION("""COMPUTED_VALUE"""),"N")</f>
        <v>N</v>
      </c>
      <c r="S558" s="5"/>
      <c r="T558" s="5"/>
      <c r="U558" s="5" t="str">
        <f>IFERROR(__xludf.DUMMYFUNCTION("""COMPUTED_VALUE"""),"N")</f>
        <v>N</v>
      </c>
      <c r="V558" s="5">
        <f>IFERROR(__xludf.DUMMYFUNCTION("""COMPUTED_VALUE"""),640.0)</f>
        <v>640</v>
      </c>
      <c r="W558" s="5"/>
      <c r="X558" s="5"/>
      <c r="Y558" s="5"/>
      <c r="Z558" s="5"/>
    </row>
    <row r="559">
      <c r="A559" s="5" t="str">
        <f>IFERROR(__xludf.DUMMYFUNCTION("""COMPUTED_VALUE"""),"10306")</f>
        <v>10306</v>
      </c>
      <c r="B559" s="5">
        <f>IFERROR(__xludf.DUMMYFUNCTION("""COMPUTED_VALUE"""),10306.0)</f>
        <v>10306</v>
      </c>
      <c r="C559" s="5" t="str">
        <f>IFERROR(__xludf.DUMMYFUNCTION("""COMPUTED_VALUE"""),"หมึกบั้งมะเฟือง (ลัง)")</f>
        <v>หมึกบั้งมะเฟือง (ลัง)</v>
      </c>
      <c r="D559" s="5"/>
      <c r="E559" s="5" t="str">
        <f>IFERROR(__xludf.DUMMYFUNCTION("""COMPUTED_VALUE"""),"&lt;p&gt;S&lt;/p&gt;")</f>
        <v>&lt;p&gt;S&lt;/p&gt;</v>
      </c>
      <c r="F559" s="5" t="str">
        <f>IFERROR(__xludf.DUMMYFUNCTION("""COMPUTED_VALUE"""),"N")</f>
        <v>N</v>
      </c>
      <c r="G559" s="5"/>
      <c r="H559" s="5"/>
      <c r="I559" s="5"/>
      <c r="J559" s="5"/>
      <c r="K559" s="5"/>
      <c r="L559" s="5"/>
      <c r="M559" s="5"/>
      <c r="N559" s="5">
        <f>IFERROR(__xludf.DUMMYFUNCTION("""COMPUTED_VALUE"""),10306.0)</f>
        <v>10306</v>
      </c>
      <c r="O559" s="5">
        <f>IFERROR(__xludf.DUMMYFUNCTION("""COMPUTED_VALUE"""),10305.0)</f>
        <v>10305</v>
      </c>
      <c r="P559" s="5">
        <f>IFERROR(__xludf.DUMMYFUNCTION("""COMPUTED_VALUE"""),10.0)</f>
        <v>10</v>
      </c>
      <c r="Q559" s="5" t="str">
        <f>IFERROR(__xludf.DUMMYFUNCTION("""COMPUTED_VALUE"""),"N")</f>
        <v>N</v>
      </c>
      <c r="R559" s="5" t="str">
        <f>IFERROR(__xludf.DUMMYFUNCTION("""COMPUTED_VALUE"""),"N")</f>
        <v>N</v>
      </c>
      <c r="S559" s="5"/>
      <c r="T559" s="5"/>
      <c r="U559" s="5" t="str">
        <f>IFERROR(__xludf.DUMMYFUNCTION("""COMPUTED_VALUE"""),"Y")</f>
        <v>Y</v>
      </c>
      <c r="V559" s="5">
        <f>IFERROR(__xludf.DUMMYFUNCTION("""COMPUTED_VALUE"""),630.0)</f>
        <v>630</v>
      </c>
      <c r="W559" s="5"/>
      <c r="X559" s="5"/>
      <c r="Y559" s="5"/>
      <c r="Z559" s="5"/>
    </row>
    <row r="560">
      <c r="A560" s="5" t="str">
        <f>IFERROR(__xludf.DUMMYFUNCTION("""COMPUTED_VALUE"""),"หมึกวง-ลังขาวแดง-10กก")</f>
        <v>หมึกวง-ลังขาวแดง-10กก</v>
      </c>
      <c r="B560" s="5">
        <f>IFERROR(__xludf.DUMMYFUNCTION("""COMPUTED_VALUE"""),11359.0)</f>
        <v>11359</v>
      </c>
      <c r="C560" s="5" t="str">
        <f>IFERROR(__xludf.DUMMYFUNCTION("""COMPUTED_VALUE"""),"หมึกวง (ลัง) - 59")</f>
        <v>หมึกวง (ลัง) - 59</v>
      </c>
      <c r="D560" s="5"/>
      <c r="E560" s="5" t="str">
        <f>IFERROR(__xludf.DUMMYFUNCTION("""COMPUTED_VALUE"""),"&lt;p&gt;S&lt;/p&gt;")</f>
        <v>&lt;p&gt;S&lt;/p&gt;</v>
      </c>
      <c r="F560" s="5" t="str">
        <f>IFERROR(__xludf.DUMMYFUNCTION("""COMPUTED_VALUE"""),"N")</f>
        <v>N</v>
      </c>
      <c r="G560" s="5"/>
      <c r="H560" s="5"/>
      <c r="I560" s="5"/>
      <c r="J560" s="5"/>
      <c r="K560" s="5"/>
      <c r="L560" s="5"/>
      <c r="M560" s="5"/>
      <c r="N560" s="5">
        <f>IFERROR(__xludf.DUMMYFUNCTION("""COMPUTED_VALUE"""),11359.0)</f>
        <v>11359</v>
      </c>
      <c r="O560" s="5">
        <f>IFERROR(__xludf.DUMMYFUNCTION("""COMPUTED_VALUE"""),11357.0)</f>
        <v>11357</v>
      </c>
      <c r="P560" s="5">
        <f>IFERROR(__xludf.DUMMYFUNCTION("""COMPUTED_VALUE"""),10.0)</f>
        <v>10</v>
      </c>
      <c r="Q560" s="5" t="str">
        <f>IFERROR(__xludf.DUMMYFUNCTION("""COMPUTED_VALUE"""),"N")</f>
        <v>N</v>
      </c>
      <c r="R560" s="5" t="str">
        <f>IFERROR(__xludf.DUMMYFUNCTION("""COMPUTED_VALUE"""),"N")</f>
        <v>N</v>
      </c>
      <c r="S560" s="5"/>
      <c r="T560" s="5"/>
      <c r="U560" s="5" t="str">
        <f>IFERROR(__xludf.DUMMYFUNCTION("""COMPUTED_VALUE"""),"Y")</f>
        <v>Y</v>
      </c>
      <c r="V560" s="5">
        <f>IFERROR(__xludf.DUMMYFUNCTION("""COMPUTED_VALUE"""),590.0)</f>
        <v>590</v>
      </c>
      <c r="W560" s="5"/>
      <c r="X560" s="5"/>
      <c r="Y560" s="5"/>
      <c r="Z560" s="5"/>
    </row>
    <row r="561">
      <c r="A561" s="5" t="str">
        <f>IFERROR(__xludf.DUMMYFUNCTION("""COMPUTED_VALUE"""),"ร้านเจ้นงค์-หมึกวง-(54)")</f>
        <v>ร้านเจ้นงค์-หมึกวง-(54)</v>
      </c>
      <c r="B561" s="5">
        <f>IFERROR(__xludf.DUMMYFUNCTION("""COMPUTED_VALUE"""),11489.0)</f>
        <v>11489</v>
      </c>
      <c r="C561" s="5" t="str">
        <f>IFERROR(__xludf.DUMMYFUNCTION("""COMPUTED_VALUE"""),"หมึกวง ลัง R100 (530)")</f>
        <v>หมึกวง ลัง R100 (530)</v>
      </c>
      <c r="D561" s="5" t="str">
        <f>IFERROR(__xludf.DUMMYFUNCTION("""COMPUTED_VALUE"""),"**ร้านค้า ราคาพิเศษ")</f>
        <v>**ร้านค้า ราคาพิเศษ</v>
      </c>
      <c r="E561" s="5" t="str">
        <f>IFERROR(__xludf.DUMMYFUNCTION("""COMPUTED_VALUE"""),"&lt;p&gt;X&lt;/p&gt;")</f>
        <v>&lt;p&gt;X&lt;/p&gt;</v>
      </c>
      <c r="F561" s="5" t="str">
        <f>IFERROR(__xludf.DUMMYFUNCTION("""COMPUTED_VALUE"""),"N")</f>
        <v>N</v>
      </c>
      <c r="G561" s="5"/>
      <c r="H561" s="5"/>
      <c r="I561" s="5"/>
      <c r="J561" s="5"/>
      <c r="K561" s="5"/>
      <c r="L561" s="5"/>
      <c r="M561" s="5"/>
      <c r="N561" s="5">
        <f>IFERROR(__xludf.DUMMYFUNCTION("""COMPUTED_VALUE"""),11489.0)</f>
        <v>11489</v>
      </c>
      <c r="O561" s="5">
        <f>IFERROR(__xludf.DUMMYFUNCTION("""COMPUTED_VALUE"""),11357.0)</f>
        <v>11357</v>
      </c>
      <c r="P561" s="5">
        <f>IFERROR(__xludf.DUMMYFUNCTION("""COMPUTED_VALUE"""),10.0)</f>
        <v>10</v>
      </c>
      <c r="Q561" s="5" t="str">
        <f>IFERROR(__xludf.DUMMYFUNCTION("""COMPUTED_VALUE"""),"N")</f>
        <v>N</v>
      </c>
      <c r="R561" s="5" t="str">
        <f>IFERROR(__xludf.DUMMYFUNCTION("""COMPUTED_VALUE"""),"N")</f>
        <v>N</v>
      </c>
      <c r="S561" s="5"/>
      <c r="T561" s="5"/>
      <c r="U561" s="5" t="str">
        <f>IFERROR(__xludf.DUMMYFUNCTION("""COMPUTED_VALUE"""),"Y")</f>
        <v>Y</v>
      </c>
      <c r="V561" s="5">
        <f>IFERROR(__xludf.DUMMYFUNCTION("""COMPUTED_VALUE"""),530.0)</f>
        <v>530</v>
      </c>
      <c r="W561" s="5"/>
      <c r="X561" s="5"/>
      <c r="Y561" s="5"/>
      <c r="Z561" s="5"/>
    </row>
    <row r="562">
      <c r="A562" s="5" t="str">
        <f>IFERROR(__xludf.DUMMYFUNCTION("""COMPUTED_VALUE"""),"หมึกวงติดปีก-ลัง-10kg-1")</f>
        <v>หมึกวงติดปีก-ลัง-10kg-1</v>
      </c>
      <c r="B562" s="5">
        <f>IFERROR(__xludf.DUMMYFUNCTION("""COMPUTED_VALUE"""),10201.0)</f>
        <v>10201</v>
      </c>
      <c r="C562" s="5" t="str">
        <f>IFERROR(__xludf.DUMMYFUNCTION("""COMPUTED_VALUE"""),"หมึกวงติดปีก (ลัง) - 57")</f>
        <v>หมึกวงติดปีก (ลัง) - 57</v>
      </c>
      <c r="D562" s="5"/>
      <c r="E562" s="5" t="str">
        <f>IFERROR(__xludf.DUMMYFUNCTION("""COMPUTED_VALUE"""),"&lt;p&gt;S&lt;/p&gt;")</f>
        <v>&lt;p&gt;S&lt;/p&gt;</v>
      </c>
      <c r="F562" s="5" t="str">
        <f>IFERROR(__xludf.DUMMYFUNCTION("""COMPUTED_VALUE"""),"N")</f>
        <v>N</v>
      </c>
      <c r="G562" s="5"/>
      <c r="H562" s="5"/>
      <c r="I562" s="5"/>
      <c r="J562" s="5"/>
      <c r="K562" s="5"/>
      <c r="L562" s="5"/>
      <c r="M562" s="5"/>
      <c r="N562" s="5">
        <f>IFERROR(__xludf.DUMMYFUNCTION("""COMPUTED_VALUE"""),10201.0)</f>
        <v>10201</v>
      </c>
      <c r="O562" s="5">
        <f>IFERROR(__xludf.DUMMYFUNCTION("""COMPUTED_VALUE"""),10200.0)</f>
        <v>10200</v>
      </c>
      <c r="P562" s="5">
        <f>IFERROR(__xludf.DUMMYFUNCTION("""COMPUTED_VALUE"""),10.0)</f>
        <v>10</v>
      </c>
      <c r="Q562" s="5" t="str">
        <f>IFERROR(__xludf.DUMMYFUNCTION("""COMPUTED_VALUE"""),"N")</f>
        <v>N</v>
      </c>
      <c r="R562" s="5" t="str">
        <f>IFERROR(__xludf.DUMMYFUNCTION("""COMPUTED_VALUE"""),"N")</f>
        <v>N</v>
      </c>
      <c r="S562" s="5"/>
      <c r="T562" s="5"/>
      <c r="U562" s="5" t="str">
        <f>IFERROR(__xludf.DUMMYFUNCTION("""COMPUTED_VALUE"""),"Y")</f>
        <v>Y</v>
      </c>
      <c r="V562" s="5">
        <f>IFERROR(__xludf.DUMMYFUNCTION("""COMPUTED_VALUE"""),570.0)</f>
        <v>570</v>
      </c>
      <c r="W562" s="5"/>
      <c r="X562" s="5"/>
      <c r="Y562" s="5"/>
      <c r="Z562" s="5"/>
    </row>
    <row r="563">
      <c r="A563" s="5" t="str">
        <f>IFERROR(__xludf.DUMMYFUNCTION("""COMPUTED_VALUE"""),"หมึกวงติดปีก-10*1kg-r100")</f>
        <v>หมึกวงติดปีก-10*1kg-r100</v>
      </c>
      <c r="B563" s="5">
        <f>IFERROR(__xludf.DUMMYFUNCTION("""COMPUTED_VALUE"""),10107.0)</f>
        <v>10107</v>
      </c>
      <c r="C563" s="5" t="str">
        <f>IFERROR(__xludf.DUMMYFUNCTION("""COMPUTED_VALUE"""),"หมึกวงติดปีก 10*1Kg R100่(53)")</f>
        <v>หมึกวงติดปีก 10*1Kg R100่(53)</v>
      </c>
      <c r="D563" s="5" t="str">
        <f>IFERROR(__xludf.DUMMYFUNCTION("""COMPUTED_VALUE"""),"**ร้านค้า ราคาพิเศษ")</f>
        <v>**ร้านค้า ราคาพิเศษ</v>
      </c>
      <c r="E563" s="5"/>
      <c r="F563" s="5" t="str">
        <f>IFERROR(__xludf.DUMMYFUNCTION("""COMPUTED_VALUE"""),"N")</f>
        <v>N</v>
      </c>
      <c r="G563" s="5"/>
      <c r="H563" s="5"/>
      <c r="I563" s="5"/>
      <c r="J563" s="5"/>
      <c r="K563" s="5"/>
      <c r="L563" s="5"/>
      <c r="M563" s="5"/>
      <c r="N563" s="5">
        <f>IFERROR(__xludf.DUMMYFUNCTION("""COMPUTED_VALUE"""),10107.0)</f>
        <v>10107</v>
      </c>
      <c r="O563" s="5">
        <f>IFERROR(__xludf.DUMMYFUNCTION("""COMPUTED_VALUE"""),10200.0)</f>
        <v>10200</v>
      </c>
      <c r="P563" s="5">
        <f>IFERROR(__xludf.DUMMYFUNCTION("""COMPUTED_VALUE"""),10.0)</f>
        <v>10</v>
      </c>
      <c r="Q563" s="5" t="str">
        <f>IFERROR(__xludf.DUMMYFUNCTION("""COMPUTED_VALUE"""),"N")</f>
        <v>N</v>
      </c>
      <c r="R563" s="5" t="str">
        <f>IFERROR(__xludf.DUMMYFUNCTION("""COMPUTED_VALUE"""),"N")</f>
        <v>N</v>
      </c>
      <c r="S563" s="5"/>
      <c r="T563" s="5"/>
      <c r="U563" s="5" t="str">
        <f>IFERROR(__xludf.DUMMYFUNCTION("""COMPUTED_VALUE"""),"N")</f>
        <v>N</v>
      </c>
      <c r="V563" s="5">
        <f>IFERROR(__xludf.DUMMYFUNCTION("""COMPUTED_VALUE"""),530.0)</f>
        <v>530</v>
      </c>
      <c r="W563" s="5"/>
      <c r="X563" s="5"/>
      <c r="Y563" s="5"/>
      <c r="Z563" s="5"/>
    </row>
    <row r="564">
      <c r="A564" s="5" t="str">
        <f>IFERROR(__xludf.DUMMYFUNCTION("""COMPUTED_VALUE"""),"หมึกเจาะรองโบ้--ถุง-5-กก.")</f>
        <v>หมึกเจาะรองโบ้--ถุง-5-กก.</v>
      </c>
      <c r="B564" s="5">
        <f>IFERROR(__xludf.DUMMYFUNCTION("""COMPUTED_VALUE"""),10810.0)</f>
        <v>10810</v>
      </c>
      <c r="C564" s="5" t="str">
        <f>IFERROR(__xludf.DUMMYFUNCTION("""COMPUTED_VALUE"""),"หมึกเจาะกลาง20/25ตัว ถุง5กก-195")</f>
        <v>หมึกเจาะกลาง20/25ตัว ถุง5กก-195</v>
      </c>
      <c r="D564" s="5"/>
      <c r="E564" s="5"/>
      <c r="F564" s="5" t="str">
        <f>IFERROR(__xludf.DUMMYFUNCTION("""COMPUTED_VALUE"""),"N")</f>
        <v>N</v>
      </c>
      <c r="G564" s="5"/>
      <c r="H564" s="5"/>
      <c r="I564" s="5"/>
      <c r="J564" s="5"/>
      <c r="K564" s="5"/>
      <c r="L564" s="5"/>
      <c r="M564" s="5">
        <f>IFERROR(__xludf.DUMMYFUNCTION("""COMPUTED_VALUE"""),925.0)</f>
        <v>925</v>
      </c>
      <c r="N564" s="5"/>
      <c r="O564" s="5"/>
      <c r="P564" s="5"/>
      <c r="Q564" s="5" t="str">
        <f>IFERROR(__xludf.DUMMYFUNCTION("""COMPUTED_VALUE"""),"Y")</f>
        <v>Y</v>
      </c>
      <c r="R564" s="5"/>
      <c r="S564" s="5"/>
      <c r="T564" s="5">
        <f>IFERROR(__xludf.DUMMYFUNCTION("""COMPUTED_VALUE"""),925.0)</f>
        <v>925</v>
      </c>
      <c r="U564" s="5" t="str">
        <f>IFERROR(__xludf.DUMMYFUNCTION("""COMPUTED_VALUE"""),"Y")</f>
        <v>Y</v>
      </c>
      <c r="V564" s="5">
        <f>IFERROR(__xludf.DUMMYFUNCTION("""COMPUTED_VALUE"""),975.0)</f>
        <v>975</v>
      </c>
      <c r="W564" s="5">
        <f>IFERROR(__xludf.DUMMYFUNCTION("""COMPUTED_VALUE"""),0.0)</f>
        <v>0</v>
      </c>
      <c r="X564" s="5"/>
      <c r="Y564" s="5"/>
      <c r="Z564" s="5"/>
    </row>
    <row r="565">
      <c r="A565" s="5" t="str">
        <f>IFERROR(__xludf.DUMMYFUNCTION("""COMPUTED_VALUE"""),"หมึกเจาะ-20/25-ถุง-5-กก.")</f>
        <v>หมึกเจาะ-20/25-ถุง-5-กก.</v>
      </c>
      <c r="B565" s="5">
        <f>IFERROR(__xludf.DUMMYFUNCTION("""COMPUTED_VALUE"""),10304.0)</f>
        <v>10304</v>
      </c>
      <c r="C565" s="5" t="str">
        <f>IFERROR(__xludf.DUMMYFUNCTION("""COMPUTED_VALUE"""),"หมึกเจาะเล็ก  ถุง5กก-170")</f>
        <v>หมึกเจาะเล็ก  ถุง5กก-170</v>
      </c>
      <c r="D565" s="5"/>
      <c r="E565" s="5"/>
      <c r="F565" s="5" t="str">
        <f>IFERROR(__xludf.DUMMYFUNCTION("""COMPUTED_VALUE"""),"N")</f>
        <v>N</v>
      </c>
      <c r="G565" s="5"/>
      <c r="H565" s="5"/>
      <c r="I565" s="5"/>
      <c r="J565" s="5"/>
      <c r="K565" s="5"/>
      <c r="L565" s="5"/>
      <c r="M565" s="5">
        <f>IFERROR(__xludf.DUMMYFUNCTION("""COMPUTED_VALUE"""),800.0)</f>
        <v>800</v>
      </c>
      <c r="N565" s="5"/>
      <c r="O565" s="5"/>
      <c r="P565" s="5"/>
      <c r="Q565" s="5" t="str">
        <f>IFERROR(__xludf.DUMMYFUNCTION("""COMPUTED_VALUE"""),"Y")</f>
        <v>Y</v>
      </c>
      <c r="R565" s="5"/>
      <c r="S565" s="5"/>
      <c r="T565" s="5">
        <f>IFERROR(__xludf.DUMMYFUNCTION("""COMPUTED_VALUE"""),800.0)</f>
        <v>800</v>
      </c>
      <c r="U565" s="5" t="str">
        <f>IFERROR(__xludf.DUMMYFUNCTION("""COMPUTED_VALUE"""),"Y")</f>
        <v>Y</v>
      </c>
      <c r="V565" s="5">
        <f>IFERROR(__xludf.DUMMYFUNCTION("""COMPUTED_VALUE"""),850.0)</f>
        <v>850</v>
      </c>
      <c r="W565" s="5">
        <f>IFERROR(__xludf.DUMMYFUNCTION("""COMPUTED_VALUE"""),0.0)</f>
        <v>0</v>
      </c>
      <c r="X565" s="5"/>
      <c r="Y565" s="5"/>
      <c r="Z565" s="5"/>
    </row>
    <row r="566">
      <c r="A566" s="5" t="str">
        <f>IFERROR(__xludf.DUMMYFUNCTION("""COMPUTED_VALUE"""),"หมึกเมก้า-*พิเศษ*ลัง10กก(102)")</f>
        <v>หมึกเมก้า-*พิเศษ*ลัง10กก(102)</v>
      </c>
      <c r="B566" s="5">
        <f>IFERROR(__xludf.DUMMYFUNCTION("""COMPUTED_VALUE"""),10645.0)</f>
        <v>10645</v>
      </c>
      <c r="C566" s="5" t="str">
        <f>IFERROR(__xludf.DUMMYFUNCTION("""COMPUTED_VALUE"""),"หมึกเมก้า *พิเศษ*ลัง10กก(125)")</f>
        <v>หมึกเมก้า *พิเศษ*ลัง10กก(125)</v>
      </c>
      <c r="D566" s="5" t="str">
        <f>IFERROR(__xludf.DUMMYFUNCTION("""COMPUTED_VALUE"""),"**ร้านค้า ราคาพิเศษ")</f>
        <v>**ร้านค้า ราคาพิเศษ</v>
      </c>
      <c r="E566" s="5"/>
      <c r="F566" s="5" t="str">
        <f>IFERROR(__xludf.DUMMYFUNCTION("""COMPUTED_VALUE"""),"N")</f>
        <v>N</v>
      </c>
      <c r="G566" s="5"/>
      <c r="H566" s="5"/>
      <c r="I566" s="5"/>
      <c r="J566" s="5"/>
      <c r="K566" s="5"/>
      <c r="L566" s="5"/>
      <c r="M566" s="5"/>
      <c r="N566" s="5"/>
      <c r="O566" s="5">
        <f>IFERROR(__xludf.DUMMYFUNCTION("""COMPUTED_VALUE"""),10563.0)</f>
        <v>10563</v>
      </c>
      <c r="P566" s="5">
        <f>IFERROR(__xludf.DUMMYFUNCTION("""COMPUTED_VALUE"""),1.0)</f>
        <v>1</v>
      </c>
      <c r="Q566" s="5" t="str">
        <f>IFERROR(__xludf.DUMMYFUNCTION("""COMPUTED_VALUE"""),"N")</f>
        <v>N</v>
      </c>
      <c r="R566" s="5" t="str">
        <f>IFERROR(__xludf.DUMMYFUNCTION("""COMPUTED_VALUE"""),"N")</f>
        <v>N</v>
      </c>
      <c r="S566" s="5"/>
      <c r="T566" s="5"/>
      <c r="U566" s="5" t="str">
        <f>IFERROR(__xludf.DUMMYFUNCTION("""COMPUTED_VALUE"""),"Y")</f>
        <v>Y</v>
      </c>
      <c r="V566" s="5">
        <f>IFERROR(__xludf.DUMMYFUNCTION("""COMPUTED_VALUE"""),1250.0)</f>
        <v>1250</v>
      </c>
      <c r="W566" s="5"/>
      <c r="X566" s="5"/>
      <c r="Y566" s="5"/>
      <c r="Z566" s="5"/>
    </row>
    <row r="567">
      <c r="A567" s="5" t="str">
        <f>IFERROR(__xludf.DUMMYFUNCTION("""COMPUTED_VALUE"""),"หมึกเมก้า-กล่อง-10-kg(112)")</f>
        <v>หมึกเมก้า-กล่อง-10-kg(112)</v>
      </c>
      <c r="B567" s="5">
        <f>IFERROR(__xludf.DUMMYFUNCTION("""COMPUTED_VALUE"""),10563.0)</f>
        <v>10563</v>
      </c>
      <c r="C567" s="5" t="str">
        <f>IFERROR(__xludf.DUMMYFUNCTION("""COMPUTED_VALUE"""),"หมึกเมก้า 10 กก (ลัง) - 130")</f>
        <v>หมึกเมก้า 10 กก (ลัง) - 130</v>
      </c>
      <c r="D567" s="5" t="str">
        <f>IFERROR(__xludf.DUMMYFUNCTION("""COMPUTED_VALUE"""),"**ทะเลสด มหาชัย")</f>
        <v>**ทะเลสด มหาชัย</v>
      </c>
      <c r="E567" s="5" t="str">
        <f>IFERROR(__xludf.DUMMYFUNCTION("""COMPUTED_VALUE"""),"&lt;p&gt;10&lt;/p&gt;")</f>
        <v>&lt;p&gt;10&lt;/p&gt;</v>
      </c>
      <c r="F567" s="5" t="str">
        <f>IFERROR(__xludf.DUMMYFUNCTION("""COMPUTED_VALUE"""),"N")</f>
        <v>N</v>
      </c>
      <c r="G567" s="5"/>
      <c r="H567" s="5"/>
      <c r="I567" s="5"/>
      <c r="J567" s="5"/>
      <c r="K567" s="5"/>
      <c r="L567" s="5"/>
      <c r="M567" s="5">
        <f>IFERROR(__xludf.DUMMYFUNCTION("""COMPUTED_VALUE"""),1203.39)</f>
        <v>1203.39</v>
      </c>
      <c r="N567" s="5"/>
      <c r="O567" s="5"/>
      <c r="P567" s="5"/>
      <c r="Q567" s="5" t="str">
        <f>IFERROR(__xludf.DUMMYFUNCTION("""COMPUTED_VALUE"""),"Y")</f>
        <v>Y</v>
      </c>
      <c r="R567" s="5"/>
      <c r="S567" s="5" t="str">
        <f>IFERROR(__xludf.DUMMYFUNCTION("""COMPUTED_VALUE"""),"ขึ้นของมหาชัย")</f>
        <v>ขึ้นของมหาชัย</v>
      </c>
      <c r="T567" s="5">
        <f>IFERROR(__xludf.DUMMYFUNCTION("""COMPUTED_VALUE"""),1180.0)</f>
        <v>1180</v>
      </c>
      <c r="U567" s="5" t="str">
        <f>IFERROR(__xludf.DUMMYFUNCTION("""COMPUTED_VALUE"""),"Y")</f>
        <v>Y</v>
      </c>
      <c r="V567" s="5">
        <f>IFERROR(__xludf.DUMMYFUNCTION("""COMPUTED_VALUE"""),1300.0)</f>
        <v>1300</v>
      </c>
      <c r="W567" s="5">
        <f>IFERROR(__xludf.DUMMYFUNCTION("""COMPUTED_VALUE"""),2.0)</f>
        <v>2</v>
      </c>
      <c r="X567" s="5">
        <f>IFERROR(__xludf.DUMMYFUNCTION("""COMPUTED_VALUE"""),3.0)</f>
        <v>3</v>
      </c>
      <c r="Y567" s="5">
        <f>IFERROR(__xludf.DUMMYFUNCTION("""COMPUTED_VALUE"""),8.0)</f>
        <v>8</v>
      </c>
      <c r="Z567" s="5"/>
    </row>
    <row r="568">
      <c r="A568" s="5" t="str">
        <f>IFERROR(__xludf.DUMMYFUNCTION("""COMPUTED_VALUE"""),"หมึกกล้วยลอก-10kg-(ลัง)-1")</f>
        <v>หมึกกล้วยลอก-10kg-(ลัง)-1</v>
      </c>
      <c r="B568" s="5">
        <f>IFERROR(__xludf.DUMMYFUNCTION("""COMPUTED_VALUE"""),10202.0)</f>
        <v>10202</v>
      </c>
      <c r="C568" s="5" t="str">
        <f>IFERROR(__xludf.DUMMYFUNCTION("""COMPUTED_VALUE"""),"หมึกเมก้า กระสอบ 12.5 kg(110)")</f>
        <v>หมึกเมก้า กระสอบ 12.5 kg(110)</v>
      </c>
      <c r="D568" s="5" t="str">
        <f>IFERROR(__xludf.DUMMYFUNCTION("""COMPUTED_VALUE"""),"**ทะเลสด มหาชัย")</f>
        <v>**ทะเลสด มหาชัย</v>
      </c>
      <c r="E568" s="5" t="str">
        <f>IFERROR(__xludf.DUMMYFUNCTION("""COMPUTED_VALUE"""),"&lt;p&gt;12.5&lt;/p&gt;")</f>
        <v>&lt;p&gt;12.5&lt;/p&gt;</v>
      </c>
      <c r="F568" s="5" t="str">
        <f>IFERROR(__xludf.DUMMYFUNCTION("""COMPUTED_VALUE"""),"N")</f>
        <v>N</v>
      </c>
      <c r="G568" s="5"/>
      <c r="H568" s="5"/>
      <c r="I568" s="5"/>
      <c r="J568" s="5"/>
      <c r="K568" s="5"/>
      <c r="L568" s="5"/>
      <c r="M568" s="5">
        <f>IFERROR(__xludf.DUMMYFUNCTION("""COMPUTED_VALUE"""),1115.31)</f>
        <v>1115.31</v>
      </c>
      <c r="N568" s="5">
        <f>IFERROR(__xludf.DUMMYFUNCTION("""COMPUTED_VALUE"""),10202.0)</f>
        <v>10202</v>
      </c>
      <c r="O568" s="5"/>
      <c r="P568" s="5"/>
      <c r="Q568" s="5" t="str">
        <f>IFERROR(__xludf.DUMMYFUNCTION("""COMPUTED_VALUE"""),"Y")</f>
        <v>Y</v>
      </c>
      <c r="R568" s="5"/>
      <c r="S568" s="5" t="str">
        <f>IFERROR(__xludf.DUMMYFUNCTION("""COMPUTED_VALUE"""),"ขึ้นของมหาชัย")</f>
        <v>ขึ้นของมหาชัย</v>
      </c>
      <c r="T568" s="5">
        <f>IFERROR(__xludf.DUMMYFUNCTION("""COMPUTED_VALUE"""),1087.5)</f>
        <v>1087.5</v>
      </c>
      <c r="U568" s="5" t="str">
        <f>IFERROR(__xludf.DUMMYFUNCTION("""COMPUTED_VALUE"""),"N")</f>
        <v>N</v>
      </c>
      <c r="V568" s="5">
        <f>IFERROR(__xludf.DUMMYFUNCTION("""COMPUTED_VALUE"""),1375.0)</f>
        <v>1375</v>
      </c>
      <c r="W568" s="5">
        <f>IFERROR(__xludf.DUMMYFUNCTION("""COMPUTED_VALUE"""),0.0)</f>
        <v>0</v>
      </c>
      <c r="X568" s="5">
        <f>IFERROR(__xludf.DUMMYFUNCTION("""COMPUTED_VALUE"""),0.0)</f>
        <v>0</v>
      </c>
      <c r="Y568" s="5">
        <f>IFERROR(__xludf.DUMMYFUNCTION("""COMPUTED_VALUE"""),0.0)</f>
        <v>0</v>
      </c>
      <c r="Z568" s="5"/>
    </row>
    <row r="569">
      <c r="A569" s="5" t="str">
        <f>IFERROR(__xludf.DUMMYFUNCTION("""COMPUTED_VALUE"""),"หมึกเส้น--10*1กก.-(ลัง)")</f>
        <v>หมึกเส้น--10*1กก.-(ลัง)</v>
      </c>
      <c r="B569" s="5">
        <f>IFERROR(__xludf.DUMMYFUNCTION("""COMPUTED_VALUE"""),10347.0)</f>
        <v>10347</v>
      </c>
      <c r="C569" s="5" t="str">
        <f>IFERROR(__xludf.DUMMYFUNCTION("""COMPUTED_VALUE"""),"หมึกเส้น  10*1กก. (ลัง)")</f>
        <v>หมึกเส้น  10*1กก. (ลัง)</v>
      </c>
      <c r="D569" s="5" t="str">
        <f>IFERROR(__xludf.DUMMYFUNCTION("""COMPUTED_VALUE"""),"**ลัง มหาชัย")</f>
        <v>**ลัง มหาชัย</v>
      </c>
      <c r="E569" s="5"/>
      <c r="F569" s="5" t="str">
        <f>IFERROR(__xludf.DUMMYFUNCTION("""COMPUTED_VALUE"""),"N")</f>
        <v>N</v>
      </c>
      <c r="G569" s="5"/>
      <c r="H569" s="5"/>
      <c r="I569" s="5"/>
      <c r="J569" s="5"/>
      <c r="K569" s="5"/>
      <c r="L569" s="5"/>
      <c r="M569" s="5">
        <f>IFERROR(__xludf.DUMMYFUNCTION("""COMPUTED_VALUE"""),471.12)</f>
        <v>471.12</v>
      </c>
      <c r="N569" s="5"/>
      <c r="O569" s="5"/>
      <c r="P569" s="5"/>
      <c r="Q569" s="5" t="str">
        <f>IFERROR(__xludf.DUMMYFUNCTION("""COMPUTED_VALUE"""),"Y")</f>
        <v>Y</v>
      </c>
      <c r="R569" s="5"/>
      <c r="S569" s="5" t="str">
        <f>IFERROR(__xludf.DUMMYFUNCTION("""COMPUTED_VALUE"""),"ขึ้นของมหาชัย")</f>
        <v>ขึ้นของมหาชัย</v>
      </c>
      <c r="T569" s="5">
        <f>IFERROR(__xludf.DUMMYFUNCTION("""COMPUTED_VALUE"""),460.0)</f>
        <v>460</v>
      </c>
      <c r="U569" s="5" t="str">
        <f>IFERROR(__xludf.DUMMYFUNCTION("""COMPUTED_VALUE"""),"Y")</f>
        <v>Y</v>
      </c>
      <c r="V569" s="5">
        <f>IFERROR(__xludf.DUMMYFUNCTION("""COMPUTED_VALUE"""),570.0)</f>
        <v>570</v>
      </c>
      <c r="W569" s="5">
        <f>IFERROR(__xludf.DUMMYFUNCTION("""COMPUTED_VALUE"""),3.0)</f>
        <v>3</v>
      </c>
      <c r="X569" s="5"/>
      <c r="Y569" s="5"/>
      <c r="Z569" s="5"/>
    </row>
    <row r="570">
      <c r="A570" s="5" t="str">
        <f>IFERROR(__xludf.DUMMYFUNCTION("""COMPUTED_VALUE"""),"หมึกเส้น(ราคาพิเศษ)--10*1กก.-(ลัง)")</f>
        <v>หมึกเส้น(ราคาพิเศษ)--10*1กก.-(ลัง)</v>
      </c>
      <c r="B570" s="5">
        <f>IFERROR(__xludf.DUMMYFUNCTION("""COMPUTED_VALUE"""),10354.0)</f>
        <v>10354</v>
      </c>
      <c r="C570" s="5" t="str">
        <f>IFERROR(__xludf.DUMMYFUNCTION("""COMPUTED_VALUE"""),"หมึกเส้น(ราคาพิเศษ)  10*1กก. (ลัง)-52")</f>
        <v>หมึกเส้น(ราคาพิเศษ)  10*1กก. (ลัง)-52</v>
      </c>
      <c r="D570" s="5" t="str">
        <f>IFERROR(__xludf.DUMMYFUNCTION("""COMPUTED_VALUE"""),"**ร้านค้า ราคาพิเศษ")</f>
        <v>**ร้านค้า ราคาพิเศษ</v>
      </c>
      <c r="E570" s="5"/>
      <c r="F570" s="5" t="str">
        <f>IFERROR(__xludf.DUMMYFUNCTION("""COMPUTED_VALUE"""),"N")</f>
        <v>N</v>
      </c>
      <c r="G570" s="5"/>
      <c r="H570" s="5"/>
      <c r="I570" s="5"/>
      <c r="J570" s="5"/>
      <c r="K570" s="5"/>
      <c r="L570" s="5"/>
      <c r="M570" s="5"/>
      <c r="N570" s="5"/>
      <c r="O570" s="5">
        <f>IFERROR(__xludf.DUMMYFUNCTION("""COMPUTED_VALUE"""),10347.0)</f>
        <v>10347</v>
      </c>
      <c r="P570" s="5">
        <f>IFERROR(__xludf.DUMMYFUNCTION("""COMPUTED_VALUE"""),1.0)</f>
        <v>1</v>
      </c>
      <c r="Q570" s="5" t="str">
        <f>IFERROR(__xludf.DUMMYFUNCTION("""COMPUTED_VALUE"""),"N")</f>
        <v>N</v>
      </c>
      <c r="R570" s="5" t="str">
        <f>IFERROR(__xludf.DUMMYFUNCTION("""COMPUTED_VALUE"""),"N")</f>
        <v>N</v>
      </c>
      <c r="S570" s="5"/>
      <c r="T570" s="5"/>
      <c r="U570" s="5" t="str">
        <f>IFERROR(__xludf.DUMMYFUNCTION("""COMPUTED_VALUE"""),"Y")</f>
        <v>Y</v>
      </c>
      <c r="V570" s="5">
        <f>IFERROR(__xludf.DUMMYFUNCTION("""COMPUTED_VALUE"""),520.0)</f>
        <v>520</v>
      </c>
      <c r="W570" s="5"/>
      <c r="X570" s="5"/>
      <c r="Y570" s="5"/>
      <c r="Z570" s="5"/>
    </row>
    <row r="571">
      <c r="A571" s="5" t="str">
        <f>IFERROR(__xludf.DUMMYFUNCTION("""COMPUTED_VALUE"""),"หมูกลม-ts-แพ็ค-1กก")</f>
        <v>หมูกลม-ts-แพ็ค-1กก</v>
      </c>
      <c r="B571" s="5">
        <f>IFERROR(__xludf.DUMMYFUNCTION("""COMPUTED_VALUE"""),10605.0)</f>
        <v>10605</v>
      </c>
      <c r="C571" s="5" t="str">
        <f>IFERROR(__xludf.DUMMYFUNCTION("""COMPUTED_VALUE"""),"หมูกลม TS  แพ็ค 1กก")</f>
        <v>หมูกลม TS  แพ็ค 1กก</v>
      </c>
      <c r="D571" s="5" t="str">
        <f>IFERROR(__xludf.DUMMYFUNCTION("""COMPUTED_VALUE"""),"**ของหิ้ว ร้อยเอ็ด")</f>
        <v>**ของหิ้ว ร้อยเอ็ด</v>
      </c>
      <c r="E571" s="5"/>
      <c r="F571" s="5" t="str">
        <f>IFERROR(__xludf.DUMMYFUNCTION("""COMPUTED_VALUE"""),"N")</f>
        <v>N</v>
      </c>
      <c r="G571" s="5"/>
      <c r="H571" s="5"/>
      <c r="I571" s="5"/>
      <c r="J571" s="5"/>
      <c r="K571" s="5"/>
      <c r="L571" s="5"/>
      <c r="M571" s="5">
        <f>IFERROR(__xludf.DUMMYFUNCTION("""COMPUTED_VALUE"""),78.0)</f>
        <v>78</v>
      </c>
      <c r="N571" s="5"/>
      <c r="O571" s="5"/>
      <c r="P571" s="5"/>
      <c r="Q571" s="5" t="str">
        <f>IFERROR(__xludf.DUMMYFUNCTION("""COMPUTED_VALUE"""),"Y")</f>
        <v>Y</v>
      </c>
      <c r="R571" s="5"/>
      <c r="S571" s="5" t="str">
        <f>IFERROR(__xludf.DUMMYFUNCTION("""COMPUTED_VALUE"""),"หจก กานพลู ซีฟู้ดส์")</f>
        <v>หจก กานพลู ซีฟู้ดส์</v>
      </c>
      <c r="T571" s="5">
        <f>IFERROR(__xludf.DUMMYFUNCTION("""COMPUTED_VALUE"""),78.0)</f>
        <v>78</v>
      </c>
      <c r="U571" s="5" t="str">
        <f>IFERROR(__xludf.DUMMYFUNCTION("""COMPUTED_VALUE"""),"Y")</f>
        <v>Y</v>
      </c>
      <c r="V571" s="5">
        <f>IFERROR(__xludf.DUMMYFUNCTION("""COMPUTED_VALUE"""),119.0)</f>
        <v>119</v>
      </c>
      <c r="W571" s="5">
        <f>IFERROR(__xludf.DUMMYFUNCTION("""COMPUTED_VALUE"""),145.0)</f>
        <v>145</v>
      </c>
      <c r="X571" s="5">
        <f>IFERROR(__xludf.DUMMYFUNCTION("""COMPUTED_VALUE"""),50.0)</f>
        <v>50</v>
      </c>
      <c r="Y571" s="5"/>
      <c r="Z571" s="5"/>
    </row>
    <row r="572">
      <c r="A572" s="5" t="str">
        <f>IFERROR(__xludf.DUMMYFUNCTION("""COMPUTED_VALUE"""),"หมูกลม-ts-หิ้ว-5-กก-(99)")</f>
        <v>หมูกลม-ts-หิ้ว-5-กก-(99)</v>
      </c>
      <c r="B572" s="5">
        <f>IFERROR(__xludf.DUMMYFUNCTION("""COMPUTED_VALUE"""),10155.0)</f>
        <v>10155</v>
      </c>
      <c r="C572" s="5" t="str">
        <f>IFERROR(__xludf.DUMMYFUNCTION("""COMPUTED_VALUE"""),"หมูกลม TS 5 กก (หิ้ว) - 95")</f>
        <v>หมูกลม TS 5 กก (หิ้ว) - 95</v>
      </c>
      <c r="D572" s="5"/>
      <c r="E572" s="5"/>
      <c r="F572" s="5" t="str">
        <f>IFERROR(__xludf.DUMMYFUNCTION("""COMPUTED_VALUE"""),"N")</f>
        <v>N</v>
      </c>
      <c r="G572" s="5"/>
      <c r="H572" s="5"/>
      <c r="I572" s="5"/>
      <c r="J572" s="5"/>
      <c r="K572" s="5"/>
      <c r="L572" s="5"/>
      <c r="M572" s="5"/>
      <c r="N572" s="5"/>
      <c r="O572" s="5">
        <f>IFERROR(__xludf.DUMMYFUNCTION("""COMPUTED_VALUE"""),10605.0)</f>
        <v>10605</v>
      </c>
      <c r="P572" s="5">
        <f>IFERROR(__xludf.DUMMYFUNCTION("""COMPUTED_VALUE"""),5.0)</f>
        <v>5</v>
      </c>
      <c r="Q572" s="5" t="str">
        <f>IFERROR(__xludf.DUMMYFUNCTION("""COMPUTED_VALUE"""),"N")</f>
        <v>N</v>
      </c>
      <c r="R572" s="5" t="str">
        <f>IFERROR(__xludf.DUMMYFUNCTION("""COMPUTED_VALUE"""),"N")</f>
        <v>N</v>
      </c>
      <c r="S572" s="5"/>
      <c r="T572" s="5"/>
      <c r="U572" s="5" t="str">
        <f>IFERROR(__xludf.DUMMYFUNCTION("""COMPUTED_VALUE"""),"Y")</f>
        <v>Y</v>
      </c>
      <c r="V572" s="5">
        <f>IFERROR(__xludf.DUMMYFUNCTION("""COMPUTED_VALUE"""),475.0)</f>
        <v>475</v>
      </c>
      <c r="W572" s="5"/>
      <c r="X572" s="5"/>
      <c r="Y572" s="5"/>
      <c r="Z572" s="5"/>
    </row>
    <row r="573">
      <c r="A573" s="5" t="str">
        <f>IFERROR(__xludf.DUMMYFUNCTION("""COMPUTED_VALUE"""),"หมูกลม-ts-5kg/หิ้ว-r100--98.-")</f>
        <v>หมูกลม-ts-5kg/หิ้ว-r100--98.-</v>
      </c>
      <c r="B573" s="5">
        <f>IFERROR(__xludf.DUMMYFUNCTION("""COMPUTED_VALUE"""),10633.0)</f>
        <v>10633</v>
      </c>
      <c r="C573" s="5" t="str">
        <f>IFERROR(__xludf.DUMMYFUNCTION("""COMPUTED_VALUE"""),"หมูกลม TS หิ้ว R100(90)")</f>
        <v>หมูกลม TS หิ้ว R100(90)</v>
      </c>
      <c r="D573" s="5" t="str">
        <f>IFERROR(__xludf.DUMMYFUNCTION("""COMPUTED_VALUE"""),"**ร้านค้า ราคาพิเศษ")</f>
        <v>**ร้านค้า ราคาพิเศษ</v>
      </c>
      <c r="E573" s="5"/>
      <c r="F573" s="5" t="str">
        <f>IFERROR(__xludf.DUMMYFUNCTION("""COMPUTED_VALUE"""),"N")</f>
        <v>N</v>
      </c>
      <c r="G573" s="5"/>
      <c r="H573" s="5"/>
      <c r="I573" s="5"/>
      <c r="J573" s="5"/>
      <c r="K573" s="5"/>
      <c r="L573" s="5"/>
      <c r="M573" s="5"/>
      <c r="N573" s="5"/>
      <c r="O573" s="5">
        <f>IFERROR(__xludf.DUMMYFUNCTION("""COMPUTED_VALUE"""),10605.0)</f>
        <v>10605</v>
      </c>
      <c r="P573" s="5">
        <f>IFERROR(__xludf.DUMMYFUNCTION("""COMPUTED_VALUE"""),5.0)</f>
        <v>5</v>
      </c>
      <c r="Q573" s="5" t="str">
        <f>IFERROR(__xludf.DUMMYFUNCTION("""COMPUTED_VALUE"""),"N")</f>
        <v>N</v>
      </c>
      <c r="R573" s="5" t="str">
        <f>IFERROR(__xludf.DUMMYFUNCTION("""COMPUTED_VALUE"""),"N")</f>
        <v>N</v>
      </c>
      <c r="S573" s="5"/>
      <c r="T573" s="5"/>
      <c r="U573" s="5" t="str">
        <f>IFERROR(__xludf.DUMMYFUNCTION("""COMPUTED_VALUE"""),"Y")</f>
        <v>Y</v>
      </c>
      <c r="V573" s="5">
        <f>IFERROR(__xludf.DUMMYFUNCTION("""COMPUTED_VALUE"""),450.0)</f>
        <v>450</v>
      </c>
      <c r="W573" s="5"/>
      <c r="X573" s="5"/>
      <c r="Y573" s="5"/>
      <c r="Z573" s="5"/>
    </row>
    <row r="574">
      <c r="A574" s="5" t="str">
        <f>IFERROR(__xludf.DUMMYFUNCTION("""COMPUTED_VALUE"""),"หมูงา-(สมชาย)-r100-75")</f>
        <v>หมูงา-(สมชาย)-r100-75</v>
      </c>
      <c r="B574" s="5">
        <f>IFERROR(__xludf.DUMMYFUNCTION("""COMPUTED_VALUE"""),10723.0)</f>
        <v>10723</v>
      </c>
      <c r="C574" s="5" t="str">
        <f>IFERROR(__xludf.DUMMYFUNCTION("""COMPUTED_VALUE"""),"หมูงา (S.C) R100-75")</f>
        <v>หมูงา (S.C) R100-75</v>
      </c>
      <c r="D574" s="5" t="str">
        <f>IFERROR(__xludf.DUMMYFUNCTION("""COMPUTED_VALUE"""),"**ร้านค้า ราคาพิเศษ")</f>
        <v>**ร้านค้า ราคาพิเศษ</v>
      </c>
      <c r="E574" s="5"/>
      <c r="F574" s="5" t="str">
        <f>IFERROR(__xludf.DUMMYFUNCTION("""COMPUTED_VALUE"""),"N")</f>
        <v>N</v>
      </c>
      <c r="G574" s="5"/>
      <c r="H574" s="5"/>
      <c r="I574" s="5"/>
      <c r="J574" s="5"/>
      <c r="K574" s="5"/>
      <c r="L574" s="5"/>
      <c r="M574" s="5"/>
      <c r="N574" s="5"/>
      <c r="O574" s="5">
        <f>IFERROR(__xludf.DUMMYFUNCTION("""COMPUTED_VALUE"""),10160.0)</f>
        <v>10160</v>
      </c>
      <c r="P574" s="5">
        <f>IFERROR(__xludf.DUMMYFUNCTION("""COMPUTED_VALUE"""),1.0)</f>
        <v>1</v>
      </c>
      <c r="Q574" s="5" t="str">
        <f>IFERROR(__xludf.DUMMYFUNCTION("""COMPUTED_VALUE"""),"N")</f>
        <v>N</v>
      </c>
      <c r="R574" s="5" t="str">
        <f>IFERROR(__xludf.DUMMYFUNCTION("""COMPUTED_VALUE"""),"N")</f>
        <v>N</v>
      </c>
      <c r="S574" s="5"/>
      <c r="T574" s="5"/>
      <c r="U574" s="5" t="str">
        <f>IFERROR(__xludf.DUMMYFUNCTION("""COMPUTED_VALUE"""),"Y")</f>
        <v>Y</v>
      </c>
      <c r="V574" s="5">
        <f>IFERROR(__xludf.DUMMYFUNCTION("""COMPUTED_VALUE"""),375.0)</f>
        <v>375</v>
      </c>
      <c r="W574" s="5"/>
      <c r="X574" s="5"/>
      <c r="Y574" s="5"/>
      <c r="Z574" s="5"/>
    </row>
    <row r="575">
      <c r="A575" s="5" t="str">
        <f>IFERROR(__xludf.DUMMYFUNCTION("""COMPUTED_VALUE"""),"สมชาย-หมักงา-5กก-ถุง-1")</f>
        <v>สมชาย-หมักงา-5กก-ถุง-1</v>
      </c>
      <c r="B575" s="5">
        <f>IFERROR(__xludf.DUMMYFUNCTION("""COMPUTED_VALUE"""),10160.0)</f>
        <v>10160</v>
      </c>
      <c r="C575" s="5" t="str">
        <f>IFERROR(__xludf.DUMMYFUNCTION("""COMPUTED_VALUE"""),"หมูงา (สมชาย) 5กก (80)")</f>
        <v>หมูงา (สมชาย) 5กก (80)</v>
      </c>
      <c r="D575" s="5" t="str">
        <f>IFERROR(__xludf.DUMMYFUNCTION("""COMPUTED_VALUE"""),"สมชาย")</f>
        <v>สมชาย</v>
      </c>
      <c r="E575" s="5" t="str">
        <f>IFERROR(__xludf.DUMMYFUNCTION("""COMPUTED_VALUE"""),"&lt;p&gt;A&lt;/p&gt;")</f>
        <v>&lt;p&gt;A&lt;/p&gt;</v>
      </c>
      <c r="F575" s="5" t="str">
        <f>IFERROR(__xludf.DUMMYFUNCTION("""COMPUTED_VALUE"""),"N")</f>
        <v>N</v>
      </c>
      <c r="G575" s="5"/>
      <c r="H575" s="5"/>
      <c r="I575" s="5"/>
      <c r="J575" s="5"/>
      <c r="K575" s="5"/>
      <c r="L575" s="5"/>
      <c r="M575" s="5">
        <f>IFERROR(__xludf.DUMMYFUNCTION("""COMPUTED_VALUE"""),350.0)</f>
        <v>350</v>
      </c>
      <c r="N575" s="5">
        <f>IFERROR(__xludf.DUMMYFUNCTION("""COMPUTED_VALUE"""),10160.0)</f>
        <v>10160</v>
      </c>
      <c r="O575" s="5"/>
      <c r="P575" s="5"/>
      <c r="Q575" s="5" t="str">
        <f>IFERROR(__xludf.DUMMYFUNCTION("""COMPUTED_VALUE"""),"Y")</f>
        <v>Y</v>
      </c>
      <c r="R575" s="5"/>
      <c r="S575" s="5" t="str">
        <f>IFERROR(__xludf.DUMMYFUNCTION("""COMPUTED_VALUE"""),"สมชายซีฟู้ดส์")</f>
        <v>สมชายซีฟู้ดส์</v>
      </c>
      <c r="T575" s="5">
        <f>IFERROR(__xludf.DUMMYFUNCTION("""COMPUTED_VALUE"""),350.0)</f>
        <v>350</v>
      </c>
      <c r="U575" s="5" t="str">
        <f>IFERROR(__xludf.DUMMYFUNCTION("""COMPUTED_VALUE"""),"Y")</f>
        <v>Y</v>
      </c>
      <c r="V575" s="5">
        <f>IFERROR(__xludf.DUMMYFUNCTION("""COMPUTED_VALUE"""),400.0)</f>
        <v>400</v>
      </c>
      <c r="W575" s="5">
        <f>IFERROR(__xludf.DUMMYFUNCTION("""COMPUTED_VALUE"""),34.0)</f>
        <v>34</v>
      </c>
      <c r="X575" s="5">
        <f>IFERROR(__xludf.DUMMYFUNCTION("""COMPUTED_VALUE"""),14.0)</f>
        <v>14</v>
      </c>
      <c r="Y575" s="5">
        <f>IFERROR(__xludf.DUMMYFUNCTION("""COMPUTED_VALUE"""),20.0)</f>
        <v>20</v>
      </c>
      <c r="Z575" s="5"/>
    </row>
    <row r="576">
      <c r="A576" s="5" t="str">
        <f>IFERROR(__xludf.DUMMYFUNCTION("""COMPUTED_VALUE"""),"หมูงา-sc-r100")</f>
        <v>หมูงา-sc-r100</v>
      </c>
      <c r="B576" s="5">
        <f>IFERROR(__xludf.DUMMYFUNCTION("""COMPUTED_VALUE"""),10380.0)</f>
        <v>10380</v>
      </c>
      <c r="C576" s="5" t="str">
        <f>IFERROR(__xludf.DUMMYFUNCTION("""COMPUTED_VALUE"""),"หมูงา sc (พิเศษ)78")</f>
        <v>หมูงา sc (พิเศษ)78</v>
      </c>
      <c r="D576" s="5" t="str">
        <f>IFERROR(__xludf.DUMMYFUNCTION("""COMPUTED_VALUE"""),"**ร้านค้า ราคาพิเศษ")</f>
        <v>**ร้านค้า ราคาพิเศษ</v>
      </c>
      <c r="E576" s="5"/>
      <c r="F576" s="5" t="str">
        <f>IFERROR(__xludf.DUMMYFUNCTION("""COMPUTED_VALUE"""),"N")</f>
        <v>N</v>
      </c>
      <c r="G576" s="5"/>
      <c r="H576" s="5"/>
      <c r="I576" s="5"/>
      <c r="J576" s="5"/>
      <c r="K576" s="5"/>
      <c r="L576" s="5"/>
      <c r="M576" s="5"/>
      <c r="N576" s="5"/>
      <c r="O576" s="5">
        <f>IFERROR(__xludf.DUMMYFUNCTION("""COMPUTED_VALUE"""),10160.0)</f>
        <v>10160</v>
      </c>
      <c r="P576" s="5">
        <f>IFERROR(__xludf.DUMMYFUNCTION("""COMPUTED_VALUE"""),1.0)</f>
        <v>1</v>
      </c>
      <c r="Q576" s="5" t="str">
        <f>IFERROR(__xludf.DUMMYFUNCTION("""COMPUTED_VALUE"""),"N")</f>
        <v>N</v>
      </c>
      <c r="R576" s="5" t="str">
        <f>IFERROR(__xludf.DUMMYFUNCTION("""COMPUTED_VALUE"""),"N")</f>
        <v>N</v>
      </c>
      <c r="S576" s="5"/>
      <c r="T576" s="5"/>
      <c r="U576" s="5" t="str">
        <f>IFERROR(__xludf.DUMMYFUNCTION("""COMPUTED_VALUE"""),"Y")</f>
        <v>Y</v>
      </c>
      <c r="V576" s="5">
        <f>IFERROR(__xludf.DUMMYFUNCTION("""COMPUTED_VALUE"""),390.0)</f>
        <v>390</v>
      </c>
      <c r="W576" s="5"/>
      <c r="X576" s="5"/>
      <c r="Y576" s="5"/>
      <c r="Z576" s="5"/>
    </row>
    <row r="577">
      <c r="A577" s="5" t="str">
        <f>IFERROR(__xludf.DUMMYFUNCTION("""COMPUTED_VALUE"""),"หมูชาบู-(หอม)-5กก/หิ้ว(103)")</f>
        <v>หมูชาบู-(หอม)-5กก/หิ้ว(103)</v>
      </c>
      <c r="B577" s="5">
        <f>IFERROR(__xludf.DUMMYFUNCTION("""COMPUTED_VALUE"""),10763.0)</f>
        <v>10763</v>
      </c>
      <c r="C577" s="5" t="str">
        <f>IFERROR(__xludf.DUMMYFUNCTION("""COMPUTED_VALUE"""),"หมูชาบู (หอม) หิ้ว 5กก -112")</f>
        <v>หมูชาบู (หอม) หิ้ว 5กก -112</v>
      </c>
      <c r="D577" s="5"/>
      <c r="E577" s="5"/>
      <c r="F577" s="5" t="str">
        <f>IFERROR(__xludf.DUMMYFUNCTION("""COMPUTED_VALUE"""),"N")</f>
        <v>N</v>
      </c>
      <c r="G577" s="5"/>
      <c r="H577" s="5"/>
      <c r="I577" s="5"/>
      <c r="J577" s="5"/>
      <c r="K577" s="5"/>
      <c r="L577" s="5"/>
      <c r="M577" s="5"/>
      <c r="N577" s="5"/>
      <c r="O577" s="5">
        <f>IFERROR(__xludf.DUMMYFUNCTION("""COMPUTED_VALUE"""),10416.0)</f>
        <v>10416</v>
      </c>
      <c r="P577" s="5">
        <f>IFERROR(__xludf.DUMMYFUNCTION("""COMPUTED_VALUE"""),0.5)</f>
        <v>0.5</v>
      </c>
      <c r="Q577" s="5" t="str">
        <f>IFERROR(__xludf.DUMMYFUNCTION("""COMPUTED_VALUE"""),"N")</f>
        <v>N</v>
      </c>
      <c r="R577" s="5" t="str">
        <f>IFERROR(__xludf.DUMMYFUNCTION("""COMPUTED_VALUE"""),"N")</f>
        <v>N</v>
      </c>
      <c r="S577" s="5"/>
      <c r="T577" s="5"/>
      <c r="U577" s="5" t="str">
        <f>IFERROR(__xludf.DUMMYFUNCTION("""COMPUTED_VALUE"""),"Y")</f>
        <v>Y</v>
      </c>
      <c r="V577" s="5">
        <f>IFERROR(__xludf.DUMMYFUNCTION("""COMPUTED_VALUE"""),560.0)</f>
        <v>560</v>
      </c>
      <c r="W577" s="5"/>
      <c r="X577" s="5"/>
      <c r="Y577" s="5"/>
      <c r="Z577" s="5"/>
    </row>
    <row r="578">
      <c r="A578" s="5" t="str">
        <f>IFERROR(__xludf.DUMMYFUNCTION("""COMPUTED_VALUE"""),"หมูชาบู(ถุงใส)-10กก/หิ้ว(90)")</f>
        <v>หมูชาบู(ถุงใส)-10กก/หิ้ว(90)</v>
      </c>
      <c r="B578" s="5">
        <f>IFERROR(__xludf.DUMMYFUNCTION("""COMPUTED_VALUE"""),10416.0)</f>
        <v>10416</v>
      </c>
      <c r="C578" s="5" t="str">
        <f>IFERROR(__xludf.DUMMYFUNCTION("""COMPUTED_VALUE"""),"หมูชาบู (หอม) หิ้ว10กก -112")</f>
        <v>หมูชาบู (หอม) หิ้ว10กก -112</v>
      </c>
      <c r="D578" s="5" t="str">
        <f>IFERROR(__xludf.DUMMYFUNCTION("""COMPUTED_VALUE"""),"**ของหิ้ว ร้อยเอ็ด")</f>
        <v>**ของหิ้ว ร้อยเอ็ด</v>
      </c>
      <c r="E578" s="5" t="str">
        <f>IFERROR(__xludf.DUMMYFUNCTION("""COMPUTED_VALUE"""),"&lt;p&gt;A&lt;/p&gt;")</f>
        <v>&lt;p&gt;A&lt;/p&gt;</v>
      </c>
      <c r="F578" s="5" t="str">
        <f>IFERROR(__xludf.DUMMYFUNCTION("""COMPUTED_VALUE"""),"N")</f>
        <v>N</v>
      </c>
      <c r="G578" s="5"/>
      <c r="H578" s="5"/>
      <c r="I578" s="5"/>
      <c r="J578" s="5"/>
      <c r="K578" s="5"/>
      <c r="L578" s="5"/>
      <c r="M578" s="5">
        <f>IFERROR(__xludf.DUMMYFUNCTION("""COMPUTED_VALUE"""),1030.0)</f>
        <v>1030</v>
      </c>
      <c r="N578" s="5"/>
      <c r="O578" s="5"/>
      <c r="P578" s="5"/>
      <c r="Q578" s="5" t="str">
        <f>IFERROR(__xludf.DUMMYFUNCTION("""COMPUTED_VALUE"""),"Y")</f>
        <v>Y</v>
      </c>
      <c r="R578" s="5"/>
      <c r="S578" s="5" t="str">
        <f>IFERROR(__xludf.DUMMYFUNCTION("""COMPUTED_VALUE"""),"อินเตอร์ฟู้ด")</f>
        <v>อินเตอร์ฟู้ด</v>
      </c>
      <c r="T578" s="5">
        <f>IFERROR(__xludf.DUMMYFUNCTION("""COMPUTED_VALUE"""),1030.0)</f>
        <v>1030</v>
      </c>
      <c r="U578" s="5" t="str">
        <f>IFERROR(__xludf.DUMMYFUNCTION("""COMPUTED_VALUE"""),"Y")</f>
        <v>Y</v>
      </c>
      <c r="V578" s="5">
        <f>IFERROR(__xludf.DUMMYFUNCTION("""COMPUTED_VALUE"""),1120.0)</f>
        <v>1120</v>
      </c>
      <c r="W578" s="5">
        <f>IFERROR(__xludf.DUMMYFUNCTION("""COMPUTED_VALUE"""),14.4)</f>
        <v>14.4</v>
      </c>
      <c r="X578" s="5">
        <f>IFERROR(__xludf.DUMMYFUNCTION("""COMPUTED_VALUE"""),13.0)</f>
        <v>13</v>
      </c>
      <c r="Y578" s="5">
        <f>IFERROR(__xludf.DUMMYFUNCTION("""COMPUTED_VALUE"""),21.0)</f>
        <v>21</v>
      </c>
      <c r="Z578" s="5"/>
    </row>
    <row r="579">
      <c r="A579" s="5" t="str">
        <f>IFERROR(__xludf.DUMMYFUNCTION("""COMPUTED_VALUE"""),"ชาบู-3-แถว1กก.")</f>
        <v>ชาบู-3-แถว1กก.</v>
      </c>
      <c r="B579" s="5">
        <f>IFERROR(__xludf.DUMMYFUNCTION("""COMPUTED_VALUE"""),10370.0)</f>
        <v>10370</v>
      </c>
      <c r="C579" s="5" t="str">
        <f>IFERROR(__xludf.DUMMYFUNCTION("""COMPUTED_VALUE"""),"หมูชาบู 3แถว 5 กก.(หิ้ว) - 95")</f>
        <v>หมูชาบู 3แถว 5 กก.(หิ้ว) - 95</v>
      </c>
      <c r="D579" s="5" t="str">
        <f>IFERROR(__xludf.DUMMYFUNCTION("""COMPUTED_VALUE"""),"**ของหิ้ว มหาชัย")</f>
        <v>**ของหิ้ว มหาชัย</v>
      </c>
      <c r="E579" s="5" t="str">
        <f>IFERROR(__xludf.DUMMYFUNCTION("""COMPUTED_VALUE"""),"&lt;p&gt;5&lt;/p&gt;")</f>
        <v>&lt;p&gt;5&lt;/p&gt;</v>
      </c>
      <c r="F579" s="5" t="str">
        <f>IFERROR(__xludf.DUMMYFUNCTION("""COMPUTED_VALUE"""),"N")</f>
        <v>N</v>
      </c>
      <c r="G579" s="5"/>
      <c r="H579" s="5"/>
      <c r="I579" s="5"/>
      <c r="J579" s="5"/>
      <c r="K579" s="5"/>
      <c r="L579" s="5"/>
      <c r="M579" s="5">
        <f>IFERROR(__xludf.DUMMYFUNCTION("""COMPUTED_VALUE"""),398.44)</f>
        <v>398.44</v>
      </c>
      <c r="N579" s="5">
        <f>IFERROR(__xludf.DUMMYFUNCTION("""COMPUTED_VALUE"""),10370.0)</f>
        <v>10370</v>
      </c>
      <c r="O579" s="5"/>
      <c r="P579" s="5"/>
      <c r="Q579" s="5" t="str">
        <f>IFERROR(__xludf.DUMMYFUNCTION("""COMPUTED_VALUE"""),"Y")</f>
        <v>Y</v>
      </c>
      <c r="R579" s="5"/>
      <c r="S579" s="5" t="str">
        <f>IFERROR(__xludf.DUMMYFUNCTION("""COMPUTED_VALUE"""),"ขึ้นของมหาชัย")</f>
        <v>ขึ้นของมหาชัย</v>
      </c>
      <c r="T579" s="5">
        <f>IFERROR(__xludf.DUMMYFUNCTION("""COMPUTED_VALUE"""),390.0)</f>
        <v>390</v>
      </c>
      <c r="U579" s="5" t="str">
        <f>IFERROR(__xludf.DUMMYFUNCTION("""COMPUTED_VALUE"""),"Y")</f>
        <v>Y</v>
      </c>
      <c r="V579" s="5">
        <f>IFERROR(__xludf.DUMMYFUNCTION("""COMPUTED_VALUE"""),475.0)</f>
        <v>475</v>
      </c>
      <c r="W579" s="5">
        <f>IFERROR(__xludf.DUMMYFUNCTION("""COMPUTED_VALUE"""),19.0)</f>
        <v>19</v>
      </c>
      <c r="X579" s="5">
        <f>IFERROR(__xludf.DUMMYFUNCTION("""COMPUTED_VALUE"""),10.0)</f>
        <v>10</v>
      </c>
      <c r="Y579" s="5">
        <f>IFERROR(__xludf.DUMMYFUNCTION("""COMPUTED_VALUE"""),30.0)</f>
        <v>30</v>
      </c>
      <c r="Z579" s="5"/>
    </row>
    <row r="580">
      <c r="A580" s="5" t="str">
        <f>IFERROR(__xludf.DUMMYFUNCTION("""COMPUTED_VALUE"""),"หมูชาบู-3แถว-5กก/-หิ้ว-(89)")</f>
        <v>หมูชาบู-3แถว-5กก/-หิ้ว-(89)</v>
      </c>
      <c r="B580" s="5">
        <f>IFERROR(__xludf.DUMMYFUNCTION("""COMPUTED_VALUE"""),10781.0)</f>
        <v>10781</v>
      </c>
      <c r="C580" s="5" t="str">
        <f>IFERROR(__xludf.DUMMYFUNCTION("""COMPUTED_VALUE"""),"หมูชาบู 3แถว 5กก/หิ้ว R100(87)")</f>
        <v>หมูชาบู 3แถว 5กก/หิ้ว R100(87)</v>
      </c>
      <c r="D580" s="5" t="str">
        <f>IFERROR(__xludf.DUMMYFUNCTION("""COMPUTED_VALUE"""),"**ร้านค้า ราคาพิเศษ")</f>
        <v>**ร้านค้า ราคาพิเศษ</v>
      </c>
      <c r="E580" s="5"/>
      <c r="F580" s="5" t="str">
        <f>IFERROR(__xludf.DUMMYFUNCTION("""COMPUTED_VALUE"""),"N")</f>
        <v>N</v>
      </c>
      <c r="G580" s="5"/>
      <c r="H580" s="5"/>
      <c r="I580" s="5"/>
      <c r="J580" s="5"/>
      <c r="K580" s="5"/>
      <c r="L580" s="5"/>
      <c r="M580" s="5"/>
      <c r="N580" s="5"/>
      <c r="O580" s="5">
        <f>IFERROR(__xludf.DUMMYFUNCTION("""COMPUTED_VALUE"""),10370.0)</f>
        <v>10370</v>
      </c>
      <c r="P580" s="5">
        <f>IFERROR(__xludf.DUMMYFUNCTION("""COMPUTED_VALUE"""),1.0)</f>
        <v>1</v>
      </c>
      <c r="Q580" s="5" t="str">
        <f>IFERROR(__xludf.DUMMYFUNCTION("""COMPUTED_VALUE"""),"N")</f>
        <v>N</v>
      </c>
      <c r="R580" s="5" t="str">
        <f>IFERROR(__xludf.DUMMYFUNCTION("""COMPUTED_VALUE"""),"N")</f>
        <v>N</v>
      </c>
      <c r="S580" s="5"/>
      <c r="T580" s="5"/>
      <c r="U580" s="5" t="str">
        <f>IFERROR(__xludf.DUMMYFUNCTION("""COMPUTED_VALUE"""),"Y")</f>
        <v>Y</v>
      </c>
      <c r="V580" s="5">
        <f>IFERROR(__xludf.DUMMYFUNCTION("""COMPUTED_VALUE"""),435.0)</f>
        <v>435</v>
      </c>
      <c r="W580" s="5"/>
      <c r="X580" s="5"/>
      <c r="Y580" s="5"/>
      <c r="Z580" s="5"/>
    </row>
    <row r="581">
      <c r="A581" s="5" t="str">
        <f>IFERROR(__xludf.DUMMYFUNCTION("""COMPUTED_VALUE"""),"หมูชาบู-3-แถว-a-5-กก.(หิ้ว)-105")</f>
        <v>หมูชาบู-3-แถว-a-5-กก.(หิ้ว)-105</v>
      </c>
      <c r="B581" s="5">
        <f>IFERROR(__xludf.DUMMYFUNCTION("""COMPUTED_VALUE"""),10140.0)</f>
        <v>10140</v>
      </c>
      <c r="C581" s="5" t="str">
        <f>IFERROR(__xludf.DUMMYFUNCTION("""COMPUTED_VALUE"""),"หมูชาบู 3แถว A 5กก.(หิ้ว) 105")</f>
        <v>หมูชาบู 3แถว A 5กก.(หิ้ว) 105</v>
      </c>
      <c r="D581" s="5" t="str">
        <f>IFERROR(__xludf.DUMMYFUNCTION("""COMPUTED_VALUE"""),"**ของหิ้ว มหาชัย")</f>
        <v>**ของหิ้ว มหาชัย</v>
      </c>
      <c r="E581" s="5"/>
      <c r="F581" s="5" t="str">
        <f>IFERROR(__xludf.DUMMYFUNCTION("""COMPUTED_VALUE"""),"N")</f>
        <v>N</v>
      </c>
      <c r="G581" s="5"/>
      <c r="H581" s="5"/>
      <c r="I581" s="5"/>
      <c r="J581" s="5"/>
      <c r="K581" s="5"/>
      <c r="L581" s="5"/>
      <c r="M581" s="5">
        <f>IFERROR(__xludf.DUMMYFUNCTION("""COMPUTED_VALUE"""),452.55)</f>
        <v>452.55</v>
      </c>
      <c r="N581" s="5"/>
      <c r="O581" s="5"/>
      <c r="P581" s="5"/>
      <c r="Q581" s="5" t="str">
        <f>IFERROR(__xludf.DUMMYFUNCTION("""COMPUTED_VALUE"""),"Y")</f>
        <v>Y</v>
      </c>
      <c r="R581" s="5"/>
      <c r="S581" s="5"/>
      <c r="T581" s="5">
        <f>IFERROR(__xludf.DUMMYFUNCTION("""COMPUTED_VALUE"""),435.0)</f>
        <v>435</v>
      </c>
      <c r="U581" s="5" t="str">
        <f>IFERROR(__xludf.DUMMYFUNCTION("""COMPUTED_VALUE"""),"Y")</f>
        <v>Y</v>
      </c>
      <c r="V581" s="5">
        <f>IFERROR(__xludf.DUMMYFUNCTION("""COMPUTED_VALUE"""),525.0)</f>
        <v>525</v>
      </c>
      <c r="W581" s="5">
        <f>IFERROR(__xludf.DUMMYFUNCTION("""COMPUTED_VALUE"""),38.0)</f>
        <v>38</v>
      </c>
      <c r="X581" s="5"/>
      <c r="Y581" s="5"/>
      <c r="Z581" s="5"/>
    </row>
    <row r="582">
      <c r="A582" s="5" t="str">
        <f>IFERROR(__xludf.DUMMYFUNCTION("""COMPUTED_VALUE"""),"หมูชาบู(ฟ้า)*พิเศษ*-5กก")</f>
        <v>หมูชาบู(ฟ้า)*พิเศษ*-5กก</v>
      </c>
      <c r="B582" s="5">
        <f>IFERROR(__xludf.DUMMYFUNCTION("""COMPUTED_VALUE"""),10486.0)</f>
        <v>10486</v>
      </c>
      <c r="C582" s="5" t="str">
        <f>IFERROR(__xludf.DUMMYFUNCTION("""COMPUTED_VALUE"""),"หมูชาบู(ฟ้า) *พิเศษ* (93)")</f>
        <v>หมูชาบู(ฟ้า) *พิเศษ* (93)</v>
      </c>
      <c r="D582" s="5" t="str">
        <f>IFERROR(__xludf.DUMMYFUNCTION("""COMPUTED_VALUE"""),"**ร้านค้า ราคาพิเศษ")</f>
        <v>**ร้านค้า ราคาพิเศษ</v>
      </c>
      <c r="E582" s="5"/>
      <c r="F582" s="5" t="str">
        <f>IFERROR(__xludf.DUMMYFUNCTION("""COMPUTED_VALUE"""),"N")</f>
        <v>N</v>
      </c>
      <c r="G582" s="5"/>
      <c r="H582" s="5"/>
      <c r="I582" s="5"/>
      <c r="J582" s="5"/>
      <c r="K582" s="5"/>
      <c r="L582" s="5"/>
      <c r="M582" s="5"/>
      <c r="N582" s="5"/>
      <c r="O582" s="5">
        <f>IFERROR(__xludf.DUMMYFUNCTION("""COMPUTED_VALUE"""),10895.0)</f>
        <v>10895</v>
      </c>
      <c r="P582" s="5">
        <f>IFERROR(__xludf.DUMMYFUNCTION("""COMPUTED_VALUE"""),1.0)</f>
        <v>1</v>
      </c>
      <c r="Q582" s="5" t="str">
        <f>IFERROR(__xludf.DUMMYFUNCTION("""COMPUTED_VALUE"""),"N")</f>
        <v>N</v>
      </c>
      <c r="R582" s="5" t="str">
        <f>IFERROR(__xludf.DUMMYFUNCTION("""COMPUTED_VALUE"""),"N")</f>
        <v>N</v>
      </c>
      <c r="S582" s="5"/>
      <c r="T582" s="5"/>
      <c r="U582" s="5" t="str">
        <f>IFERROR(__xludf.DUMMYFUNCTION("""COMPUTED_VALUE"""),"Y")</f>
        <v>Y</v>
      </c>
      <c r="V582" s="5">
        <f>IFERROR(__xludf.DUMMYFUNCTION("""COMPUTED_VALUE"""),465.0)</f>
        <v>465</v>
      </c>
      <c r="W582" s="5"/>
      <c r="X582" s="5"/>
      <c r="Y582" s="5"/>
      <c r="Z582" s="5"/>
    </row>
    <row r="583">
      <c r="A583" s="5" t="str">
        <f>IFERROR(__xludf.DUMMYFUNCTION("""COMPUTED_VALUE"""),"หมูกลมสไลด์ชาบู-ถุง-1kg")</f>
        <v>หมูกลมสไลด์ชาบู-ถุง-1kg</v>
      </c>
      <c r="B583" s="5">
        <f>IFERROR(__xludf.DUMMYFUNCTION("""COMPUTED_VALUE"""),10895.0)</f>
        <v>10895</v>
      </c>
      <c r="C583" s="5" t="str">
        <f>IFERROR(__xludf.DUMMYFUNCTION("""COMPUTED_VALUE"""),"หมูชาบู(ฟ้า) 5 กก/หิ้ว -95")</f>
        <v>หมูชาบู(ฟ้า) 5 กก/หิ้ว -95</v>
      </c>
      <c r="D583" s="5" t="str">
        <f>IFERROR(__xludf.DUMMYFUNCTION("""COMPUTED_VALUE"""),"**ของหิ้ว มหาชัย")</f>
        <v>**ของหิ้ว มหาชัย</v>
      </c>
      <c r="E583" s="5" t="str">
        <f>IFERROR(__xludf.DUMMYFUNCTION("""COMPUTED_VALUE"""),"&lt;p&gt;5&lt;/p&gt;")</f>
        <v>&lt;p&gt;5&lt;/p&gt;</v>
      </c>
      <c r="F583" s="5" t="str">
        <f>IFERROR(__xludf.DUMMYFUNCTION("""COMPUTED_VALUE"""),"N")</f>
        <v>N</v>
      </c>
      <c r="G583" s="5"/>
      <c r="H583" s="5"/>
      <c r="I583" s="5"/>
      <c r="J583" s="5"/>
      <c r="K583" s="5"/>
      <c r="L583" s="5"/>
      <c r="M583" s="5">
        <f>IFERROR(__xludf.DUMMYFUNCTION("""COMPUTED_VALUE"""),402.42)</f>
        <v>402.42</v>
      </c>
      <c r="N583" s="5">
        <f>IFERROR(__xludf.DUMMYFUNCTION("""COMPUTED_VALUE"""),10895.0)</f>
        <v>10895</v>
      </c>
      <c r="O583" s="5"/>
      <c r="P583" s="5"/>
      <c r="Q583" s="5" t="str">
        <f>IFERROR(__xludf.DUMMYFUNCTION("""COMPUTED_VALUE"""),"Y")</f>
        <v>Y</v>
      </c>
      <c r="R583" s="5"/>
      <c r="S583" s="5" t="str">
        <f>IFERROR(__xludf.DUMMYFUNCTION("""COMPUTED_VALUE"""),"ขึ้นของมหาชัย")</f>
        <v>ขึ้นของมหาชัย</v>
      </c>
      <c r="T583" s="5">
        <f>IFERROR(__xludf.DUMMYFUNCTION("""COMPUTED_VALUE"""),390.0)</f>
        <v>390</v>
      </c>
      <c r="U583" s="5" t="str">
        <f>IFERROR(__xludf.DUMMYFUNCTION("""COMPUTED_VALUE"""),"Y")</f>
        <v>Y</v>
      </c>
      <c r="V583" s="5">
        <f>IFERROR(__xludf.DUMMYFUNCTION("""COMPUTED_VALUE"""),475.0)</f>
        <v>475</v>
      </c>
      <c r="W583" s="5">
        <f>IFERROR(__xludf.DUMMYFUNCTION("""COMPUTED_VALUE"""),32.0)</f>
        <v>32</v>
      </c>
      <c r="X583" s="5">
        <f>IFERROR(__xludf.DUMMYFUNCTION("""COMPUTED_VALUE"""),20.0)</f>
        <v>20</v>
      </c>
      <c r="Y583" s="5">
        <f>IFERROR(__xludf.DUMMYFUNCTION("""COMPUTED_VALUE"""),40.0)</f>
        <v>40</v>
      </c>
      <c r="Z583" s="5"/>
    </row>
    <row r="584">
      <c r="A584" s="5" t="str">
        <f>IFERROR(__xludf.DUMMYFUNCTION("""COMPUTED_VALUE"""),"หมูชาบูกลม(ถุงใส)-พิเศษ-10kg---85")</f>
        <v>หมูชาบูกลม(ถุงใส)-พิเศษ-10kg---85</v>
      </c>
      <c r="B584" s="5">
        <f>IFERROR(__xludf.DUMMYFUNCTION("""COMPUTED_VALUE"""),11595.0)</f>
        <v>11595</v>
      </c>
      <c r="C584" s="5" t="str">
        <f>IFERROR(__xludf.DUMMYFUNCTION("""COMPUTED_VALUE"""),"หมูชาบู(ฟ้า) 5กก R100 (87)")</f>
        <v>หมูชาบู(ฟ้า) 5กก R100 (87)</v>
      </c>
      <c r="D584" s="5" t="str">
        <f>IFERROR(__xludf.DUMMYFUNCTION("""COMPUTED_VALUE"""),"**ร้านค้า ราคาพิเศษ")</f>
        <v>**ร้านค้า ราคาพิเศษ</v>
      </c>
      <c r="E584" s="5" t="str">
        <f>IFERROR(__xludf.DUMMYFUNCTION("""COMPUTED_VALUE"""),"&lt;p&gt;เรท 100&lt;/p&gt;")</f>
        <v>&lt;p&gt;เรท 100&lt;/p&gt;</v>
      </c>
      <c r="F584" s="5" t="str">
        <f>IFERROR(__xludf.DUMMYFUNCTION("""COMPUTED_VALUE"""),"N")</f>
        <v>N</v>
      </c>
      <c r="G584" s="5"/>
      <c r="H584" s="5"/>
      <c r="I584" s="5"/>
      <c r="J584" s="5"/>
      <c r="K584" s="5"/>
      <c r="L584" s="5"/>
      <c r="M584" s="5"/>
      <c r="N584" s="5">
        <f>IFERROR(__xludf.DUMMYFUNCTION("""COMPUTED_VALUE"""),11595.0)</f>
        <v>11595</v>
      </c>
      <c r="O584" s="5">
        <f>IFERROR(__xludf.DUMMYFUNCTION("""COMPUTED_VALUE"""),10895.0)</f>
        <v>10895</v>
      </c>
      <c r="P584" s="5">
        <f>IFERROR(__xludf.DUMMYFUNCTION("""COMPUTED_VALUE"""),1.0)</f>
        <v>1</v>
      </c>
      <c r="Q584" s="5" t="str">
        <f>IFERROR(__xludf.DUMMYFUNCTION("""COMPUTED_VALUE"""),"N")</f>
        <v>N</v>
      </c>
      <c r="R584" s="5" t="str">
        <f>IFERROR(__xludf.DUMMYFUNCTION("""COMPUTED_VALUE"""),"N")</f>
        <v>N</v>
      </c>
      <c r="S584" s="5"/>
      <c r="T584" s="5"/>
      <c r="U584" s="5" t="str">
        <f>IFERROR(__xludf.DUMMYFUNCTION("""COMPUTED_VALUE"""),"Y")</f>
        <v>Y</v>
      </c>
      <c r="V584" s="5">
        <f>IFERROR(__xludf.DUMMYFUNCTION("""COMPUTED_VALUE"""),435.0)</f>
        <v>435</v>
      </c>
      <c r="W584" s="5"/>
      <c r="X584" s="5"/>
      <c r="Y584" s="5"/>
      <c r="Z584" s="5"/>
    </row>
    <row r="585">
      <c r="A585" s="5" t="str">
        <f>IFERROR(__xludf.DUMMYFUNCTION("""COMPUTED_VALUE"""),"หมูน้ำผึ้ง--(สมชาย)-r100-75")</f>
        <v>หมูน้ำผึ้ง--(สมชาย)-r100-75</v>
      </c>
      <c r="B585" s="5">
        <f>IFERROR(__xludf.DUMMYFUNCTION("""COMPUTED_VALUE"""),10726.0)</f>
        <v>10726</v>
      </c>
      <c r="C585" s="5" t="str">
        <f>IFERROR(__xludf.DUMMYFUNCTION("""COMPUTED_VALUE"""),"หมูน้ำผึ้ง (S.C) R100-75")</f>
        <v>หมูน้ำผึ้ง (S.C) R100-75</v>
      </c>
      <c r="D585" s="5" t="str">
        <f>IFERROR(__xludf.DUMMYFUNCTION("""COMPUTED_VALUE"""),"**ร้านค้า ราคาพิเศษ")</f>
        <v>**ร้านค้า ราคาพิเศษ</v>
      </c>
      <c r="E585" s="5"/>
      <c r="F585" s="5" t="str">
        <f>IFERROR(__xludf.DUMMYFUNCTION("""COMPUTED_VALUE"""),"N")</f>
        <v>N</v>
      </c>
      <c r="G585" s="5"/>
      <c r="H585" s="5"/>
      <c r="I585" s="5"/>
      <c r="J585" s="5"/>
      <c r="K585" s="5"/>
      <c r="L585" s="5"/>
      <c r="M585" s="5"/>
      <c r="N585" s="5"/>
      <c r="O585" s="5">
        <f>IFERROR(__xludf.DUMMYFUNCTION("""COMPUTED_VALUE"""),10161.0)</f>
        <v>10161</v>
      </c>
      <c r="P585" s="5">
        <f>IFERROR(__xludf.DUMMYFUNCTION("""COMPUTED_VALUE"""),1.0)</f>
        <v>1</v>
      </c>
      <c r="Q585" s="5" t="str">
        <f>IFERROR(__xludf.DUMMYFUNCTION("""COMPUTED_VALUE"""),"N")</f>
        <v>N</v>
      </c>
      <c r="R585" s="5" t="str">
        <f>IFERROR(__xludf.DUMMYFUNCTION("""COMPUTED_VALUE"""),"N")</f>
        <v>N</v>
      </c>
      <c r="S585" s="5"/>
      <c r="T585" s="5"/>
      <c r="U585" s="5" t="str">
        <f>IFERROR(__xludf.DUMMYFUNCTION("""COMPUTED_VALUE"""),"Y")</f>
        <v>Y</v>
      </c>
      <c r="V585" s="5">
        <f>IFERROR(__xludf.DUMMYFUNCTION("""COMPUTED_VALUE"""),375.0)</f>
        <v>375</v>
      </c>
      <c r="W585" s="5"/>
      <c r="X585" s="5"/>
      <c r="Y585" s="5"/>
      <c r="Z585" s="5"/>
    </row>
    <row r="586">
      <c r="A586" s="5" t="str">
        <f>IFERROR(__xludf.DUMMYFUNCTION("""COMPUTED_VALUE"""),"หมูนำ้ผึ้ง-sc-r100")</f>
        <v>หมูนำ้ผึ้ง-sc-r100</v>
      </c>
      <c r="B586" s="5">
        <f>IFERROR(__xludf.DUMMYFUNCTION("""COMPUTED_VALUE"""),10458.0)</f>
        <v>10458</v>
      </c>
      <c r="C586" s="5" t="str">
        <f>IFERROR(__xludf.DUMMYFUNCTION("""COMPUTED_VALUE"""),"หมูนำ้ผึ้ง sc   (พิเศษ)78")</f>
        <v>หมูนำ้ผึ้ง sc   (พิเศษ)78</v>
      </c>
      <c r="D586" s="5" t="str">
        <f>IFERROR(__xludf.DUMMYFUNCTION("""COMPUTED_VALUE"""),"**ร้านค้า ราคาพิเศษ")</f>
        <v>**ร้านค้า ราคาพิเศษ</v>
      </c>
      <c r="E586" s="5"/>
      <c r="F586" s="5" t="str">
        <f>IFERROR(__xludf.DUMMYFUNCTION("""COMPUTED_VALUE"""),"N")</f>
        <v>N</v>
      </c>
      <c r="G586" s="5"/>
      <c r="H586" s="5"/>
      <c r="I586" s="5"/>
      <c r="J586" s="5"/>
      <c r="K586" s="5"/>
      <c r="L586" s="5"/>
      <c r="M586" s="5"/>
      <c r="N586" s="5"/>
      <c r="O586" s="5">
        <f>IFERROR(__xludf.DUMMYFUNCTION("""COMPUTED_VALUE"""),10161.0)</f>
        <v>10161</v>
      </c>
      <c r="P586" s="5">
        <f>IFERROR(__xludf.DUMMYFUNCTION("""COMPUTED_VALUE"""),1.0)</f>
        <v>1</v>
      </c>
      <c r="Q586" s="5" t="str">
        <f>IFERROR(__xludf.DUMMYFUNCTION("""COMPUTED_VALUE"""),"N")</f>
        <v>N</v>
      </c>
      <c r="R586" s="5" t="str">
        <f>IFERROR(__xludf.DUMMYFUNCTION("""COMPUTED_VALUE"""),"N")</f>
        <v>N</v>
      </c>
      <c r="S586" s="5"/>
      <c r="T586" s="5"/>
      <c r="U586" s="5" t="str">
        <f>IFERROR(__xludf.DUMMYFUNCTION("""COMPUTED_VALUE"""),"Y")</f>
        <v>Y</v>
      </c>
      <c r="V586" s="5">
        <f>IFERROR(__xludf.DUMMYFUNCTION("""COMPUTED_VALUE"""),390.0)</f>
        <v>390</v>
      </c>
      <c r="W586" s="5"/>
      <c r="X586" s="5"/>
      <c r="Y586" s="5"/>
      <c r="Z586" s="5"/>
    </row>
    <row r="587">
      <c r="A587" s="5" t="str">
        <f>IFERROR(__xludf.DUMMYFUNCTION("""COMPUTED_VALUE"""),"หมูนุ่ม-(สมชาย)-r100--75")</f>
        <v>หมูนุ่ม-(สมชาย)-r100--75</v>
      </c>
      <c r="B587" s="5">
        <f>IFERROR(__xludf.DUMMYFUNCTION("""COMPUTED_VALUE"""),10722.0)</f>
        <v>10722</v>
      </c>
      <c r="C587" s="5" t="str">
        <f>IFERROR(__xludf.DUMMYFUNCTION("""COMPUTED_VALUE"""),"หมูนุ่ม (S.C) R100-75")</f>
        <v>หมูนุ่ม (S.C) R100-75</v>
      </c>
      <c r="D587" s="5" t="str">
        <f>IFERROR(__xludf.DUMMYFUNCTION("""COMPUTED_VALUE"""),"**ร้านค้า ราคาพิเศษ")</f>
        <v>**ร้านค้า ราคาพิเศษ</v>
      </c>
      <c r="E587" s="5"/>
      <c r="F587" s="5" t="str">
        <f>IFERROR(__xludf.DUMMYFUNCTION("""COMPUTED_VALUE"""),"N")</f>
        <v>N</v>
      </c>
      <c r="G587" s="5"/>
      <c r="H587" s="5"/>
      <c r="I587" s="5"/>
      <c r="J587" s="5"/>
      <c r="K587" s="5"/>
      <c r="L587" s="5"/>
      <c r="M587" s="5"/>
      <c r="N587" s="5"/>
      <c r="O587" s="5">
        <f>IFERROR(__xludf.DUMMYFUNCTION("""COMPUTED_VALUE"""),10159.0)</f>
        <v>10159</v>
      </c>
      <c r="P587" s="5">
        <f>IFERROR(__xludf.DUMMYFUNCTION("""COMPUTED_VALUE"""),1.0)</f>
        <v>1</v>
      </c>
      <c r="Q587" s="5" t="str">
        <f>IFERROR(__xludf.DUMMYFUNCTION("""COMPUTED_VALUE"""),"N")</f>
        <v>N</v>
      </c>
      <c r="R587" s="5" t="str">
        <f>IFERROR(__xludf.DUMMYFUNCTION("""COMPUTED_VALUE"""),"N")</f>
        <v>N</v>
      </c>
      <c r="S587" s="5"/>
      <c r="T587" s="5"/>
      <c r="U587" s="5" t="str">
        <f>IFERROR(__xludf.DUMMYFUNCTION("""COMPUTED_VALUE"""),"Y")</f>
        <v>Y</v>
      </c>
      <c r="V587" s="5">
        <f>IFERROR(__xludf.DUMMYFUNCTION("""COMPUTED_VALUE"""),375.0)</f>
        <v>375</v>
      </c>
      <c r="W587" s="5"/>
      <c r="X587" s="5"/>
      <c r="Y587" s="5"/>
      <c r="Z587" s="5"/>
    </row>
    <row r="588">
      <c r="A588" s="5" t="str">
        <f>IFERROR(__xludf.DUMMYFUNCTION("""COMPUTED_VALUE"""),"สมชาย-หมักนุ่ม-5กก-ถุง-1")</f>
        <v>สมชาย-หมักนุ่ม-5กก-ถุง-1</v>
      </c>
      <c r="B588" s="5">
        <f>IFERROR(__xludf.DUMMYFUNCTION("""COMPUTED_VALUE"""),10159.0)</f>
        <v>10159</v>
      </c>
      <c r="C588" s="5" t="str">
        <f>IFERROR(__xludf.DUMMYFUNCTION("""COMPUTED_VALUE"""),"หมูนุ่ม (สมชาย) 5 กก. - 80")</f>
        <v>หมูนุ่ม (สมชาย) 5 กก. - 80</v>
      </c>
      <c r="D588" s="5" t="str">
        <f>IFERROR(__xludf.DUMMYFUNCTION("""COMPUTED_VALUE"""),"สมชาย")</f>
        <v>สมชาย</v>
      </c>
      <c r="E588" s="5" t="str">
        <f>IFERROR(__xludf.DUMMYFUNCTION("""COMPUTED_VALUE"""),"&lt;p&gt;A&lt;/p&gt;")</f>
        <v>&lt;p&gt;A&lt;/p&gt;</v>
      </c>
      <c r="F588" s="5" t="str">
        <f>IFERROR(__xludf.DUMMYFUNCTION("""COMPUTED_VALUE"""),"N")</f>
        <v>N</v>
      </c>
      <c r="G588" s="5"/>
      <c r="H588" s="5"/>
      <c r="I588" s="5"/>
      <c r="J588" s="5"/>
      <c r="K588" s="5"/>
      <c r="L588" s="5"/>
      <c r="M588" s="5">
        <f>IFERROR(__xludf.DUMMYFUNCTION("""COMPUTED_VALUE"""),350.0)</f>
        <v>350</v>
      </c>
      <c r="N588" s="5">
        <f>IFERROR(__xludf.DUMMYFUNCTION("""COMPUTED_VALUE"""),10159.0)</f>
        <v>10159</v>
      </c>
      <c r="O588" s="5"/>
      <c r="P588" s="5"/>
      <c r="Q588" s="5" t="str">
        <f>IFERROR(__xludf.DUMMYFUNCTION("""COMPUTED_VALUE"""),"Y")</f>
        <v>Y</v>
      </c>
      <c r="R588" s="5"/>
      <c r="S588" s="5" t="str">
        <f>IFERROR(__xludf.DUMMYFUNCTION("""COMPUTED_VALUE"""),"สมชายซีฟู้ดส์")</f>
        <v>สมชายซีฟู้ดส์</v>
      </c>
      <c r="T588" s="5">
        <f>IFERROR(__xludf.DUMMYFUNCTION("""COMPUTED_VALUE"""),350.0)</f>
        <v>350</v>
      </c>
      <c r="U588" s="5" t="str">
        <f>IFERROR(__xludf.DUMMYFUNCTION("""COMPUTED_VALUE"""),"Y")</f>
        <v>Y</v>
      </c>
      <c r="V588" s="5">
        <f>IFERROR(__xludf.DUMMYFUNCTION("""COMPUTED_VALUE"""),400.0)</f>
        <v>400</v>
      </c>
      <c r="W588" s="5">
        <f>IFERROR(__xludf.DUMMYFUNCTION("""COMPUTED_VALUE"""),83.0)</f>
        <v>83</v>
      </c>
      <c r="X588" s="5">
        <f>IFERROR(__xludf.DUMMYFUNCTION("""COMPUTED_VALUE"""),33.0)</f>
        <v>33</v>
      </c>
      <c r="Y588" s="5">
        <f>IFERROR(__xludf.DUMMYFUNCTION("""COMPUTED_VALUE"""),50.0)</f>
        <v>50</v>
      </c>
      <c r="Z588" s="5"/>
    </row>
    <row r="589">
      <c r="A589" s="5" t="str">
        <f>IFERROR(__xludf.DUMMYFUNCTION("""COMPUTED_VALUE"""),"หมูนุ่ม-sc")</f>
        <v>หมูนุ่ม-sc</v>
      </c>
      <c r="B589" s="5">
        <f>IFERROR(__xludf.DUMMYFUNCTION("""COMPUTED_VALUE"""),11404.0)</f>
        <v>11404</v>
      </c>
      <c r="C589" s="5" t="str">
        <f>IFERROR(__xludf.DUMMYFUNCTION("""COMPUTED_VALUE"""),"หมูนุ่ม sc (พิเศษ)78")</f>
        <v>หมูนุ่ม sc (พิเศษ)78</v>
      </c>
      <c r="D589" s="5" t="str">
        <f>IFERROR(__xludf.DUMMYFUNCTION("""COMPUTED_VALUE"""),"**ร้านค้า ราคาพิเศษ")</f>
        <v>**ร้านค้า ราคาพิเศษ</v>
      </c>
      <c r="E589" s="5" t="str">
        <f>IFERROR(__xludf.DUMMYFUNCTION("""COMPUTED_VALUE"""),"&lt;p&gt;X&lt;/p&gt;")</f>
        <v>&lt;p&gt;X&lt;/p&gt;</v>
      </c>
      <c r="F589" s="5" t="str">
        <f>IFERROR(__xludf.DUMMYFUNCTION("""COMPUTED_VALUE"""),"N")</f>
        <v>N</v>
      </c>
      <c r="G589" s="5"/>
      <c r="H589" s="5"/>
      <c r="I589" s="5"/>
      <c r="J589" s="5"/>
      <c r="K589" s="5"/>
      <c r="L589" s="5"/>
      <c r="M589" s="5"/>
      <c r="N589" s="5">
        <f>IFERROR(__xludf.DUMMYFUNCTION("""COMPUTED_VALUE"""),11404.0)</f>
        <v>11404</v>
      </c>
      <c r="O589" s="5">
        <f>IFERROR(__xludf.DUMMYFUNCTION("""COMPUTED_VALUE"""),10159.0)</f>
        <v>10159</v>
      </c>
      <c r="P589" s="5">
        <f>IFERROR(__xludf.DUMMYFUNCTION("""COMPUTED_VALUE"""),1.0)</f>
        <v>1</v>
      </c>
      <c r="Q589" s="5" t="str">
        <f>IFERROR(__xludf.DUMMYFUNCTION("""COMPUTED_VALUE"""),"N")</f>
        <v>N</v>
      </c>
      <c r="R589" s="5" t="str">
        <f>IFERROR(__xludf.DUMMYFUNCTION("""COMPUTED_VALUE"""),"N")</f>
        <v>N</v>
      </c>
      <c r="S589" s="5"/>
      <c r="T589" s="5"/>
      <c r="U589" s="5" t="str">
        <f>IFERROR(__xludf.DUMMYFUNCTION("""COMPUTED_VALUE"""),"Y")</f>
        <v>Y</v>
      </c>
      <c r="V589" s="5">
        <f>IFERROR(__xludf.DUMMYFUNCTION("""COMPUTED_VALUE"""),390.0)</f>
        <v>390</v>
      </c>
      <c r="W589" s="5"/>
      <c r="X589" s="5"/>
      <c r="Y589" s="5"/>
      <c r="Z589" s="5"/>
    </row>
    <row r="590">
      <c r="A590" s="5" t="str">
        <f>IFERROR(__xludf.DUMMYFUNCTION("""COMPUTED_VALUE"""),"หมูนุ่มหมักปรุงรส-10*1-กก.--ลัง")</f>
        <v>หมูนุ่มหมักปรุงรส-10*1-กก.--ลัง</v>
      </c>
      <c r="B590" s="5">
        <f>IFERROR(__xludf.DUMMYFUNCTION("""COMPUTED_VALUE"""),10709.0)</f>
        <v>10709</v>
      </c>
      <c r="C590" s="5" t="str">
        <f>IFERROR(__xludf.DUMMYFUNCTION("""COMPUTED_VALUE"""),"หมูนุ่มหมักปรุงรส  ลัง10กก -90")</f>
        <v>หมูนุ่มหมักปรุงรส  ลัง10กก -90</v>
      </c>
      <c r="D590" s="5" t="str">
        <f>IFERROR(__xludf.DUMMYFUNCTION("""COMPUTED_VALUE"""),"**ลัง ร้อยเอ็ด")</f>
        <v>**ลัง ร้อยเอ็ด</v>
      </c>
      <c r="E590" s="5"/>
      <c r="F590" s="5" t="str">
        <f>IFERROR(__xludf.DUMMYFUNCTION("""COMPUTED_VALUE"""),"N")</f>
        <v>N</v>
      </c>
      <c r="G590" s="5"/>
      <c r="H590" s="5"/>
      <c r="I590" s="5"/>
      <c r="J590" s="5"/>
      <c r="K590" s="5"/>
      <c r="L590" s="5"/>
      <c r="M590" s="5">
        <f>IFERROR(__xludf.DUMMYFUNCTION("""COMPUTED_VALUE"""),799.8)</f>
        <v>799.8</v>
      </c>
      <c r="N590" s="5"/>
      <c r="O590" s="5"/>
      <c r="P590" s="5"/>
      <c r="Q590" s="5" t="str">
        <f>IFERROR(__xludf.DUMMYFUNCTION("""COMPUTED_VALUE"""),"Y")</f>
        <v>Y</v>
      </c>
      <c r="R590" s="5"/>
      <c r="S590" s="5" t="str">
        <f>IFERROR(__xludf.DUMMYFUNCTION("""COMPUTED_VALUE"""),"เบทาโกร")</f>
        <v>เบทาโกร</v>
      </c>
      <c r="T590" s="5">
        <f>IFERROR(__xludf.DUMMYFUNCTION("""COMPUTED_VALUE"""),750.0)</f>
        <v>750</v>
      </c>
      <c r="U590" s="5" t="str">
        <f>IFERROR(__xludf.DUMMYFUNCTION("""COMPUTED_VALUE"""),"Y")</f>
        <v>Y</v>
      </c>
      <c r="V590" s="5">
        <f>IFERROR(__xludf.DUMMYFUNCTION("""COMPUTED_VALUE"""),900.0)</f>
        <v>900</v>
      </c>
      <c r="W590" s="5">
        <f>IFERROR(__xludf.DUMMYFUNCTION("""COMPUTED_VALUE"""),12.0)</f>
        <v>12</v>
      </c>
      <c r="X590" s="5"/>
      <c r="Y590" s="5"/>
      <c r="Z590" s="5"/>
    </row>
    <row r="591">
      <c r="A591" s="5" t="str">
        <f>IFERROR(__xludf.DUMMYFUNCTION("""COMPUTED_VALUE"""),"หมูนุ่มเบทาโกร-10*1-kg-ลัง-1")</f>
        <v>หมูนุ่มเบทาโกร-10*1-kg-ลัง-1</v>
      </c>
      <c r="B591" s="5">
        <f>IFERROR(__xludf.DUMMYFUNCTION("""COMPUTED_VALUE"""),10300.0)</f>
        <v>10300</v>
      </c>
      <c r="C591" s="5" t="str">
        <f>IFERROR(__xludf.DUMMYFUNCTION("""COMPUTED_VALUE"""),"หมูนุ่มเบทาโกร 10*1 Kg ลัง")</f>
        <v>หมูนุ่มเบทาโกร 10*1 Kg ลัง</v>
      </c>
      <c r="D591" s="5" t="str">
        <f>IFERROR(__xludf.DUMMYFUNCTION("""COMPUTED_VALUE"""),"**ลัง ร้อยเอ็ด")</f>
        <v>**ลัง ร้อยเอ็ด</v>
      </c>
      <c r="E591" s="5" t="str">
        <f>IFERROR(__xludf.DUMMYFUNCTION("""COMPUTED_VALUE"""),"&lt;p&gt;S&lt;/p&gt;")</f>
        <v>&lt;p&gt;S&lt;/p&gt;</v>
      </c>
      <c r="F591" s="5" t="str">
        <f>IFERROR(__xludf.DUMMYFUNCTION("""COMPUTED_VALUE"""),"N")</f>
        <v>N</v>
      </c>
      <c r="G591" s="5"/>
      <c r="H591" s="5"/>
      <c r="I591" s="5"/>
      <c r="J591" s="5"/>
      <c r="K591" s="5"/>
      <c r="L591" s="5"/>
      <c r="M591" s="5"/>
      <c r="N591" s="5">
        <f>IFERROR(__xludf.DUMMYFUNCTION("""COMPUTED_VALUE"""),10300.0)</f>
        <v>10300</v>
      </c>
      <c r="O591" s="5">
        <f>IFERROR(__xludf.DUMMYFUNCTION("""COMPUTED_VALUE"""),10272.0)</f>
        <v>10272</v>
      </c>
      <c r="P591" s="5">
        <f>IFERROR(__xludf.DUMMYFUNCTION("""COMPUTED_VALUE"""),10.0)</f>
        <v>10</v>
      </c>
      <c r="Q591" s="5" t="str">
        <f>IFERROR(__xludf.DUMMYFUNCTION("""COMPUTED_VALUE"""),"N")</f>
        <v>N</v>
      </c>
      <c r="R591" s="5" t="str">
        <f>IFERROR(__xludf.DUMMYFUNCTION("""COMPUTED_VALUE"""),"N")</f>
        <v>N</v>
      </c>
      <c r="S591" s="5"/>
      <c r="T591" s="5"/>
      <c r="U591" s="5" t="str">
        <f>IFERROR(__xludf.DUMMYFUNCTION("""COMPUTED_VALUE"""),"Y")</f>
        <v>Y</v>
      </c>
      <c r="V591" s="5">
        <f>IFERROR(__xludf.DUMMYFUNCTION("""COMPUTED_VALUE"""),980.0)</f>
        <v>980</v>
      </c>
      <c r="W591" s="5"/>
      <c r="X591" s="5"/>
      <c r="Y591" s="5"/>
      <c r="Z591" s="5"/>
    </row>
    <row r="592">
      <c r="A592" s="5" t="str">
        <f>IFERROR(__xludf.DUMMYFUNCTION("""COMPUTED_VALUE"""),"สมชาย-น้ำผึ้ง-5กก-ถุง-1")</f>
        <v>สมชาย-น้ำผึ้ง-5กก-ถุง-1</v>
      </c>
      <c r="B592" s="5">
        <f>IFERROR(__xludf.DUMMYFUNCTION("""COMPUTED_VALUE"""),10161.0)</f>
        <v>10161</v>
      </c>
      <c r="C592" s="5" t="str">
        <f>IFERROR(__xludf.DUMMYFUNCTION("""COMPUTED_VALUE"""),"หมูน้ําผึ้ง (สมชาย) ถุง 5กก (80)")</f>
        <v>หมูน้ําผึ้ง (สมชาย) ถุง 5กก (80)</v>
      </c>
      <c r="D592" s="5" t="str">
        <f>IFERROR(__xludf.DUMMYFUNCTION("""COMPUTED_VALUE"""),"สมชาย")</f>
        <v>สมชาย</v>
      </c>
      <c r="E592" s="5" t="str">
        <f>IFERROR(__xludf.DUMMYFUNCTION("""COMPUTED_VALUE"""),"&lt;p&gt;A&lt;/p&gt;")</f>
        <v>&lt;p&gt;A&lt;/p&gt;</v>
      </c>
      <c r="F592" s="5" t="str">
        <f>IFERROR(__xludf.DUMMYFUNCTION("""COMPUTED_VALUE"""),"N")</f>
        <v>N</v>
      </c>
      <c r="G592" s="5"/>
      <c r="H592" s="5"/>
      <c r="I592" s="5"/>
      <c r="J592" s="5"/>
      <c r="K592" s="5"/>
      <c r="L592" s="5"/>
      <c r="M592" s="5">
        <f>IFERROR(__xludf.DUMMYFUNCTION("""COMPUTED_VALUE"""),350.0)</f>
        <v>350</v>
      </c>
      <c r="N592" s="5">
        <f>IFERROR(__xludf.DUMMYFUNCTION("""COMPUTED_VALUE"""),10161.0)</f>
        <v>10161</v>
      </c>
      <c r="O592" s="5"/>
      <c r="P592" s="5"/>
      <c r="Q592" s="5" t="str">
        <f>IFERROR(__xludf.DUMMYFUNCTION("""COMPUTED_VALUE"""),"Y")</f>
        <v>Y</v>
      </c>
      <c r="R592" s="5"/>
      <c r="S592" s="5" t="str">
        <f>IFERROR(__xludf.DUMMYFUNCTION("""COMPUTED_VALUE"""),"สมชายซีฟู้ดส์")</f>
        <v>สมชายซีฟู้ดส์</v>
      </c>
      <c r="T592" s="5">
        <f>IFERROR(__xludf.DUMMYFUNCTION("""COMPUTED_VALUE"""),350.0)</f>
        <v>350</v>
      </c>
      <c r="U592" s="5" t="str">
        <f>IFERROR(__xludf.DUMMYFUNCTION("""COMPUTED_VALUE"""),"Y")</f>
        <v>Y</v>
      </c>
      <c r="V592" s="5">
        <f>IFERROR(__xludf.DUMMYFUNCTION("""COMPUTED_VALUE"""),400.0)</f>
        <v>400</v>
      </c>
      <c r="W592" s="5">
        <f>IFERROR(__xludf.DUMMYFUNCTION("""COMPUTED_VALUE"""),43.0)</f>
        <v>43</v>
      </c>
      <c r="X592" s="5">
        <f>IFERROR(__xludf.DUMMYFUNCTION("""COMPUTED_VALUE"""),12.0)</f>
        <v>12</v>
      </c>
      <c r="Y592" s="5">
        <f>IFERROR(__xludf.DUMMYFUNCTION("""COMPUTED_VALUE"""),19.0)</f>
        <v>19</v>
      </c>
      <c r="Z592" s="5"/>
    </row>
    <row r="593">
      <c r="A593" s="5" t="str">
        <f>IFERROR(__xludf.DUMMYFUNCTION("""COMPUTED_VALUE"""),"หมูอร่อย-น้ำผึ้ง-5กก-ถุง-1")</f>
        <v>หมูอร่อย-น้ำผึ้ง-5กก-ถุง-1</v>
      </c>
      <c r="B593" s="5">
        <f>IFERROR(__xludf.DUMMYFUNCTION("""COMPUTED_VALUE"""),10149.0)</f>
        <v>10149</v>
      </c>
      <c r="C593" s="5" t="str">
        <f>IFERROR(__xludf.DUMMYFUNCTION("""COMPUTED_VALUE"""),"หมูน้ําผึ้ง (หมูอร่อย) ถุง 5กก (79)")</f>
        <v>หมูน้ําผึ้ง (หมูอร่อย) ถุง 5กก (79)</v>
      </c>
      <c r="D593" s="5"/>
      <c r="E593" s="5" t="str">
        <f>IFERROR(__xludf.DUMMYFUNCTION("""COMPUTED_VALUE"""),"&lt;p&gt;S&lt;/p&gt;")</f>
        <v>&lt;p&gt;S&lt;/p&gt;</v>
      </c>
      <c r="F593" s="5" t="str">
        <f>IFERROR(__xludf.DUMMYFUNCTION("""COMPUTED_VALUE"""),"N")</f>
        <v>N</v>
      </c>
      <c r="G593" s="5"/>
      <c r="H593" s="5"/>
      <c r="I593" s="5"/>
      <c r="J593" s="5"/>
      <c r="K593" s="5"/>
      <c r="L593" s="5"/>
      <c r="M593" s="5">
        <f>IFERROR(__xludf.DUMMYFUNCTION("""COMPUTED_VALUE"""),340.0)</f>
        <v>340</v>
      </c>
      <c r="N593" s="5">
        <f>IFERROR(__xludf.DUMMYFUNCTION("""COMPUTED_VALUE"""),10149.0)</f>
        <v>10149</v>
      </c>
      <c r="O593" s="5"/>
      <c r="P593" s="5"/>
      <c r="Q593" s="5" t="str">
        <f>IFERROR(__xludf.DUMMYFUNCTION("""COMPUTED_VALUE"""),"Y")</f>
        <v>Y</v>
      </c>
      <c r="R593" s="5"/>
      <c r="S593" s="5" t="str">
        <f>IFERROR(__xludf.DUMMYFUNCTION("""COMPUTED_VALUE"""),"หมูอร่อย")</f>
        <v>หมูอร่อย</v>
      </c>
      <c r="T593" s="5">
        <f>IFERROR(__xludf.DUMMYFUNCTION("""COMPUTED_VALUE"""),340.0)</f>
        <v>340</v>
      </c>
      <c r="U593" s="5" t="str">
        <f>IFERROR(__xludf.DUMMYFUNCTION("""COMPUTED_VALUE"""),"N")</f>
        <v>N</v>
      </c>
      <c r="V593" s="5">
        <f>IFERROR(__xludf.DUMMYFUNCTION("""COMPUTED_VALUE"""),395.0)</f>
        <v>395</v>
      </c>
      <c r="W593" s="5">
        <f>IFERROR(__xludf.DUMMYFUNCTION("""COMPUTED_VALUE"""),0.0)</f>
        <v>0</v>
      </c>
      <c r="X593" s="5">
        <f>IFERROR(__xludf.DUMMYFUNCTION("""COMPUTED_VALUE"""),1.0)</f>
        <v>1</v>
      </c>
      <c r="Y593" s="5"/>
      <c r="Z593" s="5"/>
    </row>
    <row r="594">
      <c r="A594" s="5" t="str">
        <f>IFERROR(__xludf.DUMMYFUNCTION("""COMPUTED_VALUE"""),"หมูบด-ชนัญญา-ลัง-10kg")</f>
        <v>หมูบด-ชนัญญา-ลัง-10kg</v>
      </c>
      <c r="B594" s="5">
        <f>IFERROR(__xludf.DUMMYFUNCTION("""COMPUTED_VALUE"""),10113.0)</f>
        <v>10113</v>
      </c>
      <c r="C594" s="5" t="str">
        <f>IFERROR(__xludf.DUMMYFUNCTION("""COMPUTED_VALUE"""),"หมูบด ชนัญญา ลัง 10Kg")</f>
        <v>หมูบด ชนัญญา ลัง 10Kg</v>
      </c>
      <c r="D594" s="5" t="str">
        <f>IFERROR(__xludf.DUMMYFUNCTION("""COMPUTED_VALUE"""),"**ลัง มหาชัย")</f>
        <v>**ลัง มหาชัย</v>
      </c>
      <c r="E594" s="5" t="str">
        <f>IFERROR(__xludf.DUMMYFUNCTION("""COMPUTED_VALUE"""),"10")</f>
        <v>10</v>
      </c>
      <c r="F594" s="5" t="str">
        <f>IFERROR(__xludf.DUMMYFUNCTION("""COMPUTED_VALUE"""),"N")</f>
        <v>N</v>
      </c>
      <c r="G594" s="5"/>
      <c r="H594" s="5"/>
      <c r="I594" s="5"/>
      <c r="J594" s="5"/>
      <c r="K594" s="5"/>
      <c r="L594" s="5"/>
      <c r="M594" s="5">
        <f>IFERROR(__xludf.DUMMYFUNCTION("""COMPUTED_VALUE"""),664.8)</f>
        <v>664.8</v>
      </c>
      <c r="N594" s="5">
        <f>IFERROR(__xludf.DUMMYFUNCTION("""COMPUTED_VALUE"""),10113.0)</f>
        <v>10113</v>
      </c>
      <c r="O594" s="5"/>
      <c r="P594" s="5"/>
      <c r="Q594" s="5" t="str">
        <f>IFERROR(__xludf.DUMMYFUNCTION("""COMPUTED_VALUE"""),"Y")</f>
        <v>Y</v>
      </c>
      <c r="R594" s="5"/>
      <c r="S594" s="5" t="str">
        <f>IFERROR(__xludf.DUMMYFUNCTION("""COMPUTED_VALUE"""),"ขึ้นของมหาชัย")</f>
        <v>ขึ้นของมหาชัย</v>
      </c>
      <c r="T594" s="5">
        <f>IFERROR(__xludf.DUMMYFUNCTION("""COMPUTED_VALUE"""),650.0)</f>
        <v>650</v>
      </c>
      <c r="U594" s="5" t="str">
        <f>IFERROR(__xludf.DUMMYFUNCTION("""COMPUTED_VALUE"""),"Y")</f>
        <v>Y</v>
      </c>
      <c r="V594" s="5">
        <f>IFERROR(__xludf.DUMMYFUNCTION("""COMPUTED_VALUE"""),740.0)</f>
        <v>740</v>
      </c>
      <c r="W594" s="5">
        <f>IFERROR(__xludf.DUMMYFUNCTION("""COMPUTED_VALUE"""),32.0)</f>
        <v>32</v>
      </c>
      <c r="X594" s="5">
        <f>IFERROR(__xludf.DUMMYFUNCTION("""COMPUTED_VALUE"""),4.0)</f>
        <v>4</v>
      </c>
      <c r="Y594" s="5">
        <f>IFERROR(__xludf.DUMMYFUNCTION("""COMPUTED_VALUE"""),19.0)</f>
        <v>19</v>
      </c>
      <c r="Z594" s="5"/>
    </row>
    <row r="595">
      <c r="A595" s="5" t="str">
        <f>IFERROR(__xludf.DUMMYFUNCTION("""COMPUTED_VALUE"""),"10414")</f>
        <v>10414</v>
      </c>
      <c r="B595" s="5">
        <f>IFERROR(__xludf.DUMMYFUNCTION("""COMPUTED_VALUE"""),10414.0)</f>
        <v>10414</v>
      </c>
      <c r="C595" s="5" t="str">
        <f>IFERROR(__xludf.DUMMYFUNCTION("""COMPUTED_VALUE"""),"หมูบด อนามัย  1*10 kg (ลัง)")</f>
        <v>หมูบด อนามัย  1*10 kg (ลัง)</v>
      </c>
      <c r="D595" s="5" t="str">
        <f>IFERROR(__xludf.DUMMYFUNCTION("""COMPUTED_VALUE"""),"**ลัง มหาชัย")</f>
        <v>**ลัง มหาชัย</v>
      </c>
      <c r="E595" s="5" t="str">
        <f>IFERROR(__xludf.DUMMYFUNCTION("""COMPUTED_VALUE"""),"&lt;p&gt;10&lt;/p&gt;")</f>
        <v>&lt;p&gt;10&lt;/p&gt;</v>
      </c>
      <c r="F595" s="5" t="str">
        <f>IFERROR(__xludf.DUMMYFUNCTION("""COMPUTED_VALUE"""),"N")</f>
        <v>N</v>
      </c>
      <c r="G595" s="5"/>
      <c r="H595" s="5"/>
      <c r="I595" s="5"/>
      <c r="J595" s="5"/>
      <c r="K595" s="5"/>
      <c r="L595" s="5"/>
      <c r="M595" s="5">
        <f>IFERROR(__xludf.DUMMYFUNCTION("""COMPUTED_VALUE"""),480.73)</f>
        <v>480.73</v>
      </c>
      <c r="N595" s="5">
        <f>IFERROR(__xludf.DUMMYFUNCTION("""COMPUTED_VALUE"""),10414.0)</f>
        <v>10414</v>
      </c>
      <c r="O595" s="5"/>
      <c r="P595" s="5"/>
      <c r="Q595" s="5" t="str">
        <f>IFERROR(__xludf.DUMMYFUNCTION("""COMPUTED_VALUE"""),"Y")</f>
        <v>Y</v>
      </c>
      <c r="R595" s="5"/>
      <c r="S595" s="5" t="str">
        <f>IFERROR(__xludf.DUMMYFUNCTION("""COMPUTED_VALUE"""),"ขึ้นของมหาชัย")</f>
        <v>ขึ้นของมหาชัย</v>
      </c>
      <c r="T595" s="5">
        <f>IFERROR(__xludf.DUMMYFUNCTION("""COMPUTED_VALUE"""),470.0)</f>
        <v>470</v>
      </c>
      <c r="U595" s="5" t="str">
        <f>IFERROR(__xludf.DUMMYFUNCTION("""COMPUTED_VALUE"""),"Y")</f>
        <v>Y</v>
      </c>
      <c r="V595" s="5">
        <f>IFERROR(__xludf.DUMMYFUNCTION("""COMPUTED_VALUE"""),650.0)</f>
        <v>650</v>
      </c>
      <c r="W595" s="5">
        <f>IFERROR(__xludf.DUMMYFUNCTION("""COMPUTED_VALUE"""),13.1)</f>
        <v>13.1</v>
      </c>
      <c r="X595" s="5">
        <f>IFERROR(__xludf.DUMMYFUNCTION("""COMPUTED_VALUE"""),4.0)</f>
        <v>4</v>
      </c>
      <c r="Y595" s="5">
        <f>IFERROR(__xludf.DUMMYFUNCTION("""COMPUTED_VALUE"""),9.0)</f>
        <v>9</v>
      </c>
      <c r="Z595" s="5"/>
    </row>
    <row r="596">
      <c r="A596" s="5" t="str">
        <f>IFERROR(__xludf.DUMMYFUNCTION("""COMPUTED_VALUE"""),"หมูบด-อนามัย-500g1*20แพ็ค-(ลัง)")</f>
        <v>หมูบด-อนามัย-500g1*20แพ็ค-(ลัง)</v>
      </c>
      <c r="B596" s="5">
        <f>IFERROR(__xludf.DUMMYFUNCTION("""COMPUTED_VALUE"""),10114.0)</f>
        <v>10114</v>
      </c>
      <c r="C596" s="5" t="str">
        <f>IFERROR(__xludf.DUMMYFUNCTION("""COMPUTED_VALUE"""),"หมูบด อนามัย 500g1*20แพ็ค (ลัง)")</f>
        <v>หมูบด อนามัย 500g1*20แพ็ค (ลัง)</v>
      </c>
      <c r="D596" s="5" t="str">
        <f>IFERROR(__xludf.DUMMYFUNCTION("""COMPUTED_VALUE"""),"**ลัง มหาชัย")</f>
        <v>**ลัง มหาชัย</v>
      </c>
      <c r="E596" s="5" t="str">
        <f>IFERROR(__xludf.DUMMYFUNCTION("""COMPUTED_VALUE"""),"&lt;p&gt;10&lt;/p&gt;")</f>
        <v>&lt;p&gt;10&lt;/p&gt;</v>
      </c>
      <c r="F596" s="5" t="str">
        <f>IFERROR(__xludf.DUMMYFUNCTION("""COMPUTED_VALUE"""),"N")</f>
        <v>N</v>
      </c>
      <c r="G596" s="5"/>
      <c r="H596" s="5"/>
      <c r="I596" s="5"/>
      <c r="J596" s="5"/>
      <c r="K596" s="5"/>
      <c r="L596" s="5"/>
      <c r="M596" s="5">
        <f>IFERROR(__xludf.DUMMYFUNCTION("""COMPUTED_VALUE"""),488.96)</f>
        <v>488.96</v>
      </c>
      <c r="N596" s="5">
        <f>IFERROR(__xludf.DUMMYFUNCTION("""COMPUTED_VALUE"""),10114.0)</f>
        <v>10114</v>
      </c>
      <c r="O596" s="5"/>
      <c r="P596" s="5"/>
      <c r="Q596" s="5" t="str">
        <f>IFERROR(__xludf.DUMMYFUNCTION("""COMPUTED_VALUE"""),"Y")</f>
        <v>Y</v>
      </c>
      <c r="R596" s="5"/>
      <c r="S596" s="5" t="str">
        <f>IFERROR(__xludf.DUMMYFUNCTION("""COMPUTED_VALUE"""),"ขึ้นของมหาชัย")</f>
        <v>ขึ้นของมหาชัย</v>
      </c>
      <c r="T596" s="5">
        <f>IFERROR(__xludf.DUMMYFUNCTION("""COMPUTED_VALUE"""),470.0)</f>
        <v>470</v>
      </c>
      <c r="U596" s="5" t="str">
        <f>IFERROR(__xludf.DUMMYFUNCTION("""COMPUTED_VALUE"""),"Y")</f>
        <v>Y</v>
      </c>
      <c r="V596" s="5">
        <f>IFERROR(__xludf.DUMMYFUNCTION("""COMPUTED_VALUE"""),680.0)</f>
        <v>680</v>
      </c>
      <c r="W596" s="5">
        <f>IFERROR(__xludf.DUMMYFUNCTION("""COMPUTED_VALUE"""),7.0)</f>
        <v>7</v>
      </c>
      <c r="X596" s="5">
        <f>IFERROR(__xludf.DUMMYFUNCTION("""COMPUTED_VALUE"""),2.0)</f>
        <v>2</v>
      </c>
      <c r="Y596" s="5">
        <f>IFERROR(__xludf.DUMMYFUNCTION("""COMPUTED_VALUE"""),7.0)</f>
        <v>7</v>
      </c>
      <c r="Z596" s="5"/>
    </row>
    <row r="597">
      <c r="A597" s="5" t="str">
        <f>IFERROR(__xludf.DUMMYFUNCTION("""COMPUTED_VALUE"""),"หมูบดอนามัย(ks)-แพ็ค-1kg")</f>
        <v>หมูบดอนามัย(ks)-แพ็ค-1kg</v>
      </c>
      <c r="B597" s="5">
        <f>IFERROR(__xludf.DUMMYFUNCTION("""COMPUTED_VALUE"""),10356.0)</f>
        <v>10356</v>
      </c>
      <c r="C597" s="5" t="str">
        <f>IFERROR(__xludf.DUMMYFUNCTION("""COMPUTED_VALUE"""),"หมูบดหมูล้วน (DD) 10 kg /ลัง")</f>
        <v>หมูบดหมูล้วน (DD) 10 kg /ลัง</v>
      </c>
      <c r="D597" s="5"/>
      <c r="E597" s="5"/>
      <c r="F597" s="5" t="str">
        <f>IFERROR(__xludf.DUMMYFUNCTION("""COMPUTED_VALUE"""),"N")</f>
        <v>N</v>
      </c>
      <c r="G597" s="5"/>
      <c r="H597" s="5"/>
      <c r="I597" s="5"/>
      <c r="J597" s="5"/>
      <c r="K597" s="5"/>
      <c r="L597" s="5"/>
      <c r="M597" s="5">
        <f>IFERROR(__xludf.DUMMYFUNCTION("""COMPUTED_VALUE"""),770.0)</f>
        <v>770</v>
      </c>
      <c r="N597" s="5">
        <f>IFERROR(__xludf.DUMMYFUNCTION("""COMPUTED_VALUE"""),10356.0)</f>
        <v>10356</v>
      </c>
      <c r="O597" s="5"/>
      <c r="P597" s="5"/>
      <c r="Q597" s="5" t="str">
        <f>IFERROR(__xludf.DUMMYFUNCTION("""COMPUTED_VALUE"""),"Y")</f>
        <v>Y</v>
      </c>
      <c r="R597" s="5"/>
      <c r="S597" s="5" t="str">
        <f>IFERROR(__xludf.DUMMYFUNCTION("""COMPUTED_VALUE"""),"ขึ้นของมหาชัย")</f>
        <v>ขึ้นของมหาชัย</v>
      </c>
      <c r="T597" s="5">
        <f>IFERROR(__xludf.DUMMYFUNCTION("""COMPUTED_VALUE"""),750.0)</f>
        <v>750</v>
      </c>
      <c r="U597" s="5" t="str">
        <f>IFERROR(__xludf.DUMMYFUNCTION("""COMPUTED_VALUE"""),"N")</f>
        <v>N</v>
      </c>
      <c r="V597" s="5">
        <f>IFERROR(__xludf.DUMMYFUNCTION("""COMPUTED_VALUE"""),840.0)</f>
        <v>840</v>
      </c>
      <c r="W597" s="5">
        <f>IFERROR(__xludf.DUMMYFUNCTION("""COMPUTED_VALUE"""),0.0)</f>
        <v>0</v>
      </c>
      <c r="X597" s="5"/>
      <c r="Y597" s="5"/>
      <c r="Z597" s="5"/>
    </row>
    <row r="598">
      <c r="A598" s="5" t="str">
        <f>IFERROR(__xludf.DUMMYFUNCTION("""COMPUTED_VALUE"""),"(s)-หมูบดอนามัย-1kg")</f>
        <v>(s)-หมูบดอนามัย-1kg</v>
      </c>
      <c r="B598" s="5">
        <f>IFERROR(__xludf.DUMMYFUNCTION("""COMPUTED_VALUE"""),30116.0)</f>
        <v>30116</v>
      </c>
      <c r="C598" s="5" t="str">
        <f>IFERROR(__xludf.DUMMYFUNCTION("""COMPUTED_VALUE"""),"หมูบดอนามัย 1kg")</f>
        <v>หมูบดอนามัย 1kg</v>
      </c>
      <c r="D598" s="5"/>
      <c r="E598" s="5"/>
      <c r="F598" s="5" t="str">
        <f>IFERROR(__xludf.DUMMYFUNCTION("""COMPUTED_VALUE"""),"N")</f>
        <v>N</v>
      </c>
      <c r="G598" s="5"/>
      <c r="H598" s="5"/>
      <c r="I598" s="5"/>
      <c r="J598" s="5"/>
      <c r="K598" s="5"/>
      <c r="L598" s="5"/>
      <c r="M598" s="5"/>
      <c r="N598" s="5"/>
      <c r="O598" s="5">
        <f>IFERROR(__xludf.DUMMYFUNCTION("""COMPUTED_VALUE"""),10414.0)</f>
        <v>10414</v>
      </c>
      <c r="P598" s="5">
        <f>IFERROR(__xludf.DUMMYFUNCTION("""COMPUTED_VALUE"""),0.1)</f>
        <v>0.1</v>
      </c>
      <c r="Q598" s="5" t="str">
        <f>IFERROR(__xludf.DUMMYFUNCTION("""COMPUTED_VALUE"""),"N")</f>
        <v>N</v>
      </c>
      <c r="R598" s="5" t="str">
        <f>IFERROR(__xludf.DUMMYFUNCTION("""COMPUTED_VALUE"""),"N")</f>
        <v>N</v>
      </c>
      <c r="S598" s="5"/>
      <c r="T598" s="5"/>
      <c r="U598" s="5" t="str">
        <f>IFERROR(__xludf.DUMMYFUNCTION("""COMPUTED_VALUE"""),"Y")</f>
        <v>Y</v>
      </c>
      <c r="V598" s="5">
        <f>IFERROR(__xludf.DUMMYFUNCTION("""COMPUTED_VALUE"""),75.0)</f>
        <v>75</v>
      </c>
      <c r="W598" s="5"/>
      <c r="X598" s="5"/>
      <c r="Y598" s="5"/>
      <c r="Z598" s="5"/>
    </row>
    <row r="599">
      <c r="A599" s="5" t="str">
        <f>IFERROR(__xludf.DUMMYFUNCTION("""COMPUTED_VALUE"""),"สมชาย-บาร์คิว-5กก-ถุง-1")</f>
        <v>สมชาย-บาร์คิว-5กก-ถุง-1</v>
      </c>
      <c r="B599" s="5">
        <f>IFERROR(__xludf.DUMMYFUNCTION("""COMPUTED_VALUE"""),10162.0)</f>
        <v>10162</v>
      </c>
      <c r="C599" s="5" t="str">
        <f>IFERROR(__xludf.DUMMYFUNCTION("""COMPUTED_VALUE"""),"หมูบาร์คิว (สมชาย )ถุง 5 กก (80)")</f>
        <v>หมูบาร์คิว (สมชาย )ถุง 5 กก (80)</v>
      </c>
      <c r="D599" s="5" t="str">
        <f>IFERROR(__xludf.DUMMYFUNCTION("""COMPUTED_VALUE"""),"สมชาย")</f>
        <v>สมชาย</v>
      </c>
      <c r="E599" s="5" t="str">
        <f>IFERROR(__xludf.DUMMYFUNCTION("""COMPUTED_VALUE"""),"&lt;p&gt;B&lt;/p&gt;")</f>
        <v>&lt;p&gt;B&lt;/p&gt;</v>
      </c>
      <c r="F599" s="5" t="str">
        <f>IFERROR(__xludf.DUMMYFUNCTION("""COMPUTED_VALUE"""),"N")</f>
        <v>N</v>
      </c>
      <c r="G599" s="5"/>
      <c r="H599" s="5"/>
      <c r="I599" s="5"/>
      <c r="J599" s="5"/>
      <c r="K599" s="5"/>
      <c r="L599" s="5"/>
      <c r="M599" s="5">
        <f>IFERROR(__xludf.DUMMYFUNCTION("""COMPUTED_VALUE"""),350.0)</f>
        <v>350</v>
      </c>
      <c r="N599" s="5">
        <f>IFERROR(__xludf.DUMMYFUNCTION("""COMPUTED_VALUE"""),10162.0)</f>
        <v>10162</v>
      </c>
      <c r="O599" s="5"/>
      <c r="P599" s="5"/>
      <c r="Q599" s="5" t="str">
        <f>IFERROR(__xludf.DUMMYFUNCTION("""COMPUTED_VALUE"""),"Y")</f>
        <v>Y</v>
      </c>
      <c r="R599" s="5"/>
      <c r="S599" s="5" t="str">
        <f>IFERROR(__xludf.DUMMYFUNCTION("""COMPUTED_VALUE"""),"สมชายซีฟู้ดส์")</f>
        <v>สมชายซีฟู้ดส์</v>
      </c>
      <c r="T599" s="5">
        <f>IFERROR(__xludf.DUMMYFUNCTION("""COMPUTED_VALUE"""),350.0)</f>
        <v>350</v>
      </c>
      <c r="U599" s="5" t="str">
        <f>IFERROR(__xludf.DUMMYFUNCTION("""COMPUTED_VALUE"""),"Y")</f>
        <v>Y</v>
      </c>
      <c r="V599" s="5">
        <f>IFERROR(__xludf.DUMMYFUNCTION("""COMPUTED_VALUE"""),400.0)</f>
        <v>400</v>
      </c>
      <c r="W599" s="5">
        <f>IFERROR(__xludf.DUMMYFUNCTION("""COMPUTED_VALUE"""),11.0)</f>
        <v>11</v>
      </c>
      <c r="X599" s="5">
        <f>IFERROR(__xludf.DUMMYFUNCTION("""COMPUTED_VALUE"""),5.0)</f>
        <v>5</v>
      </c>
      <c r="Y599" s="5">
        <f>IFERROR(__xludf.DUMMYFUNCTION("""COMPUTED_VALUE"""),7.0)</f>
        <v>7</v>
      </c>
      <c r="Z599" s="5"/>
    </row>
    <row r="600">
      <c r="A600" s="5" t="str">
        <f>IFERROR(__xludf.DUMMYFUNCTION("""COMPUTED_VALUE"""),"หมูบาร์บิคิว-sc-(พิเศษ)")</f>
        <v>หมูบาร์บิคิว-sc-(พิเศษ)</v>
      </c>
      <c r="B600" s="5">
        <f>IFERROR(__xludf.DUMMYFUNCTION("""COMPUTED_VALUE"""),10477.0)</f>
        <v>10477</v>
      </c>
      <c r="C600" s="5" t="str">
        <f>IFERROR(__xludf.DUMMYFUNCTION("""COMPUTED_VALUE"""),"หมูบาร์บิคิว sc (พิเศษ)78")</f>
        <v>หมูบาร์บิคิว sc (พิเศษ)78</v>
      </c>
      <c r="D600" s="5" t="str">
        <f>IFERROR(__xludf.DUMMYFUNCTION("""COMPUTED_VALUE"""),"**ร้านค้า ราคาพิเศษ")</f>
        <v>**ร้านค้า ราคาพิเศษ</v>
      </c>
      <c r="E600" s="5"/>
      <c r="F600" s="5" t="str">
        <f>IFERROR(__xludf.DUMMYFUNCTION("""COMPUTED_VALUE"""),"N")</f>
        <v>N</v>
      </c>
      <c r="G600" s="5"/>
      <c r="H600" s="5"/>
      <c r="I600" s="5"/>
      <c r="J600" s="5"/>
      <c r="K600" s="5"/>
      <c r="L600" s="5"/>
      <c r="M600" s="5"/>
      <c r="N600" s="5"/>
      <c r="O600" s="5">
        <f>IFERROR(__xludf.DUMMYFUNCTION("""COMPUTED_VALUE"""),10162.0)</f>
        <v>10162</v>
      </c>
      <c r="P600" s="5">
        <f>IFERROR(__xludf.DUMMYFUNCTION("""COMPUTED_VALUE"""),1.0)</f>
        <v>1</v>
      </c>
      <c r="Q600" s="5" t="str">
        <f>IFERROR(__xludf.DUMMYFUNCTION("""COMPUTED_VALUE"""),"N")</f>
        <v>N</v>
      </c>
      <c r="R600" s="5" t="str">
        <f>IFERROR(__xludf.DUMMYFUNCTION("""COMPUTED_VALUE"""),"N")</f>
        <v>N</v>
      </c>
      <c r="S600" s="5"/>
      <c r="T600" s="5"/>
      <c r="U600" s="5" t="str">
        <f>IFERROR(__xludf.DUMMYFUNCTION("""COMPUTED_VALUE"""),"Y")</f>
        <v>Y</v>
      </c>
      <c r="V600" s="5">
        <f>IFERROR(__xludf.DUMMYFUNCTION("""COMPUTED_VALUE"""),390.0)</f>
        <v>390</v>
      </c>
      <c r="W600" s="5"/>
      <c r="X600" s="5"/>
      <c r="Y600" s="5"/>
      <c r="Z600" s="5"/>
    </row>
    <row r="601">
      <c r="A601" s="5" t="str">
        <f>IFERROR(__xludf.DUMMYFUNCTION("""COMPUTED_VALUE"""),"หมูป่า-แพ็ค-1-กก")</f>
        <v>หมูป่า-แพ็ค-1-กก</v>
      </c>
      <c r="B601" s="5">
        <f>IFERROR(__xludf.DUMMYFUNCTION("""COMPUTED_VALUE"""),11191.0)</f>
        <v>11191</v>
      </c>
      <c r="C601" s="5" t="str">
        <f>IFERROR(__xludf.DUMMYFUNCTION("""COMPUTED_VALUE"""),"หมูป่า แพ็ค 1 กก")</f>
        <v>หมูป่า แพ็ค 1 กก</v>
      </c>
      <c r="D601" s="5" t="str">
        <f>IFERROR(__xludf.DUMMYFUNCTION("""COMPUTED_VALUE"""),"**ของหิ้ว มหาชัย")</f>
        <v>**ของหิ้ว มหาชัย</v>
      </c>
      <c r="E601" s="5" t="str">
        <f>IFERROR(__xludf.DUMMYFUNCTION("""COMPUTED_VALUE"""),"1")</f>
        <v>1</v>
      </c>
      <c r="F601" s="5" t="str">
        <f>IFERROR(__xludf.DUMMYFUNCTION("""COMPUTED_VALUE"""),"N")</f>
        <v>N</v>
      </c>
      <c r="G601" s="5"/>
      <c r="H601" s="5"/>
      <c r="I601" s="5"/>
      <c r="J601" s="5"/>
      <c r="K601" s="5"/>
      <c r="L601" s="5"/>
      <c r="M601" s="5">
        <f>IFERROR(__xludf.DUMMYFUNCTION("""COMPUTED_VALUE"""),138.05)</f>
        <v>138.05</v>
      </c>
      <c r="N601" s="5">
        <f>IFERROR(__xludf.DUMMYFUNCTION("""COMPUTED_VALUE"""),11191.0)</f>
        <v>11191</v>
      </c>
      <c r="O601" s="5"/>
      <c r="P601" s="5"/>
      <c r="Q601" s="5" t="str">
        <f>IFERROR(__xludf.DUMMYFUNCTION("""COMPUTED_VALUE"""),"Y")</f>
        <v>Y</v>
      </c>
      <c r="R601" s="5"/>
      <c r="S601" s="5" t="str">
        <f>IFERROR(__xludf.DUMMYFUNCTION("""COMPUTED_VALUE"""),"ขึ้นของมหาชัย")</f>
        <v>ขึ้นของมหาชัย</v>
      </c>
      <c r="T601" s="5">
        <f>IFERROR(__xludf.DUMMYFUNCTION("""COMPUTED_VALUE"""),142.0)</f>
        <v>142</v>
      </c>
      <c r="U601" s="5" t="str">
        <f>IFERROR(__xludf.DUMMYFUNCTION("""COMPUTED_VALUE"""),"Y")</f>
        <v>Y</v>
      </c>
      <c r="V601" s="5">
        <f>IFERROR(__xludf.DUMMYFUNCTION("""COMPUTED_VALUE"""),170.0)</f>
        <v>170</v>
      </c>
      <c r="W601" s="5">
        <f>IFERROR(__xludf.DUMMYFUNCTION("""COMPUTED_VALUE"""),18.0)</f>
        <v>18</v>
      </c>
      <c r="X601" s="5">
        <f>IFERROR(__xludf.DUMMYFUNCTION("""COMPUTED_VALUE"""),10.0)</f>
        <v>10</v>
      </c>
      <c r="Y601" s="5">
        <f>IFERROR(__xludf.DUMMYFUNCTION("""COMPUTED_VALUE"""),60.0)</f>
        <v>60</v>
      </c>
      <c r="Z601" s="5"/>
    </row>
    <row r="602">
      <c r="A602" s="5" t="str">
        <f>IFERROR(__xludf.DUMMYFUNCTION("""COMPUTED_VALUE"""),"หมูปิ้ง5บาท-แพ็ค-52ไม้(เล็ก)")</f>
        <v>หมูปิ้ง5บาท-แพ็ค-52ไม้(เล็ก)</v>
      </c>
      <c r="B602" s="5">
        <f>IFERROR(__xludf.DUMMYFUNCTION("""COMPUTED_VALUE"""),11037.0)</f>
        <v>11037</v>
      </c>
      <c r="C602" s="5" t="str">
        <f>IFERROR(__xludf.DUMMYFUNCTION("""COMPUTED_VALUE"""),"หมูปิ้ง 5บาท แพ็ค 110ไม้ (เล็ก)")</f>
        <v>หมูปิ้ง 5บาท แพ็ค 110ไม้ (เล็ก)</v>
      </c>
      <c r="D602" s="5" t="str">
        <f>IFERROR(__xludf.DUMMYFUNCTION("""COMPUTED_VALUE"""),"**ของหิ้ว ร้อยเอ็ด")</f>
        <v>**ของหิ้ว ร้อยเอ็ด</v>
      </c>
      <c r="E602" s="5" t="str">
        <f>IFERROR(__xludf.DUMMYFUNCTION("""COMPUTED_VALUE"""),"&lt;p&gt;X&lt;/p&gt;")</f>
        <v>&lt;p&gt;X&lt;/p&gt;</v>
      </c>
      <c r="F602" s="5" t="str">
        <f>IFERROR(__xludf.DUMMYFUNCTION("""COMPUTED_VALUE"""),"N")</f>
        <v>N</v>
      </c>
      <c r="G602" s="5"/>
      <c r="H602" s="5"/>
      <c r="I602" s="5"/>
      <c r="J602" s="5"/>
      <c r="K602" s="5"/>
      <c r="L602" s="5"/>
      <c r="M602" s="5">
        <f>IFERROR(__xludf.DUMMYFUNCTION("""COMPUTED_VALUE"""),265.0)</f>
        <v>265</v>
      </c>
      <c r="N602" s="5">
        <f>IFERROR(__xludf.DUMMYFUNCTION("""COMPUTED_VALUE"""),11037.0)</f>
        <v>11037</v>
      </c>
      <c r="O602" s="5"/>
      <c r="P602" s="5"/>
      <c r="Q602" s="5" t="str">
        <f>IFERROR(__xludf.DUMMYFUNCTION("""COMPUTED_VALUE"""),"Y")</f>
        <v>Y</v>
      </c>
      <c r="R602" s="5"/>
      <c r="S602" s="5" t="str">
        <f>IFERROR(__xludf.DUMMYFUNCTION("""COMPUTED_VALUE"""),"หมูอร่อย")</f>
        <v>หมูอร่อย</v>
      </c>
      <c r="T602" s="5">
        <f>IFERROR(__xludf.DUMMYFUNCTION("""COMPUTED_VALUE"""),265.0)</f>
        <v>265</v>
      </c>
      <c r="U602" s="5" t="str">
        <f>IFERROR(__xludf.DUMMYFUNCTION("""COMPUTED_VALUE"""),"Y")</f>
        <v>Y</v>
      </c>
      <c r="V602" s="5">
        <f>IFERROR(__xludf.DUMMYFUNCTION("""COMPUTED_VALUE"""),295.0)</f>
        <v>295</v>
      </c>
      <c r="W602" s="5">
        <f>IFERROR(__xludf.DUMMYFUNCTION("""COMPUTED_VALUE"""),10.0)</f>
        <v>10</v>
      </c>
      <c r="X602" s="5"/>
      <c r="Y602" s="5"/>
      <c r="Z602" s="5"/>
    </row>
    <row r="603">
      <c r="A603" s="5" t="str">
        <f>IFERROR(__xludf.DUMMYFUNCTION("""COMPUTED_VALUE"""),"หมูหมักงา-บุญบุญ")</f>
        <v>หมูหมักงา-บุญบุญ</v>
      </c>
      <c r="B603" s="5">
        <f>IFERROR(__xludf.DUMMYFUNCTION("""COMPUTED_VALUE"""),10883.0)</f>
        <v>10883</v>
      </c>
      <c r="C603" s="5" t="str">
        <f>IFERROR(__xludf.DUMMYFUNCTION("""COMPUTED_VALUE"""),"หมูพริกไท Boon (แพ็ค 1 กก)")</f>
        <v>หมูพริกไท Boon (แพ็ค 1 กก)</v>
      </c>
      <c r="D603" s="5"/>
      <c r="E603" s="5" t="str">
        <f>IFERROR(__xludf.DUMMYFUNCTION("""COMPUTED_VALUE"""),"X")</f>
        <v>X</v>
      </c>
      <c r="F603" s="5" t="str">
        <f>IFERROR(__xludf.DUMMYFUNCTION("""COMPUTED_VALUE"""),"N")</f>
        <v>N</v>
      </c>
      <c r="G603" s="5"/>
      <c r="H603" s="5"/>
      <c r="I603" s="5"/>
      <c r="J603" s="5"/>
      <c r="K603" s="5"/>
      <c r="L603" s="5"/>
      <c r="M603" s="5">
        <f>IFERROR(__xludf.DUMMYFUNCTION("""COMPUTED_VALUE"""),62.0)</f>
        <v>62</v>
      </c>
      <c r="N603" s="5">
        <f>IFERROR(__xludf.DUMMYFUNCTION("""COMPUTED_VALUE"""),10883.0)</f>
        <v>10883</v>
      </c>
      <c r="O603" s="5"/>
      <c r="P603" s="5"/>
      <c r="Q603" s="5" t="str">
        <f>IFERROR(__xludf.DUMMYFUNCTION("""COMPUTED_VALUE"""),"N")</f>
        <v>N</v>
      </c>
      <c r="R603" s="5"/>
      <c r="S603" s="5"/>
      <c r="T603" s="5"/>
      <c r="U603" s="5" t="str">
        <f>IFERROR(__xludf.DUMMYFUNCTION("""COMPUTED_VALUE"""),"Y")</f>
        <v>Y</v>
      </c>
      <c r="V603" s="5">
        <f>IFERROR(__xludf.DUMMYFUNCTION("""COMPUTED_VALUE"""),75.0)</f>
        <v>75</v>
      </c>
      <c r="W603" s="5"/>
      <c r="X603" s="5"/>
      <c r="Y603" s="5"/>
      <c r="Z603" s="5"/>
    </row>
    <row r="604">
      <c r="A604" s="5" t="str">
        <f>IFERROR(__xludf.DUMMYFUNCTION("""COMPUTED_VALUE"""),"สมชาย-พริกไทดำ-5กก-ถุง-1")</f>
        <v>สมชาย-พริกไทดำ-5กก-ถุง-1</v>
      </c>
      <c r="B604" s="5">
        <f>IFERROR(__xludf.DUMMYFUNCTION("""COMPUTED_VALUE"""),10163.0)</f>
        <v>10163</v>
      </c>
      <c r="C604" s="5" t="str">
        <f>IFERROR(__xludf.DUMMYFUNCTION("""COMPUTED_VALUE"""),"หมูพริกไทดํา (สมชาย)  5กก (80)")</f>
        <v>หมูพริกไทดํา (สมชาย)  5กก (80)</v>
      </c>
      <c r="D604" s="5" t="str">
        <f>IFERROR(__xludf.DUMMYFUNCTION("""COMPUTED_VALUE"""),"สมชาย")</f>
        <v>สมชาย</v>
      </c>
      <c r="E604" s="5" t="str">
        <f>IFERROR(__xludf.DUMMYFUNCTION("""COMPUTED_VALUE"""),"&lt;p&gt;A&lt;/p&gt;")</f>
        <v>&lt;p&gt;A&lt;/p&gt;</v>
      </c>
      <c r="F604" s="5" t="str">
        <f>IFERROR(__xludf.DUMMYFUNCTION("""COMPUTED_VALUE"""),"N")</f>
        <v>N</v>
      </c>
      <c r="G604" s="5"/>
      <c r="H604" s="5"/>
      <c r="I604" s="5"/>
      <c r="J604" s="5"/>
      <c r="K604" s="5"/>
      <c r="L604" s="5"/>
      <c r="M604" s="5">
        <f>IFERROR(__xludf.DUMMYFUNCTION("""COMPUTED_VALUE"""),350.0)</f>
        <v>350</v>
      </c>
      <c r="N604" s="5">
        <f>IFERROR(__xludf.DUMMYFUNCTION("""COMPUTED_VALUE"""),10163.0)</f>
        <v>10163</v>
      </c>
      <c r="O604" s="5"/>
      <c r="P604" s="5"/>
      <c r="Q604" s="5" t="str">
        <f>IFERROR(__xludf.DUMMYFUNCTION("""COMPUTED_VALUE"""),"Y")</f>
        <v>Y</v>
      </c>
      <c r="R604" s="5"/>
      <c r="S604" s="5" t="str">
        <f>IFERROR(__xludf.DUMMYFUNCTION("""COMPUTED_VALUE"""),"สมชายซีฟู้ดส์")</f>
        <v>สมชายซีฟู้ดส์</v>
      </c>
      <c r="T604" s="5">
        <f>IFERROR(__xludf.DUMMYFUNCTION("""COMPUTED_VALUE"""),350.0)</f>
        <v>350</v>
      </c>
      <c r="U604" s="5" t="str">
        <f>IFERROR(__xludf.DUMMYFUNCTION("""COMPUTED_VALUE"""),"Y")</f>
        <v>Y</v>
      </c>
      <c r="V604" s="5">
        <f>IFERROR(__xludf.DUMMYFUNCTION("""COMPUTED_VALUE"""),400.0)</f>
        <v>400</v>
      </c>
      <c r="W604" s="5">
        <f>IFERROR(__xludf.DUMMYFUNCTION("""COMPUTED_VALUE"""),43.0)</f>
        <v>43</v>
      </c>
      <c r="X604" s="5">
        <f>IFERROR(__xludf.DUMMYFUNCTION("""COMPUTED_VALUE"""),13.0)</f>
        <v>13</v>
      </c>
      <c r="Y604" s="5">
        <f>IFERROR(__xludf.DUMMYFUNCTION("""COMPUTED_VALUE"""),19.0)</f>
        <v>19</v>
      </c>
      <c r="Z604" s="5"/>
    </row>
    <row r="605">
      <c r="A605" s="5" t="str">
        <f>IFERROR(__xludf.DUMMYFUNCTION("""COMPUTED_VALUE"""),"หมูพริกไทดำ-sc-r100")</f>
        <v>หมูพริกไทดำ-sc-r100</v>
      </c>
      <c r="B605" s="5">
        <f>IFERROR(__xludf.DUMMYFUNCTION("""COMPUTED_VALUE"""),10466.0)</f>
        <v>10466</v>
      </c>
      <c r="C605" s="5" t="str">
        <f>IFERROR(__xludf.DUMMYFUNCTION("""COMPUTED_VALUE"""),"หมูพริกไทดํา sc (พิเศษ)78")</f>
        <v>หมูพริกไทดํา sc (พิเศษ)78</v>
      </c>
      <c r="D605" s="5" t="str">
        <f>IFERROR(__xludf.DUMMYFUNCTION("""COMPUTED_VALUE"""),"**ร้านค้า ราคาพิเศษ")</f>
        <v>**ร้านค้า ราคาพิเศษ</v>
      </c>
      <c r="E605" s="5"/>
      <c r="F605" s="5" t="str">
        <f>IFERROR(__xludf.DUMMYFUNCTION("""COMPUTED_VALUE"""),"N")</f>
        <v>N</v>
      </c>
      <c r="G605" s="5"/>
      <c r="H605" s="5"/>
      <c r="I605" s="5"/>
      <c r="J605" s="5"/>
      <c r="K605" s="5"/>
      <c r="L605" s="5"/>
      <c r="M605" s="5"/>
      <c r="N605" s="5"/>
      <c r="O605" s="5">
        <f>IFERROR(__xludf.DUMMYFUNCTION("""COMPUTED_VALUE"""),10163.0)</f>
        <v>10163</v>
      </c>
      <c r="P605" s="5">
        <f>IFERROR(__xludf.DUMMYFUNCTION("""COMPUTED_VALUE"""),1.0)</f>
        <v>1</v>
      </c>
      <c r="Q605" s="5" t="str">
        <f>IFERROR(__xludf.DUMMYFUNCTION("""COMPUTED_VALUE"""),"N")</f>
        <v>N</v>
      </c>
      <c r="R605" s="5" t="str">
        <f>IFERROR(__xludf.DUMMYFUNCTION("""COMPUTED_VALUE"""),"N")</f>
        <v>N</v>
      </c>
      <c r="S605" s="5"/>
      <c r="T605" s="5"/>
      <c r="U605" s="5" t="str">
        <f>IFERROR(__xludf.DUMMYFUNCTION("""COMPUTED_VALUE"""),"Y")</f>
        <v>Y</v>
      </c>
      <c r="V605" s="5">
        <f>IFERROR(__xludf.DUMMYFUNCTION("""COMPUTED_VALUE"""),390.0)</f>
        <v>390</v>
      </c>
      <c r="W605" s="5"/>
      <c r="X605" s="5"/>
      <c r="Y605" s="5"/>
      <c r="Z605" s="5"/>
    </row>
    <row r="606">
      <c r="A606" s="5" t="str">
        <f>IFERROR(__xludf.DUMMYFUNCTION("""COMPUTED_VALUE"""),"หมูพริกไทย-(สมชาย)-r100-75")</f>
        <v>หมูพริกไทย-(สมชาย)-r100-75</v>
      </c>
      <c r="B606" s="5">
        <f>IFERROR(__xludf.DUMMYFUNCTION("""COMPUTED_VALUE"""),10725.0)</f>
        <v>10725</v>
      </c>
      <c r="C606" s="5" t="str">
        <f>IFERROR(__xludf.DUMMYFUNCTION("""COMPUTED_VALUE"""),"หมูพริกไทย (S.C) R100-75")</f>
        <v>หมูพริกไทย (S.C) R100-75</v>
      </c>
      <c r="D606" s="5" t="str">
        <f>IFERROR(__xludf.DUMMYFUNCTION("""COMPUTED_VALUE"""),"**ร้านค้า ราคาพิเศษ")</f>
        <v>**ร้านค้า ราคาพิเศษ</v>
      </c>
      <c r="E606" s="5"/>
      <c r="F606" s="5" t="str">
        <f>IFERROR(__xludf.DUMMYFUNCTION("""COMPUTED_VALUE"""),"N")</f>
        <v>N</v>
      </c>
      <c r="G606" s="5"/>
      <c r="H606" s="5"/>
      <c r="I606" s="5"/>
      <c r="J606" s="5"/>
      <c r="K606" s="5"/>
      <c r="L606" s="5"/>
      <c r="M606" s="5"/>
      <c r="N606" s="5"/>
      <c r="O606" s="5">
        <f>IFERROR(__xludf.DUMMYFUNCTION("""COMPUTED_VALUE"""),10163.0)</f>
        <v>10163</v>
      </c>
      <c r="P606" s="5">
        <f>IFERROR(__xludf.DUMMYFUNCTION("""COMPUTED_VALUE"""),1.0)</f>
        <v>1</v>
      </c>
      <c r="Q606" s="5" t="str">
        <f>IFERROR(__xludf.DUMMYFUNCTION("""COMPUTED_VALUE"""),"N")</f>
        <v>N</v>
      </c>
      <c r="R606" s="5" t="str">
        <f>IFERROR(__xludf.DUMMYFUNCTION("""COMPUTED_VALUE"""),"N")</f>
        <v>N</v>
      </c>
      <c r="S606" s="5"/>
      <c r="T606" s="5"/>
      <c r="U606" s="5" t="str">
        <f>IFERROR(__xludf.DUMMYFUNCTION("""COMPUTED_VALUE"""),"Y")</f>
        <v>Y</v>
      </c>
      <c r="V606" s="5">
        <f>IFERROR(__xludf.DUMMYFUNCTION("""COMPUTED_VALUE"""),375.0)</f>
        <v>375</v>
      </c>
      <c r="W606" s="5"/>
      <c r="X606" s="5"/>
      <c r="Y606" s="5"/>
      <c r="Z606" s="5"/>
    </row>
    <row r="607">
      <c r="A607" s="5" t="str">
        <f>IFERROR(__xludf.DUMMYFUNCTION("""COMPUTED_VALUE"""),"หมูงา-ถุงใส-(r100)-70")</f>
        <v>หมูงา-ถุงใส-(r100)-70</v>
      </c>
      <c r="B607" s="5">
        <f>IFERROR(__xludf.DUMMYFUNCTION("""COMPUTED_VALUE"""),10407.0)</f>
        <v>10407</v>
      </c>
      <c r="C607" s="5" t="str">
        <f>IFERROR(__xludf.DUMMYFUNCTION("""COMPUTED_VALUE"""),"หมูหมัก(ถุงใส) งา  (R100)- 73")</f>
        <v>หมูหมัก(ถุงใส) งา  (R100)- 73</v>
      </c>
      <c r="D607" s="5" t="str">
        <f>IFERROR(__xludf.DUMMYFUNCTION("""COMPUTED_VALUE"""),"**ร้านค้า ราคาพิเศษ")</f>
        <v>**ร้านค้า ราคาพิเศษ</v>
      </c>
      <c r="E607" s="5"/>
      <c r="F607" s="5" t="str">
        <f>IFERROR(__xludf.DUMMYFUNCTION("""COMPUTED_VALUE"""),"N")</f>
        <v>N</v>
      </c>
      <c r="G607" s="5"/>
      <c r="H607" s="5"/>
      <c r="I607" s="5"/>
      <c r="J607" s="5"/>
      <c r="K607" s="5"/>
      <c r="L607" s="5"/>
      <c r="M607" s="5"/>
      <c r="N607" s="5"/>
      <c r="O607" s="5">
        <f>IFERROR(__xludf.DUMMYFUNCTION("""COMPUTED_VALUE"""),10523.0)</f>
        <v>10523</v>
      </c>
      <c r="P607" s="5">
        <f>IFERROR(__xludf.DUMMYFUNCTION("""COMPUTED_VALUE"""),1.0)</f>
        <v>1</v>
      </c>
      <c r="Q607" s="5" t="str">
        <f>IFERROR(__xludf.DUMMYFUNCTION("""COMPUTED_VALUE"""),"N")</f>
        <v>N</v>
      </c>
      <c r="R607" s="5" t="str">
        <f>IFERROR(__xludf.DUMMYFUNCTION("""COMPUTED_VALUE"""),"N")</f>
        <v>N</v>
      </c>
      <c r="S607" s="5"/>
      <c r="T607" s="5"/>
      <c r="U607" s="5" t="str">
        <f>IFERROR(__xludf.DUMMYFUNCTION("""COMPUTED_VALUE"""),"Y")</f>
        <v>Y</v>
      </c>
      <c r="V607" s="5">
        <f>IFERROR(__xludf.DUMMYFUNCTION("""COMPUTED_VALUE"""),365.0)</f>
        <v>365</v>
      </c>
      <c r="W607" s="5"/>
      <c r="X607" s="5"/>
      <c r="Y607" s="5"/>
      <c r="Z607" s="5"/>
    </row>
    <row r="608">
      <c r="A608" s="5" t="str">
        <f>IFERROR(__xludf.DUMMYFUNCTION("""COMPUTED_VALUE"""),"งา-ทองสุข")</f>
        <v>งา-ทองสุข</v>
      </c>
      <c r="B608" s="5">
        <f>IFERROR(__xludf.DUMMYFUNCTION("""COMPUTED_VALUE"""),10523.0)</f>
        <v>10523</v>
      </c>
      <c r="C608" s="5" t="str">
        <f>IFERROR(__xludf.DUMMYFUNCTION("""COMPUTED_VALUE"""),"หมูหมัก(ถุงใส) งา -75")</f>
        <v>หมูหมัก(ถุงใส) งา -75</v>
      </c>
      <c r="D608" s="5" t="str">
        <f>IFERROR(__xludf.DUMMYFUNCTION("""COMPUTED_VALUE"""),"กานพู")</f>
        <v>กานพู</v>
      </c>
      <c r="E608" s="5" t="str">
        <f>IFERROR(__xludf.DUMMYFUNCTION("""COMPUTED_VALUE"""),"&lt;p&gt;B&lt;/p&gt;")</f>
        <v>&lt;p&gt;B&lt;/p&gt;</v>
      </c>
      <c r="F608" s="5" t="str">
        <f>IFERROR(__xludf.DUMMYFUNCTION("""COMPUTED_VALUE"""),"N")</f>
        <v>N</v>
      </c>
      <c r="G608" s="5"/>
      <c r="H608" s="5"/>
      <c r="I608" s="5"/>
      <c r="J608" s="5"/>
      <c r="K608" s="5"/>
      <c r="L608" s="5"/>
      <c r="M608" s="5">
        <f>IFERROR(__xludf.DUMMYFUNCTION("""COMPUTED_VALUE"""),325.43)</f>
        <v>325.43</v>
      </c>
      <c r="N608" s="5"/>
      <c r="O608" s="5"/>
      <c r="P608" s="5"/>
      <c r="Q608" s="5" t="str">
        <f>IFERROR(__xludf.DUMMYFUNCTION("""COMPUTED_VALUE"""),"Y")</f>
        <v>Y</v>
      </c>
      <c r="R608" s="5"/>
      <c r="S608" s="5" t="str">
        <f>IFERROR(__xludf.DUMMYFUNCTION("""COMPUTED_VALUE"""),"หจก กานพลู ซีฟู้ดส์")</f>
        <v>หจก กานพลู ซีฟู้ดส์</v>
      </c>
      <c r="T608" s="5">
        <f>IFERROR(__xludf.DUMMYFUNCTION("""COMPUTED_VALUE"""),325.0)</f>
        <v>325</v>
      </c>
      <c r="U608" s="5" t="str">
        <f>IFERROR(__xludf.DUMMYFUNCTION("""COMPUTED_VALUE"""),"Y")</f>
        <v>Y</v>
      </c>
      <c r="V608" s="5">
        <f>IFERROR(__xludf.DUMMYFUNCTION("""COMPUTED_VALUE"""),375.0)</f>
        <v>375</v>
      </c>
      <c r="W608" s="5">
        <f>IFERROR(__xludf.DUMMYFUNCTION("""COMPUTED_VALUE"""),8.0)</f>
        <v>8</v>
      </c>
      <c r="X608" s="5">
        <f>IFERROR(__xludf.DUMMYFUNCTION("""COMPUTED_VALUE"""),7.0)</f>
        <v>7</v>
      </c>
      <c r="Y608" s="5">
        <f>IFERROR(__xludf.DUMMYFUNCTION("""COMPUTED_VALUE"""),12.0)</f>
        <v>12</v>
      </c>
      <c r="Z608" s="5"/>
    </row>
    <row r="609">
      <c r="A609" s="5" t="str">
        <f>IFERROR(__xludf.DUMMYFUNCTION("""COMPUTED_VALUE"""),"หมูน้ำผึ้ง-ถุงใส-(r100)-70")</f>
        <v>หมูน้ำผึ้ง-ถุงใส-(r100)-70</v>
      </c>
      <c r="B609" s="5">
        <f>IFERROR(__xludf.DUMMYFUNCTION("""COMPUTED_VALUE"""),10378.0)</f>
        <v>10378</v>
      </c>
      <c r="C609" s="5" t="str">
        <f>IFERROR(__xludf.DUMMYFUNCTION("""COMPUTED_VALUE"""),"หมูหมัก(ถุงใส) น้ำผึ้ง  (R100)- 73")</f>
        <v>หมูหมัก(ถุงใส) น้ำผึ้ง  (R100)- 73</v>
      </c>
      <c r="D609" s="5" t="str">
        <f>IFERROR(__xludf.DUMMYFUNCTION("""COMPUTED_VALUE"""),"**ร้านค้า ราคาพิเศษ")</f>
        <v>**ร้านค้า ราคาพิเศษ</v>
      </c>
      <c r="E609" s="5"/>
      <c r="F609" s="5" t="str">
        <f>IFERROR(__xludf.DUMMYFUNCTION("""COMPUTED_VALUE"""),"N")</f>
        <v>N</v>
      </c>
      <c r="G609" s="5"/>
      <c r="H609" s="5"/>
      <c r="I609" s="5"/>
      <c r="J609" s="5"/>
      <c r="K609" s="5"/>
      <c r="L609" s="5"/>
      <c r="M609" s="5"/>
      <c r="N609" s="5"/>
      <c r="O609" s="5">
        <f>IFERROR(__xludf.DUMMYFUNCTION("""COMPUTED_VALUE"""),10531.0)</f>
        <v>10531</v>
      </c>
      <c r="P609" s="5">
        <f>IFERROR(__xludf.DUMMYFUNCTION("""COMPUTED_VALUE"""),1.0)</f>
        <v>1</v>
      </c>
      <c r="Q609" s="5" t="str">
        <f>IFERROR(__xludf.DUMMYFUNCTION("""COMPUTED_VALUE"""),"N")</f>
        <v>N</v>
      </c>
      <c r="R609" s="5" t="str">
        <f>IFERROR(__xludf.DUMMYFUNCTION("""COMPUTED_VALUE"""),"N")</f>
        <v>N</v>
      </c>
      <c r="S609" s="5"/>
      <c r="T609" s="5"/>
      <c r="U609" s="5" t="str">
        <f>IFERROR(__xludf.DUMMYFUNCTION("""COMPUTED_VALUE"""),"Y")</f>
        <v>Y</v>
      </c>
      <c r="V609" s="5">
        <f>IFERROR(__xludf.DUMMYFUNCTION("""COMPUTED_VALUE"""),365.0)</f>
        <v>365</v>
      </c>
      <c r="W609" s="5"/>
      <c r="X609" s="5"/>
      <c r="Y609" s="5"/>
      <c r="Z609" s="5"/>
    </row>
    <row r="610">
      <c r="A610" s="5" t="str">
        <f>IFERROR(__xludf.DUMMYFUNCTION("""COMPUTED_VALUE"""),"น้ำผึ้ง-ทองสุข")</f>
        <v>น้ำผึ้ง-ทองสุข</v>
      </c>
      <c r="B610" s="5">
        <f>IFERROR(__xludf.DUMMYFUNCTION("""COMPUTED_VALUE"""),10531.0)</f>
        <v>10531</v>
      </c>
      <c r="C610" s="5" t="str">
        <f>IFERROR(__xludf.DUMMYFUNCTION("""COMPUTED_VALUE"""),"หมูหมัก(ถุงใส) น้ำผึ้ง -75")</f>
        <v>หมูหมัก(ถุงใส) น้ำผึ้ง -75</v>
      </c>
      <c r="D610" s="5" t="str">
        <f>IFERROR(__xludf.DUMMYFUNCTION("""COMPUTED_VALUE"""),"กานพู")</f>
        <v>กานพู</v>
      </c>
      <c r="E610" s="5" t="str">
        <f>IFERROR(__xludf.DUMMYFUNCTION("""COMPUTED_VALUE"""),"&lt;p&gt;B&lt;/p&gt;")</f>
        <v>&lt;p&gt;B&lt;/p&gt;</v>
      </c>
      <c r="F610" s="5" t="str">
        <f>IFERROR(__xludf.DUMMYFUNCTION("""COMPUTED_VALUE"""),"N")</f>
        <v>N</v>
      </c>
      <c r="G610" s="5"/>
      <c r="H610" s="5"/>
      <c r="I610" s="5"/>
      <c r="J610" s="5"/>
      <c r="K610" s="5"/>
      <c r="L610" s="5"/>
      <c r="M610" s="5">
        <f>IFERROR(__xludf.DUMMYFUNCTION("""COMPUTED_VALUE"""),325.0)</f>
        <v>325</v>
      </c>
      <c r="N610" s="5"/>
      <c r="O610" s="5"/>
      <c r="P610" s="5"/>
      <c r="Q610" s="5" t="str">
        <f>IFERROR(__xludf.DUMMYFUNCTION("""COMPUTED_VALUE"""),"Y")</f>
        <v>Y</v>
      </c>
      <c r="R610" s="5"/>
      <c r="S610" s="5" t="str">
        <f>IFERROR(__xludf.DUMMYFUNCTION("""COMPUTED_VALUE"""),"หจก กานพลู ซีฟู้ดส์")</f>
        <v>หจก กานพลู ซีฟู้ดส์</v>
      </c>
      <c r="T610" s="5">
        <f>IFERROR(__xludf.DUMMYFUNCTION("""COMPUTED_VALUE"""),325.0)</f>
        <v>325</v>
      </c>
      <c r="U610" s="5" t="str">
        <f>IFERROR(__xludf.DUMMYFUNCTION("""COMPUTED_VALUE"""),"Y")</f>
        <v>Y</v>
      </c>
      <c r="V610" s="5">
        <f>IFERROR(__xludf.DUMMYFUNCTION("""COMPUTED_VALUE"""),375.0)</f>
        <v>375</v>
      </c>
      <c r="W610" s="5">
        <f>IFERROR(__xludf.DUMMYFUNCTION("""COMPUTED_VALUE"""),5.0)</f>
        <v>5</v>
      </c>
      <c r="X610" s="5">
        <f>IFERROR(__xludf.DUMMYFUNCTION("""COMPUTED_VALUE"""),6.0)</f>
        <v>6</v>
      </c>
      <c r="Y610" s="5">
        <f>IFERROR(__xludf.DUMMYFUNCTION("""COMPUTED_VALUE"""),10.0)</f>
        <v>10</v>
      </c>
      <c r="Z610" s="5"/>
    </row>
    <row r="611">
      <c r="A611" s="5" t="str">
        <f>IFERROR(__xludf.DUMMYFUNCTION("""COMPUTED_VALUE"""),"นุ่ม-ทองสุข")</f>
        <v>นุ่ม-ทองสุข</v>
      </c>
      <c r="B611" s="5">
        <f>IFERROR(__xludf.DUMMYFUNCTION("""COMPUTED_VALUE"""),10514.0)</f>
        <v>10514</v>
      </c>
      <c r="C611" s="5" t="str">
        <f>IFERROR(__xludf.DUMMYFUNCTION("""COMPUTED_VALUE"""),"หมูหมัก(ถุงใส) นุ่ม  -75")</f>
        <v>หมูหมัก(ถุงใส) นุ่ม  -75</v>
      </c>
      <c r="D611" s="5" t="str">
        <f>IFERROR(__xludf.DUMMYFUNCTION("""COMPUTED_VALUE"""),"กานพู")</f>
        <v>กานพู</v>
      </c>
      <c r="E611" s="5" t="str">
        <f>IFERROR(__xludf.DUMMYFUNCTION("""COMPUTED_VALUE"""),"&lt;p&gt;A&lt;/p&gt;")</f>
        <v>&lt;p&gt;A&lt;/p&gt;</v>
      </c>
      <c r="F611" s="5" t="str">
        <f>IFERROR(__xludf.DUMMYFUNCTION("""COMPUTED_VALUE"""),"N")</f>
        <v>N</v>
      </c>
      <c r="G611" s="5"/>
      <c r="H611" s="5"/>
      <c r="I611" s="5"/>
      <c r="J611" s="5"/>
      <c r="K611" s="5"/>
      <c r="L611" s="5"/>
      <c r="M611" s="5">
        <f>IFERROR(__xludf.DUMMYFUNCTION("""COMPUTED_VALUE"""),325.14)</f>
        <v>325.14</v>
      </c>
      <c r="N611" s="5"/>
      <c r="O611" s="5"/>
      <c r="P611" s="5"/>
      <c r="Q611" s="5" t="str">
        <f>IFERROR(__xludf.DUMMYFUNCTION("""COMPUTED_VALUE"""),"Y")</f>
        <v>Y</v>
      </c>
      <c r="R611" s="5"/>
      <c r="S611" s="5" t="str">
        <f>IFERROR(__xludf.DUMMYFUNCTION("""COMPUTED_VALUE"""),"หจก กานพลู ซีฟู้ดส์")</f>
        <v>หจก กานพลู ซีฟู้ดส์</v>
      </c>
      <c r="T611" s="5">
        <f>IFERROR(__xludf.DUMMYFUNCTION("""COMPUTED_VALUE"""),325.0)</f>
        <v>325</v>
      </c>
      <c r="U611" s="5" t="str">
        <f>IFERROR(__xludf.DUMMYFUNCTION("""COMPUTED_VALUE"""),"Y")</f>
        <v>Y</v>
      </c>
      <c r="V611" s="5">
        <f>IFERROR(__xludf.DUMMYFUNCTION("""COMPUTED_VALUE"""),375.0)</f>
        <v>375</v>
      </c>
      <c r="W611" s="5">
        <f>IFERROR(__xludf.DUMMYFUNCTION("""COMPUTED_VALUE"""),9.0)</f>
        <v>9</v>
      </c>
      <c r="X611" s="5">
        <f>IFERROR(__xludf.DUMMYFUNCTION("""COMPUTED_VALUE"""),11.0)</f>
        <v>11</v>
      </c>
      <c r="Y611" s="5">
        <f>IFERROR(__xludf.DUMMYFUNCTION("""COMPUTED_VALUE"""),18.0)</f>
        <v>18</v>
      </c>
      <c r="Z611" s="5"/>
    </row>
    <row r="612">
      <c r="A612" s="5" t="str">
        <f>IFERROR(__xludf.DUMMYFUNCTION("""COMPUTED_VALUE"""),"หมูนุ่ม-ถุงใส-(r100)-70")</f>
        <v>หมูนุ่ม-ถุงใส-(r100)-70</v>
      </c>
      <c r="B612" s="5">
        <f>IFERROR(__xludf.DUMMYFUNCTION("""COMPUTED_VALUE"""),10388.0)</f>
        <v>10388</v>
      </c>
      <c r="C612" s="5" t="str">
        <f>IFERROR(__xludf.DUMMYFUNCTION("""COMPUTED_VALUE"""),"หมูหมัก(ถุงใส) นุ่ม  (R100)- 73")</f>
        <v>หมูหมัก(ถุงใส) นุ่ม  (R100)- 73</v>
      </c>
      <c r="D612" s="5" t="str">
        <f>IFERROR(__xludf.DUMMYFUNCTION("""COMPUTED_VALUE"""),"**ร้านค้า ราคาพิเศษ")</f>
        <v>**ร้านค้า ราคาพิเศษ</v>
      </c>
      <c r="E612" s="5"/>
      <c r="F612" s="5" t="str">
        <f>IFERROR(__xludf.DUMMYFUNCTION("""COMPUTED_VALUE"""),"N")</f>
        <v>N</v>
      </c>
      <c r="G612" s="5"/>
      <c r="H612" s="5"/>
      <c r="I612" s="5"/>
      <c r="J612" s="5"/>
      <c r="K612" s="5"/>
      <c r="L612" s="5"/>
      <c r="M612" s="5"/>
      <c r="N612" s="5"/>
      <c r="O612" s="5">
        <f>IFERROR(__xludf.DUMMYFUNCTION("""COMPUTED_VALUE"""),10514.0)</f>
        <v>10514</v>
      </c>
      <c r="P612" s="5">
        <f>IFERROR(__xludf.DUMMYFUNCTION("""COMPUTED_VALUE"""),1.0)</f>
        <v>1</v>
      </c>
      <c r="Q612" s="5" t="str">
        <f>IFERROR(__xludf.DUMMYFUNCTION("""COMPUTED_VALUE"""),"N")</f>
        <v>N</v>
      </c>
      <c r="R612" s="5" t="str">
        <f>IFERROR(__xludf.DUMMYFUNCTION("""COMPUTED_VALUE"""),"N")</f>
        <v>N</v>
      </c>
      <c r="S612" s="5"/>
      <c r="T612" s="5"/>
      <c r="U612" s="5" t="str">
        <f>IFERROR(__xludf.DUMMYFUNCTION("""COMPUTED_VALUE"""),"Y")</f>
        <v>Y</v>
      </c>
      <c r="V612" s="5">
        <f>IFERROR(__xludf.DUMMYFUNCTION("""COMPUTED_VALUE"""),365.0)</f>
        <v>365</v>
      </c>
      <c r="W612" s="5"/>
      <c r="X612" s="5"/>
      <c r="Y612" s="5"/>
      <c r="Z612" s="5"/>
    </row>
    <row r="613">
      <c r="A613" s="5" t="str">
        <f>IFERROR(__xludf.DUMMYFUNCTION("""COMPUTED_VALUE"""),"บาบีคิว-ทองสุข")</f>
        <v>บาบีคิว-ทองสุข</v>
      </c>
      <c r="B613" s="5">
        <f>IFERROR(__xludf.DUMMYFUNCTION("""COMPUTED_VALUE"""),10559.0)</f>
        <v>10559</v>
      </c>
      <c r="C613" s="5" t="str">
        <f>IFERROR(__xludf.DUMMYFUNCTION("""COMPUTED_VALUE"""),"หมูหมัก(ถุงใส) บาบีคิว-75")</f>
        <v>หมูหมัก(ถุงใส) บาบีคิว-75</v>
      </c>
      <c r="D613" s="5" t="str">
        <f>IFERROR(__xludf.DUMMYFUNCTION("""COMPUTED_VALUE"""),"กานพู")</f>
        <v>กานพู</v>
      </c>
      <c r="E613" s="5"/>
      <c r="F613" s="5" t="str">
        <f>IFERROR(__xludf.DUMMYFUNCTION("""COMPUTED_VALUE"""),"N")</f>
        <v>N</v>
      </c>
      <c r="G613" s="5"/>
      <c r="H613" s="5"/>
      <c r="I613" s="5"/>
      <c r="J613" s="5"/>
      <c r="K613" s="5"/>
      <c r="L613" s="5"/>
      <c r="M613" s="5">
        <f>IFERROR(__xludf.DUMMYFUNCTION("""COMPUTED_VALUE"""),325.0)</f>
        <v>325</v>
      </c>
      <c r="N613" s="5"/>
      <c r="O613" s="5"/>
      <c r="P613" s="5"/>
      <c r="Q613" s="5" t="str">
        <f>IFERROR(__xludf.DUMMYFUNCTION("""COMPUTED_VALUE"""),"Y")</f>
        <v>Y</v>
      </c>
      <c r="R613" s="5"/>
      <c r="S613" s="5" t="str">
        <f>IFERROR(__xludf.DUMMYFUNCTION("""COMPUTED_VALUE"""),"หจก กานพลู ซีฟู้ดส์")</f>
        <v>หจก กานพลู ซีฟู้ดส์</v>
      </c>
      <c r="T613" s="5">
        <f>IFERROR(__xludf.DUMMYFUNCTION("""COMPUTED_VALUE"""),300.0)</f>
        <v>300</v>
      </c>
      <c r="U613" s="5" t="str">
        <f>IFERROR(__xludf.DUMMYFUNCTION("""COMPUTED_VALUE"""),"Y")</f>
        <v>Y</v>
      </c>
      <c r="V613" s="5">
        <f>IFERROR(__xludf.DUMMYFUNCTION("""COMPUTED_VALUE"""),375.0)</f>
        <v>375</v>
      </c>
      <c r="W613" s="5">
        <f>IFERROR(__xludf.DUMMYFUNCTION("""COMPUTED_VALUE"""),13.0)</f>
        <v>13</v>
      </c>
      <c r="X613" s="5"/>
      <c r="Y613" s="5"/>
      <c r="Z613" s="5"/>
    </row>
    <row r="614">
      <c r="A614" s="5" t="str">
        <f>IFERROR(__xludf.DUMMYFUNCTION("""COMPUTED_VALUE"""),"พริกไทดำ-ทองสุข")</f>
        <v>พริกไทดำ-ทองสุข</v>
      </c>
      <c r="B614" s="5">
        <f>IFERROR(__xludf.DUMMYFUNCTION("""COMPUTED_VALUE"""),10530.0)</f>
        <v>10530</v>
      </c>
      <c r="C614" s="5" t="str">
        <f>IFERROR(__xludf.DUMMYFUNCTION("""COMPUTED_VALUE"""),"หมูหมัก(ถุงใส) พริกไทดำ-75")</f>
        <v>หมูหมัก(ถุงใส) พริกไทดำ-75</v>
      </c>
      <c r="D614" s="5" t="str">
        <f>IFERROR(__xludf.DUMMYFUNCTION("""COMPUTED_VALUE"""),"กานพู")</f>
        <v>กานพู</v>
      </c>
      <c r="E614" s="5" t="str">
        <f>IFERROR(__xludf.DUMMYFUNCTION("""COMPUTED_VALUE"""),"&lt;p&gt;B&lt;/p&gt;")</f>
        <v>&lt;p&gt;B&lt;/p&gt;</v>
      </c>
      <c r="F614" s="5" t="str">
        <f>IFERROR(__xludf.DUMMYFUNCTION("""COMPUTED_VALUE"""),"N")</f>
        <v>N</v>
      </c>
      <c r="G614" s="5"/>
      <c r="H614" s="5"/>
      <c r="I614" s="5"/>
      <c r="J614" s="5"/>
      <c r="K614" s="5"/>
      <c r="L614" s="5"/>
      <c r="M614" s="5">
        <f>IFERROR(__xludf.DUMMYFUNCTION("""COMPUTED_VALUE"""),331.82)</f>
        <v>331.82</v>
      </c>
      <c r="N614" s="5"/>
      <c r="O614" s="5"/>
      <c r="P614" s="5"/>
      <c r="Q614" s="5" t="str">
        <f>IFERROR(__xludf.DUMMYFUNCTION("""COMPUTED_VALUE"""),"Y")</f>
        <v>Y</v>
      </c>
      <c r="R614" s="5"/>
      <c r="S614" s="5" t="str">
        <f>IFERROR(__xludf.DUMMYFUNCTION("""COMPUTED_VALUE"""),"หจก กานพลู ซีฟู้ดส์")</f>
        <v>หจก กานพลู ซีฟู้ดส์</v>
      </c>
      <c r="T614" s="5">
        <f>IFERROR(__xludf.DUMMYFUNCTION("""COMPUTED_VALUE"""),325.0)</f>
        <v>325</v>
      </c>
      <c r="U614" s="5" t="str">
        <f>IFERROR(__xludf.DUMMYFUNCTION("""COMPUTED_VALUE"""),"Y")</f>
        <v>Y</v>
      </c>
      <c r="V614" s="5">
        <f>IFERROR(__xludf.DUMMYFUNCTION("""COMPUTED_VALUE"""),375.0)</f>
        <v>375</v>
      </c>
      <c r="W614" s="5">
        <f>IFERROR(__xludf.DUMMYFUNCTION("""COMPUTED_VALUE"""),10.0)</f>
        <v>10</v>
      </c>
      <c r="X614" s="5">
        <f>IFERROR(__xludf.DUMMYFUNCTION("""COMPUTED_VALUE"""),6.0)</f>
        <v>6</v>
      </c>
      <c r="Y614" s="5">
        <f>IFERROR(__xludf.DUMMYFUNCTION("""COMPUTED_VALUE"""),9.0)</f>
        <v>9</v>
      </c>
      <c r="Z614" s="5"/>
    </row>
    <row r="615">
      <c r="A615" s="5" t="str">
        <f>IFERROR(__xludf.DUMMYFUNCTION("""COMPUTED_VALUE"""),"หมูพริกไท-ถุงใส-(r100)-70")</f>
        <v>หมูพริกไท-ถุงใส-(r100)-70</v>
      </c>
      <c r="B615" s="5">
        <f>IFERROR(__xludf.DUMMYFUNCTION("""COMPUTED_VALUE"""),10413.0)</f>
        <v>10413</v>
      </c>
      <c r="C615" s="5" t="str">
        <f>IFERROR(__xludf.DUMMYFUNCTION("""COMPUTED_VALUE"""),"หมูหมัก(ถุงใส) พริกไทย  (R100)- 73")</f>
        <v>หมูหมัก(ถุงใส) พริกไทย  (R100)- 73</v>
      </c>
      <c r="D615" s="5" t="str">
        <f>IFERROR(__xludf.DUMMYFUNCTION("""COMPUTED_VALUE"""),"**ร้านค้า ราคาพิเศษ")</f>
        <v>**ร้านค้า ราคาพิเศษ</v>
      </c>
      <c r="E615" s="5"/>
      <c r="F615" s="5" t="str">
        <f>IFERROR(__xludf.DUMMYFUNCTION("""COMPUTED_VALUE"""),"N")</f>
        <v>N</v>
      </c>
      <c r="G615" s="5"/>
      <c r="H615" s="5"/>
      <c r="I615" s="5"/>
      <c r="J615" s="5"/>
      <c r="K615" s="5"/>
      <c r="L615" s="5"/>
      <c r="M615" s="5"/>
      <c r="N615" s="5"/>
      <c r="O615" s="5">
        <f>IFERROR(__xludf.DUMMYFUNCTION("""COMPUTED_VALUE"""),10530.0)</f>
        <v>10530</v>
      </c>
      <c r="P615" s="5">
        <f>IFERROR(__xludf.DUMMYFUNCTION("""COMPUTED_VALUE"""),1.0)</f>
        <v>1</v>
      </c>
      <c r="Q615" s="5" t="str">
        <f>IFERROR(__xludf.DUMMYFUNCTION("""COMPUTED_VALUE"""),"N")</f>
        <v>N</v>
      </c>
      <c r="R615" s="5" t="str">
        <f>IFERROR(__xludf.DUMMYFUNCTION("""COMPUTED_VALUE"""),"N")</f>
        <v>N</v>
      </c>
      <c r="S615" s="5"/>
      <c r="T615" s="5"/>
      <c r="U615" s="5" t="str">
        <f>IFERROR(__xludf.DUMMYFUNCTION("""COMPUTED_VALUE"""),"Y")</f>
        <v>Y</v>
      </c>
      <c r="V615" s="5">
        <f>IFERROR(__xludf.DUMMYFUNCTION("""COMPUTED_VALUE"""),365.0)</f>
        <v>365</v>
      </c>
      <c r="W615" s="5"/>
      <c r="X615" s="5"/>
      <c r="Y615" s="5"/>
      <c r="Z615" s="5"/>
    </row>
    <row r="616">
      <c r="A616" s="5" t="str">
        <f>IFERROR(__xludf.DUMMYFUNCTION("""COMPUTED_VALUE"""),"เกาหลี-ทองสุข")</f>
        <v>เกาหลี-ทองสุข</v>
      </c>
      <c r="B616" s="5">
        <f>IFERROR(__xludf.DUMMYFUNCTION("""COMPUTED_VALUE"""),10532.0)</f>
        <v>10532</v>
      </c>
      <c r="C616" s="5" t="str">
        <f>IFERROR(__xludf.DUMMYFUNCTION("""COMPUTED_VALUE"""),"หมูหมัก(ถุงใส) เกาหลี -75")</f>
        <v>หมูหมัก(ถุงใส) เกาหลี -75</v>
      </c>
      <c r="D616" s="5" t="str">
        <f>IFERROR(__xludf.DUMMYFUNCTION("""COMPUTED_VALUE"""),"กานพู")</f>
        <v>กานพู</v>
      </c>
      <c r="E616" s="5"/>
      <c r="F616" s="5" t="str">
        <f>IFERROR(__xludf.DUMMYFUNCTION("""COMPUTED_VALUE"""),"N")</f>
        <v>N</v>
      </c>
      <c r="G616" s="5"/>
      <c r="H616" s="5"/>
      <c r="I616" s="5"/>
      <c r="J616" s="5"/>
      <c r="K616" s="5"/>
      <c r="L616" s="5"/>
      <c r="M616" s="5">
        <f>IFERROR(__xludf.DUMMYFUNCTION("""COMPUTED_VALUE"""),325.0)</f>
        <v>325</v>
      </c>
      <c r="N616" s="5"/>
      <c r="O616" s="5"/>
      <c r="P616" s="5"/>
      <c r="Q616" s="5" t="str">
        <f>IFERROR(__xludf.DUMMYFUNCTION("""COMPUTED_VALUE"""),"Y")</f>
        <v>Y</v>
      </c>
      <c r="R616" s="5"/>
      <c r="S616" s="5" t="str">
        <f>IFERROR(__xludf.DUMMYFUNCTION("""COMPUTED_VALUE"""),"หจก กานพลู ซีฟู้ดส์")</f>
        <v>หจก กานพลู ซีฟู้ดส์</v>
      </c>
      <c r="T616" s="5">
        <f>IFERROR(__xludf.DUMMYFUNCTION("""COMPUTED_VALUE"""),325.0)</f>
        <v>325</v>
      </c>
      <c r="U616" s="5" t="str">
        <f>IFERROR(__xludf.DUMMYFUNCTION("""COMPUTED_VALUE"""),"Y")</f>
        <v>Y</v>
      </c>
      <c r="V616" s="5">
        <f>IFERROR(__xludf.DUMMYFUNCTION("""COMPUTED_VALUE"""),375.0)</f>
        <v>375</v>
      </c>
      <c r="W616" s="5">
        <f>IFERROR(__xludf.DUMMYFUNCTION("""COMPUTED_VALUE"""),5.0)</f>
        <v>5</v>
      </c>
      <c r="X616" s="5"/>
      <c r="Y616" s="5"/>
      <c r="Z616" s="5"/>
    </row>
    <row r="617">
      <c r="A617" s="5" t="str">
        <f>IFERROR(__xludf.DUMMYFUNCTION("""COMPUTED_VALUE"""),"หมูหมักบาบีคิว(สมชาย)*2กก.*")</f>
        <v>หมูหมักบาบีคิว(สมชาย)*2กก.*</v>
      </c>
      <c r="B617" s="5">
        <f>IFERROR(__xludf.DUMMYFUNCTION("""COMPUTED_VALUE"""),11542.0)</f>
        <v>11542</v>
      </c>
      <c r="C617" s="5" t="str">
        <f>IFERROR(__xludf.DUMMYFUNCTION("""COMPUTED_VALUE"""),"หมูหมักงา SC *ถุง2กก.*")</f>
        <v>หมูหมักงา SC *ถุง2กก.*</v>
      </c>
      <c r="D617" s="5" t="str">
        <f>IFERROR(__xludf.DUMMYFUNCTION("""COMPUTED_VALUE"""),"สมชาย")</f>
        <v>สมชาย</v>
      </c>
      <c r="E617" s="5" t="str">
        <f>IFERROR(__xludf.DUMMYFUNCTION("""COMPUTED_VALUE"""),"&lt;p&gt;S&lt;/p&gt;")</f>
        <v>&lt;p&gt;S&lt;/p&gt;</v>
      </c>
      <c r="F617" s="5" t="str">
        <f>IFERROR(__xludf.DUMMYFUNCTION("""COMPUTED_VALUE"""),"N")</f>
        <v>N</v>
      </c>
      <c r="G617" s="5"/>
      <c r="H617" s="5"/>
      <c r="I617" s="5"/>
      <c r="J617" s="5"/>
      <c r="K617" s="5"/>
      <c r="L617" s="5"/>
      <c r="M617" s="5">
        <f>IFERROR(__xludf.DUMMYFUNCTION("""COMPUTED_VALUE"""),140.0)</f>
        <v>140</v>
      </c>
      <c r="N617" s="5">
        <f>IFERROR(__xludf.DUMMYFUNCTION("""COMPUTED_VALUE"""),11542.0)</f>
        <v>11542</v>
      </c>
      <c r="O617" s="5"/>
      <c r="P617" s="5"/>
      <c r="Q617" s="5" t="str">
        <f>IFERROR(__xludf.DUMMYFUNCTION("""COMPUTED_VALUE"""),"Y")</f>
        <v>Y</v>
      </c>
      <c r="R617" s="5"/>
      <c r="S617" s="5" t="str">
        <f>IFERROR(__xludf.DUMMYFUNCTION("""COMPUTED_VALUE"""),"สมชายซีฟู้ดส์")</f>
        <v>สมชายซีฟู้ดส์</v>
      </c>
      <c r="T617" s="5">
        <f>IFERROR(__xludf.DUMMYFUNCTION("""COMPUTED_VALUE"""),140.0)</f>
        <v>140</v>
      </c>
      <c r="U617" s="5" t="str">
        <f>IFERROR(__xludf.DUMMYFUNCTION("""COMPUTED_VALUE"""),"Y")</f>
        <v>Y</v>
      </c>
      <c r="V617" s="5">
        <f>IFERROR(__xludf.DUMMYFUNCTION("""COMPUTED_VALUE"""),160.0)</f>
        <v>160</v>
      </c>
      <c r="W617" s="5">
        <f>IFERROR(__xludf.DUMMYFUNCTION("""COMPUTED_VALUE"""),0.0)</f>
        <v>0</v>
      </c>
      <c r="X617" s="5">
        <f>IFERROR(__xludf.DUMMYFUNCTION("""COMPUTED_VALUE"""),5.0)</f>
        <v>5</v>
      </c>
      <c r="Y617" s="5">
        <f>IFERROR(__xludf.DUMMYFUNCTION("""COMPUTED_VALUE"""),20.0)</f>
        <v>20</v>
      </c>
      <c r="Z617" s="5"/>
    </row>
    <row r="618">
      <c r="A618" s="5" t="str">
        <f>IFERROR(__xludf.DUMMYFUNCTION("""COMPUTED_VALUE"""),"หมูหมักน้ำผึ้ง(สมชาย)-*2กก.*")</f>
        <v>หมูหมักน้ำผึ้ง(สมชาย)-*2กก.*</v>
      </c>
      <c r="B618" s="5">
        <f>IFERROR(__xludf.DUMMYFUNCTION("""COMPUTED_VALUE"""),11541.0)</f>
        <v>11541</v>
      </c>
      <c r="C618" s="5" t="str">
        <f>IFERROR(__xludf.DUMMYFUNCTION("""COMPUTED_VALUE"""),"หมูหมักน้ำผึ้ง SC *ถุง2กก.*")</f>
        <v>หมูหมักน้ำผึ้ง SC *ถุง2กก.*</v>
      </c>
      <c r="D618" s="5" t="str">
        <f>IFERROR(__xludf.DUMMYFUNCTION("""COMPUTED_VALUE"""),"สมชาย")</f>
        <v>สมชาย</v>
      </c>
      <c r="E618" s="5" t="str">
        <f>IFERROR(__xludf.DUMMYFUNCTION("""COMPUTED_VALUE"""),"&lt;p&gt;S&lt;/p&gt;")</f>
        <v>&lt;p&gt;S&lt;/p&gt;</v>
      </c>
      <c r="F618" s="5" t="str">
        <f>IFERROR(__xludf.DUMMYFUNCTION("""COMPUTED_VALUE"""),"N")</f>
        <v>N</v>
      </c>
      <c r="G618" s="5"/>
      <c r="H618" s="5"/>
      <c r="I618" s="5"/>
      <c r="J618" s="5"/>
      <c r="K618" s="5"/>
      <c r="L618" s="5"/>
      <c r="M618" s="5">
        <f>IFERROR(__xludf.DUMMYFUNCTION("""COMPUTED_VALUE"""),140.0)</f>
        <v>140</v>
      </c>
      <c r="N618" s="5">
        <f>IFERROR(__xludf.DUMMYFUNCTION("""COMPUTED_VALUE"""),11541.0)</f>
        <v>11541</v>
      </c>
      <c r="O618" s="5"/>
      <c r="P618" s="5"/>
      <c r="Q618" s="5" t="str">
        <f>IFERROR(__xludf.DUMMYFUNCTION("""COMPUTED_VALUE"""),"Y")</f>
        <v>Y</v>
      </c>
      <c r="R618" s="5"/>
      <c r="S618" s="5" t="str">
        <f>IFERROR(__xludf.DUMMYFUNCTION("""COMPUTED_VALUE"""),"สมชายซีฟู้ดส์")</f>
        <v>สมชายซีฟู้ดส์</v>
      </c>
      <c r="T618" s="5">
        <f>IFERROR(__xludf.DUMMYFUNCTION("""COMPUTED_VALUE"""),140.0)</f>
        <v>140</v>
      </c>
      <c r="U618" s="5" t="str">
        <f>IFERROR(__xludf.DUMMYFUNCTION("""COMPUTED_VALUE"""),"Y")</f>
        <v>Y</v>
      </c>
      <c r="V618" s="5">
        <f>IFERROR(__xludf.DUMMYFUNCTION("""COMPUTED_VALUE"""),160.0)</f>
        <v>160</v>
      </c>
      <c r="W618" s="5">
        <f>IFERROR(__xludf.DUMMYFUNCTION("""COMPUTED_VALUE"""),1.0)</f>
        <v>1</v>
      </c>
      <c r="X618" s="5">
        <f>IFERROR(__xludf.DUMMYFUNCTION("""COMPUTED_VALUE"""),5.0)</f>
        <v>5</v>
      </c>
      <c r="Y618" s="5">
        <f>IFERROR(__xludf.DUMMYFUNCTION("""COMPUTED_VALUE"""),20.0)</f>
        <v>20</v>
      </c>
      <c r="Z618" s="5"/>
    </row>
    <row r="619">
      <c r="A619" s="5" t="str">
        <f>IFERROR(__xludf.DUMMYFUNCTION("""COMPUTED_VALUE"""),"หมูหมักนุ่ม-(สมชาย)--*2กก*--(75)")</f>
        <v>หมูหมักนุ่ม-(สมชาย)--*2กก*--(75)</v>
      </c>
      <c r="B619" s="5">
        <f>IFERROR(__xludf.DUMMYFUNCTION("""COMPUTED_VALUE"""),11536.0)</f>
        <v>11536</v>
      </c>
      <c r="C619" s="5" t="str">
        <f>IFERROR(__xludf.DUMMYFUNCTION("""COMPUTED_VALUE"""),"หมูหมักนุ่ม SC *ถุง2กก*")</f>
        <v>หมูหมักนุ่ม SC *ถุง2กก*</v>
      </c>
      <c r="D619" s="5" t="str">
        <f>IFERROR(__xludf.DUMMYFUNCTION("""COMPUTED_VALUE"""),"สมชาย")</f>
        <v>สมชาย</v>
      </c>
      <c r="E619" s="5" t="str">
        <f>IFERROR(__xludf.DUMMYFUNCTION("""COMPUTED_VALUE"""),"&lt;p&gt;S&lt;/p&gt;")</f>
        <v>&lt;p&gt;S&lt;/p&gt;</v>
      </c>
      <c r="F619" s="5" t="str">
        <f>IFERROR(__xludf.DUMMYFUNCTION("""COMPUTED_VALUE"""),"N")</f>
        <v>N</v>
      </c>
      <c r="G619" s="5"/>
      <c r="H619" s="5"/>
      <c r="I619" s="5"/>
      <c r="J619" s="5"/>
      <c r="K619" s="5"/>
      <c r="L619" s="5"/>
      <c r="M619" s="5">
        <f>IFERROR(__xludf.DUMMYFUNCTION("""COMPUTED_VALUE"""),140.0)</f>
        <v>140</v>
      </c>
      <c r="N619" s="5">
        <f>IFERROR(__xludf.DUMMYFUNCTION("""COMPUTED_VALUE"""),11536.0)</f>
        <v>11536</v>
      </c>
      <c r="O619" s="5"/>
      <c r="P619" s="5"/>
      <c r="Q619" s="5" t="str">
        <f>IFERROR(__xludf.DUMMYFUNCTION("""COMPUTED_VALUE"""),"Y")</f>
        <v>Y</v>
      </c>
      <c r="R619" s="5"/>
      <c r="S619" s="5" t="str">
        <f>IFERROR(__xludf.DUMMYFUNCTION("""COMPUTED_VALUE"""),"สมชายซีฟู้ดส์")</f>
        <v>สมชายซีฟู้ดส์</v>
      </c>
      <c r="T619" s="5">
        <f>IFERROR(__xludf.DUMMYFUNCTION("""COMPUTED_VALUE"""),0.0)</f>
        <v>0</v>
      </c>
      <c r="U619" s="5" t="str">
        <f>IFERROR(__xludf.DUMMYFUNCTION("""COMPUTED_VALUE"""),"Y")</f>
        <v>Y</v>
      </c>
      <c r="V619" s="5">
        <f>IFERROR(__xludf.DUMMYFUNCTION("""COMPUTED_VALUE"""),160.0)</f>
        <v>160</v>
      </c>
      <c r="W619" s="5">
        <f>IFERROR(__xludf.DUMMYFUNCTION("""COMPUTED_VALUE"""),5.0)</f>
        <v>5</v>
      </c>
      <c r="X619" s="5"/>
      <c r="Y619" s="5"/>
      <c r="Z619" s="5"/>
    </row>
    <row r="620">
      <c r="A620" s="5" t="str">
        <f>IFERROR(__xludf.DUMMYFUNCTION("""COMPUTED_VALUE"""),"หมูหมักบาบีคิว-sc-*ถุง-2-กก*160")</f>
        <v>หมูหมักบาบีคิว-sc-*ถุง-2-กก*160</v>
      </c>
      <c r="B620" s="5">
        <f>IFERROR(__xludf.DUMMYFUNCTION("""COMPUTED_VALUE"""),10321.0)</f>
        <v>10321</v>
      </c>
      <c r="C620" s="5" t="str">
        <f>IFERROR(__xludf.DUMMYFUNCTION("""COMPUTED_VALUE"""),"หมูหมักบาบีคิว SC *ถุง 2 กก*160")</f>
        <v>หมูหมักบาบีคิว SC *ถุง 2 กก*160</v>
      </c>
      <c r="D620" s="5" t="str">
        <f>IFERROR(__xludf.DUMMYFUNCTION("""COMPUTED_VALUE"""),"สมชาย")</f>
        <v>สมชาย</v>
      </c>
      <c r="E620" s="5"/>
      <c r="F620" s="5" t="str">
        <f>IFERROR(__xludf.DUMMYFUNCTION("""COMPUTED_VALUE"""),"N")</f>
        <v>N</v>
      </c>
      <c r="G620" s="5"/>
      <c r="H620" s="5"/>
      <c r="I620" s="5"/>
      <c r="J620" s="5"/>
      <c r="K620" s="5"/>
      <c r="L620" s="5"/>
      <c r="M620" s="5">
        <f>IFERROR(__xludf.DUMMYFUNCTION("""COMPUTED_VALUE"""),140.0)</f>
        <v>140</v>
      </c>
      <c r="N620" s="5"/>
      <c r="O620" s="5"/>
      <c r="P620" s="5"/>
      <c r="Q620" s="5" t="str">
        <f>IFERROR(__xludf.DUMMYFUNCTION("""COMPUTED_VALUE"""),"Y")</f>
        <v>Y</v>
      </c>
      <c r="R620" s="5"/>
      <c r="S620" s="5"/>
      <c r="T620" s="5"/>
      <c r="U620" s="5" t="str">
        <f>IFERROR(__xludf.DUMMYFUNCTION("""COMPUTED_VALUE"""),"Y")</f>
        <v>Y</v>
      </c>
      <c r="V620" s="5">
        <f>IFERROR(__xludf.DUMMYFUNCTION("""COMPUTED_VALUE"""),160.0)</f>
        <v>160</v>
      </c>
      <c r="W620" s="5">
        <f>IFERROR(__xludf.DUMMYFUNCTION("""COMPUTED_VALUE"""),1.0)</f>
        <v>1</v>
      </c>
      <c r="X620" s="5"/>
      <c r="Y620" s="5"/>
      <c r="Z620" s="5"/>
    </row>
    <row r="621">
      <c r="A621" s="5" t="str">
        <f>IFERROR(__xludf.DUMMYFUNCTION("""COMPUTED_VALUE"""),"หมูหมักพริกsc*ถุง2กก*")</f>
        <v>หมูหมักพริกsc*ถุง2กก*</v>
      </c>
      <c r="B621" s="5">
        <f>IFERROR(__xludf.DUMMYFUNCTION("""COMPUTED_VALUE"""),11551.0)</f>
        <v>11551</v>
      </c>
      <c r="C621" s="5" t="str">
        <f>IFERROR(__xludf.DUMMYFUNCTION("""COMPUTED_VALUE"""),"หมูหมักพริก SC *ถุง2กก*")</f>
        <v>หมูหมักพริก SC *ถุง2กก*</v>
      </c>
      <c r="D621" s="5" t="str">
        <f>IFERROR(__xludf.DUMMYFUNCTION("""COMPUTED_VALUE"""),"สมชาย")</f>
        <v>สมชาย</v>
      </c>
      <c r="E621" s="5" t="str">
        <f>IFERROR(__xludf.DUMMYFUNCTION("""COMPUTED_VALUE"""),"&lt;p&gt;S&lt;/p&gt;")</f>
        <v>&lt;p&gt;S&lt;/p&gt;</v>
      </c>
      <c r="F621" s="5" t="str">
        <f>IFERROR(__xludf.DUMMYFUNCTION("""COMPUTED_VALUE"""),"N")</f>
        <v>N</v>
      </c>
      <c r="G621" s="5"/>
      <c r="H621" s="5"/>
      <c r="I621" s="5"/>
      <c r="J621" s="5"/>
      <c r="K621" s="5"/>
      <c r="L621" s="5"/>
      <c r="M621" s="5">
        <f>IFERROR(__xludf.DUMMYFUNCTION("""COMPUTED_VALUE"""),140.0)</f>
        <v>140</v>
      </c>
      <c r="N621" s="5">
        <f>IFERROR(__xludf.DUMMYFUNCTION("""COMPUTED_VALUE"""),11551.0)</f>
        <v>11551</v>
      </c>
      <c r="O621" s="5"/>
      <c r="P621" s="5"/>
      <c r="Q621" s="5" t="str">
        <f>IFERROR(__xludf.DUMMYFUNCTION("""COMPUTED_VALUE"""),"Y")</f>
        <v>Y</v>
      </c>
      <c r="R621" s="5"/>
      <c r="S621" s="5" t="str">
        <f>IFERROR(__xludf.DUMMYFUNCTION("""COMPUTED_VALUE"""),"สมชายซีฟู้ดส์")</f>
        <v>สมชายซีฟู้ดส์</v>
      </c>
      <c r="T621" s="5">
        <f>IFERROR(__xludf.DUMMYFUNCTION("""COMPUTED_VALUE"""),140.0)</f>
        <v>140</v>
      </c>
      <c r="U621" s="5" t="str">
        <f>IFERROR(__xludf.DUMMYFUNCTION("""COMPUTED_VALUE"""),"Y")</f>
        <v>Y</v>
      </c>
      <c r="V621" s="5">
        <f>IFERROR(__xludf.DUMMYFUNCTION("""COMPUTED_VALUE"""),160.0)</f>
        <v>160</v>
      </c>
      <c r="W621" s="5">
        <f>IFERROR(__xludf.DUMMYFUNCTION("""COMPUTED_VALUE"""),5.0)</f>
        <v>5</v>
      </c>
      <c r="X621" s="5">
        <f>IFERROR(__xludf.DUMMYFUNCTION("""COMPUTED_VALUE"""),5.0)</f>
        <v>5</v>
      </c>
      <c r="Y621" s="5">
        <f>IFERROR(__xludf.DUMMYFUNCTION("""COMPUTED_VALUE"""),20.0)</f>
        <v>20</v>
      </c>
      <c r="Z621" s="5"/>
    </row>
    <row r="622">
      <c r="A622" s="5" t="str">
        <f>IFERROR(__xludf.DUMMYFUNCTION("""COMPUTED_VALUE"""),"หมูหมาล่า-(สมชาย-)ถุง-5-กก-(80)")</f>
        <v>หมูหมาล่า-(สมชาย-)ถุง-5-กก-(80)</v>
      </c>
      <c r="B622" s="5">
        <f>IFERROR(__xludf.DUMMYFUNCTION("""COMPUTED_VALUE"""),10818.0)</f>
        <v>10818</v>
      </c>
      <c r="C622" s="5" t="str">
        <f>IFERROR(__xludf.DUMMYFUNCTION("""COMPUTED_VALUE"""),"หมูหมาล่า (สมชาย )ถุง 5 กก (80)")</f>
        <v>หมูหมาล่า (สมชาย )ถุง 5 กก (80)</v>
      </c>
      <c r="D622" s="5" t="str">
        <f>IFERROR(__xludf.DUMMYFUNCTION("""COMPUTED_VALUE"""),"สมชาย")</f>
        <v>สมชาย</v>
      </c>
      <c r="E622" s="5"/>
      <c r="F622" s="5" t="str">
        <f>IFERROR(__xludf.DUMMYFUNCTION("""COMPUTED_VALUE"""),"N")</f>
        <v>N</v>
      </c>
      <c r="G622" s="5"/>
      <c r="H622" s="5"/>
      <c r="I622" s="5"/>
      <c r="J622" s="5"/>
      <c r="K622" s="5"/>
      <c r="L622" s="5"/>
      <c r="M622" s="5">
        <f>IFERROR(__xludf.DUMMYFUNCTION("""COMPUTED_VALUE"""),350.0)</f>
        <v>350</v>
      </c>
      <c r="N622" s="5"/>
      <c r="O622" s="5"/>
      <c r="P622" s="5"/>
      <c r="Q622" s="5" t="str">
        <f>IFERROR(__xludf.DUMMYFUNCTION("""COMPUTED_VALUE"""),"Y")</f>
        <v>Y</v>
      </c>
      <c r="R622" s="5"/>
      <c r="S622" s="5" t="str">
        <f>IFERROR(__xludf.DUMMYFUNCTION("""COMPUTED_VALUE"""),"สมชายซีฟู้ดส์")</f>
        <v>สมชายซีฟู้ดส์</v>
      </c>
      <c r="T622" s="5">
        <f>IFERROR(__xludf.DUMMYFUNCTION("""COMPUTED_VALUE"""),350.0)</f>
        <v>350</v>
      </c>
      <c r="U622" s="5" t="str">
        <f>IFERROR(__xludf.DUMMYFUNCTION("""COMPUTED_VALUE"""),"Y")</f>
        <v>Y</v>
      </c>
      <c r="V622" s="5">
        <f>IFERROR(__xludf.DUMMYFUNCTION("""COMPUTED_VALUE"""),400.0)</f>
        <v>400</v>
      </c>
      <c r="W622" s="5">
        <f>IFERROR(__xludf.DUMMYFUNCTION("""COMPUTED_VALUE"""),0.0)</f>
        <v>0</v>
      </c>
      <c r="X622" s="5"/>
      <c r="Y622" s="5"/>
      <c r="Z622" s="5"/>
    </row>
    <row r="623">
      <c r="A623" s="5" t="str">
        <f>IFERROR(__xludf.DUMMYFUNCTION("""COMPUTED_VALUE"""),"หมูเกาหลี-(สมชาย)-5-กก.(80)")</f>
        <v>หมูเกาหลี-(สมชาย)-5-กก.(80)</v>
      </c>
      <c r="B623" s="5">
        <f>IFERROR(__xludf.DUMMYFUNCTION("""COMPUTED_VALUE"""),10862.0)</f>
        <v>10862</v>
      </c>
      <c r="C623" s="5" t="str">
        <f>IFERROR(__xludf.DUMMYFUNCTION("""COMPUTED_VALUE"""),"หมูเกาหลี (สมชาย) 5 กก.(80)")</f>
        <v>หมูเกาหลี (สมชาย) 5 กก.(80)</v>
      </c>
      <c r="D623" s="5" t="str">
        <f>IFERROR(__xludf.DUMMYFUNCTION("""COMPUTED_VALUE"""),"สมชาย")</f>
        <v>สมชาย</v>
      </c>
      <c r="E623" s="5"/>
      <c r="F623" s="5" t="str">
        <f>IFERROR(__xludf.DUMMYFUNCTION("""COMPUTED_VALUE"""),"N")</f>
        <v>N</v>
      </c>
      <c r="G623" s="5"/>
      <c r="H623" s="5"/>
      <c r="I623" s="5"/>
      <c r="J623" s="5"/>
      <c r="K623" s="5"/>
      <c r="L623" s="5"/>
      <c r="M623" s="5">
        <f>IFERROR(__xludf.DUMMYFUNCTION("""COMPUTED_VALUE"""),350.0)</f>
        <v>350</v>
      </c>
      <c r="N623" s="5"/>
      <c r="O623" s="5"/>
      <c r="P623" s="5"/>
      <c r="Q623" s="5" t="str">
        <f>IFERROR(__xludf.DUMMYFUNCTION("""COMPUTED_VALUE"""),"Y")</f>
        <v>Y</v>
      </c>
      <c r="R623" s="5"/>
      <c r="S623" s="5" t="str">
        <f>IFERROR(__xludf.DUMMYFUNCTION("""COMPUTED_VALUE"""),"สมชายซีฟู้ดส์")</f>
        <v>สมชายซีฟู้ดส์</v>
      </c>
      <c r="T623" s="5">
        <f>IFERROR(__xludf.DUMMYFUNCTION("""COMPUTED_VALUE"""),0.0)</f>
        <v>0</v>
      </c>
      <c r="U623" s="5" t="str">
        <f>IFERROR(__xludf.DUMMYFUNCTION("""COMPUTED_VALUE"""),"Y")</f>
        <v>Y</v>
      </c>
      <c r="V623" s="5">
        <f>IFERROR(__xludf.DUMMYFUNCTION("""COMPUTED_VALUE"""),400.0)</f>
        <v>400</v>
      </c>
      <c r="W623" s="5">
        <f>IFERROR(__xludf.DUMMYFUNCTION("""COMPUTED_VALUE"""),0.0)</f>
        <v>0</v>
      </c>
      <c r="X623" s="5"/>
      <c r="Y623" s="5"/>
      <c r="Z623" s="5"/>
    </row>
    <row r="624">
      <c r="A624" s="5" t="str">
        <f>IFERROR(__xludf.DUMMYFUNCTION("""COMPUTED_VALUE"""),"หมูเด้ง-500g-หิ้ว-5kg-1")</f>
        <v>หมูเด้ง-500g-หิ้ว-5kg-1</v>
      </c>
      <c r="B624" s="5">
        <f>IFERROR(__xludf.DUMMYFUNCTION("""COMPUTED_VALUE"""),10052.0)</f>
        <v>10052</v>
      </c>
      <c r="C624" s="5" t="str">
        <f>IFERROR(__xludf.DUMMYFUNCTION("""COMPUTED_VALUE"""),"หมูเด้ง 450g หิ้ว 5Kg(เปิบ)")</f>
        <v>หมูเด้ง 450g หิ้ว 5Kg(เปิบ)</v>
      </c>
      <c r="D624" s="5" t="str">
        <f>IFERROR(__xludf.DUMMYFUNCTION("""COMPUTED_VALUE"""),"**ของหิ้ว มหาชัย")</f>
        <v>**ของหิ้ว มหาชัย</v>
      </c>
      <c r="E624" s="5" t="str">
        <f>IFERROR(__xludf.DUMMYFUNCTION("""COMPUTED_VALUE"""),"5")</f>
        <v>5</v>
      </c>
      <c r="F624" s="5" t="str">
        <f>IFERROR(__xludf.DUMMYFUNCTION("""COMPUTED_VALUE"""),"N")</f>
        <v>N</v>
      </c>
      <c r="G624" s="5"/>
      <c r="H624" s="5"/>
      <c r="I624" s="5"/>
      <c r="J624" s="5"/>
      <c r="K624" s="5"/>
      <c r="L624" s="5"/>
      <c r="M624" s="5">
        <f>IFERROR(__xludf.DUMMYFUNCTION("""COMPUTED_VALUE"""),350.0)</f>
        <v>350</v>
      </c>
      <c r="N624" s="5">
        <f>IFERROR(__xludf.DUMMYFUNCTION("""COMPUTED_VALUE"""),10052.0)</f>
        <v>10052</v>
      </c>
      <c r="O624" s="5"/>
      <c r="P624" s="5"/>
      <c r="Q624" s="5" t="str">
        <f>IFERROR(__xludf.DUMMYFUNCTION("""COMPUTED_VALUE"""),"Y")</f>
        <v>Y</v>
      </c>
      <c r="R624" s="5"/>
      <c r="S624" s="5" t="str">
        <f>IFERROR(__xludf.DUMMYFUNCTION("""COMPUTED_VALUE"""),"ขึ้นของมหาชัย")</f>
        <v>ขึ้นของมหาชัย</v>
      </c>
      <c r="T624" s="5">
        <f>IFERROR(__xludf.DUMMYFUNCTION("""COMPUTED_VALUE"""),350.0)</f>
        <v>350</v>
      </c>
      <c r="U624" s="5" t="str">
        <f>IFERROR(__xludf.DUMMYFUNCTION("""COMPUTED_VALUE"""),"Y")</f>
        <v>Y</v>
      </c>
      <c r="V624" s="5">
        <f>IFERROR(__xludf.DUMMYFUNCTION("""COMPUTED_VALUE"""),430.0)</f>
        <v>430</v>
      </c>
      <c r="W624" s="5">
        <f>IFERROR(__xludf.DUMMYFUNCTION("""COMPUTED_VALUE"""),1.0)</f>
        <v>1</v>
      </c>
      <c r="X624" s="5">
        <f>IFERROR(__xludf.DUMMYFUNCTION("""COMPUTED_VALUE"""),0.0)</f>
        <v>0</v>
      </c>
      <c r="Y624" s="5">
        <f>IFERROR(__xludf.DUMMYFUNCTION("""COMPUTED_VALUE"""),0.0)</f>
        <v>0</v>
      </c>
      <c r="Z624" s="5"/>
    </row>
    <row r="625">
      <c r="A625" s="5" t="str">
        <f>IFERROR(__xludf.DUMMYFUNCTION("""COMPUTED_VALUE"""),"หมูเด้งหลอด-1แท่ง")</f>
        <v>หมูเด้งหลอด-1แท่ง</v>
      </c>
      <c r="B625" s="5">
        <f>IFERROR(__xludf.DUMMYFUNCTION("""COMPUTED_VALUE"""),10527.0)</f>
        <v>10527</v>
      </c>
      <c r="C625" s="5" t="str">
        <f>IFERROR(__xludf.DUMMYFUNCTION("""COMPUTED_VALUE"""),"หมูเด้งหลอด 1แท่ง")</f>
        <v>หมูเด้งหลอด 1แท่ง</v>
      </c>
      <c r="D625" s="5" t="str">
        <f>IFERROR(__xludf.DUMMYFUNCTION("""COMPUTED_VALUE"""),"**ทะเลสด มหาชัย")</f>
        <v>**ทะเลสด มหาชัย</v>
      </c>
      <c r="E625" s="5" t="str">
        <f>IFERROR(__xludf.DUMMYFUNCTION("""COMPUTED_VALUE"""),"&lt;p&gt;X&lt;/p&gt;")</f>
        <v>&lt;p&gt;X&lt;/p&gt;</v>
      </c>
      <c r="F625" s="5" t="str">
        <f>IFERROR(__xludf.DUMMYFUNCTION("""COMPUTED_VALUE"""),"N")</f>
        <v>N</v>
      </c>
      <c r="G625" s="5"/>
      <c r="H625" s="5"/>
      <c r="I625" s="5"/>
      <c r="J625" s="5"/>
      <c r="K625" s="5"/>
      <c r="L625" s="5"/>
      <c r="M625" s="5">
        <f>IFERROR(__xludf.DUMMYFUNCTION("""COMPUTED_VALUE"""),13.38)</f>
        <v>13.38</v>
      </c>
      <c r="N625" s="5">
        <f>IFERROR(__xludf.DUMMYFUNCTION("""COMPUTED_VALUE"""),10527.0)</f>
        <v>10527</v>
      </c>
      <c r="O625" s="5"/>
      <c r="P625" s="5"/>
      <c r="Q625" s="5" t="str">
        <f>IFERROR(__xludf.DUMMYFUNCTION("""COMPUTED_VALUE"""),"Y")</f>
        <v>Y</v>
      </c>
      <c r="R625" s="5"/>
      <c r="S625" s="5"/>
      <c r="T625" s="5">
        <f>IFERROR(__xludf.DUMMYFUNCTION("""COMPUTED_VALUE"""),13.0)</f>
        <v>13</v>
      </c>
      <c r="U625" s="5" t="str">
        <f>IFERROR(__xludf.DUMMYFUNCTION("""COMPUTED_VALUE"""),"Y")</f>
        <v>Y</v>
      </c>
      <c r="V625" s="5">
        <f>IFERROR(__xludf.DUMMYFUNCTION("""COMPUTED_VALUE"""),20.0)</f>
        <v>20</v>
      </c>
      <c r="W625" s="5">
        <f>IFERROR(__xludf.DUMMYFUNCTION("""COMPUTED_VALUE"""),180.0)</f>
        <v>180</v>
      </c>
      <c r="X625" s="5">
        <f>IFERROR(__xludf.DUMMYFUNCTION("""COMPUTED_VALUE"""),10.0)</f>
        <v>10</v>
      </c>
      <c r="Y625" s="5"/>
      <c r="Z625" s="5"/>
    </row>
    <row r="626">
      <c r="A626" s="5" t="str">
        <f>IFERROR(__xludf.DUMMYFUNCTION("""COMPUTED_VALUE"""),"หมูเด้ง-เจ้รดา-450g")</f>
        <v>หมูเด้ง-เจ้รดา-450g</v>
      </c>
      <c r="B626" s="5">
        <f>IFERROR(__xludf.DUMMYFUNCTION("""COMPUTED_VALUE"""),11251.0)</f>
        <v>11251</v>
      </c>
      <c r="C626" s="5" t="str">
        <f>IFERROR(__xludf.DUMMYFUNCTION("""COMPUTED_VALUE"""),"หมูเด้งหลอด 5 แพ็ค (หิ้ว)")</f>
        <v>หมูเด้งหลอด 5 แพ็ค (หิ้ว)</v>
      </c>
      <c r="D626" s="5"/>
      <c r="E626" s="5" t="str">
        <f>IFERROR(__xludf.DUMMYFUNCTION("""COMPUTED_VALUE"""),"&lt;p&gt;X&lt;/p&gt;")</f>
        <v>&lt;p&gt;X&lt;/p&gt;</v>
      </c>
      <c r="F626" s="5" t="str">
        <f>IFERROR(__xludf.DUMMYFUNCTION("""COMPUTED_VALUE"""),"N")</f>
        <v>N</v>
      </c>
      <c r="G626" s="5"/>
      <c r="H626" s="5"/>
      <c r="I626" s="5"/>
      <c r="J626" s="5"/>
      <c r="K626" s="5"/>
      <c r="L626" s="5"/>
      <c r="M626" s="5"/>
      <c r="N626" s="5">
        <f>IFERROR(__xludf.DUMMYFUNCTION("""COMPUTED_VALUE"""),11251.0)</f>
        <v>11251</v>
      </c>
      <c r="O626" s="5">
        <f>IFERROR(__xludf.DUMMYFUNCTION("""COMPUTED_VALUE"""),10527.0)</f>
        <v>10527</v>
      </c>
      <c r="P626" s="5">
        <f>IFERROR(__xludf.DUMMYFUNCTION("""COMPUTED_VALUE"""),25.0)</f>
        <v>25</v>
      </c>
      <c r="Q626" s="5" t="str">
        <f>IFERROR(__xludf.DUMMYFUNCTION("""COMPUTED_VALUE"""),"N")</f>
        <v>N</v>
      </c>
      <c r="R626" s="5" t="str">
        <f>IFERROR(__xludf.DUMMYFUNCTION("""COMPUTED_VALUE"""),"N")</f>
        <v>N</v>
      </c>
      <c r="S626" s="5"/>
      <c r="T626" s="5"/>
      <c r="U626" s="5" t="str">
        <f>IFERROR(__xludf.DUMMYFUNCTION("""COMPUTED_VALUE"""),"Y")</f>
        <v>Y</v>
      </c>
      <c r="V626" s="5">
        <f>IFERROR(__xludf.DUMMYFUNCTION("""COMPUTED_VALUE"""),400.0)</f>
        <v>400</v>
      </c>
      <c r="W626" s="5"/>
      <c r="X626" s="5"/>
      <c r="Y626" s="5"/>
      <c r="Z626" s="5"/>
    </row>
    <row r="627">
      <c r="A627" s="5" t="str">
        <f>IFERROR(__xludf.DUMMYFUNCTION("""COMPUTED_VALUE"""),"หมูเด้งหลอด-แพ็ค-5-แท่ง")</f>
        <v>หมูเด้งหลอด-แพ็ค-5-แท่ง</v>
      </c>
      <c r="B627" s="5">
        <f>IFERROR(__xludf.DUMMYFUNCTION("""COMPUTED_VALUE"""),10528.0)</f>
        <v>10528</v>
      </c>
      <c r="C627" s="5" t="str">
        <f>IFERROR(__xludf.DUMMYFUNCTION("""COMPUTED_VALUE"""),"หมูเด้งหลอด1*5 แท่ง(แพ็ค)")</f>
        <v>หมูเด้งหลอด1*5 แท่ง(แพ็ค)</v>
      </c>
      <c r="D627" s="5"/>
      <c r="E627" s="5" t="str">
        <f>IFERROR(__xludf.DUMMYFUNCTION("""COMPUTED_VALUE"""),"&lt;p&gt;S&lt;/p&gt;")</f>
        <v>&lt;p&gt;S&lt;/p&gt;</v>
      </c>
      <c r="F627" s="5" t="str">
        <f>IFERROR(__xludf.DUMMYFUNCTION("""COMPUTED_VALUE"""),"N")</f>
        <v>N</v>
      </c>
      <c r="G627" s="5"/>
      <c r="H627" s="5"/>
      <c r="I627" s="5"/>
      <c r="J627" s="5"/>
      <c r="K627" s="5"/>
      <c r="L627" s="5"/>
      <c r="M627" s="5"/>
      <c r="N627" s="5">
        <f>IFERROR(__xludf.DUMMYFUNCTION("""COMPUTED_VALUE"""),10528.0)</f>
        <v>10528</v>
      </c>
      <c r="O627" s="5">
        <f>IFERROR(__xludf.DUMMYFUNCTION("""COMPUTED_VALUE"""),10527.0)</f>
        <v>10527</v>
      </c>
      <c r="P627" s="5">
        <f>IFERROR(__xludf.DUMMYFUNCTION("""COMPUTED_VALUE"""),5.0)</f>
        <v>5</v>
      </c>
      <c r="Q627" s="5" t="str">
        <f>IFERROR(__xludf.DUMMYFUNCTION("""COMPUTED_VALUE"""),"N")</f>
        <v>N</v>
      </c>
      <c r="R627" s="5" t="str">
        <f>IFERROR(__xludf.DUMMYFUNCTION("""COMPUTED_VALUE"""),"N")</f>
        <v>N</v>
      </c>
      <c r="S627" s="5"/>
      <c r="T627" s="5"/>
      <c r="U627" s="5" t="str">
        <f>IFERROR(__xludf.DUMMYFUNCTION("""COMPUTED_VALUE"""),"Y")</f>
        <v>Y</v>
      </c>
      <c r="V627" s="5">
        <f>IFERROR(__xludf.DUMMYFUNCTION("""COMPUTED_VALUE"""),80.0)</f>
        <v>80</v>
      </c>
      <c r="W627" s="5"/>
      <c r="X627" s="5"/>
      <c r="Y627" s="5"/>
      <c r="Z627" s="5"/>
    </row>
    <row r="628">
      <c r="A628" s="5" t="str">
        <f>IFERROR(__xludf.DUMMYFUNCTION("""COMPUTED_VALUE"""),"หอยดองเล็ก1*20-ขวด-(หิ้ว)")</f>
        <v>หอยดองเล็ก1*20-ขวด-(หิ้ว)</v>
      </c>
      <c r="B628" s="5">
        <f>IFERROR(__xludf.DUMMYFUNCTION("""COMPUTED_VALUE"""),10820.0)</f>
        <v>10820</v>
      </c>
      <c r="C628" s="5" t="str">
        <f>IFERROR(__xludf.DUMMYFUNCTION("""COMPUTED_VALUE"""),"หอยดองเล็ก1*20 ขวด (หิ้ว)-22")</f>
        <v>หอยดองเล็ก1*20 ขวด (หิ้ว)-22</v>
      </c>
      <c r="D628" s="5"/>
      <c r="E628" s="5"/>
      <c r="F628" s="5" t="str">
        <f>IFERROR(__xludf.DUMMYFUNCTION("""COMPUTED_VALUE"""),"N")</f>
        <v>N</v>
      </c>
      <c r="G628" s="5"/>
      <c r="H628" s="5"/>
      <c r="I628" s="5"/>
      <c r="J628" s="5"/>
      <c r="K628" s="5"/>
      <c r="L628" s="5"/>
      <c r="M628" s="5"/>
      <c r="N628" s="5"/>
      <c r="O628" s="5">
        <f>IFERROR(__xludf.DUMMYFUNCTION("""COMPUTED_VALUE"""),10809.0)</f>
        <v>10809</v>
      </c>
      <c r="P628" s="5">
        <f>IFERROR(__xludf.DUMMYFUNCTION("""COMPUTED_VALUE"""),20.0)</f>
        <v>20</v>
      </c>
      <c r="Q628" s="5" t="str">
        <f>IFERROR(__xludf.DUMMYFUNCTION("""COMPUTED_VALUE"""),"N")</f>
        <v>N</v>
      </c>
      <c r="R628" s="5" t="str">
        <f>IFERROR(__xludf.DUMMYFUNCTION("""COMPUTED_VALUE"""),"N")</f>
        <v>N</v>
      </c>
      <c r="S628" s="5"/>
      <c r="T628" s="5"/>
      <c r="U628" s="5" t="str">
        <f>IFERROR(__xludf.DUMMYFUNCTION("""COMPUTED_VALUE"""),"Y")</f>
        <v>Y</v>
      </c>
      <c r="V628" s="5">
        <f>IFERROR(__xludf.DUMMYFUNCTION("""COMPUTED_VALUE"""),440.0)</f>
        <v>440</v>
      </c>
      <c r="W628" s="5"/>
      <c r="X628" s="5"/>
      <c r="Y628" s="5"/>
      <c r="Z628" s="5"/>
    </row>
    <row r="629">
      <c r="A629" s="5" t="str">
        <f>IFERROR(__xludf.DUMMYFUNCTION("""COMPUTED_VALUE"""),"หอยดองเล็ก--20-ขวด(หิ้ว)")</f>
        <v>หอยดองเล็ก--20-ขวด(หิ้ว)</v>
      </c>
      <c r="B629" s="5">
        <f>IFERROR(__xludf.DUMMYFUNCTION("""COMPUTED_VALUE"""),10391.0)</f>
        <v>10391</v>
      </c>
      <c r="C629" s="5" t="str">
        <f>IFERROR(__xludf.DUMMYFUNCTION("""COMPUTED_VALUE"""),"หอยดองใหญ่  20 ขวด(หิ้ว)-35")</f>
        <v>หอยดองใหญ่  20 ขวด(หิ้ว)-35</v>
      </c>
      <c r="D629" s="5"/>
      <c r="E629" s="5"/>
      <c r="F629" s="5" t="str">
        <f>IFERROR(__xludf.DUMMYFUNCTION("""COMPUTED_VALUE"""),"N")</f>
        <v>N</v>
      </c>
      <c r="G629" s="5"/>
      <c r="H629" s="5"/>
      <c r="I629" s="5"/>
      <c r="J629" s="5"/>
      <c r="K629" s="5"/>
      <c r="L629" s="5"/>
      <c r="M629" s="5"/>
      <c r="N629" s="5"/>
      <c r="O629" s="5">
        <f>IFERROR(__xludf.DUMMYFUNCTION("""COMPUTED_VALUE"""),10469.0)</f>
        <v>10469</v>
      </c>
      <c r="P629" s="5">
        <f>IFERROR(__xludf.DUMMYFUNCTION("""COMPUTED_VALUE"""),20.0)</f>
        <v>20</v>
      </c>
      <c r="Q629" s="5" t="str">
        <f>IFERROR(__xludf.DUMMYFUNCTION("""COMPUTED_VALUE"""),"N")</f>
        <v>N</v>
      </c>
      <c r="R629" s="5" t="str">
        <f>IFERROR(__xludf.DUMMYFUNCTION("""COMPUTED_VALUE"""),"N")</f>
        <v>N</v>
      </c>
      <c r="S629" s="5"/>
      <c r="T629" s="5"/>
      <c r="U629" s="5" t="str">
        <f>IFERROR(__xludf.DUMMYFUNCTION("""COMPUTED_VALUE"""),"N")</f>
        <v>N</v>
      </c>
      <c r="V629" s="5">
        <f>IFERROR(__xludf.DUMMYFUNCTION("""COMPUTED_VALUE"""),700.0)</f>
        <v>700</v>
      </c>
      <c r="W629" s="5"/>
      <c r="X629" s="5"/>
      <c r="Y629" s="5"/>
      <c r="Z629" s="5"/>
    </row>
    <row r="630">
      <c r="A630" s="5" t="str">
        <f>IFERROR(__xludf.DUMMYFUNCTION("""COMPUTED_VALUE"""),"ร้าน-พีพี-หอยดองขวดใหญ่-หิ้ว-(35)")</f>
        <v>ร้าน-พีพี-หอยดองขวดใหญ่-หิ้ว-(35)</v>
      </c>
      <c r="B630" s="5">
        <f>IFERROR(__xludf.DUMMYFUNCTION("""COMPUTED_VALUE"""),11287.0)</f>
        <v>11287</v>
      </c>
      <c r="C630" s="5" t="str">
        <f>IFERROR(__xludf.DUMMYFUNCTION("""COMPUTED_VALUE"""),"หอยดองใหญ่1*12ขวด (หิ้ว)-35")</f>
        <v>หอยดองใหญ่1*12ขวด (หิ้ว)-35</v>
      </c>
      <c r="D630" s="5"/>
      <c r="E630" s="5" t="str">
        <f>IFERROR(__xludf.DUMMYFUNCTION("""COMPUTED_VALUE"""),"&lt;p&gt;S&lt;/p&gt;")</f>
        <v>&lt;p&gt;S&lt;/p&gt;</v>
      </c>
      <c r="F630" s="5" t="str">
        <f>IFERROR(__xludf.DUMMYFUNCTION("""COMPUTED_VALUE"""),"N")</f>
        <v>N</v>
      </c>
      <c r="G630" s="5"/>
      <c r="H630" s="5"/>
      <c r="I630" s="5"/>
      <c r="J630" s="5"/>
      <c r="K630" s="5"/>
      <c r="L630" s="5"/>
      <c r="M630" s="5"/>
      <c r="N630" s="5">
        <f>IFERROR(__xludf.DUMMYFUNCTION("""COMPUTED_VALUE"""),11287.0)</f>
        <v>11287</v>
      </c>
      <c r="O630" s="5">
        <f>IFERROR(__xludf.DUMMYFUNCTION("""COMPUTED_VALUE"""),10469.0)</f>
        <v>10469</v>
      </c>
      <c r="P630" s="5">
        <f>IFERROR(__xludf.DUMMYFUNCTION("""COMPUTED_VALUE"""),12.0)</f>
        <v>12</v>
      </c>
      <c r="Q630" s="5" t="str">
        <f>IFERROR(__xludf.DUMMYFUNCTION("""COMPUTED_VALUE"""),"N")</f>
        <v>N</v>
      </c>
      <c r="R630" s="5" t="str">
        <f>IFERROR(__xludf.DUMMYFUNCTION("""COMPUTED_VALUE"""),"N")</f>
        <v>N</v>
      </c>
      <c r="S630" s="5"/>
      <c r="T630" s="5"/>
      <c r="U630" s="5" t="str">
        <f>IFERROR(__xludf.DUMMYFUNCTION("""COMPUTED_VALUE"""),"Y")</f>
        <v>Y</v>
      </c>
      <c r="V630" s="5">
        <f>IFERROR(__xludf.DUMMYFUNCTION("""COMPUTED_VALUE"""),420.0)</f>
        <v>420</v>
      </c>
      <c r="W630" s="5"/>
      <c r="X630" s="5"/>
      <c r="Y630" s="5"/>
      <c r="Z630" s="5"/>
    </row>
    <row r="631">
      <c r="A631" s="5" t="str">
        <f>IFERROR(__xludf.DUMMYFUNCTION("""COMPUTED_VALUE"""),"หอยภู่ชิลี-l")</f>
        <v>หอยภู่ชิลี-l</v>
      </c>
      <c r="B631" s="5">
        <f>IFERROR(__xludf.DUMMYFUNCTION("""COMPUTED_VALUE"""),10031.0)</f>
        <v>10031</v>
      </c>
      <c r="C631" s="5" t="str">
        <f>IFERROR(__xludf.DUMMYFUNCTION("""COMPUTED_VALUE"""),"หอยภู่ชิลี L (ลังเหลือง)  (ลัง) - 49")</f>
        <v>หอยภู่ชิลี L (ลังเหลือง)  (ลัง) - 49</v>
      </c>
      <c r="D631" s="5" t="str">
        <f>IFERROR(__xludf.DUMMYFUNCTION("""COMPUTED_VALUE"""),"**ลัง มหาชัย")</f>
        <v>**ลัง มหาชัย</v>
      </c>
      <c r="E631" s="5" t="str">
        <f>IFERROR(__xludf.DUMMYFUNCTION("""COMPUTED_VALUE"""),"&lt;p&gt;10&lt;/p&gt;")</f>
        <v>&lt;p&gt;10&lt;/p&gt;</v>
      </c>
      <c r="F631" s="5" t="str">
        <f>IFERROR(__xludf.DUMMYFUNCTION("""COMPUTED_VALUE"""),"N")</f>
        <v>N</v>
      </c>
      <c r="G631" s="5"/>
      <c r="H631" s="5"/>
      <c r="I631" s="5"/>
      <c r="J631" s="5"/>
      <c r="K631" s="5"/>
      <c r="L631" s="5"/>
      <c r="M631" s="5">
        <f>IFERROR(__xludf.DUMMYFUNCTION("""COMPUTED_VALUE"""),389.44)</f>
        <v>389.44</v>
      </c>
      <c r="N631" s="5">
        <f>IFERROR(__xludf.DUMMYFUNCTION("""COMPUTED_VALUE"""),10031.0)</f>
        <v>10031</v>
      </c>
      <c r="O631" s="5"/>
      <c r="P631" s="5"/>
      <c r="Q631" s="5" t="str">
        <f>IFERROR(__xludf.DUMMYFUNCTION("""COMPUTED_VALUE"""),"Y")</f>
        <v>Y</v>
      </c>
      <c r="R631" s="5"/>
      <c r="S631" s="5" t="str">
        <f>IFERROR(__xludf.DUMMYFUNCTION("""COMPUTED_VALUE"""),"ขึ้นของมหาชัย")</f>
        <v>ขึ้นของมหาชัย</v>
      </c>
      <c r="T631" s="5">
        <f>IFERROR(__xludf.DUMMYFUNCTION("""COMPUTED_VALUE"""),370.0)</f>
        <v>370</v>
      </c>
      <c r="U631" s="5" t="str">
        <f>IFERROR(__xludf.DUMMYFUNCTION("""COMPUTED_VALUE"""),"Y")</f>
        <v>Y</v>
      </c>
      <c r="V631" s="5">
        <f>IFERROR(__xludf.DUMMYFUNCTION("""COMPUTED_VALUE"""),490.0)</f>
        <v>490</v>
      </c>
      <c r="W631" s="5">
        <f>IFERROR(__xludf.DUMMYFUNCTION("""COMPUTED_VALUE"""),11.0)</f>
        <v>11</v>
      </c>
      <c r="X631" s="5">
        <f>IFERROR(__xludf.DUMMYFUNCTION("""COMPUTED_VALUE"""),3.0)</f>
        <v>3</v>
      </c>
      <c r="Y631" s="5">
        <f>IFERROR(__xludf.DUMMYFUNCTION("""COMPUTED_VALUE"""),8.0)</f>
        <v>8</v>
      </c>
      <c r="Z631" s="5"/>
    </row>
    <row r="632">
      <c r="A632" s="5" t="str">
        <f>IFERROR(__xludf.DUMMYFUNCTION("""COMPUTED_VALUE"""),"หอยภู่ชิลีl-(ลังแดง)")</f>
        <v>หอยภู่ชิลีl-(ลังแดง)</v>
      </c>
      <c r="B632" s="5">
        <f>IFERROR(__xludf.DUMMYFUNCTION("""COMPUTED_VALUE"""),10295.0)</f>
        <v>10295</v>
      </c>
      <c r="C632" s="5" t="str">
        <f>IFERROR(__xludf.DUMMYFUNCTION("""COMPUTED_VALUE"""),"หอยภู่ชิลี L ฝาเดียว  (ลัง) - 69")</f>
        <v>หอยภู่ชิลี L ฝาเดียว  (ลัง) - 69</v>
      </c>
      <c r="D632" s="5" t="str">
        <f>IFERROR(__xludf.DUMMYFUNCTION("""COMPUTED_VALUE"""),"**ลัง มหาชัย")</f>
        <v>**ลัง มหาชัย</v>
      </c>
      <c r="E632" s="5" t="str">
        <f>IFERROR(__xludf.DUMMYFUNCTION("""COMPUTED_VALUE"""),"10")</f>
        <v>10</v>
      </c>
      <c r="F632" s="5" t="str">
        <f>IFERROR(__xludf.DUMMYFUNCTION("""COMPUTED_VALUE"""),"N")</f>
        <v>N</v>
      </c>
      <c r="G632" s="5"/>
      <c r="H632" s="5"/>
      <c r="I632" s="5"/>
      <c r="J632" s="5"/>
      <c r="K632" s="5"/>
      <c r="L632" s="5"/>
      <c r="M632" s="5">
        <f>IFERROR(__xludf.DUMMYFUNCTION("""COMPUTED_VALUE"""),466.65)</f>
        <v>466.65</v>
      </c>
      <c r="N632" s="5">
        <f>IFERROR(__xludf.DUMMYFUNCTION("""COMPUTED_VALUE"""),10295.0)</f>
        <v>10295</v>
      </c>
      <c r="O632" s="5"/>
      <c r="P632" s="5"/>
      <c r="Q632" s="5" t="str">
        <f>IFERROR(__xludf.DUMMYFUNCTION("""COMPUTED_VALUE"""),"Y")</f>
        <v>Y</v>
      </c>
      <c r="R632" s="5"/>
      <c r="S632" s="5" t="str">
        <f>IFERROR(__xludf.DUMMYFUNCTION("""COMPUTED_VALUE"""),"ขึ้นของมหาชัย")</f>
        <v>ขึ้นของมหาชัย</v>
      </c>
      <c r="T632" s="5">
        <f>IFERROR(__xludf.DUMMYFUNCTION("""COMPUTED_VALUE"""),450.0)</f>
        <v>450</v>
      </c>
      <c r="U632" s="5" t="str">
        <f>IFERROR(__xludf.DUMMYFUNCTION("""COMPUTED_VALUE"""),"Y")</f>
        <v>Y</v>
      </c>
      <c r="V632" s="5">
        <f>IFERROR(__xludf.DUMMYFUNCTION("""COMPUTED_VALUE"""),690.0)</f>
        <v>690</v>
      </c>
      <c r="W632" s="5">
        <f>IFERROR(__xludf.DUMMYFUNCTION("""COMPUTED_VALUE"""),27.0)</f>
        <v>27</v>
      </c>
      <c r="X632" s="5">
        <f>IFERROR(__xludf.DUMMYFUNCTION("""COMPUTED_VALUE"""),5.0)</f>
        <v>5</v>
      </c>
      <c r="Y632" s="5">
        <f>IFERROR(__xludf.DUMMYFUNCTION("""COMPUTED_VALUE"""),14.0)</f>
        <v>14</v>
      </c>
      <c r="Z632" s="5"/>
    </row>
    <row r="633">
      <c r="A633" s="5" t="str">
        <f>IFERROR(__xludf.DUMMYFUNCTION("""COMPUTED_VALUE"""),"(s)-หอยภู่ชิลี-l-ฝาเดียว-(a)-ถุง1กก")</f>
        <v>(s)-หอยภู่ชิลี-l-ฝาเดียว-(a)-ถุง1กก</v>
      </c>
      <c r="B633" s="5">
        <f>IFERROR(__xludf.DUMMYFUNCTION("""COMPUTED_VALUE"""),10851.0)</f>
        <v>10851</v>
      </c>
      <c r="C633" s="5" t="str">
        <f>IFERROR(__xludf.DUMMYFUNCTION("""COMPUTED_VALUE"""),"หอยภู่ชิลี L ฝาเดียว (A) ถุง1กก")</f>
        <v>หอยภู่ชิลี L ฝาเดียว (A) ถุง1กก</v>
      </c>
      <c r="D633" s="5"/>
      <c r="E633" s="5"/>
      <c r="F633" s="5" t="str">
        <f>IFERROR(__xludf.DUMMYFUNCTION("""COMPUTED_VALUE"""),"N")</f>
        <v>N</v>
      </c>
      <c r="G633" s="5"/>
      <c r="H633" s="5"/>
      <c r="I633" s="5"/>
      <c r="J633" s="5"/>
      <c r="K633" s="5"/>
      <c r="L633" s="5"/>
      <c r="M633" s="5"/>
      <c r="N633" s="5"/>
      <c r="O633" s="5">
        <f>IFERROR(__xludf.DUMMYFUNCTION("""COMPUTED_VALUE"""),10843.0)</f>
        <v>10843</v>
      </c>
      <c r="P633" s="5">
        <f>IFERROR(__xludf.DUMMYFUNCTION("""COMPUTED_VALUE"""),0.1)</f>
        <v>0.1</v>
      </c>
      <c r="Q633" s="5" t="str">
        <f>IFERROR(__xludf.DUMMYFUNCTION("""COMPUTED_VALUE"""),"N")</f>
        <v>N</v>
      </c>
      <c r="R633" s="5" t="str">
        <f>IFERROR(__xludf.DUMMYFUNCTION("""COMPUTED_VALUE"""),"N")</f>
        <v>N</v>
      </c>
      <c r="S633" s="5"/>
      <c r="T633" s="5"/>
      <c r="U633" s="5" t="str">
        <f>IFERROR(__xludf.DUMMYFUNCTION("""COMPUTED_VALUE"""),"Y")</f>
        <v>Y</v>
      </c>
      <c r="V633" s="5">
        <f>IFERROR(__xludf.DUMMYFUNCTION("""COMPUTED_VALUE"""),115.0)</f>
        <v>115</v>
      </c>
      <c r="W633" s="5"/>
      <c r="X633" s="5"/>
      <c r="Y633" s="5"/>
      <c r="Z633" s="5"/>
    </row>
    <row r="634">
      <c r="A634" s="5" t="str">
        <f>IFERROR(__xludf.DUMMYFUNCTION("""COMPUTED_VALUE"""),"หอยภู่ชิลี-l-ฝาเดียว-(a)-ลัง-10-กก")</f>
        <v>หอยภู่ชิลี-l-ฝาเดียว-(a)-ลัง-10-กก</v>
      </c>
      <c r="B634" s="5">
        <f>IFERROR(__xludf.DUMMYFUNCTION("""COMPUTED_VALUE"""),10843.0)</f>
        <v>10843</v>
      </c>
      <c r="C634" s="5" t="str">
        <f>IFERROR(__xludf.DUMMYFUNCTION("""COMPUTED_VALUE"""),"หอยภู่ชิลี L ฝาเดียว (A) ลัง 10 กก")</f>
        <v>หอยภู่ชิลี L ฝาเดียว (A) ลัง 10 กก</v>
      </c>
      <c r="D634" s="5" t="str">
        <f>IFERROR(__xludf.DUMMYFUNCTION("""COMPUTED_VALUE"""),"**ลัง มหาชัย")</f>
        <v>**ลัง มหาชัย</v>
      </c>
      <c r="E634" s="5" t="str">
        <f>IFERROR(__xludf.DUMMYFUNCTION("""COMPUTED_VALUE"""),"&lt;p&gt;10&lt;/p&gt;")</f>
        <v>&lt;p&gt;10&lt;/p&gt;</v>
      </c>
      <c r="F634" s="5" t="str">
        <f>IFERROR(__xludf.DUMMYFUNCTION("""COMPUTED_VALUE"""),"N")</f>
        <v>N</v>
      </c>
      <c r="G634" s="5"/>
      <c r="H634" s="5"/>
      <c r="I634" s="5"/>
      <c r="J634" s="5"/>
      <c r="K634" s="5"/>
      <c r="L634" s="5"/>
      <c r="M634" s="5">
        <f>IFERROR(__xludf.DUMMYFUNCTION("""COMPUTED_VALUE"""),872.24)</f>
        <v>872.24</v>
      </c>
      <c r="N634" s="5"/>
      <c r="O634" s="5"/>
      <c r="P634" s="5"/>
      <c r="Q634" s="5" t="str">
        <f>IFERROR(__xludf.DUMMYFUNCTION("""COMPUTED_VALUE"""),"Y")</f>
        <v>Y</v>
      </c>
      <c r="R634" s="5"/>
      <c r="S634" s="5" t="str">
        <f>IFERROR(__xludf.DUMMYFUNCTION("""COMPUTED_VALUE"""),"ขึ้นของมหาชัย")</f>
        <v>ขึ้นของมหาชัย</v>
      </c>
      <c r="T634" s="5">
        <f>IFERROR(__xludf.DUMMYFUNCTION("""COMPUTED_VALUE"""),850.0)</f>
        <v>850</v>
      </c>
      <c r="U634" s="5" t="str">
        <f>IFERROR(__xludf.DUMMYFUNCTION("""COMPUTED_VALUE"""),"N")</f>
        <v>N</v>
      </c>
      <c r="V634" s="5">
        <f>IFERROR(__xludf.DUMMYFUNCTION("""COMPUTED_VALUE"""),950.0)</f>
        <v>950</v>
      </c>
      <c r="W634" s="5">
        <f>IFERROR(__xludf.DUMMYFUNCTION("""COMPUTED_VALUE"""),0.0)</f>
        <v>0</v>
      </c>
      <c r="X634" s="5">
        <f>IFERROR(__xludf.DUMMYFUNCTION("""COMPUTED_VALUE"""),0.0)</f>
        <v>0</v>
      </c>
      <c r="Y634" s="5">
        <f>IFERROR(__xludf.DUMMYFUNCTION("""COMPUTED_VALUE"""),0.0)</f>
        <v>0</v>
      </c>
      <c r="Z634" s="5"/>
    </row>
    <row r="635">
      <c r="A635" s="5" t="str">
        <f>IFERROR(__xludf.DUMMYFUNCTION("""COMPUTED_VALUE"""),"หอยหวาน-50/80--ลัง-10kg(100)")</f>
        <v>หอยหวาน-50/80--ลัง-10kg(100)</v>
      </c>
      <c r="B635" s="5">
        <f>IFERROR(__xludf.DUMMYFUNCTION("""COMPUTED_VALUE"""),11575.0)</f>
        <v>11575</v>
      </c>
      <c r="C635" s="5" t="str">
        <f>IFERROR(__xludf.DUMMYFUNCTION("""COMPUTED_VALUE"""),"หอยหวาน  50/80  12 กก. (ลัง) - 115")</f>
        <v>หอยหวาน  50/80  12 กก. (ลัง) - 115</v>
      </c>
      <c r="D635" s="5" t="str">
        <f>IFERROR(__xludf.DUMMYFUNCTION("""COMPUTED_VALUE"""),"**ลัง มหาชัย")</f>
        <v>**ลัง มหาชัย</v>
      </c>
      <c r="E635" s="5" t="str">
        <f>IFERROR(__xludf.DUMMYFUNCTION("""COMPUTED_VALUE"""),"&lt;p&gt;12&lt;/p&gt;")</f>
        <v>&lt;p&gt;12&lt;/p&gt;</v>
      </c>
      <c r="F635" s="5" t="str">
        <f>IFERROR(__xludf.DUMMYFUNCTION("""COMPUTED_VALUE"""),"N")</f>
        <v>N</v>
      </c>
      <c r="G635" s="5"/>
      <c r="H635" s="5"/>
      <c r="I635" s="5"/>
      <c r="J635" s="5"/>
      <c r="K635" s="5"/>
      <c r="L635" s="5"/>
      <c r="M635" s="5">
        <f>IFERROR(__xludf.DUMMYFUNCTION("""COMPUTED_VALUE"""),1259.45)</f>
        <v>1259.45</v>
      </c>
      <c r="N635" s="5">
        <f>IFERROR(__xludf.DUMMYFUNCTION("""COMPUTED_VALUE"""),11575.0)</f>
        <v>11575</v>
      </c>
      <c r="O635" s="5"/>
      <c r="P635" s="5"/>
      <c r="Q635" s="5" t="str">
        <f>IFERROR(__xludf.DUMMYFUNCTION("""COMPUTED_VALUE"""),"Y")</f>
        <v>Y</v>
      </c>
      <c r="R635" s="5"/>
      <c r="S635" s="5" t="str">
        <f>IFERROR(__xludf.DUMMYFUNCTION("""COMPUTED_VALUE"""),"ขึ้นของมหาชัย")</f>
        <v>ขึ้นของมหาชัย</v>
      </c>
      <c r="T635" s="5">
        <f>IFERROR(__xludf.DUMMYFUNCTION("""COMPUTED_VALUE"""),1224.0)</f>
        <v>1224</v>
      </c>
      <c r="U635" s="5" t="str">
        <f>IFERROR(__xludf.DUMMYFUNCTION("""COMPUTED_VALUE"""),"Y")</f>
        <v>Y</v>
      </c>
      <c r="V635" s="5">
        <f>IFERROR(__xludf.DUMMYFUNCTION("""COMPUTED_VALUE"""),1380.0)</f>
        <v>1380</v>
      </c>
      <c r="W635" s="5">
        <f>IFERROR(__xludf.DUMMYFUNCTION("""COMPUTED_VALUE"""),0.0)</f>
        <v>0</v>
      </c>
      <c r="X635" s="5">
        <f>IFERROR(__xludf.DUMMYFUNCTION("""COMPUTED_VALUE"""),1.0)</f>
        <v>1</v>
      </c>
      <c r="Y635" s="5">
        <f>IFERROR(__xludf.DUMMYFUNCTION("""COMPUTED_VALUE"""),3.0)</f>
        <v>3</v>
      </c>
      <c r="Z635" s="5"/>
    </row>
    <row r="636">
      <c r="A636" s="5" t="str">
        <f>IFERROR(__xludf.DUMMYFUNCTION("""COMPUTED_VALUE"""),"หอยหวาน-50/80--ลัง-12kg(113)")</f>
        <v>หอยหวาน-50/80--ลัง-12kg(113)</v>
      </c>
      <c r="B636" s="5">
        <f>IFERROR(__xludf.DUMMYFUNCTION("""COMPUTED_VALUE"""),11260.0)</f>
        <v>11260</v>
      </c>
      <c r="C636" s="5" t="str">
        <f>IFERROR(__xludf.DUMMYFUNCTION("""COMPUTED_VALUE"""),"หอยหวาน  50/80 10Kg/ลัง (115)")</f>
        <v>หอยหวาน  50/80 10Kg/ลัง (115)</v>
      </c>
      <c r="D636" s="5" t="str">
        <f>IFERROR(__xludf.DUMMYFUNCTION("""COMPUTED_VALUE"""),"**ลัง มหาชัย")</f>
        <v>**ลัง มหาชัย</v>
      </c>
      <c r="E636" s="5" t="str">
        <f>IFERROR(__xludf.DUMMYFUNCTION("""COMPUTED_VALUE"""),"10")</f>
        <v>10</v>
      </c>
      <c r="F636" s="5" t="str">
        <f>IFERROR(__xludf.DUMMYFUNCTION("""COMPUTED_VALUE"""),"N")</f>
        <v>N</v>
      </c>
      <c r="G636" s="5"/>
      <c r="H636" s="5"/>
      <c r="I636" s="5"/>
      <c r="J636" s="5"/>
      <c r="K636" s="5"/>
      <c r="L636" s="5"/>
      <c r="M636" s="5">
        <f>IFERROR(__xludf.DUMMYFUNCTION("""COMPUTED_VALUE"""),1004.71)</f>
        <v>1004.71</v>
      </c>
      <c r="N636" s="5">
        <f>IFERROR(__xludf.DUMMYFUNCTION("""COMPUTED_VALUE"""),11260.0)</f>
        <v>11260</v>
      </c>
      <c r="O636" s="5"/>
      <c r="P636" s="5"/>
      <c r="Q636" s="5" t="str">
        <f>IFERROR(__xludf.DUMMYFUNCTION("""COMPUTED_VALUE"""),"Y")</f>
        <v>Y</v>
      </c>
      <c r="R636" s="5"/>
      <c r="S636" s="5" t="str">
        <f>IFERROR(__xludf.DUMMYFUNCTION("""COMPUTED_VALUE"""),"ขึ้นของมหาชัย")</f>
        <v>ขึ้นของมหาชัย</v>
      </c>
      <c r="T636" s="5">
        <f>IFERROR(__xludf.DUMMYFUNCTION("""COMPUTED_VALUE"""),1000.0)</f>
        <v>1000</v>
      </c>
      <c r="U636" s="5" t="str">
        <f>IFERROR(__xludf.DUMMYFUNCTION("""COMPUTED_VALUE"""),"Y")</f>
        <v>Y</v>
      </c>
      <c r="V636" s="5">
        <f>IFERROR(__xludf.DUMMYFUNCTION("""COMPUTED_VALUE"""),1150.0)</f>
        <v>1150</v>
      </c>
      <c r="W636" s="5">
        <f>IFERROR(__xludf.DUMMYFUNCTION("""COMPUTED_VALUE"""),0.0)</f>
        <v>0</v>
      </c>
      <c r="X636" s="5">
        <f>IFERROR(__xludf.DUMMYFUNCTION("""COMPUTED_VALUE"""),1.0)</f>
        <v>1</v>
      </c>
      <c r="Y636" s="5">
        <f>IFERROR(__xludf.DUMMYFUNCTION("""COMPUTED_VALUE"""),3.0)</f>
        <v>3</v>
      </c>
      <c r="Z636" s="5"/>
    </row>
    <row r="637">
      <c r="A637" s="5" t="str">
        <f>IFERROR(__xludf.DUMMYFUNCTION("""COMPUTED_VALUE"""),"หอยหวาน-10/20--ลัง-10-กก")</f>
        <v>หอยหวาน-10/20--ลัง-10-กก</v>
      </c>
      <c r="B637" s="5">
        <f>IFERROR(__xludf.DUMMYFUNCTION("""COMPUTED_VALUE"""),10064.0)</f>
        <v>10064</v>
      </c>
      <c r="C637" s="5" t="str">
        <f>IFERROR(__xludf.DUMMYFUNCTION("""COMPUTED_VALUE"""),"หอยหวาน 10/20 10 กก. (ลัง) - 148")</f>
        <v>หอยหวาน 10/20 10 กก. (ลัง) - 148</v>
      </c>
      <c r="D637" s="5" t="str">
        <f>IFERROR(__xludf.DUMMYFUNCTION("""COMPUTED_VALUE"""),"**ลัง มหาชัย")</f>
        <v>**ลัง มหาชัย</v>
      </c>
      <c r="E637" s="5" t="str">
        <f>IFERROR(__xludf.DUMMYFUNCTION("""COMPUTED_VALUE"""),"&lt;p&gt;10&lt;/p&gt;")</f>
        <v>&lt;p&gt;10&lt;/p&gt;</v>
      </c>
      <c r="F637" s="5" t="str">
        <f>IFERROR(__xludf.DUMMYFUNCTION("""COMPUTED_VALUE"""),"N")</f>
        <v>N</v>
      </c>
      <c r="G637" s="5"/>
      <c r="H637" s="5"/>
      <c r="I637" s="5"/>
      <c r="J637" s="5"/>
      <c r="K637" s="5"/>
      <c r="L637" s="5"/>
      <c r="M637" s="5">
        <f>IFERROR(__xludf.DUMMYFUNCTION("""COMPUTED_VALUE"""),1043.05)</f>
        <v>1043.05</v>
      </c>
      <c r="N637" s="5">
        <f>IFERROR(__xludf.DUMMYFUNCTION("""COMPUTED_VALUE"""),10064.0)</f>
        <v>10064</v>
      </c>
      <c r="O637" s="5"/>
      <c r="P637" s="5"/>
      <c r="Q637" s="5" t="str">
        <f>IFERROR(__xludf.DUMMYFUNCTION("""COMPUTED_VALUE"""),"Y")</f>
        <v>Y</v>
      </c>
      <c r="R637" s="5"/>
      <c r="S637" s="5" t="str">
        <f>IFERROR(__xludf.DUMMYFUNCTION("""COMPUTED_VALUE"""),"ขึ้นของมหาชัย")</f>
        <v>ขึ้นของมหาชัย</v>
      </c>
      <c r="T637" s="5">
        <f>IFERROR(__xludf.DUMMYFUNCTION("""COMPUTED_VALUE"""),1000.0)</f>
        <v>1000</v>
      </c>
      <c r="U637" s="5" t="str">
        <f>IFERROR(__xludf.DUMMYFUNCTION("""COMPUTED_VALUE"""),"Y")</f>
        <v>Y</v>
      </c>
      <c r="V637" s="5">
        <f>IFERROR(__xludf.DUMMYFUNCTION("""COMPUTED_VALUE"""),1480.0)</f>
        <v>1480</v>
      </c>
      <c r="W637" s="5">
        <f>IFERROR(__xludf.DUMMYFUNCTION("""COMPUTED_VALUE"""),2.0)</f>
        <v>2</v>
      </c>
      <c r="X637" s="5">
        <f>IFERROR(__xludf.DUMMYFUNCTION("""COMPUTED_VALUE"""),1.0)</f>
        <v>1</v>
      </c>
      <c r="Y637" s="5">
        <f>IFERROR(__xludf.DUMMYFUNCTION("""COMPUTED_VALUE"""),3.0)</f>
        <v>3</v>
      </c>
      <c r="Z637" s="5"/>
    </row>
    <row r="638">
      <c r="A638" s="5" t="str">
        <f>IFERROR(__xludf.DUMMYFUNCTION("""COMPUTED_VALUE"""),"หอยหวาน-10/20-ลัง15กก(145)")</f>
        <v>หอยหวาน-10/20-ลัง15กก(145)</v>
      </c>
      <c r="B638" s="5">
        <f>IFERROR(__xludf.DUMMYFUNCTION("""COMPUTED_VALUE"""),10831.0)</f>
        <v>10831</v>
      </c>
      <c r="C638" s="5" t="str">
        <f>IFERROR(__xludf.DUMMYFUNCTION("""COMPUTED_VALUE"""),"หอยหวาน 10/20 ลัง12กก(148)")</f>
        <v>หอยหวาน 10/20 ลัง12กก(148)</v>
      </c>
      <c r="D638" s="5" t="str">
        <f>IFERROR(__xludf.DUMMYFUNCTION("""COMPUTED_VALUE"""),"**ลัง มหาชัย")</f>
        <v>**ลัง มหาชัย</v>
      </c>
      <c r="E638" s="5"/>
      <c r="F638" s="5" t="str">
        <f>IFERROR(__xludf.DUMMYFUNCTION("""COMPUTED_VALUE"""),"N")</f>
        <v>N</v>
      </c>
      <c r="G638" s="5"/>
      <c r="H638" s="5"/>
      <c r="I638" s="5"/>
      <c r="J638" s="5"/>
      <c r="K638" s="5"/>
      <c r="L638" s="5"/>
      <c r="M638" s="5">
        <f>IFERROR(__xludf.DUMMYFUNCTION("""COMPUTED_VALUE"""),1593.33)</f>
        <v>1593.33</v>
      </c>
      <c r="N638" s="5"/>
      <c r="O638" s="5"/>
      <c r="P638" s="5"/>
      <c r="Q638" s="5" t="str">
        <f>IFERROR(__xludf.DUMMYFUNCTION("""COMPUTED_VALUE"""),"Y")</f>
        <v>Y</v>
      </c>
      <c r="R638" s="5"/>
      <c r="S638" s="5"/>
      <c r="T638" s="5">
        <f>IFERROR(__xludf.DUMMYFUNCTION("""COMPUTED_VALUE"""),1716.0)</f>
        <v>1716</v>
      </c>
      <c r="U638" s="5" t="str">
        <f>IFERROR(__xludf.DUMMYFUNCTION("""COMPUTED_VALUE"""),"N")</f>
        <v>N</v>
      </c>
      <c r="V638" s="5">
        <f>IFERROR(__xludf.DUMMYFUNCTION("""COMPUTED_VALUE"""),1776.0)</f>
        <v>1776</v>
      </c>
      <c r="W638" s="5">
        <f>IFERROR(__xludf.DUMMYFUNCTION("""COMPUTED_VALUE"""),0.0)</f>
        <v>0</v>
      </c>
      <c r="X638" s="5"/>
      <c r="Y638" s="5"/>
      <c r="Z638" s="5"/>
    </row>
    <row r="639">
      <c r="A639" s="5" t="str">
        <f>IFERROR(__xludf.DUMMYFUNCTION("""COMPUTED_VALUE"""),"หอยหวาน-20/30-10กก/ลัง(148)")</f>
        <v>หอยหวาน-20/30-10กก/ลัง(148)</v>
      </c>
      <c r="B639" s="5">
        <f>IFERROR(__xludf.DUMMYFUNCTION("""COMPUTED_VALUE"""),10885.0)</f>
        <v>10885</v>
      </c>
      <c r="C639" s="5" t="str">
        <f>IFERROR(__xludf.DUMMYFUNCTION("""COMPUTED_VALUE"""),"หอยหวาน 20/30 10กก/ลัง(148)")</f>
        <v>หอยหวาน 20/30 10กก/ลัง(148)</v>
      </c>
      <c r="D639" s="5" t="str">
        <f>IFERROR(__xludf.DUMMYFUNCTION("""COMPUTED_VALUE"""),"**ลัง มหาชัย")</f>
        <v>**ลัง มหาชัย</v>
      </c>
      <c r="E639" s="5"/>
      <c r="F639" s="5" t="str">
        <f>IFERROR(__xludf.DUMMYFUNCTION("""COMPUTED_VALUE"""),"N")</f>
        <v>N</v>
      </c>
      <c r="G639" s="5"/>
      <c r="H639" s="5"/>
      <c r="I639" s="5"/>
      <c r="J639" s="5"/>
      <c r="K639" s="5"/>
      <c r="L639" s="5"/>
      <c r="M639" s="5">
        <f>IFERROR(__xludf.DUMMYFUNCTION("""COMPUTED_VALUE"""),1396.46)</f>
        <v>1396.46</v>
      </c>
      <c r="N639" s="5"/>
      <c r="O639" s="5"/>
      <c r="P639" s="5"/>
      <c r="Q639" s="5" t="str">
        <f>IFERROR(__xludf.DUMMYFUNCTION("""COMPUTED_VALUE"""),"Y")</f>
        <v>Y</v>
      </c>
      <c r="R639" s="5"/>
      <c r="S639" s="5" t="str">
        <f>IFERROR(__xludf.DUMMYFUNCTION("""COMPUTED_VALUE"""),"ขึ้นของมหาชัย")</f>
        <v>ขึ้นของมหาชัย</v>
      </c>
      <c r="T639" s="5">
        <f>IFERROR(__xludf.DUMMYFUNCTION("""COMPUTED_VALUE"""),1330.0)</f>
        <v>1330</v>
      </c>
      <c r="U639" s="5" t="str">
        <f>IFERROR(__xludf.DUMMYFUNCTION("""COMPUTED_VALUE"""),"Y")</f>
        <v>Y</v>
      </c>
      <c r="V639" s="5">
        <f>IFERROR(__xludf.DUMMYFUNCTION("""COMPUTED_VALUE"""),1480.0)</f>
        <v>1480</v>
      </c>
      <c r="W639" s="5">
        <f>IFERROR(__xludf.DUMMYFUNCTION("""COMPUTED_VALUE"""),0.0)</f>
        <v>0</v>
      </c>
      <c r="X639" s="5"/>
      <c r="Y639" s="5"/>
      <c r="Z639" s="5"/>
    </row>
    <row r="640">
      <c r="A640" s="5" t="str">
        <f>IFERROR(__xludf.DUMMYFUNCTION("""COMPUTED_VALUE"""),"หอยหวาน20/30-12kg/ลัง(145)")</f>
        <v>หอยหวาน20/30-12kg/ลัง(145)</v>
      </c>
      <c r="B640" s="5">
        <f>IFERROR(__xludf.DUMMYFUNCTION("""COMPUTED_VALUE"""),10322.0)</f>
        <v>10322</v>
      </c>
      <c r="C640" s="5" t="str">
        <f>IFERROR(__xludf.DUMMYFUNCTION("""COMPUTED_VALUE"""),"หอยหวาน 20/30 12กก/ลัง(148)")</f>
        <v>หอยหวาน 20/30 12กก/ลัง(148)</v>
      </c>
      <c r="D640" s="5" t="str">
        <f>IFERROR(__xludf.DUMMYFUNCTION("""COMPUTED_VALUE"""),"**ลัง มหาชัย")</f>
        <v>**ลัง มหาชัย</v>
      </c>
      <c r="E640" s="5" t="str">
        <f>IFERROR(__xludf.DUMMYFUNCTION("""COMPUTED_VALUE"""),"&lt;p&gt;12&lt;/p&gt;")</f>
        <v>&lt;p&gt;12&lt;/p&gt;</v>
      </c>
      <c r="F640" s="5" t="str">
        <f>IFERROR(__xludf.DUMMYFUNCTION("""COMPUTED_VALUE"""),"N")</f>
        <v>N</v>
      </c>
      <c r="G640" s="5"/>
      <c r="H640" s="5"/>
      <c r="I640" s="5"/>
      <c r="J640" s="5"/>
      <c r="K640" s="5"/>
      <c r="L640" s="5"/>
      <c r="M640" s="5">
        <f>IFERROR(__xludf.DUMMYFUNCTION("""COMPUTED_VALUE"""),1716.0)</f>
        <v>1716</v>
      </c>
      <c r="N640" s="5"/>
      <c r="O640" s="5"/>
      <c r="P640" s="5"/>
      <c r="Q640" s="5" t="str">
        <f>IFERROR(__xludf.DUMMYFUNCTION("""COMPUTED_VALUE"""),"Y")</f>
        <v>Y</v>
      </c>
      <c r="R640" s="5"/>
      <c r="S640" s="5" t="str">
        <f>IFERROR(__xludf.DUMMYFUNCTION("""COMPUTED_VALUE"""),"ขึ้นของมหาชัย")</f>
        <v>ขึ้นของมหาชัย</v>
      </c>
      <c r="T640" s="5">
        <f>IFERROR(__xludf.DUMMYFUNCTION("""COMPUTED_VALUE"""),1716.0)</f>
        <v>1716</v>
      </c>
      <c r="U640" s="5" t="str">
        <f>IFERROR(__xludf.DUMMYFUNCTION("""COMPUTED_VALUE"""),"N")</f>
        <v>N</v>
      </c>
      <c r="V640" s="5">
        <f>IFERROR(__xludf.DUMMYFUNCTION("""COMPUTED_VALUE"""),1776.0)</f>
        <v>1776</v>
      </c>
      <c r="W640" s="5">
        <f>IFERROR(__xludf.DUMMYFUNCTION("""COMPUTED_VALUE"""),0.0)</f>
        <v>0</v>
      </c>
      <c r="X640" s="5">
        <f>IFERROR(__xludf.DUMMYFUNCTION("""COMPUTED_VALUE"""),1.0)</f>
        <v>1</v>
      </c>
      <c r="Y640" s="5">
        <f>IFERROR(__xludf.DUMMYFUNCTION("""COMPUTED_VALUE"""),3.0)</f>
        <v>3</v>
      </c>
      <c r="Z640" s="5"/>
    </row>
    <row r="641">
      <c r="A641" s="5" t="str">
        <f>IFERROR(__xludf.DUMMYFUNCTION("""COMPUTED_VALUE"""),"หอยหวาน30/50-ลัง-20-kg(138)")</f>
        <v>หอยหวาน30/50-ลัง-20-kg(138)</v>
      </c>
      <c r="B641" s="5">
        <f>IFERROR(__xludf.DUMMYFUNCTION("""COMPUTED_VALUE"""),10106.0)</f>
        <v>10106</v>
      </c>
      <c r="C641" s="5" t="str">
        <f>IFERROR(__xludf.DUMMYFUNCTION("""COMPUTED_VALUE"""),"หอยหวาน 30/50  12 kg/ลัง (145)")</f>
        <v>หอยหวาน 30/50  12 kg/ลัง (145)</v>
      </c>
      <c r="D641" s="5" t="str">
        <f>IFERROR(__xludf.DUMMYFUNCTION("""COMPUTED_VALUE"""),"**ลัง มหาชัย")</f>
        <v>**ลัง มหาชัย</v>
      </c>
      <c r="E641" s="5" t="str">
        <f>IFERROR(__xludf.DUMMYFUNCTION("""COMPUTED_VALUE"""),"&lt;p&gt;12&lt;/p&gt;")</f>
        <v>&lt;p&gt;12&lt;/p&gt;</v>
      </c>
      <c r="F641" s="5" t="str">
        <f>IFERROR(__xludf.DUMMYFUNCTION("""COMPUTED_VALUE"""),"N")</f>
        <v>N</v>
      </c>
      <c r="G641" s="5"/>
      <c r="H641" s="5"/>
      <c r="I641" s="5"/>
      <c r="J641" s="5"/>
      <c r="K641" s="5"/>
      <c r="L641" s="5"/>
      <c r="M641" s="5">
        <f>IFERROR(__xludf.DUMMYFUNCTION("""COMPUTED_VALUE"""),1710.1)</f>
        <v>1710.1</v>
      </c>
      <c r="N641" s="5">
        <f>IFERROR(__xludf.DUMMYFUNCTION("""COMPUTED_VALUE"""),10106.0)</f>
        <v>10106</v>
      </c>
      <c r="O641" s="5"/>
      <c r="P641" s="5"/>
      <c r="Q641" s="5" t="str">
        <f>IFERROR(__xludf.DUMMYFUNCTION("""COMPUTED_VALUE"""),"Y")</f>
        <v>Y</v>
      </c>
      <c r="R641" s="5"/>
      <c r="S641" s="5" t="str">
        <f>IFERROR(__xludf.DUMMYFUNCTION("""COMPUTED_VALUE"""),"ขึ้นของมหาชัย")</f>
        <v>ขึ้นของมหาชัย</v>
      </c>
      <c r="T641" s="5">
        <f>IFERROR(__xludf.DUMMYFUNCTION("""COMPUTED_VALUE"""),1620.0)</f>
        <v>1620</v>
      </c>
      <c r="U641" s="5" t="str">
        <f>IFERROR(__xludf.DUMMYFUNCTION("""COMPUTED_VALUE"""),"Y")</f>
        <v>Y</v>
      </c>
      <c r="V641" s="5">
        <f>IFERROR(__xludf.DUMMYFUNCTION("""COMPUTED_VALUE"""),1740.0)</f>
        <v>1740</v>
      </c>
      <c r="W641" s="5">
        <f>IFERROR(__xludf.DUMMYFUNCTION("""COMPUTED_VALUE"""),0.0)</f>
        <v>0</v>
      </c>
      <c r="X641" s="5">
        <f>IFERROR(__xludf.DUMMYFUNCTION("""COMPUTED_VALUE"""),1.0)</f>
        <v>1</v>
      </c>
      <c r="Y641" s="5">
        <f>IFERROR(__xludf.DUMMYFUNCTION("""COMPUTED_VALUE"""),3.0)</f>
        <v>3</v>
      </c>
      <c r="Z641" s="5"/>
    </row>
    <row r="642">
      <c r="A642" s="5" t="str">
        <f>IFERROR(__xludf.DUMMYFUNCTION("""COMPUTED_VALUE"""),"หอยหวาน30/50-ลัง-12-kg(138)")</f>
        <v>หอยหวาน30/50-ลัง-12-kg(138)</v>
      </c>
      <c r="B642" s="5">
        <f>IFERROR(__xludf.DUMMYFUNCTION("""COMPUTED_VALUE"""),10078.0)</f>
        <v>10078</v>
      </c>
      <c r="C642" s="5" t="str">
        <f>IFERROR(__xludf.DUMMYFUNCTION("""COMPUTED_VALUE"""),"หอยหวาน 30/50 10 กก. (ลัง) - 145")</f>
        <v>หอยหวาน 30/50 10 กก. (ลัง) - 145</v>
      </c>
      <c r="D642" s="5" t="str">
        <f>IFERROR(__xludf.DUMMYFUNCTION("""COMPUTED_VALUE"""),"**ลัง มหาชัย")</f>
        <v>**ลัง มหาชัย</v>
      </c>
      <c r="E642" s="5" t="str">
        <f>IFERROR(__xludf.DUMMYFUNCTION("""COMPUTED_VALUE"""),"&lt;p&gt;10&lt;/p&gt;")</f>
        <v>&lt;p&gt;10&lt;/p&gt;</v>
      </c>
      <c r="F642" s="5" t="str">
        <f>IFERROR(__xludf.DUMMYFUNCTION("""COMPUTED_VALUE"""),"N")</f>
        <v>N</v>
      </c>
      <c r="G642" s="5"/>
      <c r="H642" s="5"/>
      <c r="I642" s="5"/>
      <c r="J642" s="5"/>
      <c r="K642" s="5"/>
      <c r="L642" s="5"/>
      <c r="M642" s="5">
        <f>IFERROR(__xludf.DUMMYFUNCTION("""COMPUTED_VALUE"""),1180.94)</f>
        <v>1180.94</v>
      </c>
      <c r="N642" s="5">
        <f>IFERROR(__xludf.DUMMYFUNCTION("""COMPUTED_VALUE"""),10078.0)</f>
        <v>10078</v>
      </c>
      <c r="O642" s="5"/>
      <c r="P642" s="5"/>
      <c r="Q642" s="5" t="str">
        <f>IFERROR(__xludf.DUMMYFUNCTION("""COMPUTED_VALUE"""),"Y")</f>
        <v>Y</v>
      </c>
      <c r="R642" s="5"/>
      <c r="S642" s="5" t="str">
        <f>IFERROR(__xludf.DUMMYFUNCTION("""COMPUTED_VALUE"""),"ขึ้นของมหาชัย")</f>
        <v>ขึ้นของมหาชัย</v>
      </c>
      <c r="T642" s="5">
        <f>IFERROR(__xludf.DUMMYFUNCTION("""COMPUTED_VALUE"""),1200.0)</f>
        <v>1200</v>
      </c>
      <c r="U642" s="5" t="str">
        <f>IFERROR(__xludf.DUMMYFUNCTION("""COMPUTED_VALUE"""),"Y")</f>
        <v>Y</v>
      </c>
      <c r="V642" s="5">
        <f>IFERROR(__xludf.DUMMYFUNCTION("""COMPUTED_VALUE"""),1450.0)</f>
        <v>1450</v>
      </c>
      <c r="W642" s="5">
        <f>IFERROR(__xludf.DUMMYFUNCTION("""COMPUTED_VALUE"""),0.0)</f>
        <v>0</v>
      </c>
      <c r="X642" s="5">
        <f>IFERROR(__xludf.DUMMYFUNCTION("""COMPUTED_VALUE"""),0.0)</f>
        <v>0</v>
      </c>
      <c r="Y642" s="5">
        <f>IFERROR(__xludf.DUMMYFUNCTION("""COMPUTED_VALUE"""),0.0)</f>
        <v>0</v>
      </c>
      <c r="Z642" s="5"/>
    </row>
    <row r="643">
      <c r="A643" s="5" t="str">
        <f>IFERROR(__xludf.DUMMYFUNCTION("""COMPUTED_VALUE"""),"หอยเชลล์ฝาเดียว1*10kg")</f>
        <v>หอยเชลล์ฝาเดียว1*10kg</v>
      </c>
      <c r="B643" s="5">
        <f>IFERROR(__xludf.DUMMYFUNCTION("""COMPUTED_VALUE"""),10012.0)</f>
        <v>10012</v>
      </c>
      <c r="C643" s="5" t="str">
        <f>IFERROR(__xludf.DUMMYFUNCTION("""COMPUTED_VALUE"""),"หอยเชลล์ฝาเดียว  (ลัง) - 98")</f>
        <v>หอยเชลล์ฝาเดียว  (ลัง) - 98</v>
      </c>
      <c r="D643" s="5" t="str">
        <f>IFERROR(__xludf.DUMMYFUNCTION("""COMPUTED_VALUE"""),"**ลัง มหาชัย")</f>
        <v>**ลัง มหาชัย</v>
      </c>
      <c r="E643" s="5" t="str">
        <f>IFERROR(__xludf.DUMMYFUNCTION("""COMPUTED_VALUE"""),"&lt;p&gt;10&lt;/p&gt;")</f>
        <v>&lt;p&gt;10&lt;/p&gt;</v>
      </c>
      <c r="F643" s="5" t="str">
        <f>IFERROR(__xludf.DUMMYFUNCTION("""COMPUTED_VALUE"""),"N")</f>
        <v>N</v>
      </c>
      <c r="G643" s="5"/>
      <c r="H643" s="5"/>
      <c r="I643" s="5"/>
      <c r="J643" s="5"/>
      <c r="K643" s="5"/>
      <c r="L643" s="5"/>
      <c r="M643" s="5">
        <f>IFERROR(__xludf.DUMMYFUNCTION("""COMPUTED_VALUE"""),646.68)</f>
        <v>646.68</v>
      </c>
      <c r="N643" s="5"/>
      <c r="O643" s="5"/>
      <c r="P643" s="5"/>
      <c r="Q643" s="5" t="str">
        <f>IFERROR(__xludf.DUMMYFUNCTION("""COMPUTED_VALUE"""),"Y")</f>
        <v>Y</v>
      </c>
      <c r="R643" s="5"/>
      <c r="S643" s="5" t="str">
        <f>IFERROR(__xludf.DUMMYFUNCTION("""COMPUTED_VALUE"""),"ขึ้นของมหาชัย")</f>
        <v>ขึ้นของมหาชัย</v>
      </c>
      <c r="T643" s="5">
        <f>IFERROR(__xludf.DUMMYFUNCTION("""COMPUTED_VALUE"""),630.0)</f>
        <v>630</v>
      </c>
      <c r="U643" s="5" t="str">
        <f>IFERROR(__xludf.DUMMYFUNCTION("""COMPUTED_VALUE"""),"Y")</f>
        <v>Y</v>
      </c>
      <c r="V643" s="5">
        <f>IFERROR(__xludf.DUMMYFUNCTION("""COMPUTED_VALUE"""),980.0)</f>
        <v>980</v>
      </c>
      <c r="W643" s="5">
        <f>IFERROR(__xludf.DUMMYFUNCTION("""COMPUTED_VALUE"""),4.0)</f>
        <v>4</v>
      </c>
      <c r="X643" s="5">
        <f>IFERROR(__xludf.DUMMYFUNCTION("""COMPUTED_VALUE"""),2.0)</f>
        <v>2</v>
      </c>
      <c r="Y643" s="5">
        <f>IFERROR(__xludf.DUMMYFUNCTION("""COMPUTED_VALUE"""),5.0)</f>
        <v>5</v>
      </c>
      <c r="Z643" s="5"/>
    </row>
    <row r="644">
      <c r="A644" s="5" t="str">
        <f>IFERROR(__xludf.DUMMYFUNCTION("""COMPUTED_VALUE"""),"หอยแมลงภู่ต้ม-(ใหญ่)-ถุง-5กก")</f>
        <v>หอยแมลงภู่ต้ม-(ใหญ่)-ถุง-5กก</v>
      </c>
      <c r="B644" s="5">
        <f>IFERROR(__xludf.DUMMYFUNCTION("""COMPUTED_VALUE"""),10124.0)</f>
        <v>10124</v>
      </c>
      <c r="C644" s="5" t="str">
        <f>IFERROR(__xludf.DUMMYFUNCTION("""COMPUTED_VALUE"""),"หอยแมลงภู่ต้ม (ใหญ่) ถุง5กก")</f>
        <v>หอยแมลงภู่ต้ม (ใหญ่) ถุง5กก</v>
      </c>
      <c r="D644" s="5"/>
      <c r="E644" s="5"/>
      <c r="F644" s="5" t="str">
        <f>IFERROR(__xludf.DUMMYFUNCTION("""COMPUTED_VALUE"""),"N")</f>
        <v>N</v>
      </c>
      <c r="G644" s="5"/>
      <c r="H644" s="5"/>
      <c r="I644" s="5"/>
      <c r="J644" s="5"/>
      <c r="K644" s="5"/>
      <c r="L644" s="5"/>
      <c r="M644" s="5">
        <f>IFERROR(__xludf.DUMMYFUNCTION("""COMPUTED_VALUE"""),459.2)</f>
        <v>459.2</v>
      </c>
      <c r="N644" s="5"/>
      <c r="O644" s="5"/>
      <c r="P644" s="5"/>
      <c r="Q644" s="5" t="str">
        <f>IFERROR(__xludf.DUMMYFUNCTION("""COMPUTED_VALUE"""),"Y")</f>
        <v>Y</v>
      </c>
      <c r="R644" s="5"/>
      <c r="S644" s="5"/>
      <c r="T644" s="5">
        <f>IFERROR(__xludf.DUMMYFUNCTION("""COMPUTED_VALUE"""),550.0)</f>
        <v>550</v>
      </c>
      <c r="U644" s="5" t="str">
        <f>IFERROR(__xludf.DUMMYFUNCTION("""COMPUTED_VALUE"""),"N")</f>
        <v>N</v>
      </c>
      <c r="V644" s="5">
        <f>IFERROR(__xludf.DUMMYFUNCTION("""COMPUTED_VALUE"""),625.0)</f>
        <v>625</v>
      </c>
      <c r="W644" s="5">
        <f>IFERROR(__xludf.DUMMYFUNCTION("""COMPUTED_VALUE"""),0.0)</f>
        <v>0</v>
      </c>
      <c r="X644" s="5">
        <f>IFERROR(__xludf.DUMMYFUNCTION("""COMPUTED_VALUE"""),0.0)</f>
        <v>0</v>
      </c>
      <c r="Y644" s="5"/>
      <c r="Z644" s="5"/>
    </row>
    <row r="645">
      <c r="A645" s="5" t="str">
        <f>IFERROR(__xludf.DUMMYFUNCTION("""COMPUTED_VALUE"""),"หอยแมงภู่ต้ม-(กลาง)10*500g(หิ้วใส)")</f>
        <v>หอยแมงภู่ต้ม-(กลาง)10*500g(หิ้วใส)</v>
      </c>
      <c r="B645" s="5">
        <f>IFERROR(__xludf.DUMMYFUNCTION("""COMPUTED_VALUE"""),11268.0)</f>
        <v>11268</v>
      </c>
      <c r="C645" s="5" t="str">
        <f>IFERROR(__xludf.DUMMYFUNCTION("""COMPUTED_VALUE"""),"หอยแมลงภู่ต้ม (ใหญ่)10*500g(หิ้ว)-54")</f>
        <v>หอยแมลงภู่ต้ม (ใหญ่)10*500g(หิ้ว)-54</v>
      </c>
      <c r="D645" s="5" t="str">
        <f>IFERROR(__xludf.DUMMYFUNCTION("""COMPUTED_VALUE"""),"**ของหิ้ว มหาชัย")</f>
        <v>**ของหิ้ว มหาชัย</v>
      </c>
      <c r="E645" s="5" t="str">
        <f>IFERROR(__xludf.DUMMYFUNCTION("""COMPUTED_VALUE"""),"5")</f>
        <v>5</v>
      </c>
      <c r="F645" s="5" t="str">
        <f>IFERROR(__xludf.DUMMYFUNCTION("""COMPUTED_VALUE"""),"N")</f>
        <v>N</v>
      </c>
      <c r="G645" s="5"/>
      <c r="H645" s="5"/>
      <c r="I645" s="5"/>
      <c r="J645" s="5"/>
      <c r="K645" s="5"/>
      <c r="L645" s="5"/>
      <c r="M645" s="5">
        <f>IFERROR(__xludf.DUMMYFUNCTION("""COMPUTED_VALUE"""),451.08)</f>
        <v>451.08</v>
      </c>
      <c r="N645" s="5">
        <f>IFERROR(__xludf.DUMMYFUNCTION("""COMPUTED_VALUE"""),11268.0)</f>
        <v>11268</v>
      </c>
      <c r="O645" s="5"/>
      <c r="P645" s="5"/>
      <c r="Q645" s="5" t="str">
        <f>IFERROR(__xludf.DUMMYFUNCTION("""COMPUTED_VALUE"""),"Y")</f>
        <v>Y</v>
      </c>
      <c r="R645" s="5"/>
      <c r="S645" s="5" t="str">
        <f>IFERROR(__xludf.DUMMYFUNCTION("""COMPUTED_VALUE"""),"ขึ้นของมหาชัย")</f>
        <v>ขึ้นของมหาชัย</v>
      </c>
      <c r="T645" s="5">
        <f>IFERROR(__xludf.DUMMYFUNCTION("""COMPUTED_VALUE"""),440.0)</f>
        <v>440</v>
      </c>
      <c r="U645" s="5" t="str">
        <f>IFERROR(__xludf.DUMMYFUNCTION("""COMPUTED_VALUE"""),"Y")</f>
        <v>Y</v>
      </c>
      <c r="V645" s="5">
        <f>IFERROR(__xludf.DUMMYFUNCTION("""COMPUTED_VALUE"""),540.0)</f>
        <v>540</v>
      </c>
      <c r="W645" s="5">
        <f>IFERROR(__xludf.DUMMYFUNCTION("""COMPUTED_VALUE"""),21.2)</f>
        <v>21.2</v>
      </c>
      <c r="X645" s="5">
        <f>IFERROR(__xludf.DUMMYFUNCTION("""COMPUTED_VALUE"""),2.0)</f>
        <v>2</v>
      </c>
      <c r="Y645" s="5">
        <f>IFERROR(__xludf.DUMMYFUNCTION("""COMPUTED_VALUE"""),12.0)</f>
        <v>12</v>
      </c>
      <c r="Z645" s="5"/>
    </row>
    <row r="646">
      <c r="A646" s="5" t="str">
        <f>IFERROR(__xludf.DUMMYFUNCTION("""COMPUTED_VALUE"""),"(s)-หอยแมลงภู่ต้ม(กลาง)-500g")</f>
        <v>(s)-หอยแมลงภู่ต้ม(กลาง)-500g</v>
      </c>
      <c r="B646" s="5">
        <f>IFERROR(__xludf.DUMMYFUNCTION("""COMPUTED_VALUE"""),31378.0)</f>
        <v>31378</v>
      </c>
      <c r="C646" s="5" t="str">
        <f>IFERROR(__xludf.DUMMYFUNCTION("""COMPUTED_VALUE"""),"หอยแมลงภู่ต้ม (ใหญ่)ถุง500g  (65)")</f>
        <v>หอยแมลงภู่ต้ม (ใหญ่)ถุง500g  (65)</v>
      </c>
      <c r="D646" s="5"/>
      <c r="E646" s="5" t="str">
        <f>IFERROR(__xludf.DUMMYFUNCTION("""COMPUTED_VALUE"""),"&lt;p&gt;X&lt;/p&gt;")</f>
        <v>&lt;p&gt;X&lt;/p&gt;</v>
      </c>
      <c r="F646" s="5" t="str">
        <f>IFERROR(__xludf.DUMMYFUNCTION("""COMPUTED_VALUE"""),"N")</f>
        <v>N</v>
      </c>
      <c r="G646" s="5"/>
      <c r="H646" s="5"/>
      <c r="I646" s="5"/>
      <c r="J646" s="5"/>
      <c r="K646" s="5"/>
      <c r="L646" s="5"/>
      <c r="M646" s="5"/>
      <c r="N646" s="5"/>
      <c r="O646" s="5">
        <f>IFERROR(__xludf.DUMMYFUNCTION("""COMPUTED_VALUE"""),11268.0)</f>
        <v>11268</v>
      </c>
      <c r="P646" s="5">
        <f>IFERROR(__xludf.DUMMYFUNCTION("""COMPUTED_VALUE"""),0.1)</f>
        <v>0.1</v>
      </c>
      <c r="Q646" s="5" t="str">
        <f>IFERROR(__xludf.DUMMYFUNCTION("""COMPUTED_VALUE"""),"N")</f>
        <v>N</v>
      </c>
      <c r="R646" s="5" t="str">
        <f>IFERROR(__xludf.DUMMYFUNCTION("""COMPUTED_VALUE"""),"N")</f>
        <v>N</v>
      </c>
      <c r="S646" s="5"/>
      <c r="T646" s="5"/>
      <c r="U646" s="5" t="str">
        <f>IFERROR(__xludf.DUMMYFUNCTION("""COMPUTED_VALUE"""),"Y")</f>
        <v>Y</v>
      </c>
      <c r="V646" s="5">
        <f>IFERROR(__xludf.DUMMYFUNCTION("""COMPUTED_VALUE"""),65.0)</f>
        <v>65</v>
      </c>
      <c r="W646" s="5"/>
      <c r="X646" s="5"/>
      <c r="Y646" s="5"/>
      <c r="Z646" s="5"/>
    </row>
    <row r="647">
      <c r="A647" s="5" t="str">
        <f>IFERROR(__xludf.DUMMYFUNCTION("""COMPUTED_VALUE"""),"หัวผ่า-ลัง-10kg-1")</f>
        <v>หัวผ่า-ลัง-10kg-1</v>
      </c>
      <c r="B647" s="5">
        <f>IFERROR(__xludf.DUMMYFUNCTION("""COMPUTED_VALUE"""),10287.0)</f>
        <v>10287</v>
      </c>
      <c r="C647" s="5" t="str">
        <f>IFERROR(__xludf.DUMMYFUNCTION("""COMPUTED_VALUE"""),"หัวผ่า ลัง 10Kg(235)")</f>
        <v>หัวผ่า ลัง 10Kg(235)</v>
      </c>
      <c r="D647" s="5" t="str">
        <f>IFERROR(__xludf.DUMMYFUNCTION("""COMPUTED_VALUE"""),"**ทะเลสด มหาชัย")</f>
        <v>**ทะเลสด มหาชัย</v>
      </c>
      <c r="E647" s="5" t="str">
        <f>IFERROR(__xludf.DUMMYFUNCTION("""COMPUTED_VALUE"""),"&lt;p&gt;10&lt;/p&gt;")</f>
        <v>&lt;p&gt;10&lt;/p&gt;</v>
      </c>
      <c r="F647" s="5" t="str">
        <f>IFERROR(__xludf.DUMMYFUNCTION("""COMPUTED_VALUE"""),"N")</f>
        <v>N</v>
      </c>
      <c r="G647" s="5"/>
      <c r="H647" s="5"/>
      <c r="I647" s="5"/>
      <c r="J647" s="5"/>
      <c r="K647" s="5"/>
      <c r="L647" s="5"/>
      <c r="M647" s="5">
        <f>IFERROR(__xludf.DUMMYFUNCTION("""COMPUTED_VALUE"""),1803.1)</f>
        <v>1803.1</v>
      </c>
      <c r="N647" s="5">
        <f>IFERROR(__xludf.DUMMYFUNCTION("""COMPUTED_VALUE"""),10287.0)</f>
        <v>10287</v>
      </c>
      <c r="O647" s="5"/>
      <c r="P647" s="5"/>
      <c r="Q647" s="5" t="str">
        <f>IFERROR(__xludf.DUMMYFUNCTION("""COMPUTED_VALUE"""),"Y")</f>
        <v>Y</v>
      </c>
      <c r="R647" s="5"/>
      <c r="S647" s="5"/>
      <c r="T647" s="5">
        <f>IFERROR(__xludf.DUMMYFUNCTION("""COMPUTED_VALUE"""),0.0)</f>
        <v>0</v>
      </c>
      <c r="U647" s="5" t="str">
        <f>IFERROR(__xludf.DUMMYFUNCTION("""COMPUTED_VALUE"""),"N")</f>
        <v>N</v>
      </c>
      <c r="V647" s="5">
        <f>IFERROR(__xludf.DUMMYFUNCTION("""COMPUTED_VALUE"""),2350.0)</f>
        <v>2350</v>
      </c>
      <c r="W647" s="5">
        <f>IFERROR(__xludf.DUMMYFUNCTION("""COMPUTED_VALUE"""),0.0)</f>
        <v>0</v>
      </c>
      <c r="X647" s="5">
        <f>IFERROR(__xludf.DUMMYFUNCTION("""COMPUTED_VALUE"""),5.0)</f>
        <v>5</v>
      </c>
      <c r="Y647" s="5">
        <f>IFERROR(__xludf.DUMMYFUNCTION("""COMPUTED_VALUE"""),10.0)</f>
        <v>10</v>
      </c>
      <c r="Z647" s="5"/>
    </row>
    <row r="648">
      <c r="A648" s="5" t="str">
        <f>IFERROR(__xludf.DUMMYFUNCTION("""COMPUTED_VALUE"""),"หัวผ่า-ก้อน-7-กก")</f>
        <v>หัวผ่า-ก้อน-7-กก</v>
      </c>
      <c r="B648" s="5">
        <f>IFERROR(__xludf.DUMMYFUNCTION("""COMPUTED_VALUE"""),11142.0)</f>
        <v>11142</v>
      </c>
      <c r="C648" s="5" t="str">
        <f>IFERROR(__xludf.DUMMYFUNCTION("""COMPUTED_VALUE"""),"หัวผ่า ลัง7กก(258)")</f>
        <v>หัวผ่า ลัง7กก(258)</v>
      </c>
      <c r="D648" s="5" t="str">
        <f>IFERROR(__xludf.DUMMYFUNCTION("""COMPUTED_VALUE"""),"**ทะเลสด มหาชัย")</f>
        <v>**ทะเลสด มหาชัย</v>
      </c>
      <c r="E648" s="5" t="str">
        <f>IFERROR(__xludf.DUMMYFUNCTION("""COMPUTED_VALUE"""),"&lt;p&gt;7&lt;/p&gt;")</f>
        <v>&lt;p&gt;7&lt;/p&gt;</v>
      </c>
      <c r="F648" s="5" t="str">
        <f>IFERROR(__xludf.DUMMYFUNCTION("""COMPUTED_VALUE"""),"N")</f>
        <v>N</v>
      </c>
      <c r="G648" s="5"/>
      <c r="H648" s="5"/>
      <c r="I648" s="5"/>
      <c r="J648" s="5"/>
      <c r="K648" s="5"/>
      <c r="L648" s="5"/>
      <c r="M648" s="5">
        <f>IFERROR(__xludf.DUMMYFUNCTION("""COMPUTED_VALUE"""),1735.42)</f>
        <v>1735.42</v>
      </c>
      <c r="N648" s="5">
        <f>IFERROR(__xludf.DUMMYFUNCTION("""COMPUTED_VALUE"""),11142.0)</f>
        <v>11142</v>
      </c>
      <c r="O648" s="5"/>
      <c r="P648" s="5"/>
      <c r="Q648" s="5" t="str">
        <f>IFERROR(__xludf.DUMMYFUNCTION("""COMPUTED_VALUE"""),"Y")</f>
        <v>Y</v>
      </c>
      <c r="R648" s="5"/>
      <c r="S648" s="5" t="str">
        <f>IFERROR(__xludf.DUMMYFUNCTION("""COMPUTED_VALUE"""),"ขึ้นของมหาชัย")</f>
        <v>ขึ้นของมหาชัย</v>
      </c>
      <c r="T648" s="5">
        <f>IFERROR(__xludf.DUMMYFUNCTION("""COMPUTED_VALUE"""),1690.5)</f>
        <v>1690.5</v>
      </c>
      <c r="U648" s="5" t="str">
        <f>IFERROR(__xludf.DUMMYFUNCTION("""COMPUTED_VALUE"""),"Y")</f>
        <v>Y</v>
      </c>
      <c r="V648" s="5">
        <f>IFERROR(__xludf.DUMMYFUNCTION("""COMPUTED_VALUE"""),1806.0)</f>
        <v>1806</v>
      </c>
      <c r="W648" s="5">
        <f>IFERROR(__xludf.DUMMYFUNCTION("""COMPUTED_VALUE"""),12.0)</f>
        <v>12</v>
      </c>
      <c r="X648" s="5">
        <f>IFERROR(__xludf.DUMMYFUNCTION("""COMPUTED_VALUE"""),5.0)</f>
        <v>5</v>
      </c>
      <c r="Y648" s="5">
        <f>IFERROR(__xludf.DUMMYFUNCTION("""COMPUTED_VALUE"""),10.0)</f>
        <v>10</v>
      </c>
      <c r="Z648" s="5"/>
    </row>
    <row r="649">
      <c r="A649" s="5" t="str">
        <f>IFERROR(__xludf.DUMMYFUNCTION("""COMPUTED_VALUE"""),"หัวหมึกกระดอง-10kg--ลัง")</f>
        <v>หัวหมึกกระดอง-10kg--ลัง</v>
      </c>
      <c r="B649" s="5">
        <f>IFERROR(__xludf.DUMMYFUNCTION("""COMPUTED_VALUE"""),10368.0)</f>
        <v>10368</v>
      </c>
      <c r="C649" s="5" t="str">
        <f>IFERROR(__xludf.DUMMYFUNCTION("""COMPUTED_VALUE"""),"หัวหมึกกระดอง 10*1kg(ลัง)")</f>
        <v>หัวหมึกกระดอง 10*1kg(ลัง)</v>
      </c>
      <c r="D649" s="5" t="str">
        <f>IFERROR(__xludf.DUMMYFUNCTION("""COMPUTED_VALUE"""),"**ทะเลสด มหาชัย")</f>
        <v>**ทะเลสด มหาชัย</v>
      </c>
      <c r="E649" s="5" t="str">
        <f>IFERROR(__xludf.DUMMYFUNCTION("""COMPUTED_VALUE"""),"10")</f>
        <v>10</v>
      </c>
      <c r="F649" s="5" t="str">
        <f>IFERROR(__xludf.DUMMYFUNCTION("""COMPUTED_VALUE"""),"N")</f>
        <v>N</v>
      </c>
      <c r="G649" s="5"/>
      <c r="H649" s="5"/>
      <c r="I649" s="5"/>
      <c r="J649" s="5"/>
      <c r="K649" s="5"/>
      <c r="L649" s="5"/>
      <c r="M649" s="5">
        <f>IFERROR(__xludf.DUMMYFUNCTION("""COMPUTED_VALUE"""),1454.98)</f>
        <v>1454.98</v>
      </c>
      <c r="N649" s="5">
        <f>IFERROR(__xludf.DUMMYFUNCTION("""COMPUTED_VALUE"""),10368.0)</f>
        <v>10368</v>
      </c>
      <c r="O649" s="5"/>
      <c r="P649" s="5"/>
      <c r="Q649" s="5" t="str">
        <f>IFERROR(__xludf.DUMMYFUNCTION("""COMPUTED_VALUE"""),"Y")</f>
        <v>Y</v>
      </c>
      <c r="R649" s="5"/>
      <c r="S649" s="5" t="str">
        <f>IFERROR(__xludf.DUMMYFUNCTION("""COMPUTED_VALUE"""),"ขึ้นของมหาชัย")</f>
        <v>ขึ้นของมหาชัย</v>
      </c>
      <c r="T649" s="5">
        <f>IFERROR(__xludf.DUMMYFUNCTION("""COMPUTED_VALUE"""),1400.0)</f>
        <v>1400</v>
      </c>
      <c r="U649" s="5" t="str">
        <f>IFERROR(__xludf.DUMMYFUNCTION("""COMPUTED_VALUE"""),"Y")</f>
        <v>Y</v>
      </c>
      <c r="V649" s="5">
        <f>IFERROR(__xludf.DUMMYFUNCTION("""COMPUTED_VALUE"""),1550.0)</f>
        <v>1550</v>
      </c>
      <c r="W649" s="5">
        <f>IFERROR(__xludf.DUMMYFUNCTION("""COMPUTED_VALUE"""),0.0)</f>
        <v>0</v>
      </c>
      <c r="X649" s="5">
        <f>IFERROR(__xludf.DUMMYFUNCTION("""COMPUTED_VALUE"""),0.0)</f>
        <v>0</v>
      </c>
      <c r="Y649" s="5">
        <f>IFERROR(__xludf.DUMMYFUNCTION("""COMPUTED_VALUE"""),0.0)</f>
        <v>0</v>
      </c>
      <c r="Z649" s="5"/>
    </row>
    <row r="650">
      <c r="A650" s="5" t="str">
        <f>IFERROR(__xludf.DUMMYFUNCTION("""COMPUTED_VALUE"""),"หัวหมึกกระดอง(แพ็ค)")</f>
        <v>หัวหมึกกระดอง(แพ็ค)</v>
      </c>
      <c r="B650" s="5">
        <f>IFERROR(__xludf.DUMMYFUNCTION("""COMPUTED_VALUE"""),10734.0)</f>
        <v>10734</v>
      </c>
      <c r="C650" s="5" t="str">
        <f>IFERROR(__xludf.DUMMYFUNCTION("""COMPUTED_VALUE"""),"หัวหมึกกระดอง(แพ็ค)")</f>
        <v>หัวหมึกกระดอง(แพ็ค)</v>
      </c>
      <c r="D650" s="5"/>
      <c r="E650" s="5"/>
      <c r="F650" s="5" t="str">
        <f>IFERROR(__xludf.DUMMYFUNCTION("""COMPUTED_VALUE"""),"N")</f>
        <v>N</v>
      </c>
      <c r="G650" s="5"/>
      <c r="H650" s="5"/>
      <c r="I650" s="5"/>
      <c r="J650" s="5"/>
      <c r="K650" s="5"/>
      <c r="L650" s="5"/>
      <c r="M650" s="5"/>
      <c r="N650" s="5"/>
      <c r="O650" s="5">
        <f>IFERROR(__xludf.DUMMYFUNCTION("""COMPUTED_VALUE"""),10368.0)</f>
        <v>10368</v>
      </c>
      <c r="P650" s="5">
        <f>IFERROR(__xludf.DUMMYFUNCTION("""COMPUTED_VALUE"""),0.1)</f>
        <v>0.1</v>
      </c>
      <c r="Q650" s="5" t="str">
        <f>IFERROR(__xludf.DUMMYFUNCTION("""COMPUTED_VALUE"""),"N")</f>
        <v>N</v>
      </c>
      <c r="R650" s="5" t="str">
        <f>IFERROR(__xludf.DUMMYFUNCTION("""COMPUTED_VALUE"""),"N")</f>
        <v>N</v>
      </c>
      <c r="S650" s="5"/>
      <c r="T650" s="5"/>
      <c r="U650" s="5" t="str">
        <f>IFERROR(__xludf.DUMMYFUNCTION("""COMPUTED_VALUE"""),"Y")</f>
        <v>Y</v>
      </c>
      <c r="V650" s="5">
        <f>IFERROR(__xludf.DUMMYFUNCTION("""COMPUTED_VALUE"""),160.0)</f>
        <v>160</v>
      </c>
      <c r="W650" s="5"/>
      <c r="X650" s="5"/>
      <c r="Y650" s="5"/>
      <c r="Z650" s="5"/>
    </row>
    <row r="651">
      <c r="A651" s="5" t="str">
        <f>IFERROR(__xludf.DUMMYFUNCTION("""COMPUTED_VALUE"""),"หัวเบบี๋--กระสอบเขียว")</f>
        <v>หัวเบบี๋--กระสอบเขียว</v>
      </c>
      <c r="B651" s="5">
        <f>IFERROR(__xludf.DUMMYFUNCTION("""COMPUTED_VALUE"""),11148.0)</f>
        <v>11148</v>
      </c>
      <c r="C651" s="5" t="str">
        <f>IFERROR(__xludf.DUMMYFUNCTION("""COMPUTED_VALUE"""),"หัวเบบี๋ (กระสอบเขียว) 10กก-98")</f>
        <v>หัวเบบี๋ (กระสอบเขียว) 10กก-98</v>
      </c>
      <c r="D651" s="5" t="str">
        <f>IFERROR(__xludf.DUMMYFUNCTION("""COMPUTED_VALUE"""),"**ทะเลสด มหาชัย")</f>
        <v>**ทะเลสด มหาชัย</v>
      </c>
      <c r="E651" s="5" t="str">
        <f>IFERROR(__xludf.DUMMYFUNCTION("""COMPUTED_VALUE"""),"&lt;p&gt;10&lt;/p&gt;")</f>
        <v>&lt;p&gt;10&lt;/p&gt;</v>
      </c>
      <c r="F651" s="5" t="str">
        <f>IFERROR(__xludf.DUMMYFUNCTION("""COMPUTED_VALUE"""),"N")</f>
        <v>N</v>
      </c>
      <c r="G651" s="5"/>
      <c r="H651" s="5"/>
      <c r="I651" s="5"/>
      <c r="J651" s="5"/>
      <c r="K651" s="5"/>
      <c r="L651" s="5"/>
      <c r="M651" s="5">
        <f>IFERROR(__xludf.DUMMYFUNCTION("""COMPUTED_VALUE"""),891.11)</f>
        <v>891.11</v>
      </c>
      <c r="N651" s="5">
        <f>IFERROR(__xludf.DUMMYFUNCTION("""COMPUTED_VALUE"""),11148.0)</f>
        <v>11148</v>
      </c>
      <c r="O651" s="5"/>
      <c r="P651" s="5"/>
      <c r="Q651" s="5" t="str">
        <f>IFERROR(__xludf.DUMMYFUNCTION("""COMPUTED_VALUE"""),"Y")</f>
        <v>Y</v>
      </c>
      <c r="R651" s="5"/>
      <c r="S651" s="5" t="str">
        <f>IFERROR(__xludf.DUMMYFUNCTION("""COMPUTED_VALUE"""),"ขึ้นของมหาชัย")</f>
        <v>ขึ้นของมหาชัย</v>
      </c>
      <c r="T651" s="5">
        <f>IFERROR(__xludf.DUMMYFUNCTION("""COMPUTED_VALUE"""),850.0)</f>
        <v>850</v>
      </c>
      <c r="U651" s="5" t="str">
        <f>IFERROR(__xludf.DUMMYFUNCTION("""COMPUTED_VALUE"""),"Y")</f>
        <v>Y</v>
      </c>
      <c r="V651" s="5">
        <f>IFERROR(__xludf.DUMMYFUNCTION("""COMPUTED_VALUE"""),980.0)</f>
        <v>980</v>
      </c>
      <c r="W651" s="5">
        <f>IFERROR(__xludf.DUMMYFUNCTION("""COMPUTED_VALUE"""),3.0)</f>
        <v>3</v>
      </c>
      <c r="X651" s="5">
        <f>IFERROR(__xludf.DUMMYFUNCTION("""COMPUTED_VALUE"""),3.0)</f>
        <v>3</v>
      </c>
      <c r="Y651" s="5">
        <f>IFERROR(__xludf.DUMMYFUNCTION("""COMPUTED_VALUE"""),8.0)</f>
        <v>8</v>
      </c>
      <c r="Z651" s="5"/>
    </row>
    <row r="652">
      <c r="A652" s="5" t="str">
        <f>IFERROR(__xludf.DUMMYFUNCTION("""COMPUTED_VALUE"""),"หัวเบบี๋(สอบแดง)-20กก/สอบ")</f>
        <v>หัวเบบี๋(สอบแดง)-20กก/สอบ</v>
      </c>
      <c r="B652" s="5">
        <f>IFERROR(__xludf.DUMMYFUNCTION("""COMPUTED_VALUE"""),10197.0)</f>
        <v>10197</v>
      </c>
      <c r="C652" s="5" t="str">
        <f>IFERROR(__xludf.DUMMYFUNCTION("""COMPUTED_VALUE"""),"หัวเบบี๋ 15กก/สอบ (115)")</f>
        <v>หัวเบบี๋ 15กก/สอบ (115)</v>
      </c>
      <c r="D652" s="5" t="str">
        <f>IFERROR(__xludf.DUMMYFUNCTION("""COMPUTED_VALUE"""),"**ทะเลสด มหาชัย")</f>
        <v>**ทะเลสด มหาชัย</v>
      </c>
      <c r="E652" s="5" t="str">
        <f>IFERROR(__xludf.DUMMYFUNCTION("""COMPUTED_VALUE"""),"15")</f>
        <v>15</v>
      </c>
      <c r="F652" s="5" t="str">
        <f>IFERROR(__xludf.DUMMYFUNCTION("""COMPUTED_VALUE"""),"N")</f>
        <v>N</v>
      </c>
      <c r="G652" s="5"/>
      <c r="H652" s="5"/>
      <c r="I652" s="5"/>
      <c r="J652" s="5"/>
      <c r="K652" s="5"/>
      <c r="L652" s="5"/>
      <c r="M652" s="5">
        <f>IFERROR(__xludf.DUMMYFUNCTION("""COMPUTED_VALUE"""),1513.12)</f>
        <v>1513.12</v>
      </c>
      <c r="N652" s="5"/>
      <c r="O652" s="5"/>
      <c r="P652" s="5"/>
      <c r="Q652" s="5" t="str">
        <f>IFERROR(__xludf.DUMMYFUNCTION("""COMPUTED_VALUE"""),"Y")</f>
        <v>Y</v>
      </c>
      <c r="R652" s="5"/>
      <c r="S652" s="5"/>
      <c r="T652" s="5">
        <f>IFERROR(__xludf.DUMMYFUNCTION("""COMPUTED_VALUE"""),1470.0)</f>
        <v>1470</v>
      </c>
      <c r="U652" s="5" t="str">
        <f>IFERROR(__xludf.DUMMYFUNCTION("""COMPUTED_VALUE"""),"N")</f>
        <v>N</v>
      </c>
      <c r="V652" s="5">
        <f>IFERROR(__xludf.DUMMYFUNCTION("""COMPUTED_VALUE"""),1725.0)</f>
        <v>1725</v>
      </c>
      <c r="W652" s="5">
        <f>IFERROR(__xludf.DUMMYFUNCTION("""COMPUTED_VALUE"""),0.0)</f>
        <v>0</v>
      </c>
      <c r="X652" s="5">
        <f>IFERROR(__xludf.DUMMYFUNCTION("""COMPUTED_VALUE"""),0.0)</f>
        <v>0</v>
      </c>
      <c r="Y652" s="5">
        <f>IFERROR(__xludf.DUMMYFUNCTION("""COMPUTED_VALUE"""),0.0)</f>
        <v>0</v>
      </c>
      <c r="Z652" s="5"/>
    </row>
    <row r="653">
      <c r="A653" s="5" t="str">
        <f>IFERROR(__xludf.DUMMYFUNCTION("""COMPUTED_VALUE"""),"หัวเบบี๋-ก้อน10กก")</f>
        <v>หัวเบบี๋-ก้อน10กก</v>
      </c>
      <c r="B653" s="5">
        <f>IFERROR(__xludf.DUMMYFUNCTION("""COMPUTED_VALUE"""),10342.0)</f>
        <v>10342</v>
      </c>
      <c r="C653" s="5" t="str">
        <f>IFERROR(__xludf.DUMMYFUNCTION("""COMPUTED_VALUE"""),"หัวเบบี๋ ก้อน10กก")</f>
        <v>หัวเบบี๋ ก้อน10กก</v>
      </c>
      <c r="D653" s="5"/>
      <c r="E653" s="5"/>
      <c r="F653" s="5" t="str">
        <f>IFERROR(__xludf.DUMMYFUNCTION("""COMPUTED_VALUE"""),"N")</f>
        <v>N</v>
      </c>
      <c r="G653" s="5"/>
      <c r="H653" s="5"/>
      <c r="I653" s="5"/>
      <c r="J653" s="5"/>
      <c r="K653" s="5"/>
      <c r="L653" s="5"/>
      <c r="M653" s="5"/>
      <c r="N653" s="5"/>
      <c r="O653" s="5">
        <f>IFERROR(__xludf.DUMMYFUNCTION("""COMPUTED_VALUE"""),10197.0)</f>
        <v>10197</v>
      </c>
      <c r="P653" s="5">
        <f>IFERROR(__xludf.DUMMYFUNCTION("""COMPUTED_VALUE"""),0.5)</f>
        <v>0.5</v>
      </c>
      <c r="Q653" s="5" t="str">
        <f>IFERROR(__xludf.DUMMYFUNCTION("""COMPUTED_VALUE"""),"N")</f>
        <v>N</v>
      </c>
      <c r="R653" s="5" t="str">
        <f>IFERROR(__xludf.DUMMYFUNCTION("""COMPUTED_VALUE"""),"N")</f>
        <v>N</v>
      </c>
      <c r="S653" s="5"/>
      <c r="T653" s="5"/>
      <c r="U653" s="5" t="str">
        <f>IFERROR(__xludf.DUMMYFUNCTION("""COMPUTED_VALUE"""),"N")</f>
        <v>N</v>
      </c>
      <c r="V653" s="5">
        <f>IFERROR(__xludf.DUMMYFUNCTION("""COMPUTED_VALUE"""),1080.0)</f>
        <v>1080</v>
      </c>
      <c r="W653" s="5"/>
      <c r="X653" s="5"/>
      <c r="Y653" s="5"/>
      <c r="Z653" s="5"/>
    </row>
    <row r="654">
      <c r="A654" s="5" t="str">
        <f>IFERROR(__xludf.DUMMYFUNCTION("""COMPUTED_VALUE"""),"คอเปรู-77--ชั่งน้ำหนัก")</f>
        <v>คอเปรู-77--ชั่งน้ำหนัก</v>
      </c>
      <c r="B654" s="5">
        <f>IFERROR(__xludf.DUMMYFUNCTION("""COMPUTED_VALUE"""),10892.0)</f>
        <v>10892</v>
      </c>
      <c r="C654" s="5" t="str">
        <f>IFERROR(__xludf.DUMMYFUNCTION("""COMPUTED_VALUE"""),"หางจีน (90) ชั่งน้ำหนัก")</f>
        <v>หางจีน (90) ชั่งน้ำหนัก</v>
      </c>
      <c r="D654" s="5"/>
      <c r="E654" s="5" t="str">
        <f>IFERROR(__xludf.DUMMYFUNCTION("""COMPUTED_VALUE"""),"&lt;p&gt;X&lt;/p&gt;")</f>
        <v>&lt;p&gt;X&lt;/p&gt;</v>
      </c>
      <c r="F654" s="5" t="str">
        <f>IFERROR(__xludf.DUMMYFUNCTION("""COMPUTED_VALUE"""),"Y")</f>
        <v>Y</v>
      </c>
      <c r="G654" s="5"/>
      <c r="H654" s="5"/>
      <c r="I654" s="5"/>
      <c r="J654" s="5"/>
      <c r="K654" s="5"/>
      <c r="L654" s="5"/>
      <c r="M654" s="5"/>
      <c r="N654" s="5">
        <f>IFERROR(__xludf.DUMMYFUNCTION("""COMPUTED_VALUE"""),10892.0)</f>
        <v>10892</v>
      </c>
      <c r="O654" s="5">
        <f>IFERROR(__xludf.DUMMYFUNCTION("""COMPUTED_VALUE"""),10830.0)</f>
        <v>10830</v>
      </c>
      <c r="P654" s="5">
        <f>IFERROR(__xludf.DUMMYFUNCTION("""COMPUTED_VALUE"""),0.05)</f>
        <v>0.05</v>
      </c>
      <c r="Q654" s="5" t="str">
        <f>IFERROR(__xludf.DUMMYFUNCTION("""COMPUTED_VALUE"""),"N")</f>
        <v>N</v>
      </c>
      <c r="R654" s="5" t="str">
        <f>IFERROR(__xludf.DUMMYFUNCTION("""COMPUTED_VALUE"""),"N")</f>
        <v>N</v>
      </c>
      <c r="S654" s="5"/>
      <c r="T654" s="5"/>
      <c r="U654" s="5" t="str">
        <f>IFERROR(__xludf.DUMMYFUNCTION("""COMPUTED_VALUE"""),"N")</f>
        <v>N</v>
      </c>
      <c r="V654" s="5">
        <f>IFERROR(__xludf.DUMMYFUNCTION("""COMPUTED_VALUE"""),90.0)</f>
        <v>90</v>
      </c>
      <c r="W654" s="5"/>
      <c r="X654" s="5"/>
      <c r="Y654" s="5"/>
      <c r="Z654" s="5"/>
    </row>
    <row r="655">
      <c r="A655" s="5" t="str">
        <f>IFERROR(__xludf.DUMMYFUNCTION("""COMPUTED_VALUE"""),"หางจีนใหญ่-(65)ยกกระสอบ")</f>
        <v>หางจีนใหญ่-(65)ยกกระสอบ</v>
      </c>
      <c r="B655" s="5">
        <f>IFERROR(__xludf.DUMMYFUNCTION("""COMPUTED_VALUE"""),10830.0)</f>
        <v>10830</v>
      </c>
      <c r="C655" s="5" t="str">
        <f>IFERROR(__xludf.DUMMYFUNCTION("""COMPUTED_VALUE"""),"หางจีนใหญ่ 20 kg (100)")</f>
        <v>หางจีนใหญ่ 20 kg (100)</v>
      </c>
      <c r="D655" s="5"/>
      <c r="E655" s="5" t="str">
        <f>IFERROR(__xludf.DUMMYFUNCTION("""COMPUTED_VALUE"""),"&lt;p&gt;S&lt;/p&gt;")</f>
        <v>&lt;p&gt;S&lt;/p&gt;</v>
      </c>
      <c r="F655" s="5" t="str">
        <f>IFERROR(__xludf.DUMMYFUNCTION("""COMPUTED_VALUE"""),"Y")</f>
        <v>Y</v>
      </c>
      <c r="G655" s="5"/>
      <c r="H655" s="5"/>
      <c r="I655" s="5"/>
      <c r="J655" s="5"/>
      <c r="K655" s="5"/>
      <c r="L655" s="5"/>
      <c r="M655" s="5">
        <f>IFERROR(__xludf.DUMMYFUNCTION("""COMPUTED_VALUE"""),1660.0)</f>
        <v>1660</v>
      </c>
      <c r="N655" s="5">
        <f>IFERROR(__xludf.DUMMYFUNCTION("""COMPUTED_VALUE"""),10830.0)</f>
        <v>10830</v>
      </c>
      <c r="O655" s="5"/>
      <c r="P655" s="5"/>
      <c r="Q655" s="5" t="str">
        <f>IFERROR(__xludf.DUMMYFUNCTION("""COMPUTED_VALUE"""),"Y")</f>
        <v>Y</v>
      </c>
      <c r="R655" s="5"/>
      <c r="S655" s="5"/>
      <c r="T655" s="5">
        <f>IFERROR(__xludf.DUMMYFUNCTION("""COMPUTED_VALUE"""),1660.0)</f>
        <v>1660</v>
      </c>
      <c r="U655" s="5" t="str">
        <f>IFERROR(__xludf.DUMMYFUNCTION("""COMPUTED_VALUE"""),"N")</f>
        <v>N</v>
      </c>
      <c r="V655" s="5">
        <f>IFERROR(__xludf.DUMMYFUNCTION("""COMPUTED_VALUE"""),2000.0)</f>
        <v>2000</v>
      </c>
      <c r="W655" s="5">
        <f>IFERROR(__xludf.DUMMYFUNCTION("""COMPUTED_VALUE"""),0.0)</f>
        <v>0</v>
      </c>
      <c r="X655" s="5">
        <f>IFERROR(__xludf.DUMMYFUNCTION("""COMPUTED_VALUE"""),50.0)</f>
        <v>50</v>
      </c>
      <c r="Y655" s="5"/>
      <c r="Z655" s="5"/>
    </row>
    <row r="656">
      <c r="A656" s="5" t="str">
        <f>IFERROR(__xludf.DUMMYFUNCTION("""COMPUTED_VALUE"""),"หางเปรู-21กก-(สอบ)-105")</f>
        <v>หางเปรู-21กก-(สอบ)-105</v>
      </c>
      <c r="B656" s="5">
        <f>IFERROR(__xludf.DUMMYFUNCTION("""COMPUTED_VALUE"""),10491.0)</f>
        <v>10491</v>
      </c>
      <c r="C656" s="5" t="str">
        <f>IFERROR(__xludf.DUMMYFUNCTION("""COMPUTED_VALUE"""),"หางเปรู 21กก (สอบ)-105")</f>
        <v>หางเปรู 21กก (สอบ)-105</v>
      </c>
      <c r="D656" s="5"/>
      <c r="E656" s="5"/>
      <c r="F656" s="5" t="str">
        <f>IFERROR(__xludf.DUMMYFUNCTION("""COMPUTED_VALUE"""),"N")</f>
        <v>N</v>
      </c>
      <c r="G656" s="5"/>
      <c r="H656" s="5"/>
      <c r="I656" s="5"/>
      <c r="J656" s="5"/>
      <c r="K656" s="5"/>
      <c r="L656" s="5"/>
      <c r="M656" s="5"/>
      <c r="N656" s="5"/>
      <c r="O656" s="5">
        <f>IFERROR(__xludf.DUMMYFUNCTION("""COMPUTED_VALUE"""),10536.0)</f>
        <v>10536</v>
      </c>
      <c r="P656" s="5">
        <f>IFERROR(__xludf.DUMMYFUNCTION("""COMPUTED_VALUE"""),3.0)</f>
        <v>3</v>
      </c>
      <c r="Q656" s="5" t="str">
        <f>IFERROR(__xludf.DUMMYFUNCTION("""COMPUTED_VALUE"""),"N")</f>
        <v>N</v>
      </c>
      <c r="R656" s="5" t="str">
        <f>IFERROR(__xludf.DUMMYFUNCTION("""COMPUTED_VALUE"""),"N")</f>
        <v>N</v>
      </c>
      <c r="S656" s="5"/>
      <c r="T656" s="5"/>
      <c r="U656" s="5" t="str">
        <f>IFERROR(__xludf.DUMMYFUNCTION("""COMPUTED_VALUE"""),"N")</f>
        <v>N</v>
      </c>
      <c r="V656" s="5">
        <f>IFERROR(__xludf.DUMMYFUNCTION("""COMPUTED_VALUE"""),2205.0)</f>
        <v>2205</v>
      </c>
      <c r="W656" s="5"/>
      <c r="X656" s="5"/>
      <c r="Y656" s="5"/>
      <c r="Z656" s="5"/>
    </row>
    <row r="657">
      <c r="A657" s="5" t="str">
        <f>IFERROR(__xludf.DUMMYFUNCTION("""COMPUTED_VALUE"""),"หางจีนใหญ่(65)ชั่งน้ำหนัก")</f>
        <v>หางจีนใหญ่(65)ชั่งน้ำหนัก</v>
      </c>
      <c r="B657" s="5">
        <f>IFERROR(__xludf.DUMMYFUNCTION("""COMPUTED_VALUE"""),10807.0)</f>
        <v>10807</v>
      </c>
      <c r="C657" s="5" t="str">
        <f>IFERROR(__xludf.DUMMYFUNCTION("""COMPUTED_VALUE"""),"หางเปรู 22.5กก(สอบ)-88")</f>
        <v>หางเปรู 22.5กก(สอบ)-88</v>
      </c>
      <c r="D657" s="5"/>
      <c r="E657" s="5" t="str">
        <f>IFERROR(__xludf.DUMMYFUNCTION("""COMPUTED_VALUE"""),"&lt;p&gt;X&lt;/p&gt;")</f>
        <v>&lt;p&gt;X&lt;/p&gt;</v>
      </c>
      <c r="F657" s="5" t="str">
        <f>IFERROR(__xludf.DUMMYFUNCTION("""COMPUTED_VALUE"""),"N")</f>
        <v>N</v>
      </c>
      <c r="G657" s="5"/>
      <c r="H657" s="5"/>
      <c r="I657" s="5"/>
      <c r="J657" s="5"/>
      <c r="K657" s="5"/>
      <c r="L657" s="5"/>
      <c r="M657" s="5"/>
      <c r="N657" s="5">
        <f>IFERROR(__xludf.DUMMYFUNCTION("""COMPUTED_VALUE"""),10807.0)</f>
        <v>10807</v>
      </c>
      <c r="O657" s="5">
        <f>IFERROR(__xludf.DUMMYFUNCTION("""COMPUTED_VALUE"""),10026.0)</f>
        <v>10026</v>
      </c>
      <c r="P657" s="5">
        <f>IFERROR(__xludf.DUMMYFUNCTION("""COMPUTED_VALUE"""),3.0)</f>
        <v>3</v>
      </c>
      <c r="Q657" s="5" t="str">
        <f>IFERROR(__xludf.DUMMYFUNCTION("""COMPUTED_VALUE"""),"N")</f>
        <v>N</v>
      </c>
      <c r="R657" s="5" t="str">
        <f>IFERROR(__xludf.DUMMYFUNCTION("""COMPUTED_VALUE"""),"N")</f>
        <v>N</v>
      </c>
      <c r="S657" s="5"/>
      <c r="T657" s="5"/>
      <c r="U657" s="5" t="str">
        <f>IFERROR(__xludf.DUMMYFUNCTION("""COMPUTED_VALUE"""),"N")</f>
        <v>N</v>
      </c>
      <c r="V657" s="5">
        <f>IFERROR(__xludf.DUMMYFUNCTION("""COMPUTED_VALUE"""),1912.5)</f>
        <v>1912.5</v>
      </c>
      <c r="W657" s="5"/>
      <c r="X657" s="5"/>
      <c r="Y657" s="5"/>
      <c r="Z657" s="5"/>
    </row>
    <row r="658">
      <c r="A658" s="5" t="str">
        <f>IFERROR(__xludf.DUMMYFUNCTION("""COMPUTED_VALUE"""),"หางเปรู-กระสอบ-20kg-(90)")</f>
        <v>หางเปรู-กระสอบ-20kg-(90)</v>
      </c>
      <c r="B658" s="5">
        <f>IFERROR(__xludf.DUMMYFUNCTION("""COMPUTED_VALUE"""),10247.0)</f>
        <v>10247</v>
      </c>
      <c r="C658" s="5" t="str">
        <f>IFERROR(__xludf.DUMMYFUNCTION("""COMPUTED_VALUE"""),"หางเปรู กระสอบ 20Kg (88)")</f>
        <v>หางเปรู กระสอบ 20Kg (88)</v>
      </c>
      <c r="D658" s="5" t="str">
        <f>IFERROR(__xludf.DUMMYFUNCTION("""COMPUTED_VALUE"""),"**ทะเลสด มหาชัย")</f>
        <v>**ทะเลสด มหาชัย</v>
      </c>
      <c r="E658" s="5" t="str">
        <f>IFERROR(__xludf.DUMMYFUNCTION("""COMPUTED_VALUE"""),"&lt;p&gt;20&lt;/p&gt;")</f>
        <v>&lt;p&gt;20&lt;/p&gt;</v>
      </c>
      <c r="F658" s="5" t="str">
        <f>IFERROR(__xludf.DUMMYFUNCTION("""COMPUTED_VALUE"""),"N")</f>
        <v>N</v>
      </c>
      <c r="G658" s="5"/>
      <c r="H658" s="5"/>
      <c r="I658" s="5"/>
      <c r="J658" s="5"/>
      <c r="K658" s="5"/>
      <c r="L658" s="5"/>
      <c r="M658" s="5">
        <f>IFERROR(__xludf.DUMMYFUNCTION("""COMPUTED_VALUE"""),1624.33)</f>
        <v>1624.33</v>
      </c>
      <c r="N658" s="5">
        <f>IFERROR(__xludf.DUMMYFUNCTION("""COMPUTED_VALUE"""),10247.0)</f>
        <v>10247</v>
      </c>
      <c r="O658" s="5"/>
      <c r="P658" s="5"/>
      <c r="Q658" s="5" t="str">
        <f>IFERROR(__xludf.DUMMYFUNCTION("""COMPUTED_VALUE"""),"Y")</f>
        <v>Y</v>
      </c>
      <c r="R658" s="5"/>
      <c r="S658" s="5" t="str">
        <f>IFERROR(__xludf.DUMMYFUNCTION("""COMPUTED_VALUE"""),"ขึ้นของมหาชัย")</f>
        <v>ขึ้นของมหาชัย</v>
      </c>
      <c r="T658" s="5">
        <f>IFERROR(__xludf.DUMMYFUNCTION("""COMPUTED_VALUE"""),1560.0)</f>
        <v>1560</v>
      </c>
      <c r="U658" s="5" t="str">
        <f>IFERROR(__xludf.DUMMYFUNCTION("""COMPUTED_VALUE"""),"Y")</f>
        <v>Y</v>
      </c>
      <c r="V658" s="5">
        <f>IFERROR(__xludf.DUMMYFUNCTION("""COMPUTED_VALUE"""),1760.0)</f>
        <v>1760</v>
      </c>
      <c r="W658" s="5">
        <f>IFERROR(__xludf.DUMMYFUNCTION("""COMPUTED_VALUE"""),4.5)</f>
        <v>4.5</v>
      </c>
      <c r="X658" s="5">
        <f>IFERROR(__xludf.DUMMYFUNCTION("""COMPUTED_VALUE"""),2.0)</f>
        <v>2</v>
      </c>
      <c r="Y658" s="5">
        <f>IFERROR(__xludf.DUMMYFUNCTION("""COMPUTED_VALUE"""),7.0)</f>
        <v>7</v>
      </c>
      <c r="Z658" s="5"/>
    </row>
    <row r="659">
      <c r="A659" s="5" t="str">
        <f>IFERROR(__xludf.DUMMYFUNCTION("""COMPUTED_VALUE"""),"หางเปรู-ชั่งน้ำหนัก(85)")</f>
        <v>หางเปรู-ชั่งน้ำหนัก(85)</v>
      </c>
      <c r="B659" s="5">
        <f>IFERROR(__xludf.DUMMYFUNCTION("""COMPUTED_VALUE"""),11118.0)</f>
        <v>11118</v>
      </c>
      <c r="C659" s="5" t="str">
        <f>IFERROR(__xludf.DUMMYFUNCTION("""COMPUTED_VALUE"""),"หางเปรู ก้อน 10kg (88)")</f>
        <v>หางเปรู ก้อน 10kg (88)</v>
      </c>
      <c r="D659" s="5"/>
      <c r="E659" s="5" t="str">
        <f>IFERROR(__xludf.DUMMYFUNCTION("""COMPUTED_VALUE"""),"&lt;p&gt;X&lt;/p&gt;")</f>
        <v>&lt;p&gt;X&lt;/p&gt;</v>
      </c>
      <c r="F659" s="5" t="str">
        <f>IFERROR(__xludf.DUMMYFUNCTION("""COMPUTED_VALUE"""),"N")</f>
        <v>N</v>
      </c>
      <c r="G659" s="5"/>
      <c r="H659" s="5"/>
      <c r="I659" s="5"/>
      <c r="J659" s="5"/>
      <c r="K659" s="5"/>
      <c r="L659" s="5"/>
      <c r="M659" s="5"/>
      <c r="N659" s="5">
        <f>IFERROR(__xludf.DUMMYFUNCTION("""COMPUTED_VALUE"""),11118.0)</f>
        <v>11118</v>
      </c>
      <c r="O659" s="5">
        <f>IFERROR(__xludf.DUMMYFUNCTION("""COMPUTED_VALUE"""),10247.0)</f>
        <v>10247</v>
      </c>
      <c r="P659" s="5">
        <f>IFERROR(__xludf.DUMMYFUNCTION("""COMPUTED_VALUE"""),0.5)</f>
        <v>0.5</v>
      </c>
      <c r="Q659" s="5" t="str">
        <f>IFERROR(__xludf.DUMMYFUNCTION("""COMPUTED_VALUE"""),"N")</f>
        <v>N</v>
      </c>
      <c r="R659" s="5" t="str">
        <f>IFERROR(__xludf.DUMMYFUNCTION("""COMPUTED_VALUE"""),"N")</f>
        <v>N</v>
      </c>
      <c r="S659" s="5"/>
      <c r="T659" s="5"/>
      <c r="U659" s="5" t="str">
        <f>IFERROR(__xludf.DUMMYFUNCTION("""COMPUTED_VALUE"""),"Y")</f>
        <v>Y</v>
      </c>
      <c r="V659" s="5">
        <f>IFERROR(__xludf.DUMMYFUNCTION("""COMPUTED_VALUE"""),880.0)</f>
        <v>880</v>
      </c>
      <c r="W659" s="5"/>
      <c r="X659" s="5"/>
      <c r="Y659" s="5"/>
      <c r="Z659" s="5"/>
    </row>
    <row r="660">
      <c r="A660" s="5" t="str">
        <f>IFERROR(__xludf.DUMMYFUNCTION("""COMPUTED_VALUE"""),"หางเปรู-ก้อน7-กก-(105)")</f>
        <v>หางเปรู-ก้อน7-กก-(105)</v>
      </c>
      <c r="B660" s="5">
        <f>IFERROR(__xludf.DUMMYFUNCTION("""COMPUTED_VALUE"""),10536.0)</f>
        <v>10536</v>
      </c>
      <c r="C660" s="5" t="str">
        <f>IFERROR(__xludf.DUMMYFUNCTION("""COMPUTED_VALUE"""),"หางเปรู ก้อน7 กก (105)")</f>
        <v>หางเปรู ก้อน7 กก (105)</v>
      </c>
      <c r="D660" s="5" t="str">
        <f>IFERROR(__xludf.DUMMYFUNCTION("""COMPUTED_VALUE"""),"**ทะเลสด มหาชัย")</f>
        <v>**ทะเลสด มหาชัย</v>
      </c>
      <c r="E660" s="5" t="str">
        <f>IFERROR(__xludf.DUMMYFUNCTION("""COMPUTED_VALUE"""),"7")</f>
        <v>7</v>
      </c>
      <c r="F660" s="5" t="str">
        <f>IFERROR(__xludf.DUMMYFUNCTION("""COMPUTED_VALUE"""),"N")</f>
        <v>N</v>
      </c>
      <c r="G660" s="5"/>
      <c r="H660" s="5"/>
      <c r="I660" s="5"/>
      <c r="J660" s="5"/>
      <c r="K660" s="5"/>
      <c r="L660" s="5"/>
      <c r="M660" s="5">
        <f>IFERROR(__xludf.DUMMYFUNCTION("""COMPUTED_VALUE"""),700.0)</f>
        <v>700</v>
      </c>
      <c r="N660" s="5"/>
      <c r="O660" s="5"/>
      <c r="P660" s="5"/>
      <c r="Q660" s="5" t="str">
        <f>IFERROR(__xludf.DUMMYFUNCTION("""COMPUTED_VALUE"""),"Y")</f>
        <v>Y</v>
      </c>
      <c r="R660" s="5"/>
      <c r="S660" s="5" t="str">
        <f>IFERROR(__xludf.DUMMYFUNCTION("""COMPUTED_VALUE"""),"ขึ้นของมหาชัย")</f>
        <v>ขึ้นของมหาชัย</v>
      </c>
      <c r="T660" s="5">
        <f>IFERROR(__xludf.DUMMYFUNCTION("""COMPUTED_VALUE"""),0.0)</f>
        <v>0</v>
      </c>
      <c r="U660" s="5" t="str">
        <f>IFERROR(__xludf.DUMMYFUNCTION("""COMPUTED_VALUE"""),"N")</f>
        <v>N</v>
      </c>
      <c r="V660" s="5">
        <f>IFERROR(__xludf.DUMMYFUNCTION("""COMPUTED_VALUE"""),735.0)</f>
        <v>735</v>
      </c>
      <c r="W660" s="5">
        <f>IFERROR(__xludf.DUMMYFUNCTION("""COMPUTED_VALUE"""),0.0)</f>
        <v>0</v>
      </c>
      <c r="X660" s="5">
        <f>IFERROR(__xludf.DUMMYFUNCTION("""COMPUTED_VALUE"""),6.0)</f>
        <v>6</v>
      </c>
      <c r="Y660" s="5">
        <f>IFERROR(__xludf.DUMMYFUNCTION("""COMPUTED_VALUE"""),21.0)</f>
        <v>21</v>
      </c>
      <c r="Z660" s="5"/>
    </row>
    <row r="661">
      <c r="A661" s="5" t="str">
        <f>IFERROR(__xludf.DUMMYFUNCTION("""COMPUTED_VALUE"""),"หางหมึกจีน-กระสอบ-20kg-1")</f>
        <v>หางหมึกจีน-กระสอบ-20kg-1</v>
      </c>
      <c r="B661" s="5">
        <f>IFERROR(__xludf.DUMMYFUNCTION("""COMPUTED_VALUE"""),10026.0)</f>
        <v>10026</v>
      </c>
      <c r="C661" s="5" t="str">
        <f>IFERROR(__xludf.DUMMYFUNCTION("""COMPUTED_VALUE"""),"หางเปรูก้อน 7.5กก(88)")</f>
        <v>หางเปรูก้อน 7.5กก(88)</v>
      </c>
      <c r="D661" s="5" t="str">
        <f>IFERROR(__xludf.DUMMYFUNCTION("""COMPUTED_VALUE"""),"**ทะเลสด มหาชัย")</f>
        <v>**ทะเลสด มหาชัย</v>
      </c>
      <c r="E661" s="5" t="str">
        <f>IFERROR(__xludf.DUMMYFUNCTION("""COMPUTED_VALUE"""),"&lt;p&gt;7.5&lt;/p&gt;")</f>
        <v>&lt;p&gt;7.5&lt;/p&gt;</v>
      </c>
      <c r="F661" s="5" t="str">
        <f>IFERROR(__xludf.DUMMYFUNCTION("""COMPUTED_VALUE"""),"N")</f>
        <v>N</v>
      </c>
      <c r="G661" s="5"/>
      <c r="H661" s="5"/>
      <c r="I661" s="5"/>
      <c r="J661" s="5"/>
      <c r="K661" s="5"/>
      <c r="L661" s="5"/>
      <c r="M661" s="5">
        <f>IFERROR(__xludf.DUMMYFUNCTION("""COMPUTED_VALUE"""),527.41)</f>
        <v>527.41</v>
      </c>
      <c r="N661" s="5">
        <f>IFERROR(__xludf.DUMMYFUNCTION("""COMPUTED_VALUE"""),10026.0)</f>
        <v>10026</v>
      </c>
      <c r="O661" s="5"/>
      <c r="P661" s="5"/>
      <c r="Q661" s="5" t="str">
        <f>IFERROR(__xludf.DUMMYFUNCTION("""COMPUTED_VALUE"""),"Y")</f>
        <v>Y</v>
      </c>
      <c r="R661" s="5"/>
      <c r="S661" s="5" t="str">
        <f>IFERROR(__xludf.DUMMYFUNCTION("""COMPUTED_VALUE"""),"ขึ้นของมหาชัย")</f>
        <v>ขึ้นของมหาชัย</v>
      </c>
      <c r="T661" s="5">
        <f>IFERROR(__xludf.DUMMYFUNCTION("""COMPUTED_VALUE"""),620.0)</f>
        <v>620</v>
      </c>
      <c r="U661" s="5" t="str">
        <f>IFERROR(__xludf.DUMMYFUNCTION("""COMPUTED_VALUE"""),"Y")</f>
        <v>Y</v>
      </c>
      <c r="V661" s="5">
        <f>IFERROR(__xludf.DUMMYFUNCTION("""COMPUTED_VALUE"""),660.0)</f>
        <v>660</v>
      </c>
      <c r="W661" s="5">
        <f>IFERROR(__xludf.DUMMYFUNCTION("""COMPUTED_VALUE"""),0.0)</f>
        <v>0</v>
      </c>
      <c r="X661" s="5">
        <f>IFERROR(__xludf.DUMMYFUNCTION("""COMPUTED_VALUE"""),6.0)</f>
        <v>6</v>
      </c>
      <c r="Y661" s="5">
        <f>IFERROR(__xludf.DUMMYFUNCTION("""COMPUTED_VALUE"""),21.0)</f>
        <v>21</v>
      </c>
      <c r="Z661" s="5"/>
    </row>
    <row r="662">
      <c r="A662" s="5" t="str">
        <f>IFERROR(__xludf.DUMMYFUNCTION("""COMPUTED_VALUE"""),"อาเจน-ss-(ชั่ง)--152")</f>
        <v>อาเจน-ss-(ชั่ง)--152</v>
      </c>
      <c r="B662" s="5">
        <f>IFERROR(__xludf.DUMMYFUNCTION("""COMPUTED_VALUE"""),10564.0)</f>
        <v>10564</v>
      </c>
      <c r="C662" s="5" t="str">
        <f>IFERROR(__xludf.DUMMYFUNCTION("""COMPUTED_VALUE"""),"อาเจน 180/200  (ชั่ง) - 187")</f>
        <v>อาเจน 180/200  (ชั่ง) - 187</v>
      </c>
      <c r="D662" s="5" t="str">
        <f>IFERROR(__xludf.DUMMYFUNCTION("""COMPUTED_VALUE"""),"**ทะเลสด มหาชัย")</f>
        <v>**ทะเลสด มหาชัย</v>
      </c>
      <c r="E662" s="5" t="str">
        <f>IFERROR(__xludf.DUMMYFUNCTION("""COMPUTED_VALUE"""),"&lt;p&gt;1&lt;/p&gt;")</f>
        <v>&lt;p&gt;1&lt;/p&gt;</v>
      </c>
      <c r="F662" s="5" t="str">
        <f>IFERROR(__xludf.DUMMYFUNCTION("""COMPUTED_VALUE"""),"Y")</f>
        <v>Y</v>
      </c>
      <c r="G662" s="5"/>
      <c r="H662" s="5"/>
      <c r="I662" s="5"/>
      <c r="J662" s="5"/>
      <c r="K662" s="5"/>
      <c r="L662" s="5"/>
      <c r="M662" s="5">
        <f>IFERROR(__xludf.DUMMYFUNCTION("""COMPUTED_VALUE"""),182.96)</f>
        <v>182.96</v>
      </c>
      <c r="N662" s="5"/>
      <c r="O662" s="5"/>
      <c r="P662" s="5"/>
      <c r="Q662" s="5" t="str">
        <f>IFERROR(__xludf.DUMMYFUNCTION("""COMPUTED_VALUE"""),"Y")</f>
        <v>Y</v>
      </c>
      <c r="R662" s="5"/>
      <c r="S662" s="5" t="str">
        <f>IFERROR(__xludf.DUMMYFUNCTION("""COMPUTED_VALUE"""),"ขึ้นของมหาชัย")</f>
        <v>ขึ้นของมหาชัย</v>
      </c>
      <c r="T662" s="5">
        <f>IFERROR(__xludf.DUMMYFUNCTION("""COMPUTED_VALUE"""),147.0)</f>
        <v>147</v>
      </c>
      <c r="U662" s="5" t="str">
        <f>IFERROR(__xludf.DUMMYFUNCTION("""COMPUTED_VALUE"""),"Y")</f>
        <v>Y</v>
      </c>
      <c r="V662" s="5">
        <f>IFERROR(__xludf.DUMMYFUNCTION("""COMPUTED_VALUE"""),187.0)</f>
        <v>187</v>
      </c>
      <c r="W662" s="5">
        <f>IFERROR(__xludf.DUMMYFUNCTION("""COMPUTED_VALUE"""),0.0)</f>
        <v>0</v>
      </c>
      <c r="X662" s="5">
        <f>IFERROR(__xludf.DUMMYFUNCTION("""COMPUTED_VALUE"""),50.0)</f>
        <v>50</v>
      </c>
      <c r="Y662" s="5">
        <f>IFERROR(__xludf.DUMMYFUNCTION("""COMPUTED_VALUE"""),150.0)</f>
        <v>150</v>
      </c>
      <c r="Z662" s="5"/>
    </row>
    <row r="663">
      <c r="A663" s="5" t="str">
        <f>IFERROR(__xludf.DUMMYFUNCTION("""COMPUTED_VALUE"""),"หมึกอาเจนปั่น-ss(180)-ราคาส่ง")</f>
        <v>หมึกอาเจนปั่น-ss(180)-ราคาส่ง</v>
      </c>
      <c r="B663" s="5">
        <f>IFERROR(__xludf.DUMMYFUNCTION("""COMPUTED_VALUE"""),10387.0)</f>
        <v>10387</v>
      </c>
      <c r="C663" s="5" t="str">
        <f>IFERROR(__xludf.DUMMYFUNCTION("""COMPUTED_VALUE"""),"อาเจน 180/200 (ปั่น) -197")</f>
        <v>อาเจน 180/200 (ปั่น) -197</v>
      </c>
      <c r="D663" s="5"/>
      <c r="E663" s="5"/>
      <c r="F663" s="5" t="str">
        <f>IFERROR(__xludf.DUMMYFUNCTION("""COMPUTED_VALUE"""),"Y")</f>
        <v>Y</v>
      </c>
      <c r="G663" s="5"/>
      <c r="H663" s="5"/>
      <c r="I663" s="5"/>
      <c r="J663" s="5"/>
      <c r="K663" s="5"/>
      <c r="L663" s="5"/>
      <c r="M663" s="5"/>
      <c r="N663" s="5"/>
      <c r="O663" s="5">
        <f>IFERROR(__xludf.DUMMYFUNCTION("""COMPUTED_VALUE"""),10564.0)</f>
        <v>10564</v>
      </c>
      <c r="P663" s="5">
        <f>IFERROR(__xludf.DUMMYFUNCTION("""COMPUTED_VALUE"""),1.0)</f>
        <v>1</v>
      </c>
      <c r="Q663" s="5" t="str">
        <f>IFERROR(__xludf.DUMMYFUNCTION("""COMPUTED_VALUE"""),"N")</f>
        <v>N</v>
      </c>
      <c r="R663" s="5" t="str">
        <f>IFERROR(__xludf.DUMMYFUNCTION("""COMPUTED_VALUE"""),"N")</f>
        <v>N</v>
      </c>
      <c r="S663" s="5"/>
      <c r="T663" s="5"/>
      <c r="U663" s="5" t="str">
        <f>IFERROR(__xludf.DUMMYFUNCTION("""COMPUTED_VALUE"""),"Y")</f>
        <v>Y</v>
      </c>
      <c r="V663" s="5">
        <f>IFERROR(__xludf.DUMMYFUNCTION("""COMPUTED_VALUE"""),197.0)</f>
        <v>197</v>
      </c>
      <c r="W663" s="5"/>
      <c r="X663" s="5"/>
      <c r="Y663" s="5"/>
      <c r="Z663" s="5"/>
    </row>
    <row r="664">
      <c r="A664" s="5" t="str">
        <f>IFERROR(__xludf.DUMMYFUNCTION("""COMPUTED_VALUE"""),"อาเจนs--ก้อน12.5(170)")</f>
        <v>อาเจนs--ก้อน12.5(170)</v>
      </c>
      <c r="B664" s="5">
        <f>IFERROR(__xludf.DUMMYFUNCTION("""COMPUTED_VALUE"""),10205.0)</f>
        <v>10205</v>
      </c>
      <c r="C664" s="5" t="str">
        <f>IFERROR(__xludf.DUMMYFUNCTION("""COMPUTED_VALUE"""),"อาเจน S  ก้อน12.5(170)")</f>
        <v>อาเจน S  ก้อน12.5(170)</v>
      </c>
      <c r="D664" s="5"/>
      <c r="E664" s="5"/>
      <c r="F664" s="5" t="str">
        <f>IFERROR(__xludf.DUMMYFUNCTION("""COMPUTED_VALUE"""),"N")</f>
        <v>N</v>
      </c>
      <c r="G664" s="5"/>
      <c r="H664" s="5"/>
      <c r="I664" s="5"/>
      <c r="J664" s="5"/>
      <c r="K664" s="5"/>
      <c r="L664" s="5"/>
      <c r="M664" s="5">
        <f>IFERROR(__xludf.DUMMYFUNCTION("""COMPUTED_VALUE"""),2025.0)</f>
        <v>2025</v>
      </c>
      <c r="N664" s="5"/>
      <c r="O664" s="5"/>
      <c r="P664" s="5"/>
      <c r="Q664" s="5" t="str">
        <f>IFERROR(__xludf.DUMMYFUNCTION("""COMPUTED_VALUE"""),"Y")</f>
        <v>Y</v>
      </c>
      <c r="R664" s="5"/>
      <c r="S664" s="5"/>
      <c r="T664" s="5">
        <f>IFERROR(__xludf.DUMMYFUNCTION("""COMPUTED_VALUE"""),0.0)</f>
        <v>0</v>
      </c>
      <c r="U664" s="5" t="str">
        <f>IFERROR(__xludf.DUMMYFUNCTION("""COMPUTED_VALUE"""),"N")</f>
        <v>N</v>
      </c>
      <c r="V664" s="5">
        <f>IFERROR(__xludf.DUMMYFUNCTION("""COMPUTED_VALUE"""),2125.0)</f>
        <v>2125</v>
      </c>
      <c r="W664" s="5">
        <f>IFERROR(__xludf.DUMMYFUNCTION("""COMPUTED_VALUE"""),0.0)</f>
        <v>0</v>
      </c>
      <c r="X664" s="5"/>
      <c r="Y664" s="5"/>
      <c r="Z664" s="5"/>
    </row>
    <row r="665">
      <c r="A665" s="5" t="str">
        <f>IFERROR(__xludf.DUMMYFUNCTION("""COMPUTED_VALUE"""),"อาเจนs-*ชั่ง*-(175)")</f>
        <v>อาเจนs-*ชั่ง*-(175)</v>
      </c>
      <c r="B665" s="5">
        <f>IFERROR(__xludf.DUMMYFUNCTION("""COMPUTED_VALUE"""),10046.0)</f>
        <v>10046</v>
      </c>
      <c r="C665" s="5" t="str">
        <f>IFERROR(__xludf.DUMMYFUNCTION("""COMPUTED_VALUE"""),"อาเจน S (ชั่ง) - 189")</f>
        <v>อาเจน S (ชั่ง) - 189</v>
      </c>
      <c r="D665" s="5" t="str">
        <f>IFERROR(__xludf.DUMMYFUNCTION("""COMPUTED_VALUE"""),"**ทะเลสด มหาชัย")</f>
        <v>**ทะเลสด มหาชัย</v>
      </c>
      <c r="E665" s="5" t="str">
        <f>IFERROR(__xludf.DUMMYFUNCTION("""COMPUTED_VALUE"""),"&lt;p&gt;1&lt;/p&gt;")</f>
        <v>&lt;p&gt;1&lt;/p&gt;</v>
      </c>
      <c r="F665" s="5" t="str">
        <f>IFERROR(__xludf.DUMMYFUNCTION("""COMPUTED_VALUE"""),"Y")</f>
        <v>Y</v>
      </c>
      <c r="G665" s="5"/>
      <c r="H665" s="5"/>
      <c r="I665" s="5"/>
      <c r="J665" s="5"/>
      <c r="K665" s="5"/>
      <c r="L665" s="5"/>
      <c r="M665" s="5">
        <f>IFERROR(__xludf.DUMMYFUNCTION("""COMPUTED_VALUE"""),184.51)</f>
        <v>184.51</v>
      </c>
      <c r="N665" s="5"/>
      <c r="O665" s="5"/>
      <c r="P665" s="5"/>
      <c r="Q665" s="5" t="str">
        <f>IFERROR(__xludf.DUMMYFUNCTION("""COMPUTED_VALUE"""),"Y")</f>
        <v>Y</v>
      </c>
      <c r="R665" s="5"/>
      <c r="S665" s="5" t="str">
        <f>IFERROR(__xludf.DUMMYFUNCTION("""COMPUTED_VALUE"""),"ขึ้นของมหาชัย")</f>
        <v>ขึ้นของมหาชัย</v>
      </c>
      <c r="T665" s="5">
        <f>IFERROR(__xludf.DUMMYFUNCTION("""COMPUTED_VALUE"""),182.0)</f>
        <v>182</v>
      </c>
      <c r="U665" s="5" t="str">
        <f>IFERROR(__xludf.DUMMYFUNCTION("""COMPUTED_VALUE"""),"Y")</f>
        <v>Y</v>
      </c>
      <c r="V665" s="5">
        <f>IFERROR(__xludf.DUMMYFUNCTION("""COMPUTED_VALUE"""),189.0)</f>
        <v>189</v>
      </c>
      <c r="W665" s="5">
        <f>IFERROR(__xludf.DUMMYFUNCTION("""COMPUTED_VALUE"""),-41.3)</f>
        <v>-41.3</v>
      </c>
      <c r="X665" s="5">
        <f>IFERROR(__xludf.DUMMYFUNCTION("""COMPUTED_VALUE"""),100.0)</f>
        <v>100</v>
      </c>
      <c r="Y665" s="5">
        <f>IFERROR(__xludf.DUMMYFUNCTION("""COMPUTED_VALUE"""),300.0)</f>
        <v>300</v>
      </c>
      <c r="Z665" s="5"/>
    </row>
    <row r="666">
      <c r="A666" s="5" t="str">
        <f>IFERROR(__xludf.DUMMYFUNCTION("""COMPUTED_VALUE"""),"หมึกอาเจนปั่น")</f>
        <v>หมึกอาเจนปั่น</v>
      </c>
      <c r="B666" s="5">
        <f>IFERROR(__xludf.DUMMYFUNCTION("""COMPUTED_VALUE"""),1046.0)</f>
        <v>1046</v>
      </c>
      <c r="C666" s="5" t="str">
        <f>IFERROR(__xludf.DUMMYFUNCTION("""COMPUTED_VALUE"""),"อาเจน S *ปั่น* - 198")</f>
        <v>อาเจน S *ปั่น* - 198</v>
      </c>
      <c r="D666" s="5"/>
      <c r="E666" s="5" t="str">
        <f>IFERROR(__xludf.DUMMYFUNCTION("""COMPUTED_VALUE"""),"&lt;p&gt;X&lt;/p&gt;")</f>
        <v>&lt;p&gt;X&lt;/p&gt;</v>
      </c>
      <c r="F666" s="5" t="str">
        <f>IFERROR(__xludf.DUMMYFUNCTION("""COMPUTED_VALUE"""),"Y")</f>
        <v>Y</v>
      </c>
      <c r="G666" s="5"/>
      <c r="H666" s="5"/>
      <c r="I666" s="5"/>
      <c r="J666" s="5"/>
      <c r="K666" s="5"/>
      <c r="L666" s="5"/>
      <c r="M666" s="5"/>
      <c r="N666" s="5">
        <f>IFERROR(__xludf.DUMMYFUNCTION("""COMPUTED_VALUE"""),1046.0)</f>
        <v>1046</v>
      </c>
      <c r="O666" s="5">
        <f>IFERROR(__xludf.DUMMYFUNCTION("""COMPUTED_VALUE"""),10046.0)</f>
        <v>10046</v>
      </c>
      <c r="P666" s="5">
        <f>IFERROR(__xludf.DUMMYFUNCTION("""COMPUTED_VALUE"""),1.0)</f>
        <v>1</v>
      </c>
      <c r="Q666" s="5" t="str">
        <f>IFERROR(__xludf.DUMMYFUNCTION("""COMPUTED_VALUE"""),"N")</f>
        <v>N</v>
      </c>
      <c r="R666" s="5" t="str">
        <f>IFERROR(__xludf.DUMMYFUNCTION("""COMPUTED_VALUE"""),"N")</f>
        <v>N</v>
      </c>
      <c r="S666" s="5"/>
      <c r="T666" s="5"/>
      <c r="U666" s="5" t="str">
        <f>IFERROR(__xludf.DUMMYFUNCTION("""COMPUTED_VALUE"""),"Y")</f>
        <v>Y</v>
      </c>
      <c r="V666" s="5">
        <f>IFERROR(__xludf.DUMMYFUNCTION("""COMPUTED_VALUE"""),198.0)</f>
        <v>198</v>
      </c>
      <c r="W666" s="5"/>
      <c r="X666" s="5"/>
      <c r="Y666" s="5"/>
      <c r="Z666" s="5"/>
    </row>
    <row r="667">
      <c r="A667" s="5" t="str">
        <f>IFERROR(__xludf.DUMMYFUNCTION("""COMPUTED_VALUE"""),"หมึกอาเจนปั่น-s-ก้อน12.5(190)")</f>
        <v>หมึกอาเจนปั่น-s-ก้อน12.5(190)</v>
      </c>
      <c r="B667" s="5">
        <f>IFERROR(__xludf.DUMMYFUNCTION("""COMPUTED_VALUE"""),10457.0)</f>
        <v>10457</v>
      </c>
      <c r="C667" s="5" t="str">
        <f>IFERROR(__xludf.DUMMYFUNCTION("""COMPUTED_VALUE"""),"อาเจน ss10 Kg (172)")</f>
        <v>อาเจน ss10 Kg (172)</v>
      </c>
      <c r="D667" s="5" t="str">
        <f>IFERROR(__xludf.DUMMYFUNCTION("""COMPUTED_VALUE"""),"**ทะเลสด มหาชัย")</f>
        <v>**ทะเลสด มหาชัย</v>
      </c>
      <c r="E667" s="5" t="str">
        <f>IFERROR(__xludf.DUMMYFUNCTION("""COMPUTED_VALUE"""),"10")</f>
        <v>10</v>
      </c>
      <c r="F667" s="5" t="str">
        <f>IFERROR(__xludf.DUMMYFUNCTION("""COMPUTED_VALUE"""),"N")</f>
        <v>N</v>
      </c>
      <c r="G667" s="5"/>
      <c r="H667" s="5"/>
      <c r="I667" s="5"/>
      <c r="J667" s="5"/>
      <c r="K667" s="5"/>
      <c r="L667" s="5"/>
      <c r="M667" s="5">
        <f>IFERROR(__xludf.DUMMYFUNCTION("""COMPUTED_VALUE"""),1670.0)</f>
        <v>1670</v>
      </c>
      <c r="N667" s="5">
        <f>IFERROR(__xludf.DUMMYFUNCTION("""COMPUTED_VALUE"""),10457.0)</f>
        <v>10457</v>
      </c>
      <c r="O667" s="5"/>
      <c r="P667" s="5"/>
      <c r="Q667" s="5" t="str">
        <f>IFERROR(__xludf.DUMMYFUNCTION("""COMPUTED_VALUE"""),"Y")</f>
        <v>Y</v>
      </c>
      <c r="R667" s="5"/>
      <c r="S667" s="5" t="str">
        <f>IFERROR(__xludf.DUMMYFUNCTION("""COMPUTED_VALUE"""),"ขึ้นของมหาชัย")</f>
        <v>ขึ้นของมหาชัย</v>
      </c>
      <c r="T667" s="5">
        <f>IFERROR(__xludf.DUMMYFUNCTION("""COMPUTED_VALUE"""),1670.0)</f>
        <v>1670</v>
      </c>
      <c r="U667" s="5" t="str">
        <f>IFERROR(__xludf.DUMMYFUNCTION("""COMPUTED_VALUE"""),"N")</f>
        <v>N</v>
      </c>
      <c r="V667" s="5">
        <f>IFERROR(__xludf.DUMMYFUNCTION("""COMPUTED_VALUE"""),1720.0)</f>
        <v>1720</v>
      </c>
      <c r="W667" s="5">
        <f>IFERROR(__xludf.DUMMYFUNCTION("""COMPUTED_VALUE"""),0.0)</f>
        <v>0</v>
      </c>
      <c r="X667" s="5">
        <f>IFERROR(__xludf.DUMMYFUNCTION("""COMPUTED_VALUE"""),0.0)</f>
        <v>0</v>
      </c>
      <c r="Y667" s="5">
        <f>IFERROR(__xludf.DUMMYFUNCTION("""COMPUTED_VALUE"""),0.0)</f>
        <v>0</v>
      </c>
      <c r="Z667" s="5"/>
    </row>
    <row r="668">
      <c r="A668" s="5" t="str">
        <f>IFERROR(__xludf.DUMMYFUNCTION("""COMPUTED_VALUE"""),"หมึกอาเจน-s-ก้อน(ุถุงแดง-123)-ชั่งน้ำหนัก")</f>
        <v>หมึกอาเจน-s-ก้อน(ุถุงแดง-123)-ชั่งน้ำหนัก</v>
      </c>
      <c r="B668" s="5">
        <f>IFERROR(__xludf.DUMMYFUNCTION("""COMPUTED_VALUE"""),10808.0)</f>
        <v>10808</v>
      </c>
      <c r="C668" s="5" t="str">
        <f>IFERROR(__xludf.DUMMYFUNCTION("""COMPUTED_VALUE"""),"อาเจนS ก้อน10kg(189)")</f>
        <v>อาเจนS ก้อน10kg(189)</v>
      </c>
      <c r="D668" s="5" t="str">
        <f>IFERROR(__xludf.DUMMYFUNCTION("""COMPUTED_VALUE"""),"**ทะเลสด มหาชัย")</f>
        <v>**ทะเลสด มหาชัย</v>
      </c>
      <c r="E668" s="5" t="str">
        <f>IFERROR(__xludf.DUMMYFUNCTION("""COMPUTED_VALUE"""),"&lt;p&gt;10&lt;/p&gt;")</f>
        <v>&lt;p&gt;10&lt;/p&gt;</v>
      </c>
      <c r="F668" s="5" t="str">
        <f>IFERROR(__xludf.DUMMYFUNCTION("""COMPUTED_VALUE"""),"N")</f>
        <v>N</v>
      </c>
      <c r="G668" s="5"/>
      <c r="H668" s="5"/>
      <c r="I668" s="5"/>
      <c r="J668" s="5"/>
      <c r="K668" s="5"/>
      <c r="L668" s="5"/>
      <c r="M668" s="5">
        <f>IFERROR(__xludf.DUMMYFUNCTION("""COMPUTED_VALUE"""),1893.44)</f>
        <v>1893.44</v>
      </c>
      <c r="N668" s="5">
        <f>IFERROR(__xludf.DUMMYFUNCTION("""COMPUTED_VALUE"""),10808.0)</f>
        <v>10808</v>
      </c>
      <c r="O668" s="5"/>
      <c r="P668" s="5"/>
      <c r="Q668" s="5" t="str">
        <f>IFERROR(__xludf.DUMMYFUNCTION("""COMPUTED_VALUE"""),"Y")</f>
        <v>Y</v>
      </c>
      <c r="R668" s="5"/>
      <c r="S668" s="5"/>
      <c r="T668" s="5">
        <f>IFERROR(__xludf.DUMMYFUNCTION("""COMPUTED_VALUE"""),1820.0)</f>
        <v>1820</v>
      </c>
      <c r="U668" s="5" t="str">
        <f>IFERROR(__xludf.DUMMYFUNCTION("""COMPUTED_VALUE"""),"Y")</f>
        <v>Y</v>
      </c>
      <c r="V668" s="5">
        <f>IFERROR(__xludf.DUMMYFUNCTION("""COMPUTED_VALUE"""),1890.0)</f>
        <v>1890</v>
      </c>
      <c r="W668" s="5">
        <f>IFERROR(__xludf.DUMMYFUNCTION("""COMPUTED_VALUE"""),15.0)</f>
        <v>15</v>
      </c>
      <c r="X668" s="5">
        <f>IFERROR(__xludf.DUMMYFUNCTION("""COMPUTED_VALUE"""),0.0)</f>
        <v>0</v>
      </c>
      <c r="Y668" s="5">
        <f>IFERROR(__xludf.DUMMYFUNCTION("""COMPUTED_VALUE"""),0.0)</f>
        <v>0</v>
      </c>
      <c r="Z668" s="5"/>
    </row>
    <row r="669">
      <c r="A669" s="5" t="str">
        <f>IFERROR(__xludf.DUMMYFUNCTION("""COMPUTED_VALUE"""),"อาเจนs*ปั่น*-ก้อน12.5กก-185")</f>
        <v>อาเจนs*ปั่น*-ก้อน12.5กก-185</v>
      </c>
      <c r="B669" s="5">
        <f>IFERROR(__xludf.DUMMYFUNCTION("""COMPUTED_VALUE"""),10333.0)</f>
        <v>10333</v>
      </c>
      <c r="C669" s="5" t="str">
        <f>IFERROR(__xludf.DUMMYFUNCTION("""COMPUTED_VALUE"""),"อาเจนS*ปั่น* 12.5กก(185)")</f>
        <v>อาเจนS*ปั่น* 12.5กก(185)</v>
      </c>
      <c r="D669" s="5"/>
      <c r="E669" s="5"/>
      <c r="F669" s="5" t="str">
        <f>IFERROR(__xludf.DUMMYFUNCTION("""COMPUTED_VALUE"""),"N")</f>
        <v>N</v>
      </c>
      <c r="G669" s="5"/>
      <c r="H669" s="5"/>
      <c r="I669" s="5"/>
      <c r="J669" s="5"/>
      <c r="K669" s="5"/>
      <c r="L669" s="5"/>
      <c r="M669" s="5"/>
      <c r="N669" s="5"/>
      <c r="O669" s="5">
        <f>IFERROR(__xludf.DUMMYFUNCTION("""COMPUTED_VALUE"""),10205.0)</f>
        <v>10205</v>
      </c>
      <c r="P669" s="5">
        <f>IFERROR(__xludf.DUMMYFUNCTION("""COMPUTED_VALUE"""),1.0)</f>
        <v>1</v>
      </c>
      <c r="Q669" s="5" t="str">
        <f>IFERROR(__xludf.DUMMYFUNCTION("""COMPUTED_VALUE"""),"N")</f>
        <v>N</v>
      </c>
      <c r="R669" s="5" t="str">
        <f>IFERROR(__xludf.DUMMYFUNCTION("""COMPUTED_VALUE"""),"N")</f>
        <v>N</v>
      </c>
      <c r="S669" s="5"/>
      <c r="T669" s="5"/>
      <c r="U669" s="5" t="str">
        <f>IFERROR(__xludf.DUMMYFUNCTION("""COMPUTED_VALUE"""),"N")</f>
        <v>N</v>
      </c>
      <c r="V669" s="5">
        <f>IFERROR(__xludf.DUMMYFUNCTION("""COMPUTED_VALUE"""),2313.0)</f>
        <v>2313</v>
      </c>
      <c r="W669" s="5"/>
      <c r="X669" s="5"/>
      <c r="Y669" s="5"/>
      <c r="Z669" s="5"/>
    </row>
    <row r="670">
      <c r="A670" s="5" t="str">
        <f>IFERROR(__xludf.DUMMYFUNCTION("""COMPUTED_VALUE"""),"อีฟเก๊กฮวย")</f>
        <v>อีฟเก๊กฮวย</v>
      </c>
      <c r="B670" s="5">
        <f>IFERROR(__xludf.DUMMYFUNCTION("""COMPUTED_VALUE"""),10584.0)</f>
        <v>10584</v>
      </c>
      <c r="C670" s="5" t="str">
        <f>IFERROR(__xludf.DUMMYFUNCTION("""COMPUTED_VALUE"""),"อีฟเก๊กฮวย")</f>
        <v>อีฟเก๊กฮวย</v>
      </c>
      <c r="D670" s="5"/>
      <c r="E670" s="5"/>
      <c r="F670" s="5" t="str">
        <f>IFERROR(__xludf.DUMMYFUNCTION("""COMPUTED_VALUE"""),"N")</f>
        <v>N</v>
      </c>
      <c r="G670" s="5"/>
      <c r="H670" s="5"/>
      <c r="I670" s="5"/>
      <c r="J670" s="5"/>
      <c r="K670" s="5"/>
      <c r="L670" s="5"/>
      <c r="M670" s="5">
        <f>IFERROR(__xludf.DUMMYFUNCTION("""COMPUTED_VALUE"""),15.0)</f>
        <v>15</v>
      </c>
      <c r="N670" s="5">
        <f>IFERROR(__xludf.DUMMYFUNCTION("""COMPUTED_VALUE"""),8.859015703862E12)</f>
        <v>8859015703862</v>
      </c>
      <c r="O670" s="5"/>
      <c r="P670" s="5"/>
      <c r="Q670" s="5" t="str">
        <f>IFERROR(__xludf.DUMMYFUNCTION("""COMPUTED_VALUE"""),"N")</f>
        <v>N</v>
      </c>
      <c r="R670" s="5"/>
      <c r="S670" s="5"/>
      <c r="T670" s="5"/>
      <c r="U670" s="5" t="str">
        <f>IFERROR(__xludf.DUMMYFUNCTION("""COMPUTED_VALUE"""),"Y")</f>
        <v>Y</v>
      </c>
      <c r="V670" s="5">
        <f>IFERROR(__xludf.DUMMYFUNCTION("""COMPUTED_VALUE"""),20.0)</f>
        <v>20</v>
      </c>
      <c r="W670" s="5"/>
      <c r="X670" s="5"/>
      <c r="Y670" s="5"/>
      <c r="Z670" s="5"/>
    </row>
    <row r="671">
      <c r="A671" s="5" t="str">
        <f>IFERROR(__xludf.DUMMYFUNCTION("""COMPUTED_VALUE"""),"เกลือ-(10)-1")</f>
        <v>เกลือ-(10)-1</v>
      </c>
      <c r="B671" s="5">
        <f>IFERROR(__xludf.DUMMYFUNCTION("""COMPUTED_VALUE"""),11309.0)</f>
        <v>11309</v>
      </c>
      <c r="C671" s="5" t="str">
        <f>IFERROR(__xludf.DUMMYFUNCTION("""COMPUTED_VALUE"""),"เกลือ (10)")</f>
        <v>เกลือ (10)</v>
      </c>
      <c r="D671" s="5"/>
      <c r="E671" s="5" t="str">
        <f>IFERROR(__xludf.DUMMYFUNCTION("""COMPUTED_VALUE"""),"&lt;p&gt;X&lt;/p&gt;")</f>
        <v>&lt;p&gt;X&lt;/p&gt;</v>
      </c>
      <c r="F671" s="5" t="str">
        <f>IFERROR(__xludf.DUMMYFUNCTION("""COMPUTED_VALUE"""),"N")</f>
        <v>N</v>
      </c>
      <c r="G671" s="5"/>
      <c r="H671" s="5"/>
      <c r="I671" s="5"/>
      <c r="J671" s="5"/>
      <c r="K671" s="5"/>
      <c r="L671" s="5"/>
      <c r="M671" s="5"/>
      <c r="N671" s="5">
        <f>IFERROR(__xludf.DUMMYFUNCTION("""COMPUTED_VALUE"""),11309.0)</f>
        <v>11309</v>
      </c>
      <c r="O671" s="5">
        <f>IFERROR(__xludf.DUMMYFUNCTION("""COMPUTED_VALUE"""),10326.0)</f>
        <v>10326</v>
      </c>
      <c r="P671" s="5">
        <f>IFERROR(__xludf.DUMMYFUNCTION("""COMPUTED_VALUE"""),0.09)</f>
        <v>0.09</v>
      </c>
      <c r="Q671" s="5" t="str">
        <f>IFERROR(__xludf.DUMMYFUNCTION("""COMPUTED_VALUE"""),"N")</f>
        <v>N</v>
      </c>
      <c r="R671" s="5" t="str">
        <f>IFERROR(__xludf.DUMMYFUNCTION("""COMPUTED_VALUE"""),"N")</f>
        <v>N</v>
      </c>
      <c r="S671" s="5"/>
      <c r="T671" s="5"/>
      <c r="U671" s="5" t="str">
        <f>IFERROR(__xludf.DUMMYFUNCTION("""COMPUTED_VALUE"""),"Y")</f>
        <v>Y</v>
      </c>
      <c r="V671" s="5">
        <f>IFERROR(__xludf.DUMMYFUNCTION("""COMPUTED_VALUE"""),10.0)</f>
        <v>10</v>
      </c>
      <c r="W671" s="5"/>
      <c r="X671" s="5"/>
      <c r="Y671" s="5"/>
      <c r="Z671" s="5"/>
    </row>
    <row r="672">
      <c r="A672" s="5" t="str">
        <f>IFERROR(__xludf.DUMMYFUNCTION("""COMPUTED_VALUE"""),"เกลือ-กระสอบ")</f>
        <v>เกลือ-กระสอบ</v>
      </c>
      <c r="B672" s="5">
        <f>IFERROR(__xludf.DUMMYFUNCTION("""COMPUTED_VALUE"""),10326.0)</f>
        <v>10326</v>
      </c>
      <c r="C672" s="5" t="str">
        <f>IFERROR(__xludf.DUMMYFUNCTION("""COMPUTED_VALUE"""),"เกลือ กระสอบ (130)")</f>
        <v>เกลือ กระสอบ (130)</v>
      </c>
      <c r="D672" s="5" t="str">
        <f>IFERROR(__xludf.DUMMYFUNCTION("""COMPUTED_VALUE"""),"**ของแห้ง")</f>
        <v>**ของแห้ง</v>
      </c>
      <c r="E672" s="5" t="str">
        <f>IFERROR(__xludf.DUMMYFUNCTION("""COMPUTED_VALUE"""),"&lt;p&gt;X&lt;/p&gt;")</f>
        <v>&lt;p&gt;X&lt;/p&gt;</v>
      </c>
      <c r="F672" s="5" t="str">
        <f>IFERROR(__xludf.DUMMYFUNCTION("""COMPUTED_VALUE"""),"N")</f>
        <v>N</v>
      </c>
      <c r="G672" s="5"/>
      <c r="H672" s="5"/>
      <c r="I672" s="5"/>
      <c r="J672" s="5"/>
      <c r="K672" s="5"/>
      <c r="L672" s="5"/>
      <c r="M672" s="5">
        <f>IFERROR(__xludf.DUMMYFUNCTION("""COMPUTED_VALUE"""),90.0)</f>
        <v>90</v>
      </c>
      <c r="N672" s="5">
        <f>IFERROR(__xludf.DUMMYFUNCTION("""COMPUTED_VALUE"""),10326.0)</f>
        <v>10326</v>
      </c>
      <c r="O672" s="5"/>
      <c r="P672" s="5"/>
      <c r="Q672" s="5" t="str">
        <f>IFERROR(__xludf.DUMMYFUNCTION("""COMPUTED_VALUE"""),"Y")</f>
        <v>Y</v>
      </c>
      <c r="R672" s="5"/>
      <c r="S672" s="5"/>
      <c r="T672" s="5">
        <f>IFERROR(__xludf.DUMMYFUNCTION("""COMPUTED_VALUE"""),90.0)</f>
        <v>90</v>
      </c>
      <c r="U672" s="5" t="str">
        <f>IFERROR(__xludf.DUMMYFUNCTION("""COMPUTED_VALUE"""),"Y")</f>
        <v>Y</v>
      </c>
      <c r="V672" s="5">
        <f>IFERROR(__xludf.DUMMYFUNCTION("""COMPUTED_VALUE"""),130.0)</f>
        <v>130</v>
      </c>
      <c r="W672" s="5">
        <f>IFERROR(__xludf.DUMMYFUNCTION("""COMPUTED_VALUE"""),26.0)</f>
        <v>26</v>
      </c>
      <c r="X672" s="5">
        <f>IFERROR(__xludf.DUMMYFUNCTION("""COMPUTED_VALUE"""),0.0)</f>
        <v>0</v>
      </c>
      <c r="Y672" s="5"/>
      <c r="Z672" s="5"/>
    </row>
    <row r="673">
      <c r="A673" s="5" t="str">
        <f>IFERROR(__xludf.DUMMYFUNCTION("""COMPUTED_VALUE"""),"เกี๊ยวซ่า-40-กรัม/-แพ็ค")</f>
        <v>เกี๊ยวซ่า-40-กรัม/-แพ็ค</v>
      </c>
      <c r="B673" s="5">
        <f>IFERROR(__xludf.DUMMYFUNCTION("""COMPUTED_VALUE"""),10211.0)</f>
        <v>10211</v>
      </c>
      <c r="C673" s="5" t="str">
        <f>IFERROR(__xludf.DUMMYFUNCTION("""COMPUTED_VALUE"""),"เกี๊ยวซ่า 40 ชิ้น(800กรัม)/ แพ็ค")</f>
        <v>เกี๊ยวซ่า 40 ชิ้น(800กรัม)/ แพ็ค</v>
      </c>
      <c r="D673" s="5"/>
      <c r="E673" s="5"/>
      <c r="F673" s="5" t="str">
        <f>IFERROR(__xludf.DUMMYFUNCTION("""COMPUTED_VALUE"""),"N")</f>
        <v>N</v>
      </c>
      <c r="G673" s="5"/>
      <c r="H673" s="5"/>
      <c r="I673" s="5"/>
      <c r="J673" s="5"/>
      <c r="K673" s="5"/>
      <c r="L673" s="5"/>
      <c r="M673" s="5">
        <f>IFERROR(__xludf.DUMMYFUNCTION("""COMPUTED_VALUE"""),133.99)</f>
        <v>133.99</v>
      </c>
      <c r="N673" s="5"/>
      <c r="O673" s="5"/>
      <c r="P673" s="5"/>
      <c r="Q673" s="5" t="str">
        <f>IFERROR(__xludf.DUMMYFUNCTION("""COMPUTED_VALUE"""),"Y")</f>
        <v>Y</v>
      </c>
      <c r="R673" s="5"/>
      <c r="S673" s="5"/>
      <c r="T673" s="5">
        <f>IFERROR(__xludf.DUMMYFUNCTION("""COMPUTED_VALUE"""),133.99)</f>
        <v>133.99</v>
      </c>
      <c r="U673" s="5" t="str">
        <f>IFERROR(__xludf.DUMMYFUNCTION("""COMPUTED_VALUE"""),"Y")</f>
        <v>Y</v>
      </c>
      <c r="V673" s="5">
        <f>IFERROR(__xludf.DUMMYFUNCTION("""COMPUTED_VALUE"""),145.0)</f>
        <v>145</v>
      </c>
      <c r="W673" s="5">
        <f>IFERROR(__xludf.DUMMYFUNCTION("""COMPUTED_VALUE"""),15.0)</f>
        <v>15</v>
      </c>
      <c r="X673" s="5"/>
      <c r="Y673" s="5"/>
      <c r="Z673" s="5"/>
    </row>
    <row r="674">
      <c r="A674" s="5" t="str">
        <f>IFERROR(__xludf.DUMMYFUNCTION("""COMPUTED_VALUE"""),"สวัสดีปีใหม่-2569")</f>
        <v>สวัสดีปีใหม่-2569</v>
      </c>
      <c r="B674" s="5">
        <f>IFERROR(__xludf.DUMMYFUNCTION("""COMPUTED_VALUE"""),10784.0)</f>
        <v>10784</v>
      </c>
      <c r="C674" s="5" t="str">
        <f>IFERROR(__xludf.DUMMYFUNCTION("""COMPUTED_VALUE"""),"เค้ก สวัสดีปีใหม่ 2569")</f>
        <v>เค้ก สวัสดีปีใหม่ 2569</v>
      </c>
      <c r="D674" s="5"/>
      <c r="E674" s="5"/>
      <c r="F674" s="5" t="str">
        <f>IFERROR(__xludf.DUMMYFUNCTION("""COMPUTED_VALUE"""),"N")</f>
        <v>N</v>
      </c>
      <c r="G674" s="5"/>
      <c r="H674" s="5"/>
      <c r="I674" s="5"/>
      <c r="J674" s="5"/>
      <c r="K674" s="5"/>
      <c r="L674" s="5"/>
      <c r="M674" s="5">
        <f>IFERROR(__xludf.DUMMYFUNCTION("""COMPUTED_VALUE"""),149.0)</f>
        <v>149</v>
      </c>
      <c r="N674" s="5"/>
      <c r="O674" s="5"/>
      <c r="P674" s="5"/>
      <c r="Q674" s="5" t="str">
        <f>IFERROR(__xludf.DUMMYFUNCTION("""COMPUTED_VALUE"""),"N")</f>
        <v>N</v>
      </c>
      <c r="R674" s="5"/>
      <c r="S674" s="5"/>
      <c r="T674" s="5"/>
      <c r="U674" s="5" t="str">
        <f>IFERROR(__xludf.DUMMYFUNCTION("""COMPUTED_VALUE"""),"Y")</f>
        <v>Y</v>
      </c>
      <c r="V674" s="5">
        <f>IFERROR(__xludf.DUMMYFUNCTION("""COMPUTED_VALUE"""),0.0)</f>
        <v>0</v>
      </c>
      <c r="W674" s="5"/>
      <c r="X674" s="5"/>
      <c r="Y674" s="5"/>
      <c r="Z674" s="5"/>
    </row>
    <row r="675">
      <c r="A675" s="5" t="str">
        <f>IFERROR(__xludf.DUMMYFUNCTION("""COMPUTED_VALUE"""),"เครื่องในเป็ด-1-kg-1")</f>
        <v>เครื่องในเป็ด-1-kg-1</v>
      </c>
      <c r="B675" s="5">
        <f>IFERROR(__xludf.DUMMYFUNCTION("""COMPUTED_VALUE"""),10249.0)</f>
        <v>10249</v>
      </c>
      <c r="C675" s="5" t="str">
        <f>IFERROR(__xludf.DUMMYFUNCTION("""COMPUTED_VALUE"""),"เครื่องในเป็ด 1 Kg(105)")</f>
        <v>เครื่องในเป็ด 1 Kg(105)</v>
      </c>
      <c r="D675" s="5" t="str">
        <f>IFERROR(__xludf.DUMMYFUNCTION("""COMPUTED_VALUE"""),"**ลัง ร้อยเอ็ด")</f>
        <v>**ลัง ร้อยเอ็ด</v>
      </c>
      <c r="E675" s="5" t="str">
        <f>IFERROR(__xludf.DUMMYFUNCTION("""COMPUTED_VALUE"""),"&lt;p&gt;X&lt;/p&gt;")</f>
        <v>&lt;p&gt;X&lt;/p&gt;</v>
      </c>
      <c r="F675" s="5" t="str">
        <f>IFERROR(__xludf.DUMMYFUNCTION("""COMPUTED_VALUE"""),"N")</f>
        <v>N</v>
      </c>
      <c r="G675" s="5"/>
      <c r="H675" s="5"/>
      <c r="I675" s="5"/>
      <c r="J675" s="5"/>
      <c r="K675" s="5"/>
      <c r="L675" s="5"/>
      <c r="M675" s="5">
        <f>IFERROR(__xludf.DUMMYFUNCTION("""COMPUTED_VALUE"""),85.12)</f>
        <v>85.12</v>
      </c>
      <c r="N675" s="5">
        <f>IFERROR(__xludf.DUMMYFUNCTION("""COMPUTED_VALUE"""),10249.0)</f>
        <v>10249</v>
      </c>
      <c r="O675" s="5"/>
      <c r="P675" s="5"/>
      <c r="Q675" s="5" t="str">
        <f>IFERROR(__xludf.DUMMYFUNCTION("""COMPUTED_VALUE"""),"Y")</f>
        <v>Y</v>
      </c>
      <c r="R675" s="5"/>
      <c r="S675" s="5" t="str">
        <f>IFERROR(__xludf.DUMMYFUNCTION("""COMPUTED_VALUE"""),"บุญศิริ")</f>
        <v>บุญศิริ</v>
      </c>
      <c r="T675" s="5">
        <f>IFERROR(__xludf.DUMMYFUNCTION("""COMPUTED_VALUE"""),88.0)</f>
        <v>88</v>
      </c>
      <c r="U675" s="5" t="str">
        <f>IFERROR(__xludf.DUMMYFUNCTION("""COMPUTED_VALUE"""),"Y")</f>
        <v>Y</v>
      </c>
      <c r="V675" s="5">
        <f>IFERROR(__xludf.DUMMYFUNCTION("""COMPUTED_VALUE"""),105.0)</f>
        <v>105</v>
      </c>
      <c r="W675" s="5">
        <f>IFERROR(__xludf.DUMMYFUNCTION("""COMPUTED_VALUE"""),24.0)</f>
        <v>24</v>
      </c>
      <c r="X675" s="5">
        <f>IFERROR(__xludf.DUMMYFUNCTION("""COMPUTED_VALUE"""),12.0)</f>
        <v>12</v>
      </c>
      <c r="Y675" s="5"/>
      <c r="Z675" s="5"/>
    </row>
    <row r="676">
      <c r="A676" s="5" t="str">
        <f>IFERROR(__xludf.DUMMYFUNCTION("""COMPUTED_VALUE"""),"เครื่องในเป็ด-12*1-kg-1-ลัง-1")</f>
        <v>เครื่องในเป็ด-12*1-kg-1-ลัง-1</v>
      </c>
      <c r="B676" s="5">
        <f>IFERROR(__xludf.DUMMYFUNCTION("""COMPUTED_VALUE"""),10032.0)</f>
        <v>10032</v>
      </c>
      <c r="C676" s="5" t="str">
        <f>IFERROR(__xludf.DUMMYFUNCTION("""COMPUTED_VALUE"""),"เครื่องในเป็ด 12*1 Kg 1 ลัง (95)")</f>
        <v>เครื่องในเป็ด 12*1 Kg 1 ลัง (95)</v>
      </c>
      <c r="D676" s="5"/>
      <c r="E676" s="5" t="str">
        <f>IFERROR(__xludf.DUMMYFUNCTION("""COMPUTED_VALUE"""),"&lt;p&gt;S&lt;/p&gt;")</f>
        <v>&lt;p&gt;S&lt;/p&gt;</v>
      </c>
      <c r="F676" s="5" t="str">
        <f>IFERROR(__xludf.DUMMYFUNCTION("""COMPUTED_VALUE"""),"N")</f>
        <v>N</v>
      </c>
      <c r="G676" s="5"/>
      <c r="H676" s="5"/>
      <c r="I676" s="5"/>
      <c r="J676" s="5"/>
      <c r="K676" s="5"/>
      <c r="L676" s="5"/>
      <c r="M676" s="5"/>
      <c r="N676" s="5"/>
      <c r="O676" s="5">
        <f>IFERROR(__xludf.DUMMYFUNCTION("""COMPUTED_VALUE"""),10249.0)</f>
        <v>10249</v>
      </c>
      <c r="P676" s="5">
        <f>IFERROR(__xludf.DUMMYFUNCTION("""COMPUTED_VALUE"""),12.0)</f>
        <v>12</v>
      </c>
      <c r="Q676" s="5" t="str">
        <f>IFERROR(__xludf.DUMMYFUNCTION("""COMPUTED_VALUE"""),"N")</f>
        <v>N</v>
      </c>
      <c r="R676" s="5" t="str">
        <f>IFERROR(__xludf.DUMMYFUNCTION("""COMPUTED_VALUE"""),"N")</f>
        <v>N</v>
      </c>
      <c r="S676" s="5"/>
      <c r="T676" s="5"/>
      <c r="U676" s="5" t="str">
        <f>IFERROR(__xludf.DUMMYFUNCTION("""COMPUTED_VALUE"""),"Y")</f>
        <v>Y</v>
      </c>
      <c r="V676" s="5">
        <f>IFERROR(__xludf.DUMMYFUNCTION("""COMPUTED_VALUE"""),1176.0)</f>
        <v>1176</v>
      </c>
      <c r="W676" s="5"/>
      <c r="X676" s="5"/>
      <c r="Y676" s="5"/>
      <c r="Z676" s="5"/>
    </row>
    <row r="677">
      <c r="A677" s="5" t="str">
        <f>IFERROR(__xludf.DUMMYFUNCTION("""COMPUTED_VALUE"""),"เชพแพ็ค-น้ำยาล้างจาน-10ลิตร")</f>
        <v>เชพแพ็ค-น้ำยาล้างจาน-10ลิตร</v>
      </c>
      <c r="B677" s="5">
        <f>IFERROR(__xludf.DUMMYFUNCTION("""COMPUTED_VALUE"""),10452.0)</f>
        <v>10452</v>
      </c>
      <c r="C677" s="5" t="str">
        <f>IFERROR(__xludf.DUMMYFUNCTION("""COMPUTED_VALUE"""),"เชพแพ็ค น้ำยาล้างจาน 10ลิตร")</f>
        <v>เชพแพ็ค น้ำยาล้างจาน 10ลิตร</v>
      </c>
      <c r="D677" s="5"/>
      <c r="E677" s="5"/>
      <c r="F677" s="5" t="str">
        <f>IFERROR(__xludf.DUMMYFUNCTION("""COMPUTED_VALUE"""),"N")</f>
        <v>N</v>
      </c>
      <c r="G677" s="5"/>
      <c r="H677" s="5"/>
      <c r="I677" s="5"/>
      <c r="J677" s="5"/>
      <c r="K677" s="5"/>
      <c r="L677" s="5"/>
      <c r="M677" s="5">
        <f>IFERROR(__xludf.DUMMYFUNCTION("""COMPUTED_VALUE"""),229.0)</f>
        <v>229</v>
      </c>
      <c r="N677" s="5"/>
      <c r="O677" s="5"/>
      <c r="P677" s="5"/>
      <c r="Q677" s="5" t="str">
        <f>IFERROR(__xludf.DUMMYFUNCTION("""COMPUTED_VALUE"""),"Y")</f>
        <v>Y</v>
      </c>
      <c r="R677" s="5"/>
      <c r="S677" s="5"/>
      <c r="T677" s="5"/>
      <c r="U677" s="5" t="str">
        <f>IFERROR(__xludf.DUMMYFUNCTION("""COMPUTED_VALUE"""),"Y")</f>
        <v>Y</v>
      </c>
      <c r="V677" s="5">
        <f>IFERROR(__xludf.DUMMYFUNCTION("""COMPUTED_VALUE"""),280.0)</f>
        <v>280</v>
      </c>
      <c r="W677" s="5">
        <f>IFERROR(__xludf.DUMMYFUNCTION("""COMPUTED_VALUE"""),0.0)</f>
        <v>0</v>
      </c>
      <c r="X677" s="5"/>
      <c r="Y677" s="5"/>
      <c r="Z677" s="5"/>
    </row>
    <row r="678">
      <c r="A678" s="5" t="str">
        <f>IFERROR(__xludf.DUMMYFUNCTION("""COMPUTED_VALUE"""),"เต้าหู้ชีส-pfp500-กรัม-(ลัง)")</f>
        <v>เต้าหู้ชีส-pfp500-กรัม-(ลัง)</v>
      </c>
      <c r="B678" s="5">
        <f>IFERROR(__xludf.DUMMYFUNCTION("""COMPUTED_VALUE"""),11539.0)</f>
        <v>11539</v>
      </c>
      <c r="C678" s="5" t="str">
        <f>IFERROR(__xludf.DUMMYFUNCTION("""COMPUTED_VALUE"""),"เต้าหู้ชีส pfp 500 กรัม (ลัง)")</f>
        <v>เต้าหู้ชีส pfp 500 กรัม (ลัง)</v>
      </c>
      <c r="D678" s="5"/>
      <c r="E678" s="5" t="str">
        <f>IFERROR(__xludf.DUMMYFUNCTION("""COMPUTED_VALUE"""),"&lt;p&gt;S&lt;/p&gt;")</f>
        <v>&lt;p&gt;S&lt;/p&gt;</v>
      </c>
      <c r="F678" s="5" t="str">
        <f>IFERROR(__xludf.DUMMYFUNCTION("""COMPUTED_VALUE"""),"N")</f>
        <v>N</v>
      </c>
      <c r="G678" s="5"/>
      <c r="H678" s="5"/>
      <c r="I678" s="5"/>
      <c r="J678" s="5"/>
      <c r="K678" s="5"/>
      <c r="L678" s="5"/>
      <c r="M678" s="5"/>
      <c r="N678" s="5">
        <f>IFERROR(__xludf.DUMMYFUNCTION("""COMPUTED_VALUE"""),11539.0)</f>
        <v>11539</v>
      </c>
      <c r="O678" s="5">
        <f>IFERROR(__xludf.DUMMYFUNCTION("""COMPUTED_VALUE"""),11534.0)</f>
        <v>11534</v>
      </c>
      <c r="P678" s="5">
        <f>IFERROR(__xludf.DUMMYFUNCTION("""COMPUTED_VALUE"""),20.0)</f>
        <v>20</v>
      </c>
      <c r="Q678" s="5" t="str">
        <f>IFERROR(__xludf.DUMMYFUNCTION("""COMPUTED_VALUE"""),"N")</f>
        <v>N</v>
      </c>
      <c r="R678" s="5" t="str">
        <f>IFERROR(__xludf.DUMMYFUNCTION("""COMPUTED_VALUE"""),"N")</f>
        <v>N</v>
      </c>
      <c r="S678" s="5"/>
      <c r="T678" s="5"/>
      <c r="U678" s="5" t="str">
        <f>IFERROR(__xludf.DUMMYFUNCTION("""COMPUTED_VALUE"""),"Y")</f>
        <v>Y</v>
      </c>
      <c r="V678" s="5">
        <f>IFERROR(__xludf.DUMMYFUNCTION("""COMPUTED_VALUE"""),1470.0)</f>
        <v>1470</v>
      </c>
      <c r="W678" s="5"/>
      <c r="X678" s="5"/>
      <c r="Y678" s="5"/>
      <c r="Z678" s="5"/>
    </row>
    <row r="679">
      <c r="A679" s="5" t="str">
        <f>IFERROR(__xludf.DUMMYFUNCTION("""COMPUTED_VALUE"""),"เต้าหู้ชีส-pfp500-กรัม")</f>
        <v>เต้าหู้ชีส-pfp500-กรัม</v>
      </c>
      <c r="B679" s="5">
        <f>IFERROR(__xludf.DUMMYFUNCTION("""COMPUTED_VALUE"""),11534.0)</f>
        <v>11534</v>
      </c>
      <c r="C679" s="5" t="str">
        <f>IFERROR(__xludf.DUMMYFUNCTION("""COMPUTED_VALUE"""),"เต้าหู้ชีส pfp 500กรัม")</f>
        <v>เต้าหู้ชีส pfp 500กรัม</v>
      </c>
      <c r="D679" s="5" t="str">
        <f>IFERROR(__xludf.DUMMYFUNCTION("""COMPUTED_VALUE"""),"ทวีวงษ์-PFP")</f>
        <v>ทวีวงษ์-PFP</v>
      </c>
      <c r="E679" s="5" t="str">
        <f>IFERROR(__xludf.DUMMYFUNCTION("""COMPUTED_VALUE"""),"&lt;p&gt;X&lt;/p&gt;")</f>
        <v>&lt;p&gt;X&lt;/p&gt;</v>
      </c>
      <c r="F679" s="5" t="str">
        <f>IFERROR(__xludf.DUMMYFUNCTION("""COMPUTED_VALUE"""),"N")</f>
        <v>N</v>
      </c>
      <c r="G679" s="5"/>
      <c r="H679" s="5"/>
      <c r="I679" s="5"/>
      <c r="J679" s="5"/>
      <c r="K679" s="5"/>
      <c r="L679" s="5"/>
      <c r="M679" s="5">
        <f>IFERROR(__xludf.DUMMYFUNCTION("""COMPUTED_VALUE"""),69.5)</f>
        <v>69.5</v>
      </c>
      <c r="N679" s="5">
        <f>IFERROR(__xludf.DUMMYFUNCTION("""COMPUTED_VALUE"""),8.852014085144E12)</f>
        <v>8852014085144</v>
      </c>
      <c r="O679" s="5"/>
      <c r="P679" s="5"/>
      <c r="Q679" s="5" t="str">
        <f>IFERROR(__xludf.DUMMYFUNCTION("""COMPUTED_VALUE"""),"Y")</f>
        <v>Y</v>
      </c>
      <c r="R679" s="5"/>
      <c r="S679" s="5" t="str">
        <f>IFERROR(__xludf.DUMMYFUNCTION("""COMPUTED_VALUE"""),"PFP")</f>
        <v>PFP</v>
      </c>
      <c r="T679" s="5">
        <f>IFERROR(__xludf.DUMMYFUNCTION("""COMPUTED_VALUE"""),69.5)</f>
        <v>69.5</v>
      </c>
      <c r="U679" s="5" t="str">
        <f>IFERROR(__xludf.DUMMYFUNCTION("""COMPUTED_VALUE"""),"Y")</f>
        <v>Y</v>
      </c>
      <c r="V679" s="5">
        <f>IFERROR(__xludf.DUMMYFUNCTION("""COMPUTED_VALUE"""),82.0)</f>
        <v>82</v>
      </c>
      <c r="W679" s="5">
        <f>IFERROR(__xludf.DUMMYFUNCTION("""COMPUTED_VALUE"""),185.0)</f>
        <v>185</v>
      </c>
      <c r="X679" s="5">
        <f>IFERROR(__xludf.DUMMYFUNCTION("""COMPUTED_VALUE"""),20.0)</f>
        <v>20</v>
      </c>
      <c r="Y679" s="5">
        <f>IFERROR(__xludf.DUMMYFUNCTION("""COMPUTED_VALUE"""),40.0)</f>
        <v>40</v>
      </c>
      <c r="Z679" s="5"/>
    </row>
    <row r="680">
      <c r="A680" s="5" t="str">
        <f>IFERROR(__xludf.DUMMYFUNCTION("""COMPUTED_VALUE"""),"เต้าหู้ปลาแผ่น-trk-500g")</f>
        <v>เต้าหู้ปลาแผ่น-trk-500g</v>
      </c>
      <c r="B680" s="5">
        <f>IFERROR(__xludf.DUMMYFUNCTION("""COMPUTED_VALUE"""),11312.0)</f>
        <v>11312</v>
      </c>
      <c r="C680" s="5" t="str">
        <f>IFERROR(__xludf.DUMMYFUNCTION("""COMPUTED_VALUE"""),"เต้าหู้ปลา TRK 450g")</f>
        <v>เต้าหู้ปลา TRK 450g</v>
      </c>
      <c r="D680" s="5" t="str">
        <f>IFERROR(__xludf.DUMMYFUNCTION("""COMPUTED_VALUE"""),"**ของหิ้ว ร้อยเอ็ด")</f>
        <v>**ของหิ้ว ร้อยเอ็ด</v>
      </c>
      <c r="E680" s="5" t="str">
        <f>IFERROR(__xludf.DUMMYFUNCTION("""COMPUTED_VALUE"""),"&lt;p&gt;X&lt;/p&gt;")</f>
        <v>&lt;p&gt;X&lt;/p&gt;</v>
      </c>
      <c r="F680" s="5" t="str">
        <f>IFERROR(__xludf.DUMMYFUNCTION("""COMPUTED_VALUE"""),"N")</f>
        <v>N</v>
      </c>
      <c r="G680" s="5"/>
      <c r="H680" s="5"/>
      <c r="I680" s="5"/>
      <c r="J680" s="5"/>
      <c r="K680" s="5"/>
      <c r="L680" s="5"/>
      <c r="M680" s="5">
        <f>IFERROR(__xludf.DUMMYFUNCTION("""COMPUTED_VALUE"""),37.0)</f>
        <v>37</v>
      </c>
      <c r="N680" s="5">
        <f>IFERROR(__xludf.DUMMYFUNCTION("""COMPUTED_VALUE"""),11312.0)</f>
        <v>11312</v>
      </c>
      <c r="O680" s="5"/>
      <c r="P680" s="5"/>
      <c r="Q680" s="5" t="str">
        <f>IFERROR(__xludf.DUMMYFUNCTION("""COMPUTED_VALUE"""),"Y")</f>
        <v>Y</v>
      </c>
      <c r="R680" s="5"/>
      <c r="S680" s="5" t="str">
        <f>IFERROR(__xludf.DUMMYFUNCTION("""COMPUTED_VALUE"""),"ธาริกัน ฟู้ดส์")</f>
        <v>ธาริกัน ฟู้ดส์</v>
      </c>
      <c r="T680" s="5">
        <f>IFERROR(__xludf.DUMMYFUNCTION("""COMPUTED_VALUE"""),37.0)</f>
        <v>37</v>
      </c>
      <c r="U680" s="5" t="str">
        <f>IFERROR(__xludf.DUMMYFUNCTION("""COMPUTED_VALUE"""),"Y")</f>
        <v>Y</v>
      </c>
      <c r="V680" s="5">
        <f>IFERROR(__xludf.DUMMYFUNCTION("""COMPUTED_VALUE"""),49.0)</f>
        <v>49</v>
      </c>
      <c r="W680" s="5">
        <f>IFERROR(__xludf.DUMMYFUNCTION("""COMPUTED_VALUE"""),0.0)</f>
        <v>0</v>
      </c>
      <c r="X680" s="5"/>
      <c r="Y680" s="5"/>
      <c r="Z680" s="5"/>
    </row>
    <row r="681">
      <c r="A681" s="5" t="str">
        <f>IFERROR(__xludf.DUMMYFUNCTION("""COMPUTED_VALUE"""),"เต้าหู้ปลาแผ่น-trk-10*500g-หิ้ว")</f>
        <v>เต้าหู้ปลาแผ่น-trk-10*500g-หิ้ว</v>
      </c>
      <c r="B681" s="5">
        <f>IFERROR(__xludf.DUMMYFUNCTION("""COMPUTED_VALUE"""),11313.0)</f>
        <v>11313</v>
      </c>
      <c r="C681" s="5" t="str">
        <f>IFERROR(__xludf.DUMMYFUNCTION("""COMPUTED_VALUE"""),"เต้าหู้ปลา TRK 450g 10แพ็ค/ หิ้ว")</f>
        <v>เต้าหู้ปลา TRK 450g 10แพ็ค/ หิ้ว</v>
      </c>
      <c r="D681" s="5"/>
      <c r="E681" s="5" t="str">
        <f>IFERROR(__xludf.DUMMYFUNCTION("""COMPUTED_VALUE"""),"&lt;p&gt;S&lt;/p&gt;")</f>
        <v>&lt;p&gt;S&lt;/p&gt;</v>
      </c>
      <c r="F681" s="5" t="str">
        <f>IFERROR(__xludf.DUMMYFUNCTION("""COMPUTED_VALUE"""),"N")</f>
        <v>N</v>
      </c>
      <c r="G681" s="5"/>
      <c r="H681" s="5"/>
      <c r="I681" s="5"/>
      <c r="J681" s="5"/>
      <c r="K681" s="5"/>
      <c r="L681" s="5"/>
      <c r="M681" s="5"/>
      <c r="N681" s="5">
        <f>IFERROR(__xludf.DUMMYFUNCTION("""COMPUTED_VALUE"""),11313.0)</f>
        <v>11313</v>
      </c>
      <c r="O681" s="5">
        <f>IFERROR(__xludf.DUMMYFUNCTION("""COMPUTED_VALUE"""),11312.0)</f>
        <v>11312</v>
      </c>
      <c r="P681" s="5">
        <f>IFERROR(__xludf.DUMMYFUNCTION("""COMPUTED_VALUE"""),10.0)</f>
        <v>10</v>
      </c>
      <c r="Q681" s="5" t="str">
        <f>IFERROR(__xludf.DUMMYFUNCTION("""COMPUTED_VALUE"""),"N")</f>
        <v>N</v>
      </c>
      <c r="R681" s="5" t="str">
        <f>IFERROR(__xludf.DUMMYFUNCTION("""COMPUTED_VALUE"""),"N")</f>
        <v>N</v>
      </c>
      <c r="S681" s="5"/>
      <c r="T681" s="5"/>
      <c r="U681" s="5" t="str">
        <f>IFERROR(__xludf.DUMMYFUNCTION("""COMPUTED_VALUE"""),"Y")</f>
        <v>Y</v>
      </c>
      <c r="V681" s="5">
        <f>IFERROR(__xludf.DUMMYFUNCTION("""COMPUTED_VALUE"""),450.0)</f>
        <v>450</v>
      </c>
      <c r="W681" s="5"/>
      <c r="X681" s="5"/>
      <c r="Y681" s="5"/>
      <c r="Z681" s="5"/>
    </row>
    <row r="682">
      <c r="A682" s="5" t="str">
        <f>IFERROR(__xludf.DUMMYFUNCTION("""COMPUTED_VALUE"""),"เต้าหู้ปลา-ถุงชมพู-ทวีวงษ์-500g")</f>
        <v>เต้าหู้ปลา-ถุงชมพู-ทวีวงษ์-500g</v>
      </c>
      <c r="B682" s="5">
        <f>IFERROR(__xludf.DUMMYFUNCTION("""COMPUTED_VALUE"""),10448.0)</f>
        <v>10448</v>
      </c>
      <c r="C682" s="5" t="str">
        <f>IFERROR(__xludf.DUMMYFUNCTION("""COMPUTED_VALUE"""),"เต้าหู้ปลา ถุงชมพู ทวีวงษ์  500g")</f>
        <v>เต้าหู้ปลา ถุงชมพู ทวีวงษ์  500g</v>
      </c>
      <c r="D682" s="5" t="str">
        <f>IFERROR(__xludf.DUMMYFUNCTION("""COMPUTED_VALUE"""),"ทวีวงษ์-PFP")</f>
        <v>ทวีวงษ์-PFP</v>
      </c>
      <c r="E682" s="5" t="str">
        <f>IFERROR(__xludf.DUMMYFUNCTION("""COMPUTED_VALUE"""),"&lt;p&gt;X&lt;/p&gt;")</f>
        <v>&lt;p&gt;X&lt;/p&gt;</v>
      </c>
      <c r="F682" s="5" t="str">
        <f>IFERROR(__xludf.DUMMYFUNCTION("""COMPUTED_VALUE"""),"N")</f>
        <v>N</v>
      </c>
      <c r="G682" s="5"/>
      <c r="H682" s="5"/>
      <c r="I682" s="5"/>
      <c r="J682" s="5"/>
      <c r="K682" s="5"/>
      <c r="L682" s="5"/>
      <c r="M682" s="5">
        <f>IFERROR(__xludf.DUMMYFUNCTION("""COMPUTED_VALUE"""),62.0)</f>
        <v>62</v>
      </c>
      <c r="N682" s="5">
        <f>IFERROR(__xludf.DUMMYFUNCTION("""COMPUTED_VALUE"""),10448.0)</f>
        <v>10448</v>
      </c>
      <c r="O682" s="5"/>
      <c r="P682" s="5"/>
      <c r="Q682" s="5" t="str">
        <f>IFERROR(__xludf.DUMMYFUNCTION("""COMPUTED_VALUE"""),"Y")</f>
        <v>Y</v>
      </c>
      <c r="R682" s="5"/>
      <c r="S682" s="5" t="str">
        <f>IFERROR(__xludf.DUMMYFUNCTION("""COMPUTED_VALUE"""),"ทวีวงษ์")</f>
        <v>ทวีวงษ์</v>
      </c>
      <c r="T682" s="5">
        <f>IFERROR(__xludf.DUMMYFUNCTION("""COMPUTED_VALUE"""),62.0)</f>
        <v>62</v>
      </c>
      <c r="U682" s="5" t="str">
        <f>IFERROR(__xludf.DUMMYFUNCTION("""COMPUTED_VALUE"""),"Y")</f>
        <v>Y</v>
      </c>
      <c r="V682" s="5">
        <f>IFERROR(__xludf.DUMMYFUNCTION("""COMPUTED_VALUE"""),72.0)</f>
        <v>72</v>
      </c>
      <c r="W682" s="5">
        <f>IFERROR(__xludf.DUMMYFUNCTION("""COMPUTED_VALUE"""),41.0)</f>
        <v>41</v>
      </c>
      <c r="X682" s="5"/>
      <c r="Y682" s="5"/>
      <c r="Z682" s="5"/>
    </row>
    <row r="683">
      <c r="A683" s="5" t="str">
        <f>IFERROR(__xludf.DUMMYFUNCTION("""COMPUTED_VALUE"""),"เต้าหู้ปลา-ถุงชมพู-ทวีวงษ์-500g-(ลัง)")</f>
        <v>เต้าหู้ปลา-ถุงชมพู-ทวีวงษ์-500g-(ลัง)</v>
      </c>
      <c r="B683" s="5">
        <f>IFERROR(__xludf.DUMMYFUNCTION("""COMPUTED_VALUE"""),11605.0)</f>
        <v>11605</v>
      </c>
      <c r="C683" s="5" t="str">
        <f>IFERROR(__xludf.DUMMYFUNCTION("""COMPUTED_VALUE"""),"เต้าหู้ปลา ถุงชมพู ทวีวงษ์ 20*500g (ลัง)")</f>
        <v>เต้าหู้ปลา ถุงชมพู ทวีวงษ์ 20*500g (ลัง)</v>
      </c>
      <c r="D683" s="5"/>
      <c r="E683" s="5" t="str">
        <f>IFERROR(__xludf.DUMMYFUNCTION("""COMPUTED_VALUE"""),"S")</f>
        <v>S</v>
      </c>
      <c r="F683" s="5" t="str">
        <f>IFERROR(__xludf.DUMMYFUNCTION("""COMPUTED_VALUE"""),"N")</f>
        <v>N</v>
      </c>
      <c r="G683" s="5"/>
      <c r="H683" s="5"/>
      <c r="I683" s="5"/>
      <c r="J683" s="5"/>
      <c r="K683" s="5"/>
      <c r="L683" s="5"/>
      <c r="M683" s="5"/>
      <c r="N683" s="5">
        <f>IFERROR(__xludf.DUMMYFUNCTION("""COMPUTED_VALUE"""),11605.0)</f>
        <v>11605</v>
      </c>
      <c r="O683" s="5">
        <f>IFERROR(__xludf.DUMMYFUNCTION("""COMPUTED_VALUE"""),10448.0)</f>
        <v>10448</v>
      </c>
      <c r="P683" s="5">
        <f>IFERROR(__xludf.DUMMYFUNCTION("""COMPUTED_VALUE"""),20.0)</f>
        <v>20</v>
      </c>
      <c r="Q683" s="5" t="str">
        <f>IFERROR(__xludf.DUMMYFUNCTION("""COMPUTED_VALUE"""),"N")</f>
        <v>N</v>
      </c>
      <c r="R683" s="5" t="str">
        <f>IFERROR(__xludf.DUMMYFUNCTION("""COMPUTED_VALUE"""),"N")</f>
        <v>N</v>
      </c>
      <c r="S683" s="5"/>
      <c r="T683" s="5"/>
      <c r="U683" s="5" t="str">
        <f>IFERROR(__xludf.DUMMYFUNCTION("""COMPUTED_VALUE"""),"Y")</f>
        <v>Y</v>
      </c>
      <c r="V683" s="5">
        <f>IFERROR(__xludf.DUMMYFUNCTION("""COMPUTED_VALUE"""),1300.0)</f>
        <v>1300</v>
      </c>
      <c r="W683" s="5"/>
      <c r="X683" s="5"/>
      <c r="Y683" s="5"/>
      <c r="Z683" s="5"/>
    </row>
    <row r="684">
      <c r="A684" s="5" t="str">
        <f>IFERROR(__xludf.DUMMYFUNCTION("""COMPUTED_VALUE"""),"เต้าหู้ปลากุณซือ")</f>
        <v>เต้าหู้ปลากุณซือ</v>
      </c>
      <c r="B684" s="5">
        <f>IFERROR(__xludf.DUMMYFUNCTION("""COMPUTED_VALUE"""),10664.0)</f>
        <v>10664</v>
      </c>
      <c r="C684" s="5" t="str">
        <f>IFERROR(__xludf.DUMMYFUNCTION("""COMPUTED_VALUE"""),"เต้าหู้ปลา บิ๊กบาส (แพ็ค)")</f>
        <v>เต้าหู้ปลา บิ๊กบาส (แพ็ค)</v>
      </c>
      <c r="D684" s="5" t="str">
        <f>IFERROR(__xludf.DUMMYFUNCTION("""COMPUTED_VALUE"""),"**ของหิ้ว ร้อยเอ็ด")</f>
        <v>**ของหิ้ว ร้อยเอ็ด</v>
      </c>
      <c r="E684" s="5" t="str">
        <f>IFERROR(__xludf.DUMMYFUNCTION("""COMPUTED_VALUE"""),"&lt;p&gt;X&lt;/p&gt;")</f>
        <v>&lt;p&gt;X&lt;/p&gt;</v>
      </c>
      <c r="F684" s="5" t="str">
        <f>IFERROR(__xludf.DUMMYFUNCTION("""COMPUTED_VALUE"""),"N")</f>
        <v>N</v>
      </c>
      <c r="G684" s="5"/>
      <c r="H684" s="5"/>
      <c r="I684" s="5"/>
      <c r="J684" s="5"/>
      <c r="K684" s="5"/>
      <c r="L684" s="5"/>
      <c r="M684" s="5">
        <f>IFERROR(__xludf.DUMMYFUNCTION("""COMPUTED_VALUE"""),40.45)</f>
        <v>40.45</v>
      </c>
      <c r="N684" s="5">
        <f>IFERROR(__xludf.DUMMYFUNCTION("""COMPUTED_VALUE"""),10664.0)</f>
        <v>10664</v>
      </c>
      <c r="O684" s="5"/>
      <c r="P684" s="5"/>
      <c r="Q684" s="5" t="str">
        <f>IFERROR(__xludf.DUMMYFUNCTION("""COMPUTED_VALUE"""),"Y")</f>
        <v>Y</v>
      </c>
      <c r="R684" s="5"/>
      <c r="S684" s="5"/>
      <c r="T684" s="5">
        <f>IFERROR(__xludf.DUMMYFUNCTION("""COMPUTED_VALUE"""),0.0)</f>
        <v>0</v>
      </c>
      <c r="U684" s="5" t="str">
        <f>IFERROR(__xludf.DUMMYFUNCTION("""COMPUTED_VALUE"""),"Y")</f>
        <v>Y</v>
      </c>
      <c r="V684" s="5">
        <f>IFERROR(__xludf.DUMMYFUNCTION("""COMPUTED_VALUE"""),50.0)</f>
        <v>50</v>
      </c>
      <c r="W684" s="5">
        <f>IFERROR(__xludf.DUMMYFUNCTION("""COMPUTED_VALUE"""),0.0)</f>
        <v>0</v>
      </c>
      <c r="X684" s="5"/>
      <c r="Y684" s="5"/>
      <c r="Z684" s="5"/>
    </row>
    <row r="685">
      <c r="A685" s="5" t="str">
        <f>IFERROR(__xludf.DUMMYFUNCTION("""COMPUTED_VALUE"""),"เต้าหู้ปลา-หิ้ว-5kg-1")</f>
        <v>เต้าหู้ปลา-หิ้ว-5kg-1</v>
      </c>
      <c r="B685" s="5">
        <f>IFERROR(__xludf.DUMMYFUNCTION("""COMPUTED_VALUE"""),10062.0)</f>
        <v>10062</v>
      </c>
      <c r="C685" s="5" t="str">
        <f>IFERROR(__xludf.DUMMYFUNCTION("""COMPUTED_VALUE"""),"เต้าหู้ปลา บิ๊กบาส 10*500g  1หิ้ว")</f>
        <v>เต้าหู้ปลา บิ๊กบาส 10*500g  1หิ้ว</v>
      </c>
      <c r="D685" s="5"/>
      <c r="E685" s="5" t="str">
        <f>IFERROR(__xludf.DUMMYFUNCTION("""COMPUTED_VALUE"""),"&lt;p&gt;X&lt;/p&gt;")</f>
        <v>&lt;p&gt;X&lt;/p&gt;</v>
      </c>
      <c r="F685" s="5" t="str">
        <f>IFERROR(__xludf.DUMMYFUNCTION("""COMPUTED_VALUE"""),"N")</f>
        <v>N</v>
      </c>
      <c r="G685" s="5"/>
      <c r="H685" s="5"/>
      <c r="I685" s="5"/>
      <c r="J685" s="5"/>
      <c r="K685" s="5"/>
      <c r="L685" s="5"/>
      <c r="M685" s="5">
        <f>IFERROR(__xludf.DUMMYFUNCTION("""COMPUTED_VALUE"""),450.0)</f>
        <v>450</v>
      </c>
      <c r="N685" s="5">
        <f>IFERROR(__xludf.DUMMYFUNCTION("""COMPUTED_VALUE"""),10062.0)</f>
        <v>10062</v>
      </c>
      <c r="O685" s="5"/>
      <c r="P685" s="5"/>
      <c r="Q685" s="5" t="str">
        <f>IFERROR(__xludf.DUMMYFUNCTION("""COMPUTED_VALUE"""),"N")</f>
        <v>N</v>
      </c>
      <c r="R685" s="5"/>
      <c r="S685" s="5"/>
      <c r="T685" s="5"/>
      <c r="U685" s="5" t="str">
        <f>IFERROR(__xludf.DUMMYFUNCTION("""COMPUTED_VALUE"""),"Y")</f>
        <v>Y</v>
      </c>
      <c r="V685" s="5">
        <f>IFERROR(__xludf.DUMMYFUNCTION("""COMPUTED_VALUE"""),460.0)</f>
        <v>460</v>
      </c>
      <c r="W685" s="5"/>
      <c r="X685" s="5"/>
      <c r="Y685" s="5"/>
      <c r="Z685" s="5"/>
    </row>
    <row r="686">
      <c r="A686" s="5" t="str">
        <f>IFERROR(__xludf.DUMMYFUNCTION("""COMPUTED_VALUE"""),"เต้าหู้ปลา-แพนด้าฟ้า(30)-10*500g-หิ้ว")</f>
        <v>เต้าหู้ปลา-แพนด้าฟ้า(30)-10*500g-หิ้ว</v>
      </c>
      <c r="B686" s="5">
        <f>IFERROR(__xludf.DUMMYFUNCTION("""COMPUTED_VALUE"""),10754.0)</f>
        <v>10754</v>
      </c>
      <c r="C686" s="5" t="str">
        <f>IFERROR(__xludf.DUMMYFUNCTION("""COMPUTED_VALUE"""),"เต้าหู้ปลา แพนด้าฟ้า 500 กรัม (หิ้ว)")</f>
        <v>เต้าหู้ปลา แพนด้าฟ้า 500 กรัม (หิ้ว)</v>
      </c>
      <c r="D686" s="5"/>
      <c r="E686" s="5" t="str">
        <f>IFERROR(__xludf.DUMMYFUNCTION("""COMPUTED_VALUE"""),"&lt;p&gt;X&lt;/p&gt;")</f>
        <v>&lt;p&gt;X&lt;/p&gt;</v>
      </c>
      <c r="F686" s="5" t="str">
        <f>IFERROR(__xludf.DUMMYFUNCTION("""COMPUTED_VALUE"""),"N")</f>
        <v>N</v>
      </c>
      <c r="G686" s="5"/>
      <c r="H686" s="5"/>
      <c r="I686" s="5"/>
      <c r="J686" s="5"/>
      <c r="K686" s="5"/>
      <c r="L686" s="5"/>
      <c r="M686" s="5"/>
      <c r="N686" s="5">
        <f>IFERROR(__xludf.DUMMYFUNCTION("""COMPUTED_VALUE"""),10754.0)</f>
        <v>10754</v>
      </c>
      <c r="O686" s="5">
        <f>IFERROR(__xludf.DUMMYFUNCTION("""COMPUTED_VALUE"""),1075.0)</f>
        <v>1075</v>
      </c>
      <c r="P686" s="5">
        <f>IFERROR(__xludf.DUMMYFUNCTION("""COMPUTED_VALUE"""),10.0)</f>
        <v>10</v>
      </c>
      <c r="Q686" s="5" t="str">
        <f>IFERROR(__xludf.DUMMYFUNCTION("""COMPUTED_VALUE"""),"N")</f>
        <v>N</v>
      </c>
      <c r="R686" s="5" t="str">
        <f>IFERROR(__xludf.DUMMYFUNCTION("""COMPUTED_VALUE"""),"N")</f>
        <v>N</v>
      </c>
      <c r="S686" s="5"/>
      <c r="T686" s="5"/>
      <c r="U686" s="5" t="str">
        <f>IFERROR(__xludf.DUMMYFUNCTION("""COMPUTED_VALUE"""),"Y")</f>
        <v>Y</v>
      </c>
      <c r="V686" s="5">
        <f>IFERROR(__xludf.DUMMYFUNCTION("""COMPUTED_VALUE"""),365.0)</f>
        <v>365</v>
      </c>
      <c r="W686" s="5"/>
      <c r="X686" s="5"/>
      <c r="Y686" s="5"/>
      <c r="Z686" s="5"/>
    </row>
    <row r="687">
      <c r="A687" s="5" t="str">
        <f>IFERROR(__xludf.DUMMYFUNCTION("""COMPUTED_VALUE"""),"เต้าหู้ปลา-แพนด้าฟ้า(30)-500g")</f>
        <v>เต้าหู้ปลา-แพนด้าฟ้า(30)-500g</v>
      </c>
      <c r="B687" s="5">
        <f>IFERROR(__xludf.DUMMYFUNCTION("""COMPUTED_VALUE"""),1075.0)</f>
        <v>1075</v>
      </c>
      <c r="C687" s="5" t="str">
        <f>IFERROR(__xludf.DUMMYFUNCTION("""COMPUTED_VALUE"""),"เต้าหู้ปลา แพนด้าฟ้า 500g")</f>
        <v>เต้าหู้ปลา แพนด้าฟ้า 500g</v>
      </c>
      <c r="D687" s="5" t="str">
        <f>IFERROR(__xludf.DUMMYFUNCTION("""COMPUTED_VALUE"""),"**ของหิ้ว ร้อยเอ็ด")</f>
        <v>**ของหิ้ว ร้อยเอ็ด</v>
      </c>
      <c r="E687" s="5" t="str">
        <f>IFERROR(__xludf.DUMMYFUNCTION("""COMPUTED_VALUE"""),"B")</f>
        <v>B</v>
      </c>
      <c r="F687" s="5" t="str">
        <f>IFERROR(__xludf.DUMMYFUNCTION("""COMPUTED_VALUE"""),"N")</f>
        <v>N</v>
      </c>
      <c r="G687" s="5"/>
      <c r="H687" s="5"/>
      <c r="I687" s="5"/>
      <c r="J687" s="5"/>
      <c r="K687" s="5"/>
      <c r="L687" s="5"/>
      <c r="M687" s="5">
        <f>IFERROR(__xludf.DUMMYFUNCTION("""COMPUTED_VALUE"""),32.5)</f>
        <v>32.5</v>
      </c>
      <c r="N687" s="5">
        <f>IFERROR(__xludf.DUMMYFUNCTION("""COMPUTED_VALUE"""),1075.0)</f>
        <v>1075</v>
      </c>
      <c r="O687" s="5"/>
      <c r="P687" s="5"/>
      <c r="Q687" s="5" t="str">
        <f>IFERROR(__xludf.DUMMYFUNCTION("""COMPUTED_VALUE"""),"Y")</f>
        <v>Y</v>
      </c>
      <c r="R687" s="5"/>
      <c r="S687" s="5" t="str">
        <f>IFERROR(__xludf.DUMMYFUNCTION("""COMPUTED_VALUE"""),"เอสพี")</f>
        <v>เอสพี</v>
      </c>
      <c r="T687" s="5">
        <f>IFERROR(__xludf.DUMMYFUNCTION("""COMPUTED_VALUE"""),32.5)</f>
        <v>32.5</v>
      </c>
      <c r="U687" s="5" t="str">
        <f>IFERROR(__xludf.DUMMYFUNCTION("""COMPUTED_VALUE"""),"Y")</f>
        <v>Y</v>
      </c>
      <c r="V687" s="5">
        <f>IFERROR(__xludf.DUMMYFUNCTION("""COMPUTED_VALUE"""),40.0)</f>
        <v>40</v>
      </c>
      <c r="W687" s="5">
        <f>IFERROR(__xludf.DUMMYFUNCTION("""COMPUTED_VALUE"""),133.0)</f>
        <v>133</v>
      </c>
      <c r="X687" s="5">
        <f>IFERROR(__xludf.DUMMYFUNCTION("""COMPUTED_VALUE"""),37.0)</f>
        <v>37</v>
      </c>
      <c r="Y687" s="5">
        <f>IFERROR(__xludf.DUMMYFUNCTION("""COMPUTED_VALUE"""),65.0)</f>
        <v>65</v>
      </c>
      <c r="Z687" s="5"/>
    </row>
    <row r="688">
      <c r="A688" s="5" t="str">
        <f>IFERROR(__xludf.DUMMYFUNCTION("""COMPUTED_VALUE"""),"เต้าหู้ปลาลูกเต๋าpfp-500กรัม")</f>
        <v>เต้าหู้ปลาลูกเต๋าpfp-500กรัม</v>
      </c>
      <c r="B688" s="5">
        <f>IFERROR(__xludf.DUMMYFUNCTION("""COMPUTED_VALUE"""),11535.0)</f>
        <v>11535</v>
      </c>
      <c r="C688" s="5" t="str">
        <f>IFERROR(__xludf.DUMMYFUNCTION("""COMPUTED_VALUE"""),"เต้าหู้ปลาลูกเต๋าpfp 500กรัม")</f>
        <v>เต้าหู้ปลาลูกเต๋าpfp 500กรัม</v>
      </c>
      <c r="D688" s="5" t="str">
        <f>IFERROR(__xludf.DUMMYFUNCTION("""COMPUTED_VALUE"""),"ทวีวงษ์-PFP")</f>
        <v>ทวีวงษ์-PFP</v>
      </c>
      <c r="E688" s="5" t="str">
        <f>IFERROR(__xludf.DUMMYFUNCTION("""COMPUTED_VALUE"""),"X")</f>
        <v>X</v>
      </c>
      <c r="F688" s="5" t="str">
        <f>IFERROR(__xludf.DUMMYFUNCTION("""COMPUTED_VALUE"""),"N")</f>
        <v>N</v>
      </c>
      <c r="G688" s="5"/>
      <c r="H688" s="5"/>
      <c r="I688" s="5"/>
      <c r="J688" s="5"/>
      <c r="K688" s="5"/>
      <c r="L688" s="5"/>
      <c r="M688" s="5">
        <f>IFERROR(__xludf.DUMMYFUNCTION("""COMPUTED_VALUE"""),48.0)</f>
        <v>48</v>
      </c>
      <c r="N688" s="5">
        <f>IFERROR(__xludf.DUMMYFUNCTION("""COMPUTED_VALUE"""),11535.0)</f>
        <v>11535</v>
      </c>
      <c r="O688" s="5"/>
      <c r="P688" s="5"/>
      <c r="Q688" s="5" t="str">
        <f>IFERROR(__xludf.DUMMYFUNCTION("""COMPUTED_VALUE"""),"Y")</f>
        <v>Y</v>
      </c>
      <c r="R688" s="5"/>
      <c r="S688" s="5" t="str">
        <f>IFERROR(__xludf.DUMMYFUNCTION("""COMPUTED_VALUE"""),"PFP")</f>
        <v>PFP</v>
      </c>
      <c r="T688" s="5">
        <f>IFERROR(__xludf.DUMMYFUNCTION("""COMPUTED_VALUE"""),48.0)</f>
        <v>48</v>
      </c>
      <c r="U688" s="5" t="str">
        <f>IFERROR(__xludf.DUMMYFUNCTION("""COMPUTED_VALUE"""),"Y")</f>
        <v>Y</v>
      </c>
      <c r="V688" s="5">
        <f>IFERROR(__xludf.DUMMYFUNCTION("""COMPUTED_VALUE"""),60.0)</f>
        <v>60</v>
      </c>
      <c r="W688" s="5">
        <f>IFERROR(__xludf.DUMMYFUNCTION("""COMPUTED_VALUE"""),0.0)</f>
        <v>0</v>
      </c>
      <c r="X688" s="5">
        <f>IFERROR(__xludf.DUMMYFUNCTION("""COMPUTED_VALUE"""),20.0)</f>
        <v>20</v>
      </c>
      <c r="Y688" s="5">
        <f>IFERROR(__xludf.DUMMYFUNCTION("""COMPUTED_VALUE"""),40.0)</f>
        <v>40</v>
      </c>
      <c r="Z688" s="5"/>
    </row>
    <row r="689">
      <c r="A689" s="5" t="str">
        <f>IFERROR(__xludf.DUMMYFUNCTION("""COMPUTED_VALUE"""),"เต้าหู้ปลาลูกเต๋าpfp-500กรัม(ลัง)")</f>
        <v>เต้าหู้ปลาลูกเต๋าpfp-500กรัม(ลัง)</v>
      </c>
      <c r="B689" s="5">
        <f>IFERROR(__xludf.DUMMYFUNCTION("""COMPUTED_VALUE"""),11540.0)</f>
        <v>11540</v>
      </c>
      <c r="C689" s="5" t="str">
        <f>IFERROR(__xludf.DUMMYFUNCTION("""COMPUTED_VALUE"""),"เต้าหู้ปลาลูกเต๋าpfp 500กรัม(ลัง)")</f>
        <v>เต้าหู้ปลาลูกเต๋าpfp 500กรัม(ลัง)</v>
      </c>
      <c r="D689" s="5"/>
      <c r="E689" s="5" t="str">
        <f>IFERROR(__xludf.DUMMYFUNCTION("""COMPUTED_VALUE"""),"S")</f>
        <v>S</v>
      </c>
      <c r="F689" s="5" t="str">
        <f>IFERROR(__xludf.DUMMYFUNCTION("""COMPUTED_VALUE"""),"N")</f>
        <v>N</v>
      </c>
      <c r="G689" s="5"/>
      <c r="H689" s="5"/>
      <c r="I689" s="5"/>
      <c r="J689" s="5"/>
      <c r="K689" s="5"/>
      <c r="L689" s="5"/>
      <c r="M689" s="5"/>
      <c r="N689" s="5">
        <f>IFERROR(__xludf.DUMMYFUNCTION("""COMPUTED_VALUE"""),11540.0)</f>
        <v>11540</v>
      </c>
      <c r="O689" s="5">
        <f>IFERROR(__xludf.DUMMYFUNCTION("""COMPUTED_VALUE"""),11535.0)</f>
        <v>11535</v>
      </c>
      <c r="P689" s="5">
        <f>IFERROR(__xludf.DUMMYFUNCTION("""COMPUTED_VALUE"""),20.0)</f>
        <v>20</v>
      </c>
      <c r="Q689" s="5" t="str">
        <f>IFERROR(__xludf.DUMMYFUNCTION("""COMPUTED_VALUE"""),"N")</f>
        <v>N</v>
      </c>
      <c r="R689" s="5" t="str">
        <f>IFERROR(__xludf.DUMMYFUNCTION("""COMPUTED_VALUE"""),"N")</f>
        <v>N</v>
      </c>
      <c r="S689" s="5"/>
      <c r="T689" s="5"/>
      <c r="U689" s="5" t="str">
        <f>IFERROR(__xludf.DUMMYFUNCTION("""COMPUTED_VALUE"""),"Y")</f>
        <v>Y</v>
      </c>
      <c r="V689" s="5">
        <f>IFERROR(__xludf.DUMMYFUNCTION("""COMPUTED_VALUE"""),1040.0)</f>
        <v>1040</v>
      </c>
      <c r="W689" s="5"/>
      <c r="X689" s="5"/>
      <c r="Y689" s="5"/>
      <c r="Z689" s="5"/>
    </row>
    <row r="690">
      <c r="A690" s="5" t="str">
        <f>IFERROR(__xludf.DUMMYFUNCTION("""COMPUTED_VALUE"""),"เต้าหู้ปลาแม็กนั่ม-ทวีวงษ์-500g")</f>
        <v>เต้าหู้ปลาแม็กนั่ม-ทวีวงษ์-500g</v>
      </c>
      <c r="B690" s="5">
        <f>IFERROR(__xludf.DUMMYFUNCTION("""COMPUTED_VALUE"""),10947.0)</f>
        <v>10947</v>
      </c>
      <c r="C690" s="5" t="str">
        <f>IFERROR(__xludf.DUMMYFUNCTION("""COMPUTED_VALUE"""),"เต้าหู้ปลาแม็กนั่ม ทวีวงษ์ 500g")</f>
        <v>เต้าหู้ปลาแม็กนั่ม ทวีวงษ์ 500g</v>
      </c>
      <c r="D690" s="5" t="str">
        <f>IFERROR(__xludf.DUMMYFUNCTION("""COMPUTED_VALUE"""),"ทวีวงษ์-PFP")</f>
        <v>ทวีวงษ์-PFP</v>
      </c>
      <c r="E690" s="5" t="str">
        <f>IFERROR(__xludf.DUMMYFUNCTION("""COMPUTED_VALUE"""),"&lt;p&gt;X&lt;/p&gt;")</f>
        <v>&lt;p&gt;X&lt;/p&gt;</v>
      </c>
      <c r="F690" s="5" t="str">
        <f>IFERROR(__xludf.DUMMYFUNCTION("""COMPUTED_VALUE"""),"N")</f>
        <v>N</v>
      </c>
      <c r="G690" s="5"/>
      <c r="H690" s="5"/>
      <c r="I690" s="5"/>
      <c r="J690" s="5"/>
      <c r="K690" s="5"/>
      <c r="L690" s="5"/>
      <c r="M690" s="5">
        <f>IFERROR(__xludf.DUMMYFUNCTION("""COMPUTED_VALUE"""),47.5)</f>
        <v>47.5</v>
      </c>
      <c r="N690" s="5">
        <f>IFERROR(__xludf.DUMMYFUNCTION("""COMPUTED_VALUE"""),10947.0)</f>
        <v>10947</v>
      </c>
      <c r="O690" s="5"/>
      <c r="P690" s="5"/>
      <c r="Q690" s="5" t="str">
        <f>IFERROR(__xludf.DUMMYFUNCTION("""COMPUTED_VALUE"""),"Y")</f>
        <v>Y</v>
      </c>
      <c r="R690" s="5"/>
      <c r="S690" s="5"/>
      <c r="T690" s="5">
        <f>IFERROR(__xludf.DUMMYFUNCTION("""COMPUTED_VALUE"""),0.0)</f>
        <v>0</v>
      </c>
      <c r="U690" s="5" t="str">
        <f>IFERROR(__xludf.DUMMYFUNCTION("""COMPUTED_VALUE"""),"Y")</f>
        <v>Y</v>
      </c>
      <c r="V690" s="5">
        <f>IFERROR(__xludf.DUMMYFUNCTION("""COMPUTED_VALUE"""),55.0)</f>
        <v>55</v>
      </c>
      <c r="W690" s="5">
        <f>IFERROR(__xludf.DUMMYFUNCTION("""COMPUTED_VALUE"""),0.0)</f>
        <v>0</v>
      </c>
      <c r="X690" s="5"/>
      <c r="Y690" s="5"/>
      <c r="Z690" s="5"/>
    </row>
    <row r="691">
      <c r="A691" s="5" t="str">
        <f>IFERROR(__xludf.DUMMYFUNCTION("""COMPUTED_VALUE"""),"เต้าหู้ปลาแม็กนั่-ทวีวงษ์20*500กรัม(ลัง)")</f>
        <v>เต้าหู้ปลาแม็กนั่-ทวีวงษ์20*500กรัม(ลัง)</v>
      </c>
      <c r="B691" s="5">
        <f>IFERROR(__xludf.DUMMYFUNCTION("""COMPUTED_VALUE"""),11507.0)</f>
        <v>11507</v>
      </c>
      <c r="C691" s="5" t="str">
        <f>IFERROR(__xludf.DUMMYFUNCTION("""COMPUTED_VALUE"""),"เต้าหู้ปลาแม็กนั่ม ทวีวงษ์ 500g ทวีวงษ์20*500กรัม(ลัง)")</f>
        <v>เต้าหู้ปลาแม็กนั่ม ทวีวงษ์ 500g ทวีวงษ์20*500กรัม(ลัง)</v>
      </c>
      <c r="D691" s="5"/>
      <c r="E691" s="5" t="str">
        <f>IFERROR(__xludf.DUMMYFUNCTION("""COMPUTED_VALUE"""),"&lt;p&gt;S&lt;/p&gt;")</f>
        <v>&lt;p&gt;S&lt;/p&gt;</v>
      </c>
      <c r="F691" s="5" t="str">
        <f>IFERROR(__xludf.DUMMYFUNCTION("""COMPUTED_VALUE"""),"N")</f>
        <v>N</v>
      </c>
      <c r="G691" s="5"/>
      <c r="H691" s="5"/>
      <c r="I691" s="5"/>
      <c r="J691" s="5"/>
      <c r="K691" s="5"/>
      <c r="L691" s="5"/>
      <c r="M691" s="5"/>
      <c r="N691" s="5">
        <f>IFERROR(__xludf.DUMMYFUNCTION("""COMPUTED_VALUE"""),11507.0)</f>
        <v>11507</v>
      </c>
      <c r="O691" s="5">
        <f>IFERROR(__xludf.DUMMYFUNCTION("""COMPUTED_VALUE"""),10947.0)</f>
        <v>10947</v>
      </c>
      <c r="P691" s="5">
        <f>IFERROR(__xludf.DUMMYFUNCTION("""COMPUTED_VALUE"""),20.0)</f>
        <v>20</v>
      </c>
      <c r="Q691" s="5" t="str">
        <f>IFERROR(__xludf.DUMMYFUNCTION("""COMPUTED_VALUE"""),"N")</f>
        <v>N</v>
      </c>
      <c r="R691" s="5" t="str">
        <f>IFERROR(__xludf.DUMMYFUNCTION("""COMPUTED_VALUE"""),"N")</f>
        <v>N</v>
      </c>
      <c r="S691" s="5"/>
      <c r="T691" s="5"/>
      <c r="U691" s="5" t="str">
        <f>IFERROR(__xludf.DUMMYFUNCTION("""COMPUTED_VALUE"""),"Y")</f>
        <v>Y</v>
      </c>
      <c r="V691" s="5">
        <f>IFERROR(__xludf.DUMMYFUNCTION("""COMPUTED_VALUE"""),1030.0)</f>
        <v>1030</v>
      </c>
      <c r="W691" s="5"/>
      <c r="X691" s="5"/>
      <c r="Y691" s="5"/>
      <c r="Z691" s="5"/>
    </row>
    <row r="692">
      <c r="A692" s="5" t="str">
        <f>IFERROR(__xludf.DUMMYFUNCTION("""COMPUTED_VALUE"""),"เต้าหู้หมู-(ุถุงม่วง)")</f>
        <v>เต้าหู้หมู-(ุถุงม่วง)</v>
      </c>
      <c r="B692" s="5">
        <f>IFERROR(__xludf.DUMMYFUNCTION("""COMPUTED_VALUE"""),11052.0)</f>
        <v>11052</v>
      </c>
      <c r="C692" s="5" t="str">
        <f>IFERROR(__xludf.DUMMYFUNCTION("""COMPUTED_VALUE"""),"เต้าหู้หมู (ถุงม่วง) 500g")</f>
        <v>เต้าหู้หมู (ถุงม่วง) 500g</v>
      </c>
      <c r="D692" s="5" t="str">
        <f>IFERROR(__xludf.DUMMYFUNCTION("""COMPUTED_VALUE"""),"**ของหิ้ว มหาชัย")</f>
        <v>**ของหิ้ว มหาชัย</v>
      </c>
      <c r="E692" s="5" t="str">
        <f>IFERROR(__xludf.DUMMYFUNCTION("""COMPUTED_VALUE"""),"&lt;p&gt;0.5&lt;/p&gt;")</f>
        <v>&lt;p&gt;0.5&lt;/p&gt;</v>
      </c>
      <c r="F692" s="5" t="str">
        <f>IFERROR(__xludf.DUMMYFUNCTION("""COMPUTED_VALUE"""),"N")</f>
        <v>N</v>
      </c>
      <c r="G692" s="5"/>
      <c r="H692" s="5"/>
      <c r="I692" s="5"/>
      <c r="J692" s="5"/>
      <c r="K692" s="5"/>
      <c r="L692" s="5"/>
      <c r="M692" s="5">
        <f>IFERROR(__xludf.DUMMYFUNCTION("""COMPUTED_VALUE"""),39.0)</f>
        <v>39</v>
      </c>
      <c r="N692" s="5">
        <f>IFERROR(__xludf.DUMMYFUNCTION("""COMPUTED_VALUE"""),11052.0)</f>
        <v>11052</v>
      </c>
      <c r="O692" s="5"/>
      <c r="P692" s="5"/>
      <c r="Q692" s="5" t="str">
        <f>IFERROR(__xludf.DUMMYFUNCTION("""COMPUTED_VALUE"""),"Y")</f>
        <v>Y</v>
      </c>
      <c r="R692" s="5"/>
      <c r="S692" s="5" t="str">
        <f>IFERROR(__xludf.DUMMYFUNCTION("""COMPUTED_VALUE"""),"ซีเค-ฟู้ดส์")</f>
        <v>ซีเค-ฟู้ดส์</v>
      </c>
      <c r="T692" s="5">
        <f>IFERROR(__xludf.DUMMYFUNCTION("""COMPUTED_VALUE"""),39.0)</f>
        <v>39</v>
      </c>
      <c r="U692" s="5" t="str">
        <f>IFERROR(__xludf.DUMMYFUNCTION("""COMPUTED_VALUE"""),"Y")</f>
        <v>Y</v>
      </c>
      <c r="V692" s="5">
        <f>IFERROR(__xludf.DUMMYFUNCTION("""COMPUTED_VALUE"""),55.0)</f>
        <v>55</v>
      </c>
      <c r="W692" s="5">
        <f>IFERROR(__xludf.DUMMYFUNCTION("""COMPUTED_VALUE"""),54.0)</f>
        <v>54</v>
      </c>
      <c r="X692" s="5">
        <f>IFERROR(__xludf.DUMMYFUNCTION("""COMPUTED_VALUE"""),20.0)</f>
        <v>20</v>
      </c>
      <c r="Y692" s="5">
        <f>IFERROR(__xludf.DUMMYFUNCTION("""COMPUTED_VALUE"""),70.0)</f>
        <v>70</v>
      </c>
      <c r="Z692" s="5"/>
    </row>
    <row r="693">
      <c r="A693" s="5" t="str">
        <f>IFERROR(__xludf.DUMMYFUNCTION("""COMPUTED_VALUE"""),"เต้าหู้หมู-(ถุงม่วง)-หิ้ว-5-กก")</f>
        <v>เต้าหู้หมู-(ถุงม่วง)-หิ้ว-5-กก</v>
      </c>
      <c r="B693" s="5">
        <f>IFERROR(__xludf.DUMMYFUNCTION("""COMPUTED_VALUE"""),11051.0)</f>
        <v>11051</v>
      </c>
      <c r="C693" s="5" t="str">
        <f>IFERROR(__xludf.DUMMYFUNCTION("""COMPUTED_VALUE"""),"เต้าหู้หมู ถุงม่วง 500 กรัม (หิ้ว)")</f>
        <v>เต้าหู้หมู ถุงม่วง 500 กรัม (หิ้ว)</v>
      </c>
      <c r="D693" s="5"/>
      <c r="E693" s="5" t="str">
        <f>IFERROR(__xludf.DUMMYFUNCTION("""COMPUTED_VALUE"""),"&lt;p&gt;S&lt;/p&gt;")</f>
        <v>&lt;p&gt;S&lt;/p&gt;</v>
      </c>
      <c r="F693" s="5" t="str">
        <f>IFERROR(__xludf.DUMMYFUNCTION("""COMPUTED_VALUE"""),"N")</f>
        <v>N</v>
      </c>
      <c r="G693" s="5"/>
      <c r="H693" s="5"/>
      <c r="I693" s="5"/>
      <c r="J693" s="5"/>
      <c r="K693" s="5"/>
      <c r="L693" s="5"/>
      <c r="M693" s="5"/>
      <c r="N693" s="5">
        <f>IFERROR(__xludf.DUMMYFUNCTION("""COMPUTED_VALUE"""),11051.0)</f>
        <v>11051</v>
      </c>
      <c r="O693" s="5">
        <f>IFERROR(__xludf.DUMMYFUNCTION("""COMPUTED_VALUE"""),11052.0)</f>
        <v>11052</v>
      </c>
      <c r="P693" s="5">
        <f>IFERROR(__xludf.DUMMYFUNCTION("""COMPUTED_VALUE"""),10.0)</f>
        <v>10</v>
      </c>
      <c r="Q693" s="5" t="str">
        <f>IFERROR(__xludf.DUMMYFUNCTION("""COMPUTED_VALUE"""),"N")</f>
        <v>N</v>
      </c>
      <c r="R693" s="5" t="str">
        <f>IFERROR(__xludf.DUMMYFUNCTION("""COMPUTED_VALUE"""),"N")</f>
        <v>N</v>
      </c>
      <c r="S693" s="5"/>
      <c r="T693" s="5"/>
      <c r="U693" s="5" t="str">
        <f>IFERROR(__xludf.DUMMYFUNCTION("""COMPUTED_VALUE"""),"Y")</f>
        <v>Y</v>
      </c>
      <c r="V693" s="5">
        <f>IFERROR(__xludf.DUMMYFUNCTION("""COMPUTED_VALUE"""),460.0)</f>
        <v>460</v>
      </c>
      <c r="W693" s="5"/>
      <c r="X693" s="5"/>
      <c r="Y693" s="5"/>
      <c r="Z693" s="5"/>
    </row>
    <row r="694">
      <c r="A694" s="5" t="str">
        <f>IFERROR(__xludf.DUMMYFUNCTION("""COMPUTED_VALUE"""),"เต้าหู้ไข่-หลอด10*1-หิ้ว-1")</f>
        <v>เต้าหู้ไข่-หลอด10*1-หิ้ว-1</v>
      </c>
      <c r="B694" s="5"/>
      <c r="C694" s="5" t="str">
        <f>IFERROR(__xludf.DUMMYFUNCTION("""COMPUTED_VALUE"""),"เต้าหู้ไข่ 1*50หลอด (หิ้ว)-375")</f>
        <v>เต้าหู้ไข่ 1*50หลอด (หิ้ว)-375</v>
      </c>
      <c r="D694" s="5"/>
      <c r="E694" s="5" t="str">
        <f>IFERROR(__xludf.DUMMYFUNCTION("""COMPUTED_VALUE"""),"&lt;p&gt;S&lt;/p&gt;")</f>
        <v>&lt;p&gt;S&lt;/p&gt;</v>
      </c>
      <c r="F694" s="5" t="str">
        <f>IFERROR(__xludf.DUMMYFUNCTION("""COMPUTED_VALUE"""),"N")</f>
        <v>N</v>
      </c>
      <c r="G694" s="5"/>
      <c r="H694" s="5"/>
      <c r="I694" s="5"/>
      <c r="J694" s="5"/>
      <c r="K694" s="5"/>
      <c r="L694" s="5"/>
      <c r="M694" s="5"/>
      <c r="N694" s="5"/>
      <c r="O694" s="5">
        <f>IFERROR(__xludf.DUMMYFUNCTION("""COMPUTED_VALUE"""),10511.0)</f>
        <v>10511</v>
      </c>
      <c r="P694" s="5">
        <f>IFERROR(__xludf.DUMMYFUNCTION("""COMPUTED_VALUE"""),50.0)</f>
        <v>50</v>
      </c>
      <c r="Q694" s="5" t="str">
        <f>IFERROR(__xludf.DUMMYFUNCTION("""COMPUTED_VALUE"""),"N")</f>
        <v>N</v>
      </c>
      <c r="R694" s="5" t="str">
        <f>IFERROR(__xludf.DUMMYFUNCTION("""COMPUTED_VALUE"""),"N")</f>
        <v>N</v>
      </c>
      <c r="S694" s="5"/>
      <c r="T694" s="5"/>
      <c r="U694" s="5" t="str">
        <f>IFERROR(__xludf.DUMMYFUNCTION("""COMPUTED_VALUE"""),"Y")</f>
        <v>Y</v>
      </c>
      <c r="V694" s="5">
        <f>IFERROR(__xludf.DUMMYFUNCTION("""COMPUTED_VALUE"""),375.0)</f>
        <v>375</v>
      </c>
      <c r="W694" s="5"/>
      <c r="X694" s="5"/>
      <c r="Y694" s="5"/>
      <c r="Z694" s="5"/>
    </row>
    <row r="695">
      <c r="A695" s="5" t="str">
        <f>IFERROR(__xludf.DUMMYFUNCTION("""COMPUTED_VALUE"""),"เต้าหู้ไข่1*10-แพ็ค-(75)")</f>
        <v>เต้าหู้ไข่1*10-แพ็ค-(75)</v>
      </c>
      <c r="B695" s="5">
        <f>IFERROR(__xludf.DUMMYFUNCTION("""COMPUTED_VALUE"""),10787.0)</f>
        <v>10787</v>
      </c>
      <c r="C695" s="5" t="str">
        <f>IFERROR(__xludf.DUMMYFUNCTION("""COMPUTED_VALUE"""),"เต้าหู้ไข่ 10 หลอด(แพ็ค) - 75")</f>
        <v>เต้าหู้ไข่ 10 หลอด(แพ็ค) - 75</v>
      </c>
      <c r="D695" s="5"/>
      <c r="E695" s="5" t="str">
        <f>IFERROR(__xludf.DUMMYFUNCTION("""COMPUTED_VALUE"""),"&lt;p&gt;X&lt;/p&gt;")</f>
        <v>&lt;p&gt;X&lt;/p&gt;</v>
      </c>
      <c r="F695" s="5" t="str">
        <f>IFERROR(__xludf.DUMMYFUNCTION("""COMPUTED_VALUE"""),"N")</f>
        <v>N</v>
      </c>
      <c r="G695" s="5"/>
      <c r="H695" s="5"/>
      <c r="I695" s="5"/>
      <c r="J695" s="5"/>
      <c r="K695" s="5"/>
      <c r="L695" s="5"/>
      <c r="M695" s="5"/>
      <c r="N695" s="5">
        <f>IFERROR(__xludf.DUMMYFUNCTION("""COMPUTED_VALUE"""),10787.0)</f>
        <v>10787</v>
      </c>
      <c r="O695" s="5">
        <f>IFERROR(__xludf.DUMMYFUNCTION("""COMPUTED_VALUE"""),10511.0)</f>
        <v>10511</v>
      </c>
      <c r="P695" s="5">
        <f>IFERROR(__xludf.DUMMYFUNCTION("""COMPUTED_VALUE"""),10.0)</f>
        <v>10</v>
      </c>
      <c r="Q695" s="5" t="str">
        <f>IFERROR(__xludf.DUMMYFUNCTION("""COMPUTED_VALUE"""),"N")</f>
        <v>N</v>
      </c>
      <c r="R695" s="5" t="str">
        <f>IFERROR(__xludf.DUMMYFUNCTION("""COMPUTED_VALUE"""),"N")</f>
        <v>N</v>
      </c>
      <c r="S695" s="5"/>
      <c r="T695" s="5"/>
      <c r="U695" s="5" t="str">
        <f>IFERROR(__xludf.DUMMYFUNCTION("""COMPUTED_VALUE"""),"Y")</f>
        <v>Y</v>
      </c>
      <c r="V695" s="5">
        <f>IFERROR(__xludf.DUMMYFUNCTION("""COMPUTED_VALUE"""),75.0)</f>
        <v>75</v>
      </c>
      <c r="W695" s="5"/>
      <c r="X695" s="5"/>
      <c r="Y695" s="5"/>
      <c r="Z695" s="5"/>
    </row>
    <row r="696">
      <c r="A696" s="5" t="str">
        <f>IFERROR(__xludf.DUMMYFUNCTION("""COMPUTED_VALUE"""),"เต๋าเต๋า-(เต้าหู้ปลาเต๋า)--500-g-20แพ็ค-(ลัง)")</f>
        <v>เต๋าเต๋า-(เต้าหู้ปลาเต๋า)--500-g-20แพ็ค-(ลัง)</v>
      </c>
      <c r="B696" s="5">
        <f>IFERROR(__xludf.DUMMYFUNCTION("""COMPUTED_VALUE"""),10748.0)</f>
        <v>10748</v>
      </c>
      <c r="C696" s="5" t="str">
        <f>IFERROR(__xludf.DUMMYFUNCTION("""COMPUTED_VALUE"""),"เต๋าเต๋า (เต้าหู้ปลาเต๋า)  500g*12 (ลัง)")</f>
        <v>เต๋าเต๋า (เต้าหู้ปลาเต๋า)  500g*12 (ลัง)</v>
      </c>
      <c r="D696" s="5" t="str">
        <f>IFERROR(__xludf.DUMMYFUNCTION("""COMPUTED_VALUE"""),"ทวีวงษ์-PFP")</f>
        <v>ทวีวงษ์-PFP</v>
      </c>
      <c r="E696" s="5"/>
      <c r="F696" s="5" t="str">
        <f>IFERROR(__xludf.DUMMYFUNCTION("""COMPUTED_VALUE"""),"N")</f>
        <v>N</v>
      </c>
      <c r="G696" s="5"/>
      <c r="H696" s="5"/>
      <c r="I696" s="5"/>
      <c r="J696" s="5"/>
      <c r="K696" s="5"/>
      <c r="L696" s="5"/>
      <c r="M696" s="5">
        <f>IFERROR(__xludf.DUMMYFUNCTION("""COMPUTED_VALUE"""),540.0)</f>
        <v>540</v>
      </c>
      <c r="N696" s="5"/>
      <c r="O696" s="5"/>
      <c r="P696" s="5"/>
      <c r="Q696" s="5" t="str">
        <f>IFERROR(__xludf.DUMMYFUNCTION("""COMPUTED_VALUE"""),"Y")</f>
        <v>Y</v>
      </c>
      <c r="R696" s="5"/>
      <c r="S696" s="5" t="str">
        <f>IFERROR(__xludf.DUMMYFUNCTION("""COMPUTED_VALUE"""),"ทวีวงษ์")</f>
        <v>ทวีวงษ์</v>
      </c>
      <c r="T696" s="5">
        <f>IFERROR(__xludf.DUMMYFUNCTION("""COMPUTED_VALUE"""),540.0)</f>
        <v>540</v>
      </c>
      <c r="U696" s="5" t="str">
        <f>IFERROR(__xludf.DUMMYFUNCTION("""COMPUTED_VALUE"""),"Y")</f>
        <v>Y</v>
      </c>
      <c r="V696" s="5">
        <f>IFERROR(__xludf.DUMMYFUNCTION("""COMPUTED_VALUE"""),620.0)</f>
        <v>620</v>
      </c>
      <c r="W696" s="5">
        <f>IFERROR(__xludf.DUMMYFUNCTION("""COMPUTED_VALUE"""),0.0)</f>
        <v>0</v>
      </c>
      <c r="X696" s="5"/>
      <c r="Y696" s="5">
        <f>IFERROR(__xludf.DUMMYFUNCTION("""COMPUTED_VALUE"""),2.0)</f>
        <v>2</v>
      </c>
      <c r="Z696" s="5"/>
    </row>
    <row r="697">
      <c r="A697" s="5" t="str">
        <f>IFERROR(__xludf.DUMMYFUNCTION("""COMPUTED_VALUE"""),"เนื้อน่องลาย-ชั่งน้ำหนัก-(185)")</f>
        <v>เนื้อน่องลาย-ชั่งน้ำหนัก-(185)</v>
      </c>
      <c r="B697" s="5">
        <f>IFERROR(__xludf.DUMMYFUNCTION("""COMPUTED_VALUE"""),11327.0)</f>
        <v>11327</v>
      </c>
      <c r="C697" s="5" t="str">
        <f>IFERROR(__xludf.DUMMYFUNCTION("""COMPUTED_VALUE"""),"เนื้อน่องลาย โคขุน  (208)")</f>
        <v>เนื้อน่องลาย โคขุน  (208)</v>
      </c>
      <c r="D697" s="5" t="str">
        <f>IFERROR(__xludf.DUMMYFUNCTION("""COMPUTED_VALUE"""),"**ชั่งน้ำหนัก")</f>
        <v>**ชั่งน้ำหนัก</v>
      </c>
      <c r="E697" s="5" t="str">
        <f>IFERROR(__xludf.DUMMYFUNCTION("""COMPUTED_VALUE"""),"&lt;p&gt;S&lt;/p&gt;")</f>
        <v>&lt;p&gt;S&lt;/p&gt;</v>
      </c>
      <c r="F697" s="5" t="str">
        <f>IFERROR(__xludf.DUMMYFUNCTION("""COMPUTED_VALUE"""),"Y")</f>
        <v>Y</v>
      </c>
      <c r="G697" s="5"/>
      <c r="H697" s="5"/>
      <c r="I697" s="5"/>
      <c r="J697" s="5"/>
      <c r="K697" s="5"/>
      <c r="L697" s="5"/>
      <c r="M697" s="5">
        <f>IFERROR(__xludf.DUMMYFUNCTION("""COMPUTED_VALUE"""),187.0)</f>
        <v>187</v>
      </c>
      <c r="N697" s="5">
        <f>IFERROR(__xludf.DUMMYFUNCTION("""COMPUTED_VALUE"""),11327.0)</f>
        <v>11327</v>
      </c>
      <c r="O697" s="5"/>
      <c r="P697" s="5"/>
      <c r="Q697" s="5" t="str">
        <f>IFERROR(__xludf.DUMMYFUNCTION("""COMPUTED_VALUE"""),"Y")</f>
        <v>Y</v>
      </c>
      <c r="R697" s="5"/>
      <c r="S697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697" s="5">
        <f>IFERROR(__xludf.DUMMYFUNCTION("""COMPUTED_VALUE"""),187.0)</f>
        <v>187</v>
      </c>
      <c r="U697" s="5" t="str">
        <f>IFERROR(__xludf.DUMMYFUNCTION("""COMPUTED_VALUE"""),"Y")</f>
        <v>Y</v>
      </c>
      <c r="V697" s="5">
        <f>IFERROR(__xludf.DUMMYFUNCTION("""COMPUTED_VALUE"""),208.0)</f>
        <v>208</v>
      </c>
      <c r="W697" s="5">
        <f>IFERROR(__xludf.DUMMYFUNCTION("""COMPUTED_VALUE"""),22.13)</f>
        <v>22.13</v>
      </c>
      <c r="X697" s="5">
        <f>IFERROR(__xludf.DUMMYFUNCTION("""COMPUTED_VALUE"""),0.0)</f>
        <v>0</v>
      </c>
      <c r="Y697" s="5">
        <f>IFERROR(__xludf.DUMMYFUNCTION("""COMPUTED_VALUE"""),100.0)</f>
        <v>100</v>
      </c>
      <c r="Z697" s="5"/>
    </row>
    <row r="698">
      <c r="A698" s="5" t="str">
        <f>IFERROR(__xludf.DUMMYFUNCTION("""COMPUTED_VALUE"""),"เนื้อปลา-กะพง-aa-ลัง-10kg-1")</f>
        <v>เนื้อปลา-กะพง-aa-ลัง-10kg-1</v>
      </c>
      <c r="B698" s="5">
        <f>IFERROR(__xludf.DUMMYFUNCTION("""COMPUTED_VALUE"""),10100.0)</f>
        <v>10100</v>
      </c>
      <c r="C698" s="5" t="str">
        <f>IFERROR(__xludf.DUMMYFUNCTION("""COMPUTED_VALUE"""),"เนื้อปลา กะพง AA ลัง 10Kg")</f>
        <v>เนื้อปลา กะพง AA ลัง 10Kg</v>
      </c>
      <c r="D698" s="5"/>
      <c r="E698" s="5" t="str">
        <f>IFERROR(__xludf.DUMMYFUNCTION("""COMPUTED_VALUE"""),"&lt;p&gt;X&lt;/p&gt;")</f>
        <v>&lt;p&gt;X&lt;/p&gt;</v>
      </c>
      <c r="F698" s="5" t="str">
        <f>IFERROR(__xludf.DUMMYFUNCTION("""COMPUTED_VALUE"""),"N")</f>
        <v>N</v>
      </c>
      <c r="G698" s="5"/>
      <c r="H698" s="5"/>
      <c r="I698" s="5"/>
      <c r="J698" s="5"/>
      <c r="K698" s="5"/>
      <c r="L698" s="5"/>
      <c r="M698" s="5">
        <f>IFERROR(__xludf.DUMMYFUNCTION("""COMPUTED_VALUE"""),840.0)</f>
        <v>840</v>
      </c>
      <c r="N698" s="5">
        <f>IFERROR(__xludf.DUMMYFUNCTION("""COMPUTED_VALUE"""),10100.0)</f>
        <v>10100</v>
      </c>
      <c r="O698" s="5"/>
      <c r="P698" s="5"/>
      <c r="Q698" s="5" t="str">
        <f>IFERROR(__xludf.DUMMYFUNCTION("""COMPUTED_VALUE"""),"N")</f>
        <v>N</v>
      </c>
      <c r="R698" s="5"/>
      <c r="S698" s="5"/>
      <c r="T698" s="5"/>
      <c r="U698" s="5" t="str">
        <f>IFERROR(__xludf.DUMMYFUNCTION("""COMPUTED_VALUE"""),"Y")</f>
        <v>Y</v>
      </c>
      <c r="V698" s="5">
        <f>IFERROR(__xludf.DUMMYFUNCTION("""COMPUTED_VALUE"""),920.0)</f>
        <v>920</v>
      </c>
      <c r="W698" s="5"/>
      <c r="X698" s="5"/>
      <c r="Y698" s="5"/>
      <c r="Z698" s="5"/>
    </row>
    <row r="699">
      <c r="A699" s="5" t="str">
        <f>IFERROR(__xludf.DUMMYFUNCTION("""COMPUTED_VALUE"""),"เนื้อปูแกะ.-300-กรัม")</f>
        <v>เนื้อปูแกะ.-300-กรัม</v>
      </c>
      <c r="B699" s="5">
        <f>IFERROR(__xludf.DUMMYFUNCTION("""COMPUTED_VALUE"""),10035.0)</f>
        <v>10035</v>
      </c>
      <c r="C699" s="5" t="str">
        <f>IFERROR(__xludf.DUMMYFUNCTION("""COMPUTED_VALUE"""),"เนื้อปูแกะ. 300 กรัม")</f>
        <v>เนื้อปูแกะ. 300 กรัม</v>
      </c>
      <c r="D699" s="5"/>
      <c r="E699" s="5"/>
      <c r="F699" s="5" t="str">
        <f>IFERROR(__xludf.DUMMYFUNCTION("""COMPUTED_VALUE"""),"N")</f>
        <v>N</v>
      </c>
      <c r="G699" s="5"/>
      <c r="H699" s="5"/>
      <c r="I699" s="5"/>
      <c r="J699" s="5"/>
      <c r="K699" s="5"/>
      <c r="L699" s="5"/>
      <c r="M699" s="5">
        <f>IFERROR(__xludf.DUMMYFUNCTION("""COMPUTED_VALUE"""),277.53)</f>
        <v>277.53</v>
      </c>
      <c r="N699" s="5">
        <f>IFERROR(__xludf.DUMMYFUNCTION("""COMPUTED_VALUE"""),10035.0)</f>
        <v>10035</v>
      </c>
      <c r="O699" s="5"/>
      <c r="P699" s="5"/>
      <c r="Q699" s="5" t="str">
        <f>IFERROR(__xludf.DUMMYFUNCTION("""COMPUTED_VALUE"""),"Y")</f>
        <v>Y</v>
      </c>
      <c r="R699" s="5"/>
      <c r="S699" s="5"/>
      <c r="T699" s="5">
        <f>IFERROR(__xludf.DUMMYFUNCTION("""COMPUTED_VALUE"""),0.0)</f>
        <v>0</v>
      </c>
      <c r="U699" s="5" t="str">
        <f>IFERROR(__xludf.DUMMYFUNCTION("""COMPUTED_VALUE"""),"Y")</f>
        <v>Y</v>
      </c>
      <c r="V699" s="5">
        <f>IFERROR(__xludf.DUMMYFUNCTION("""COMPUTED_VALUE"""),350.0)</f>
        <v>350</v>
      </c>
      <c r="W699" s="5">
        <f>IFERROR(__xludf.DUMMYFUNCTION("""COMPUTED_VALUE"""),0.0)</f>
        <v>0</v>
      </c>
      <c r="X699" s="5">
        <f>IFERROR(__xludf.DUMMYFUNCTION("""COMPUTED_VALUE"""),0.0)</f>
        <v>0</v>
      </c>
      <c r="Y699" s="5"/>
      <c r="Z699" s="5"/>
    </row>
    <row r="700">
      <c r="A700" s="5" t="str">
        <f>IFERROR(__xludf.DUMMYFUNCTION("""COMPUTED_VALUE"""),"เนื้อวัวหมักนุ่ม-(สมชาย)*2กก.*")</f>
        <v>เนื้อวัวหมักนุ่ม-(สมชาย)*2กก.*</v>
      </c>
      <c r="B700" s="5">
        <f>IFERROR(__xludf.DUMMYFUNCTION("""COMPUTED_VALUE"""),11543.0)</f>
        <v>11543</v>
      </c>
      <c r="C700" s="5" t="str">
        <f>IFERROR(__xludf.DUMMYFUNCTION("""COMPUTED_VALUE"""),"เนื้อวัวนุ่ม (สมชาย) 2 กก./ถุง - 95")</f>
        <v>เนื้อวัวนุ่ม (สมชาย) 2 กก./ถุง - 95</v>
      </c>
      <c r="D700" s="5" t="str">
        <f>IFERROR(__xludf.DUMMYFUNCTION("""COMPUTED_VALUE"""),"สมชาย")</f>
        <v>สมชาย</v>
      </c>
      <c r="E700" s="5" t="str">
        <f>IFERROR(__xludf.DUMMYFUNCTION("""COMPUTED_VALUE"""),"&lt;p&gt;S&lt;/p&gt;")</f>
        <v>&lt;p&gt;S&lt;/p&gt;</v>
      </c>
      <c r="F700" s="5" t="str">
        <f>IFERROR(__xludf.DUMMYFUNCTION("""COMPUTED_VALUE"""),"N")</f>
        <v>N</v>
      </c>
      <c r="G700" s="5"/>
      <c r="H700" s="5"/>
      <c r="I700" s="5"/>
      <c r="J700" s="5"/>
      <c r="K700" s="5"/>
      <c r="L700" s="5"/>
      <c r="M700" s="5">
        <f>IFERROR(__xludf.DUMMYFUNCTION("""COMPUTED_VALUE"""),170.0)</f>
        <v>170</v>
      </c>
      <c r="N700" s="5">
        <f>IFERROR(__xludf.DUMMYFUNCTION("""COMPUTED_VALUE"""),11543.0)</f>
        <v>11543</v>
      </c>
      <c r="O700" s="5"/>
      <c r="P700" s="5"/>
      <c r="Q700" s="5" t="str">
        <f>IFERROR(__xludf.DUMMYFUNCTION("""COMPUTED_VALUE"""),"Y")</f>
        <v>Y</v>
      </c>
      <c r="R700" s="5"/>
      <c r="S700" s="5" t="str">
        <f>IFERROR(__xludf.DUMMYFUNCTION("""COMPUTED_VALUE"""),"สมชายซีฟู้ดส์")</f>
        <v>สมชายซีฟู้ดส์</v>
      </c>
      <c r="T700" s="5">
        <f>IFERROR(__xludf.DUMMYFUNCTION("""COMPUTED_VALUE"""),170.0)</f>
        <v>170</v>
      </c>
      <c r="U700" s="5" t="str">
        <f>IFERROR(__xludf.DUMMYFUNCTION("""COMPUTED_VALUE"""),"Y")</f>
        <v>Y</v>
      </c>
      <c r="V700" s="5">
        <f>IFERROR(__xludf.DUMMYFUNCTION("""COMPUTED_VALUE"""),190.0)</f>
        <v>190</v>
      </c>
      <c r="W700" s="5">
        <f>IFERROR(__xludf.DUMMYFUNCTION("""COMPUTED_VALUE"""),21.0)</f>
        <v>21</v>
      </c>
      <c r="X700" s="5"/>
      <c r="Y700" s="5"/>
      <c r="Z700" s="5"/>
    </row>
    <row r="701">
      <c r="A701" s="5" t="str">
        <f>IFERROR(__xludf.DUMMYFUNCTION("""COMPUTED_VALUE"""),"เนื้อวัวหมักงา-sc-*ถุง2กก*")</f>
        <v>เนื้อวัวหมักงา-sc-*ถุง2กก*</v>
      </c>
      <c r="B701" s="5">
        <f>IFERROR(__xludf.DUMMYFUNCTION("""COMPUTED_VALUE"""),11128.0)</f>
        <v>11128</v>
      </c>
      <c r="C701" s="5" t="str">
        <f>IFERROR(__xludf.DUMMYFUNCTION("""COMPUTED_VALUE"""),"เนื้อวัวหมักงา SC *ถุง2กก*")</f>
        <v>เนื้อวัวหมักงา SC *ถุง2กก*</v>
      </c>
      <c r="D701" s="5" t="str">
        <f>IFERROR(__xludf.DUMMYFUNCTION("""COMPUTED_VALUE"""),"**ของหิ้ว ร้อยเอ็ด")</f>
        <v>**ของหิ้ว ร้อยเอ็ด</v>
      </c>
      <c r="E701" s="5" t="str">
        <f>IFERROR(__xludf.DUMMYFUNCTION("""COMPUTED_VALUE"""),"&lt;p&gt;S&lt;/p&gt;")</f>
        <v>&lt;p&gt;S&lt;/p&gt;</v>
      </c>
      <c r="F701" s="5" t="str">
        <f>IFERROR(__xludf.DUMMYFUNCTION("""COMPUTED_VALUE"""),"N")</f>
        <v>N</v>
      </c>
      <c r="G701" s="5"/>
      <c r="H701" s="5"/>
      <c r="I701" s="5"/>
      <c r="J701" s="5"/>
      <c r="K701" s="5"/>
      <c r="L701" s="5"/>
      <c r="M701" s="5">
        <f>IFERROR(__xludf.DUMMYFUNCTION("""COMPUTED_VALUE"""),180.0)</f>
        <v>180</v>
      </c>
      <c r="N701" s="5">
        <f>IFERROR(__xludf.DUMMYFUNCTION("""COMPUTED_VALUE"""),11128.0)</f>
        <v>11128</v>
      </c>
      <c r="O701" s="5"/>
      <c r="P701" s="5"/>
      <c r="Q701" s="5" t="str">
        <f>IFERROR(__xludf.DUMMYFUNCTION("""COMPUTED_VALUE"""),"Y")</f>
        <v>Y</v>
      </c>
      <c r="R701" s="5"/>
      <c r="S701" s="5"/>
      <c r="T701" s="5">
        <f>IFERROR(__xludf.DUMMYFUNCTION("""COMPUTED_VALUE"""),0.0)</f>
        <v>0</v>
      </c>
      <c r="U701" s="5" t="str">
        <f>IFERROR(__xludf.DUMMYFUNCTION("""COMPUTED_VALUE"""),"N")</f>
        <v>N</v>
      </c>
      <c r="V701" s="5">
        <f>IFERROR(__xludf.DUMMYFUNCTION("""COMPUTED_VALUE"""),190.0)</f>
        <v>190</v>
      </c>
      <c r="W701" s="5">
        <f>IFERROR(__xludf.DUMMYFUNCTION("""COMPUTED_VALUE"""),0.0)</f>
        <v>0</v>
      </c>
      <c r="X701" s="5"/>
      <c r="Y701" s="5"/>
      <c r="Z701" s="5"/>
    </row>
    <row r="702">
      <c r="A702" s="5" t="str">
        <f>IFERROR(__xludf.DUMMYFUNCTION("""COMPUTED_VALUE"""),"เนื้อวัวหมักพริกไท-sc-*ถุง2กก*")</f>
        <v>เนื้อวัวหมักพริกไท-sc-*ถุง2กก*</v>
      </c>
      <c r="B702" s="5">
        <f>IFERROR(__xludf.DUMMYFUNCTION("""COMPUTED_VALUE"""),11556.0)</f>
        <v>11556</v>
      </c>
      <c r="C702" s="5" t="str">
        <f>IFERROR(__xludf.DUMMYFUNCTION("""COMPUTED_VALUE"""),"เนื้อวัวหมักพริกไท SC *ถุง2กก*")</f>
        <v>เนื้อวัวหมักพริกไท SC *ถุง2กก*</v>
      </c>
      <c r="D702" s="5" t="str">
        <f>IFERROR(__xludf.DUMMYFUNCTION("""COMPUTED_VALUE"""),"**ของหิ้ว ร้อยเอ็ด")</f>
        <v>**ของหิ้ว ร้อยเอ็ด</v>
      </c>
      <c r="E702" s="5" t="str">
        <f>IFERROR(__xludf.DUMMYFUNCTION("""COMPUTED_VALUE"""),"&lt;p&gt;S&lt;/p&gt;")</f>
        <v>&lt;p&gt;S&lt;/p&gt;</v>
      </c>
      <c r="F702" s="5" t="str">
        <f>IFERROR(__xludf.DUMMYFUNCTION("""COMPUTED_VALUE"""),"N")</f>
        <v>N</v>
      </c>
      <c r="G702" s="5"/>
      <c r="H702" s="5"/>
      <c r="I702" s="5"/>
      <c r="J702" s="5"/>
      <c r="K702" s="5"/>
      <c r="L702" s="5"/>
      <c r="M702" s="5">
        <f>IFERROR(__xludf.DUMMYFUNCTION("""COMPUTED_VALUE"""),170.0)</f>
        <v>170</v>
      </c>
      <c r="N702" s="5">
        <f>IFERROR(__xludf.DUMMYFUNCTION("""COMPUTED_VALUE"""),11556.0)</f>
        <v>11556</v>
      </c>
      <c r="O702" s="5"/>
      <c r="P702" s="5"/>
      <c r="Q702" s="5" t="str">
        <f>IFERROR(__xludf.DUMMYFUNCTION("""COMPUTED_VALUE"""),"Y")</f>
        <v>Y</v>
      </c>
      <c r="R702" s="5"/>
      <c r="S702" s="5"/>
      <c r="T702" s="5">
        <f>IFERROR(__xludf.DUMMYFUNCTION("""COMPUTED_VALUE"""),0.0)</f>
        <v>0</v>
      </c>
      <c r="U702" s="5" t="str">
        <f>IFERROR(__xludf.DUMMYFUNCTION("""COMPUTED_VALUE"""),"N")</f>
        <v>N</v>
      </c>
      <c r="V702" s="5">
        <f>IFERROR(__xludf.DUMMYFUNCTION("""COMPUTED_VALUE"""),180.0)</f>
        <v>180</v>
      </c>
      <c r="W702" s="5">
        <f>IFERROR(__xludf.DUMMYFUNCTION("""COMPUTED_VALUE"""),0.0)</f>
        <v>0</v>
      </c>
      <c r="X702" s="5"/>
      <c r="Y702" s="5"/>
      <c r="Z702" s="5"/>
    </row>
    <row r="703">
      <c r="A703" s="5" t="str">
        <f>IFERROR(__xludf.DUMMYFUNCTION("""COMPUTED_VALUE"""),"เนื้อสไลด์-5*1kg--(หิ้ว)")</f>
        <v>เนื้อสไลด์-5*1kg--(หิ้ว)</v>
      </c>
      <c r="B703" s="5">
        <f>IFERROR(__xludf.DUMMYFUNCTION("""COMPUTED_VALUE"""),10977.0)</f>
        <v>10977</v>
      </c>
      <c r="C703" s="5" t="str">
        <f>IFERROR(__xludf.DUMMYFUNCTION("""COMPUTED_VALUE"""),"เนื้อสไลด์ (ถุงแดง) 5 กก.(หิ้ว) - 148")</f>
        <v>เนื้อสไลด์ (ถุงแดง) 5 กก.(หิ้ว) - 148</v>
      </c>
      <c r="D703" s="5" t="str">
        <f>IFERROR(__xludf.DUMMYFUNCTION("""COMPUTED_VALUE"""),"**ของหิ้ว มหาชัย")</f>
        <v>**ของหิ้ว มหาชัย</v>
      </c>
      <c r="E703" s="5" t="str">
        <f>IFERROR(__xludf.DUMMYFUNCTION("""COMPUTED_VALUE"""),"&lt;p&gt;5&lt;/p&gt;")</f>
        <v>&lt;p&gt;5&lt;/p&gt;</v>
      </c>
      <c r="F703" s="5" t="str">
        <f>IFERROR(__xludf.DUMMYFUNCTION("""COMPUTED_VALUE"""),"N")</f>
        <v>N</v>
      </c>
      <c r="G703" s="5"/>
      <c r="H703" s="5"/>
      <c r="I703" s="5"/>
      <c r="J703" s="5"/>
      <c r="K703" s="5"/>
      <c r="L703" s="5"/>
      <c r="M703" s="5">
        <f>IFERROR(__xludf.DUMMYFUNCTION("""COMPUTED_VALUE"""),728.24)</f>
        <v>728.24</v>
      </c>
      <c r="N703" s="5">
        <f>IFERROR(__xludf.DUMMYFUNCTION("""COMPUTED_VALUE"""),10977.0)</f>
        <v>10977</v>
      </c>
      <c r="O703" s="5"/>
      <c r="P703" s="5"/>
      <c r="Q703" s="5" t="str">
        <f>IFERROR(__xludf.DUMMYFUNCTION("""COMPUTED_VALUE"""),"Y")</f>
        <v>Y</v>
      </c>
      <c r="R703" s="5"/>
      <c r="S703" s="5" t="str">
        <f>IFERROR(__xludf.DUMMYFUNCTION("""COMPUTED_VALUE"""),"ขึ้นของมหาชัย")</f>
        <v>ขึ้นของมหาชัย</v>
      </c>
      <c r="T703" s="5">
        <f>IFERROR(__xludf.DUMMYFUNCTION("""COMPUTED_VALUE"""),700.0)</f>
        <v>700</v>
      </c>
      <c r="U703" s="5" t="str">
        <f>IFERROR(__xludf.DUMMYFUNCTION("""COMPUTED_VALUE"""),"Y")</f>
        <v>Y</v>
      </c>
      <c r="V703" s="5">
        <f>IFERROR(__xludf.DUMMYFUNCTION("""COMPUTED_VALUE"""),740.0)</f>
        <v>740</v>
      </c>
      <c r="W703" s="5">
        <f>IFERROR(__xludf.DUMMYFUNCTION("""COMPUTED_VALUE"""),0.0)</f>
        <v>0</v>
      </c>
      <c r="X703" s="5">
        <f>IFERROR(__xludf.DUMMYFUNCTION("""COMPUTED_VALUE"""),10.0)</f>
        <v>10</v>
      </c>
      <c r="Y703" s="5">
        <f>IFERROR(__xludf.DUMMYFUNCTION("""COMPUTED_VALUE"""),20.0)</f>
        <v>20</v>
      </c>
      <c r="Z703" s="5"/>
    </row>
    <row r="704">
      <c r="A704" s="5" t="str">
        <f>IFERROR(__xludf.DUMMYFUNCTION("""COMPUTED_VALUE"""),"เนื้อหอยชิลี-1*10kg-(ลัง)")</f>
        <v>เนื้อหอยชิลี-1*10kg-(ลัง)</v>
      </c>
      <c r="B704" s="5">
        <f>IFERROR(__xludf.DUMMYFUNCTION("""COMPUTED_VALUE"""),10039.0)</f>
        <v>10039</v>
      </c>
      <c r="C704" s="5" t="str">
        <f>IFERROR(__xludf.DUMMYFUNCTION("""COMPUTED_VALUE"""),"เนื้อหอยชิลี  (ลัง) - 85")</f>
        <v>เนื้อหอยชิลี  (ลัง) - 85</v>
      </c>
      <c r="D704" s="5" t="str">
        <f>IFERROR(__xludf.DUMMYFUNCTION("""COMPUTED_VALUE"""),"**ลัง มหาชัย")</f>
        <v>**ลัง มหาชัย</v>
      </c>
      <c r="E704" s="5" t="str">
        <f>IFERROR(__xludf.DUMMYFUNCTION("""COMPUTED_VALUE"""),"10")</f>
        <v>10</v>
      </c>
      <c r="F704" s="5" t="str">
        <f>IFERROR(__xludf.DUMMYFUNCTION("""COMPUTED_VALUE"""),"N")</f>
        <v>N</v>
      </c>
      <c r="G704" s="5"/>
      <c r="H704" s="5"/>
      <c r="I704" s="5"/>
      <c r="J704" s="5"/>
      <c r="K704" s="5"/>
      <c r="L704" s="5"/>
      <c r="M704" s="5">
        <f>IFERROR(__xludf.DUMMYFUNCTION("""COMPUTED_VALUE"""),681.43)</f>
        <v>681.43</v>
      </c>
      <c r="N704" s="5">
        <f>IFERROR(__xludf.DUMMYFUNCTION("""COMPUTED_VALUE"""),10039.0)</f>
        <v>10039</v>
      </c>
      <c r="O704" s="5"/>
      <c r="P704" s="5"/>
      <c r="Q704" s="5" t="str">
        <f>IFERROR(__xludf.DUMMYFUNCTION("""COMPUTED_VALUE"""),"Y")</f>
        <v>Y</v>
      </c>
      <c r="R704" s="5"/>
      <c r="S704" s="5" t="str">
        <f>IFERROR(__xludf.DUMMYFUNCTION("""COMPUTED_VALUE"""),"ขึ้นของมหาชัย")</f>
        <v>ขึ้นของมหาชัย</v>
      </c>
      <c r="T704" s="5">
        <f>IFERROR(__xludf.DUMMYFUNCTION("""COMPUTED_VALUE"""),650.0)</f>
        <v>650</v>
      </c>
      <c r="U704" s="5" t="str">
        <f>IFERROR(__xludf.DUMMYFUNCTION("""COMPUTED_VALUE"""),"Y")</f>
        <v>Y</v>
      </c>
      <c r="V704" s="5">
        <f>IFERROR(__xludf.DUMMYFUNCTION("""COMPUTED_VALUE"""),850.0)</f>
        <v>850</v>
      </c>
      <c r="W704" s="5">
        <f>IFERROR(__xludf.DUMMYFUNCTION("""COMPUTED_VALUE"""),2.0)</f>
        <v>2</v>
      </c>
      <c r="X704" s="5">
        <f>IFERROR(__xludf.DUMMYFUNCTION("""COMPUTED_VALUE"""),1.0)</f>
        <v>1</v>
      </c>
      <c r="Y704" s="5">
        <f>IFERROR(__xludf.DUMMYFUNCTION("""COMPUTED_VALUE"""),4.0)</f>
        <v>4</v>
      </c>
      <c r="Z704" s="5"/>
    </row>
    <row r="705">
      <c r="A705" s="5" t="str">
        <f>IFERROR(__xludf.DUMMYFUNCTION("""COMPUTED_VALUE"""),"ร้านตั้ม-เนื้อหอยชิลี-1*10kg-(ลัง)")</f>
        <v>ร้านตั้ม-เนื้อหอยชิลี-1*10kg-(ลัง)</v>
      </c>
      <c r="B705" s="5">
        <f>IFERROR(__xludf.DUMMYFUNCTION("""COMPUTED_VALUE"""),10040.0)</f>
        <v>10040</v>
      </c>
      <c r="C705" s="5" t="str">
        <f>IFERROR(__xludf.DUMMYFUNCTION("""COMPUTED_VALUE"""),"เนื้อหอยชิลี (พิเศษ)10Kg (ลัง)-78")</f>
        <v>เนื้อหอยชิลี (พิเศษ)10Kg (ลัง)-78</v>
      </c>
      <c r="D705" s="5" t="str">
        <f>IFERROR(__xludf.DUMMYFUNCTION("""COMPUTED_VALUE"""),"**ร้านค้า ราคาพิเศษ")</f>
        <v>**ร้านค้า ราคาพิเศษ</v>
      </c>
      <c r="E705" s="5"/>
      <c r="F705" s="5" t="str">
        <f>IFERROR(__xludf.DUMMYFUNCTION("""COMPUTED_VALUE"""),"N")</f>
        <v>N</v>
      </c>
      <c r="G705" s="5"/>
      <c r="H705" s="5"/>
      <c r="I705" s="5"/>
      <c r="J705" s="5"/>
      <c r="K705" s="5"/>
      <c r="L705" s="5"/>
      <c r="M705" s="5"/>
      <c r="N705" s="5">
        <f>IFERROR(__xludf.DUMMYFUNCTION("""COMPUTED_VALUE"""),10040.0)</f>
        <v>10040</v>
      </c>
      <c r="O705" s="5">
        <f>IFERROR(__xludf.DUMMYFUNCTION("""COMPUTED_VALUE"""),10039.0)</f>
        <v>10039</v>
      </c>
      <c r="P705" s="5">
        <f>IFERROR(__xludf.DUMMYFUNCTION("""COMPUTED_VALUE"""),1.0)</f>
        <v>1</v>
      </c>
      <c r="Q705" s="5" t="str">
        <f>IFERROR(__xludf.DUMMYFUNCTION("""COMPUTED_VALUE"""),"N")</f>
        <v>N</v>
      </c>
      <c r="R705" s="5" t="str">
        <f>IFERROR(__xludf.DUMMYFUNCTION("""COMPUTED_VALUE"""),"N")</f>
        <v>N</v>
      </c>
      <c r="S705" s="5"/>
      <c r="T705" s="5"/>
      <c r="U705" s="5" t="str">
        <f>IFERROR(__xludf.DUMMYFUNCTION("""COMPUTED_VALUE"""),"Y")</f>
        <v>Y</v>
      </c>
      <c r="V705" s="5">
        <f>IFERROR(__xludf.DUMMYFUNCTION("""COMPUTED_VALUE"""),780.0)</f>
        <v>780</v>
      </c>
      <c r="W705" s="5"/>
      <c r="X705" s="5"/>
      <c r="Y705" s="5"/>
      <c r="Z705" s="5"/>
    </row>
    <row r="706">
      <c r="A706" s="5" t="str">
        <f>IFERROR(__xludf.DUMMYFUNCTION("""COMPUTED_VALUE"""),"เนื้อหอยเชลล์1*10kg-ลัง(90)")</f>
        <v>เนื้อหอยเชลล์1*10kg-ลัง(90)</v>
      </c>
      <c r="B706" s="5">
        <f>IFERROR(__xludf.DUMMYFUNCTION("""COMPUTED_VALUE"""),11450.0)</f>
        <v>11450</v>
      </c>
      <c r="C706" s="5" t="str">
        <f>IFERROR(__xludf.DUMMYFUNCTION("""COMPUTED_VALUE"""),"เนื้อหอยเชลล์  (ลัง) - 92")</f>
        <v>เนื้อหอยเชลล์  (ลัง) - 92</v>
      </c>
      <c r="D706" s="5"/>
      <c r="E706" s="5" t="str">
        <f>IFERROR(__xludf.DUMMYFUNCTION("""COMPUTED_VALUE"""),"&lt;p&gt;S&lt;/p&gt;")</f>
        <v>&lt;p&gt;S&lt;/p&gt;</v>
      </c>
      <c r="F706" s="5" t="str">
        <f>IFERROR(__xludf.DUMMYFUNCTION("""COMPUTED_VALUE"""),"N")</f>
        <v>N</v>
      </c>
      <c r="G706" s="5"/>
      <c r="H706" s="5"/>
      <c r="I706" s="5"/>
      <c r="J706" s="5"/>
      <c r="K706" s="5"/>
      <c r="L706" s="5"/>
      <c r="M706" s="5"/>
      <c r="N706" s="5">
        <f>IFERROR(__xludf.DUMMYFUNCTION("""COMPUTED_VALUE"""),11450.0)</f>
        <v>11450</v>
      </c>
      <c r="O706" s="5">
        <f>IFERROR(__xludf.DUMMYFUNCTION("""COMPUTED_VALUE"""),11451.0)</f>
        <v>11451</v>
      </c>
      <c r="P706" s="5">
        <f>IFERROR(__xludf.DUMMYFUNCTION("""COMPUTED_VALUE"""),10.0)</f>
        <v>10</v>
      </c>
      <c r="Q706" s="5" t="str">
        <f>IFERROR(__xludf.DUMMYFUNCTION("""COMPUTED_VALUE"""),"N")</f>
        <v>N</v>
      </c>
      <c r="R706" s="5" t="str">
        <f>IFERROR(__xludf.DUMMYFUNCTION("""COMPUTED_VALUE"""),"N")</f>
        <v>N</v>
      </c>
      <c r="S706" s="5"/>
      <c r="T706" s="5"/>
      <c r="U706" s="5" t="str">
        <f>IFERROR(__xludf.DUMMYFUNCTION("""COMPUTED_VALUE"""),"Y")</f>
        <v>Y</v>
      </c>
      <c r="V706" s="5">
        <f>IFERROR(__xludf.DUMMYFUNCTION("""COMPUTED_VALUE"""),920.0)</f>
        <v>920</v>
      </c>
      <c r="W706" s="5"/>
      <c r="X706" s="5"/>
      <c r="Y706" s="5"/>
      <c r="Z706" s="5"/>
    </row>
    <row r="707">
      <c r="A707" s="5" t="str">
        <f>IFERROR(__xludf.DUMMYFUNCTION("""COMPUTED_VALUE"""),"เนื้อหอยเซลล์-ลัง-r100")</f>
        <v>เนื้อหอยเซลล์-ลัง-r100</v>
      </c>
      <c r="B707" s="5">
        <f>IFERROR(__xludf.DUMMYFUNCTION("""COMPUTED_VALUE"""),10513.0)</f>
        <v>10513</v>
      </c>
      <c r="C707" s="5" t="str">
        <f>IFERROR(__xludf.DUMMYFUNCTION("""COMPUTED_VALUE"""),"เนื้อหอยเชลล์ 10kg/ลังR100(75)")</f>
        <v>เนื้อหอยเชลล์ 10kg/ลังR100(75)</v>
      </c>
      <c r="D707" s="5" t="str">
        <f>IFERROR(__xludf.DUMMYFUNCTION("""COMPUTED_VALUE"""),"**ร้านค้า ราคาพิเศษ")</f>
        <v>**ร้านค้า ราคาพิเศษ</v>
      </c>
      <c r="E707" s="5"/>
      <c r="F707" s="5" t="str">
        <f>IFERROR(__xludf.DUMMYFUNCTION("""COMPUTED_VALUE"""),"N")</f>
        <v>N</v>
      </c>
      <c r="G707" s="5"/>
      <c r="H707" s="5"/>
      <c r="I707" s="5"/>
      <c r="J707" s="5"/>
      <c r="K707" s="5"/>
      <c r="L707" s="5"/>
      <c r="M707" s="5"/>
      <c r="N707" s="5"/>
      <c r="O707" s="5">
        <f>IFERROR(__xludf.DUMMYFUNCTION("""COMPUTED_VALUE"""),11451.0)</f>
        <v>11451</v>
      </c>
      <c r="P707" s="5">
        <f>IFERROR(__xludf.DUMMYFUNCTION("""COMPUTED_VALUE"""),10.0)</f>
        <v>10</v>
      </c>
      <c r="Q707" s="5" t="str">
        <f>IFERROR(__xludf.DUMMYFUNCTION("""COMPUTED_VALUE"""),"N")</f>
        <v>N</v>
      </c>
      <c r="R707" s="5" t="str">
        <f>IFERROR(__xludf.DUMMYFUNCTION("""COMPUTED_VALUE"""),"N")</f>
        <v>N</v>
      </c>
      <c r="S707" s="5"/>
      <c r="T707" s="5"/>
      <c r="U707" s="5" t="str">
        <f>IFERROR(__xludf.DUMMYFUNCTION("""COMPUTED_VALUE"""),"Y")</f>
        <v>Y</v>
      </c>
      <c r="V707" s="5">
        <f>IFERROR(__xludf.DUMMYFUNCTION("""COMPUTED_VALUE"""),750.0)</f>
        <v>750</v>
      </c>
      <c r="W707" s="5"/>
      <c r="X707" s="5"/>
      <c r="Y707" s="5"/>
      <c r="Z707" s="5"/>
    </row>
    <row r="708">
      <c r="A708" s="5" t="str">
        <f>IFERROR(__xludf.DUMMYFUNCTION("""COMPUTED_VALUE"""),"เนื้อหอยเชลล์แพ็ค1kg")</f>
        <v>เนื้อหอยเชลล์แพ็ค1kg</v>
      </c>
      <c r="B708" s="5">
        <f>IFERROR(__xludf.DUMMYFUNCTION("""COMPUTED_VALUE"""),11451.0)</f>
        <v>11451</v>
      </c>
      <c r="C708" s="5" t="str">
        <f>IFERROR(__xludf.DUMMYFUNCTION("""COMPUTED_VALUE"""),"เนื้อหอยเชลล์แพ็ค1Kg")</f>
        <v>เนื้อหอยเชลล์แพ็ค1Kg</v>
      </c>
      <c r="D708" s="5" t="str">
        <f>IFERROR(__xludf.DUMMYFUNCTION("""COMPUTED_VALUE"""),"**ลัง มหาชัย")</f>
        <v>**ลัง มหาชัย</v>
      </c>
      <c r="E708" s="5" t="str">
        <f>IFERROR(__xludf.DUMMYFUNCTION("""COMPUTED_VALUE"""),"&lt;p&gt;1&lt;/p&gt;")</f>
        <v>&lt;p&gt;1&lt;/p&gt;</v>
      </c>
      <c r="F708" s="5" t="str">
        <f>IFERROR(__xludf.DUMMYFUNCTION("""COMPUTED_VALUE"""),"N")</f>
        <v>N</v>
      </c>
      <c r="G708" s="5"/>
      <c r="H708" s="5"/>
      <c r="I708" s="5"/>
      <c r="J708" s="5"/>
      <c r="K708" s="5"/>
      <c r="L708" s="5"/>
      <c r="M708" s="5">
        <f>IFERROR(__xludf.DUMMYFUNCTION("""COMPUTED_VALUE"""),68.11)</f>
        <v>68.11</v>
      </c>
      <c r="N708" s="5">
        <f>IFERROR(__xludf.DUMMYFUNCTION("""COMPUTED_VALUE"""),11451.0)</f>
        <v>11451</v>
      </c>
      <c r="O708" s="5"/>
      <c r="P708" s="5"/>
      <c r="Q708" s="5" t="str">
        <f>IFERROR(__xludf.DUMMYFUNCTION("""COMPUTED_VALUE"""),"Y")</f>
        <v>Y</v>
      </c>
      <c r="R708" s="5"/>
      <c r="S708" s="5" t="str">
        <f>IFERROR(__xludf.DUMMYFUNCTION("""COMPUTED_VALUE"""),"ขึ้นของมหาชัย")</f>
        <v>ขึ้นของมหาชัย</v>
      </c>
      <c r="T708" s="5">
        <f>IFERROR(__xludf.DUMMYFUNCTION("""COMPUTED_VALUE"""),65.0)</f>
        <v>65</v>
      </c>
      <c r="U708" s="5" t="str">
        <f>IFERROR(__xludf.DUMMYFUNCTION("""COMPUTED_VALUE"""),"Y")</f>
        <v>Y</v>
      </c>
      <c r="V708" s="5">
        <f>IFERROR(__xludf.DUMMYFUNCTION("""COMPUTED_VALUE"""),100.0)</f>
        <v>100</v>
      </c>
      <c r="W708" s="5">
        <f>IFERROR(__xludf.DUMMYFUNCTION("""COMPUTED_VALUE"""),51.0)</f>
        <v>51</v>
      </c>
      <c r="X708" s="5">
        <f>IFERROR(__xludf.DUMMYFUNCTION("""COMPUTED_VALUE"""),10.0)</f>
        <v>10</v>
      </c>
      <c r="Y708" s="5">
        <f>IFERROR(__xludf.DUMMYFUNCTION("""COMPUTED_VALUE"""),40.0)</f>
        <v>40</v>
      </c>
      <c r="Z708" s="5"/>
    </row>
    <row r="709">
      <c r="A709" s="5" t="str">
        <f>IFERROR(__xludf.DUMMYFUNCTION("""COMPUTED_VALUE"""),"เนื้อหอยแคลง-10*1กก-ลัง-1")</f>
        <v>เนื้อหอยแคลง-10*1กก-ลัง-1</v>
      </c>
      <c r="B709" s="5">
        <f>IFERROR(__xludf.DUMMYFUNCTION("""COMPUTED_VALUE"""),10297.0)</f>
        <v>10297</v>
      </c>
      <c r="C709" s="5" t="str">
        <f>IFERROR(__xludf.DUMMYFUNCTION("""COMPUTED_VALUE"""),"เนื้อหอยแครง  (ลัง) - 110")</f>
        <v>เนื้อหอยแครง  (ลัง) - 110</v>
      </c>
      <c r="D709" s="5"/>
      <c r="E709" s="5" t="str">
        <f>IFERROR(__xludf.DUMMYFUNCTION("""COMPUTED_VALUE"""),"&lt;p&gt;S&lt;/p&gt;")</f>
        <v>&lt;p&gt;S&lt;/p&gt;</v>
      </c>
      <c r="F709" s="5" t="str">
        <f>IFERROR(__xludf.DUMMYFUNCTION("""COMPUTED_VALUE"""),"N")</f>
        <v>N</v>
      </c>
      <c r="G709" s="5"/>
      <c r="H709" s="5"/>
      <c r="I709" s="5"/>
      <c r="J709" s="5"/>
      <c r="K709" s="5"/>
      <c r="L709" s="5"/>
      <c r="M709" s="5"/>
      <c r="N709" s="5">
        <f>IFERROR(__xludf.DUMMYFUNCTION("""COMPUTED_VALUE"""),10297.0)</f>
        <v>10297</v>
      </c>
      <c r="O709" s="5">
        <f>IFERROR(__xludf.DUMMYFUNCTION("""COMPUTED_VALUE"""),10169.0)</f>
        <v>10169</v>
      </c>
      <c r="P709" s="5">
        <f>IFERROR(__xludf.DUMMYFUNCTION("""COMPUTED_VALUE"""),10.0)</f>
        <v>10</v>
      </c>
      <c r="Q709" s="5" t="str">
        <f>IFERROR(__xludf.DUMMYFUNCTION("""COMPUTED_VALUE"""),"N")</f>
        <v>N</v>
      </c>
      <c r="R709" s="5" t="str">
        <f>IFERROR(__xludf.DUMMYFUNCTION("""COMPUTED_VALUE"""),"N")</f>
        <v>N</v>
      </c>
      <c r="S709" s="5"/>
      <c r="T709" s="5"/>
      <c r="U709" s="5" t="str">
        <f>IFERROR(__xludf.DUMMYFUNCTION("""COMPUTED_VALUE"""),"Y")</f>
        <v>Y</v>
      </c>
      <c r="V709" s="5">
        <f>IFERROR(__xludf.DUMMYFUNCTION("""COMPUTED_VALUE"""),1100.0)</f>
        <v>1100</v>
      </c>
      <c r="W709" s="5"/>
      <c r="X709" s="5"/>
      <c r="Y709" s="5"/>
      <c r="Z709" s="5"/>
    </row>
    <row r="710">
      <c r="A710" s="5" t="str">
        <f>IFERROR(__xludf.DUMMYFUNCTION("""COMPUTED_VALUE"""),"บุญมา-เนื้อหอยแคลง-10kg-ลัง(90)")</f>
        <v>บุญมา-เนื้อหอยแคลง-10kg-ลัง(90)</v>
      </c>
      <c r="B710" s="5">
        <f>IFERROR(__xludf.DUMMYFUNCTION("""COMPUTED_VALUE"""),10451.0)</f>
        <v>10451</v>
      </c>
      <c r="C710" s="5" t="str">
        <f>IFERROR(__xludf.DUMMYFUNCTION("""COMPUTED_VALUE"""),"เนื้อหอยแคลง (พิเศษ) 10kg ลัง(95)")</f>
        <v>เนื้อหอยแคลง (พิเศษ) 10kg ลัง(95)</v>
      </c>
      <c r="D710" s="5" t="str">
        <f>IFERROR(__xludf.DUMMYFUNCTION("""COMPUTED_VALUE"""),"**ร้านค้า ราคาพิเศษ")</f>
        <v>**ร้านค้า ราคาพิเศษ</v>
      </c>
      <c r="E710" s="5"/>
      <c r="F710" s="5" t="str">
        <f>IFERROR(__xludf.DUMMYFUNCTION("""COMPUTED_VALUE"""),"N")</f>
        <v>N</v>
      </c>
      <c r="G710" s="5"/>
      <c r="H710" s="5"/>
      <c r="I710" s="5"/>
      <c r="J710" s="5"/>
      <c r="K710" s="5"/>
      <c r="L710" s="5"/>
      <c r="M710" s="5"/>
      <c r="N710" s="5"/>
      <c r="O710" s="5">
        <f>IFERROR(__xludf.DUMMYFUNCTION("""COMPUTED_VALUE"""),10169.0)</f>
        <v>10169</v>
      </c>
      <c r="P710" s="5">
        <f>IFERROR(__xludf.DUMMYFUNCTION("""COMPUTED_VALUE"""),10.0)</f>
        <v>10</v>
      </c>
      <c r="Q710" s="5" t="str">
        <f>IFERROR(__xludf.DUMMYFUNCTION("""COMPUTED_VALUE"""),"N")</f>
        <v>N</v>
      </c>
      <c r="R710" s="5" t="str">
        <f>IFERROR(__xludf.DUMMYFUNCTION("""COMPUTED_VALUE"""),"N")</f>
        <v>N</v>
      </c>
      <c r="S710" s="5"/>
      <c r="T710" s="5"/>
      <c r="U710" s="5" t="str">
        <f>IFERROR(__xludf.DUMMYFUNCTION("""COMPUTED_VALUE"""),"Y")</f>
        <v>Y</v>
      </c>
      <c r="V710" s="5">
        <f>IFERROR(__xludf.DUMMYFUNCTION("""COMPUTED_VALUE"""),950.0)</f>
        <v>950</v>
      </c>
      <c r="W710" s="5"/>
      <c r="X710" s="5"/>
      <c r="Y710" s="5"/>
      <c r="Z710" s="5"/>
    </row>
    <row r="711">
      <c r="A711" s="5" t="str">
        <f>IFERROR(__xludf.DUMMYFUNCTION("""COMPUTED_VALUE"""),"เนื้อหอยแคลง-1กก-1")</f>
        <v>เนื้อหอยแคลง-1กก-1</v>
      </c>
      <c r="B711" s="5">
        <f>IFERROR(__xludf.DUMMYFUNCTION("""COMPUTED_VALUE"""),10169.0)</f>
        <v>10169</v>
      </c>
      <c r="C711" s="5" t="str">
        <f>IFERROR(__xludf.DUMMYFUNCTION("""COMPUTED_VALUE"""),"เนื้อหอยแคลง 1กก")</f>
        <v>เนื้อหอยแคลง 1กก</v>
      </c>
      <c r="D711" s="5" t="str">
        <f>IFERROR(__xludf.DUMMYFUNCTION("""COMPUTED_VALUE"""),"**ลัง มหาชัย")</f>
        <v>**ลัง มหาชัย</v>
      </c>
      <c r="E711" s="5" t="str">
        <f>IFERROR(__xludf.DUMMYFUNCTION("""COMPUTED_VALUE"""),"1")</f>
        <v>1</v>
      </c>
      <c r="F711" s="5" t="str">
        <f>IFERROR(__xludf.DUMMYFUNCTION("""COMPUTED_VALUE"""),"N")</f>
        <v>N</v>
      </c>
      <c r="G711" s="5"/>
      <c r="H711" s="5"/>
      <c r="I711" s="5"/>
      <c r="J711" s="5"/>
      <c r="K711" s="5"/>
      <c r="L711" s="5"/>
      <c r="M711" s="5">
        <f>IFERROR(__xludf.DUMMYFUNCTION("""COMPUTED_VALUE"""),66.41)</f>
        <v>66.41</v>
      </c>
      <c r="N711" s="5">
        <f>IFERROR(__xludf.DUMMYFUNCTION("""COMPUTED_VALUE"""),10169.0)</f>
        <v>10169</v>
      </c>
      <c r="O711" s="5"/>
      <c r="P711" s="5"/>
      <c r="Q711" s="5" t="str">
        <f>IFERROR(__xludf.DUMMYFUNCTION("""COMPUTED_VALUE"""),"Y")</f>
        <v>Y</v>
      </c>
      <c r="R711" s="5"/>
      <c r="S711" s="5" t="str">
        <f>IFERROR(__xludf.DUMMYFUNCTION("""COMPUTED_VALUE"""),"ขึ้นของมหาชัย")</f>
        <v>ขึ้นของมหาชัย</v>
      </c>
      <c r="T711" s="5">
        <f>IFERROR(__xludf.DUMMYFUNCTION("""COMPUTED_VALUE"""),65.0)</f>
        <v>65</v>
      </c>
      <c r="U711" s="5" t="str">
        <f>IFERROR(__xludf.DUMMYFUNCTION("""COMPUTED_VALUE"""),"Y")</f>
        <v>Y</v>
      </c>
      <c r="V711" s="5">
        <f>IFERROR(__xludf.DUMMYFUNCTION("""COMPUTED_VALUE"""),110.0)</f>
        <v>110</v>
      </c>
      <c r="W711" s="5">
        <f>IFERROR(__xludf.DUMMYFUNCTION("""COMPUTED_VALUE"""),80.0)</f>
        <v>80</v>
      </c>
      <c r="X711" s="5">
        <f>IFERROR(__xludf.DUMMYFUNCTION("""COMPUTED_VALUE"""),10.0)</f>
        <v>10</v>
      </c>
      <c r="Y711" s="5">
        <f>IFERROR(__xludf.DUMMYFUNCTION("""COMPUTED_VALUE"""),40.0)</f>
        <v>40</v>
      </c>
      <c r="Z711" s="5"/>
    </row>
    <row r="712">
      <c r="A712" s="5" t="str">
        <f>IFERROR(__xludf.DUMMYFUNCTION("""COMPUTED_VALUE"""),"ร้าน-ชาบูเฮาส์--เนื้อเสือออส")</f>
        <v>ร้าน-ชาบูเฮาส์--เนื้อเสือออส</v>
      </c>
      <c r="B712" s="5">
        <f>IFERROR(__xludf.DUMMYFUNCTION("""COMPUTED_VALUE"""),10715.0)</f>
        <v>10715</v>
      </c>
      <c r="C712" s="5" t="str">
        <f>IFERROR(__xludf.DUMMYFUNCTION("""COMPUTED_VALUE"""),"เนื้อเสือออส -290")</f>
        <v>เนื้อเสือออส -290</v>
      </c>
      <c r="D712" s="5" t="str">
        <f>IFERROR(__xludf.DUMMYFUNCTION("""COMPUTED_VALUE"""),"**ชั่งน้ำหนัก")</f>
        <v>**ชั่งน้ำหนัก</v>
      </c>
      <c r="E712" s="5" t="str">
        <f>IFERROR(__xludf.DUMMYFUNCTION("""COMPUTED_VALUE"""),"&lt;p&gt;B&lt;/p&gt;")</f>
        <v>&lt;p&gt;B&lt;/p&gt;</v>
      </c>
      <c r="F712" s="5" t="str">
        <f>IFERROR(__xludf.DUMMYFUNCTION("""COMPUTED_VALUE"""),"Y")</f>
        <v>Y</v>
      </c>
      <c r="G712" s="5"/>
      <c r="H712" s="5"/>
      <c r="I712" s="5"/>
      <c r="J712" s="5"/>
      <c r="K712" s="5"/>
      <c r="L712" s="5"/>
      <c r="M712" s="5">
        <f>IFERROR(__xludf.DUMMYFUNCTION("""COMPUTED_VALUE"""),235.19)</f>
        <v>235.19</v>
      </c>
      <c r="N712" s="5">
        <f>IFERROR(__xludf.DUMMYFUNCTION("""COMPUTED_VALUE"""),10715.0)</f>
        <v>10715</v>
      </c>
      <c r="O712" s="5"/>
      <c r="P712" s="5"/>
      <c r="Q712" s="5" t="str">
        <f>IFERROR(__xludf.DUMMYFUNCTION("""COMPUTED_VALUE"""),"Y")</f>
        <v>Y</v>
      </c>
      <c r="R712" s="5"/>
      <c r="S712" s="5" t="str">
        <f>IFERROR(__xludf.DUMMYFUNCTION("""COMPUTED_VALUE"""),"ดับเบิ้ลยู ฟู้ดส์")</f>
        <v>ดับเบิ้ลยู ฟู้ดส์</v>
      </c>
      <c r="T712" s="5">
        <f>IFERROR(__xludf.DUMMYFUNCTION("""COMPUTED_VALUE"""),235.0)</f>
        <v>235</v>
      </c>
      <c r="U712" s="5" t="str">
        <f>IFERROR(__xludf.DUMMYFUNCTION("""COMPUTED_VALUE"""),"Y")</f>
        <v>Y</v>
      </c>
      <c r="V712" s="5">
        <f>IFERROR(__xludf.DUMMYFUNCTION("""COMPUTED_VALUE"""),290.0)</f>
        <v>290</v>
      </c>
      <c r="W712" s="5">
        <f>IFERROR(__xludf.DUMMYFUNCTION("""COMPUTED_VALUE"""),52.635)</f>
        <v>52.635</v>
      </c>
      <c r="X712" s="5">
        <f>IFERROR(__xludf.DUMMYFUNCTION("""COMPUTED_VALUE"""),9.0)</f>
        <v>9</v>
      </c>
      <c r="Y712" s="5">
        <f>IFERROR(__xludf.DUMMYFUNCTION("""COMPUTED_VALUE"""),16.0)</f>
        <v>16</v>
      </c>
      <c r="Z712" s="5"/>
    </row>
    <row r="713">
      <c r="A713" s="5" t="str">
        <f>IFERROR(__xludf.DUMMYFUNCTION("""COMPUTED_VALUE"""),"เนื้อเสือออส-ชั่งน้ําหนัก-(260)")</f>
        <v>เนื้อเสือออส-ชั่งน้ําหนัก-(260)</v>
      </c>
      <c r="B713" s="5">
        <f>IFERROR(__xludf.DUMMYFUNCTION("""COMPUTED_VALUE"""),10102.0)</f>
        <v>10102</v>
      </c>
      <c r="C713" s="5" t="str">
        <f>IFERROR(__xludf.DUMMYFUNCTION("""COMPUTED_VALUE"""),"เนื้อเสือออส (พิเศษ) -265")</f>
        <v>เนื้อเสือออส (พิเศษ) -265</v>
      </c>
      <c r="D713" s="5" t="str">
        <f>IFERROR(__xludf.DUMMYFUNCTION("""COMPUTED_VALUE"""),"**ร้านค้า ราคาพิเศษ")</f>
        <v>**ร้านค้า ราคาพิเศษ</v>
      </c>
      <c r="E713" s="5"/>
      <c r="F713" s="5" t="str">
        <f>IFERROR(__xludf.DUMMYFUNCTION("""COMPUTED_VALUE"""),"Y")</f>
        <v>Y</v>
      </c>
      <c r="G713" s="5"/>
      <c r="H713" s="5"/>
      <c r="I713" s="5"/>
      <c r="J713" s="5"/>
      <c r="K713" s="5"/>
      <c r="L713" s="5"/>
      <c r="M713" s="5"/>
      <c r="N713" s="5"/>
      <c r="O713" s="5">
        <f>IFERROR(__xludf.DUMMYFUNCTION("""COMPUTED_VALUE"""),10715.0)</f>
        <v>10715</v>
      </c>
      <c r="P713" s="5">
        <f>IFERROR(__xludf.DUMMYFUNCTION("""COMPUTED_VALUE"""),1.0)</f>
        <v>1</v>
      </c>
      <c r="Q713" s="5" t="str">
        <f>IFERROR(__xludf.DUMMYFUNCTION("""COMPUTED_VALUE"""),"N")</f>
        <v>N</v>
      </c>
      <c r="R713" s="5" t="str">
        <f>IFERROR(__xludf.DUMMYFUNCTION("""COMPUTED_VALUE"""),"N")</f>
        <v>N</v>
      </c>
      <c r="S713" s="5"/>
      <c r="T713" s="5"/>
      <c r="U713" s="5" t="str">
        <f>IFERROR(__xludf.DUMMYFUNCTION("""COMPUTED_VALUE"""),"Y")</f>
        <v>Y</v>
      </c>
      <c r="V713" s="5">
        <f>IFERROR(__xludf.DUMMYFUNCTION("""COMPUTED_VALUE"""),265.0)</f>
        <v>265</v>
      </c>
      <c r="W713" s="5"/>
      <c r="X713" s="5"/>
      <c r="Y713" s="5"/>
      <c r="Z713" s="5"/>
    </row>
    <row r="714">
      <c r="A714" s="5" t="str">
        <f>IFERROR(__xludf.DUMMYFUNCTION("""COMPUTED_VALUE"""),"เบคอน-1kg-1")</f>
        <v>เบคอน-1kg-1</v>
      </c>
      <c r="B714" s="5">
        <f>IFERROR(__xludf.DUMMYFUNCTION("""COMPUTED_VALUE"""),10082.0)</f>
        <v>10082</v>
      </c>
      <c r="C714" s="5" t="str">
        <f>IFERROR(__xludf.DUMMYFUNCTION("""COMPUTED_VALUE"""),"เบคอน แพ็ค1กก (ยาว)")</f>
        <v>เบคอน แพ็ค1กก (ยาว)</v>
      </c>
      <c r="D714" s="5"/>
      <c r="E714" s="5" t="str">
        <f>IFERROR(__xludf.DUMMYFUNCTION("""COMPUTED_VALUE"""),"&lt;p&gt;X&lt;/p&gt;")</f>
        <v>&lt;p&gt;X&lt;/p&gt;</v>
      </c>
      <c r="F714" s="5" t="str">
        <f>IFERROR(__xludf.DUMMYFUNCTION("""COMPUTED_VALUE"""),"N")</f>
        <v>N</v>
      </c>
      <c r="G714" s="5"/>
      <c r="H714" s="5"/>
      <c r="I714" s="5"/>
      <c r="J714" s="5"/>
      <c r="K714" s="5"/>
      <c r="L714" s="5"/>
      <c r="M714" s="5"/>
      <c r="N714" s="5">
        <f>IFERROR(__xludf.DUMMYFUNCTION("""COMPUTED_VALUE"""),10082.0)</f>
        <v>10082</v>
      </c>
      <c r="O714" s="5">
        <f>IFERROR(__xludf.DUMMYFUNCTION("""COMPUTED_VALUE"""),10194.0)</f>
        <v>10194</v>
      </c>
      <c r="P714" s="5">
        <f>IFERROR(__xludf.DUMMYFUNCTION("""COMPUTED_VALUE"""),0.1)</f>
        <v>0.1</v>
      </c>
      <c r="Q714" s="5" t="str">
        <f>IFERROR(__xludf.DUMMYFUNCTION("""COMPUTED_VALUE"""),"N")</f>
        <v>N</v>
      </c>
      <c r="R714" s="5" t="str">
        <f>IFERROR(__xludf.DUMMYFUNCTION("""COMPUTED_VALUE"""),"N")</f>
        <v>N</v>
      </c>
      <c r="S714" s="5"/>
      <c r="T714" s="5"/>
      <c r="U714" s="5" t="str">
        <f>IFERROR(__xludf.DUMMYFUNCTION("""COMPUTED_VALUE"""),"Y")</f>
        <v>Y</v>
      </c>
      <c r="V714" s="5">
        <f>IFERROR(__xludf.DUMMYFUNCTION("""COMPUTED_VALUE"""),145.0)</f>
        <v>145</v>
      </c>
      <c r="W714" s="5"/>
      <c r="X714" s="5"/>
      <c r="Y714" s="5"/>
      <c r="Z714" s="5"/>
    </row>
    <row r="715">
      <c r="A715" s="5" t="str">
        <f>IFERROR(__xludf.DUMMYFUNCTION("""COMPUTED_VALUE"""),"เบคอน-(ยาว)-10kg--(ลัง)")</f>
        <v>เบคอน-(ยาว)-10kg--(ลัง)</v>
      </c>
      <c r="B715" s="5">
        <f>IFERROR(__xludf.DUMMYFUNCTION("""COMPUTED_VALUE"""),10194.0)</f>
        <v>10194</v>
      </c>
      <c r="C715" s="5" t="str">
        <f>IFERROR(__xludf.DUMMYFUNCTION("""COMPUTED_VALUE"""),"เบคอน แพ็ค1กก *ยาว* (ลัง) -142")</f>
        <v>เบคอน แพ็ค1กก *ยาว* (ลัง) -142</v>
      </c>
      <c r="D715" s="5" t="str">
        <f>IFERROR(__xludf.DUMMYFUNCTION("""COMPUTED_VALUE"""),"**ลัง มหาชัย")</f>
        <v>**ลัง มหาชัย</v>
      </c>
      <c r="E715" s="5" t="str">
        <f>IFERROR(__xludf.DUMMYFUNCTION("""COMPUTED_VALUE"""),"&lt;p&gt;10&lt;/p&gt;")</f>
        <v>&lt;p&gt;10&lt;/p&gt;</v>
      </c>
      <c r="F715" s="5" t="str">
        <f>IFERROR(__xludf.DUMMYFUNCTION("""COMPUTED_VALUE"""),"N")</f>
        <v>N</v>
      </c>
      <c r="G715" s="5"/>
      <c r="H715" s="5"/>
      <c r="I715" s="5"/>
      <c r="J715" s="5"/>
      <c r="K715" s="5"/>
      <c r="L715" s="5"/>
      <c r="M715" s="5">
        <f>IFERROR(__xludf.DUMMYFUNCTION("""COMPUTED_VALUE"""),1063.57)</f>
        <v>1063.57</v>
      </c>
      <c r="N715" s="5"/>
      <c r="O715" s="5"/>
      <c r="P715" s="5"/>
      <c r="Q715" s="5" t="str">
        <f>IFERROR(__xludf.DUMMYFUNCTION("""COMPUTED_VALUE"""),"Y")</f>
        <v>Y</v>
      </c>
      <c r="R715" s="5"/>
      <c r="S715" s="5" t="str">
        <f>IFERROR(__xludf.DUMMYFUNCTION("""COMPUTED_VALUE"""),"ขึ้นของมหาชัย")</f>
        <v>ขึ้นของมหาชัย</v>
      </c>
      <c r="T715" s="5">
        <f>IFERROR(__xludf.DUMMYFUNCTION("""COMPUTED_VALUE"""),1020.0)</f>
        <v>1020</v>
      </c>
      <c r="U715" s="5" t="str">
        <f>IFERROR(__xludf.DUMMYFUNCTION("""COMPUTED_VALUE"""),"Y")</f>
        <v>Y</v>
      </c>
      <c r="V715" s="5">
        <f>IFERROR(__xludf.DUMMYFUNCTION("""COMPUTED_VALUE"""),1420.0)</f>
        <v>1420</v>
      </c>
      <c r="W715" s="5">
        <f>IFERROR(__xludf.DUMMYFUNCTION("""COMPUTED_VALUE"""),8.5)</f>
        <v>8.5</v>
      </c>
      <c r="X715" s="5">
        <f>IFERROR(__xludf.DUMMYFUNCTION("""COMPUTED_VALUE"""),2.0)</f>
        <v>2</v>
      </c>
      <c r="Y715" s="5">
        <f>IFERROR(__xludf.DUMMYFUNCTION("""COMPUTED_VALUE"""),5.0)</f>
        <v>5</v>
      </c>
      <c r="Z715" s="5"/>
    </row>
    <row r="716">
      <c r="A716" s="5" t="str">
        <f>IFERROR(__xludf.DUMMYFUNCTION("""COMPUTED_VALUE"""),"เบคอนรมควันพันไส้กรอก--10แพ็ค---(หิ้ว)")</f>
        <v>เบคอนรมควันพันไส้กรอก--10แพ็ค---(หิ้ว)</v>
      </c>
      <c r="B716" s="5">
        <f>IFERROR(__xludf.DUMMYFUNCTION("""COMPUTED_VALUE"""),10081.0)</f>
        <v>10081</v>
      </c>
      <c r="C716" s="5" t="str">
        <f>IFERROR(__xludf.DUMMYFUNCTION("""COMPUTED_VALUE"""),"เบคอนรมควันพันไส้กรอก  10แพ็ค   (หิ้ว)")</f>
        <v>เบคอนรมควันพันไส้กรอก  10แพ็ค   (หิ้ว)</v>
      </c>
      <c r="D716" s="5"/>
      <c r="E716" s="5"/>
      <c r="F716" s="5" t="str">
        <f>IFERROR(__xludf.DUMMYFUNCTION("""COMPUTED_VALUE"""),"N")</f>
        <v>N</v>
      </c>
      <c r="G716" s="5"/>
      <c r="H716" s="5"/>
      <c r="I716" s="5"/>
      <c r="J716" s="5"/>
      <c r="K716" s="5"/>
      <c r="L716" s="5"/>
      <c r="M716" s="5"/>
      <c r="N716" s="5">
        <f>IFERROR(__xludf.DUMMYFUNCTION("""COMPUTED_VALUE"""),10081.0)</f>
        <v>10081</v>
      </c>
      <c r="O716" s="5">
        <f>IFERROR(__xludf.DUMMYFUNCTION("""COMPUTED_VALUE"""),11609.0)</f>
        <v>11609</v>
      </c>
      <c r="P716" s="5">
        <f>IFERROR(__xludf.DUMMYFUNCTION("""COMPUTED_VALUE"""),10.0)</f>
        <v>10</v>
      </c>
      <c r="Q716" s="5" t="str">
        <f>IFERROR(__xludf.DUMMYFUNCTION("""COMPUTED_VALUE"""),"N")</f>
        <v>N</v>
      </c>
      <c r="R716" s="5" t="str">
        <f>IFERROR(__xludf.DUMMYFUNCTION("""COMPUTED_VALUE"""),"N")</f>
        <v>N</v>
      </c>
      <c r="S716" s="5"/>
      <c r="T716" s="5"/>
      <c r="U716" s="5" t="str">
        <f>IFERROR(__xludf.DUMMYFUNCTION("""COMPUTED_VALUE"""),"Y")</f>
        <v>Y</v>
      </c>
      <c r="V716" s="5">
        <f>IFERROR(__xludf.DUMMYFUNCTION("""COMPUTED_VALUE"""),570.0)</f>
        <v>570</v>
      </c>
      <c r="W716" s="5"/>
      <c r="X716" s="5"/>
      <c r="Y716" s="5"/>
      <c r="Z716" s="5"/>
    </row>
    <row r="717">
      <c r="A717" s="5" t="str">
        <f>IFERROR(__xludf.DUMMYFUNCTION("""COMPUTED_VALUE"""),"เบคอนรมควันพันไส้กรอก")</f>
        <v>เบคอนรมควันพันไส้กรอก</v>
      </c>
      <c r="B717" s="5">
        <f>IFERROR(__xludf.DUMMYFUNCTION("""COMPUTED_VALUE"""),11609.0)</f>
        <v>11609</v>
      </c>
      <c r="C717" s="5" t="str">
        <f>IFERROR(__xludf.DUMMYFUNCTION("""COMPUTED_VALUE"""),"เบคอนรมควันพันไส้กรอก แพ็ค")</f>
        <v>เบคอนรมควันพันไส้กรอก แพ็ค</v>
      </c>
      <c r="D717" s="5" t="str">
        <f>IFERROR(__xludf.DUMMYFUNCTION("""COMPUTED_VALUE"""),"**ของหิ้ว มหาชัย")</f>
        <v>**ของหิ้ว มหาชัย</v>
      </c>
      <c r="E717" s="5" t="str">
        <f>IFERROR(__xludf.DUMMYFUNCTION("""COMPUTED_VALUE"""),"1")</f>
        <v>1</v>
      </c>
      <c r="F717" s="5" t="str">
        <f>IFERROR(__xludf.DUMMYFUNCTION("""COMPUTED_VALUE"""),"N")</f>
        <v>N</v>
      </c>
      <c r="G717" s="5"/>
      <c r="H717" s="5"/>
      <c r="I717" s="5"/>
      <c r="J717" s="5"/>
      <c r="K717" s="5"/>
      <c r="L717" s="5"/>
      <c r="M717" s="5">
        <f>IFERROR(__xludf.DUMMYFUNCTION("""COMPUTED_VALUE"""),53.4)</f>
        <v>53.4</v>
      </c>
      <c r="N717" s="5">
        <f>IFERROR(__xludf.DUMMYFUNCTION("""COMPUTED_VALUE"""),11609.0)</f>
        <v>11609</v>
      </c>
      <c r="O717" s="5"/>
      <c r="P717" s="5"/>
      <c r="Q717" s="5" t="str">
        <f>IFERROR(__xludf.DUMMYFUNCTION("""COMPUTED_VALUE"""),"Y")</f>
        <v>Y</v>
      </c>
      <c r="R717" s="5"/>
      <c r="S717" s="5" t="str">
        <f>IFERROR(__xludf.DUMMYFUNCTION("""COMPUTED_VALUE"""),"ทรัพย์ไพศาล")</f>
        <v>ทรัพย์ไพศาล</v>
      </c>
      <c r="T717" s="5">
        <f>IFERROR(__xludf.DUMMYFUNCTION("""COMPUTED_VALUE"""),54.0)</f>
        <v>54</v>
      </c>
      <c r="U717" s="5" t="str">
        <f>IFERROR(__xludf.DUMMYFUNCTION("""COMPUTED_VALUE"""),"Y")</f>
        <v>Y</v>
      </c>
      <c r="V717" s="5">
        <f>IFERROR(__xludf.DUMMYFUNCTION("""COMPUTED_VALUE"""),60.0)</f>
        <v>60</v>
      </c>
      <c r="W717" s="5">
        <f>IFERROR(__xludf.DUMMYFUNCTION("""COMPUTED_VALUE"""),126.0)</f>
        <v>126</v>
      </c>
      <c r="X717" s="5">
        <f>IFERROR(__xludf.DUMMYFUNCTION("""COMPUTED_VALUE"""),0.0)</f>
        <v>0</v>
      </c>
      <c r="Y717" s="5">
        <f>IFERROR(__xludf.DUMMYFUNCTION("""COMPUTED_VALUE"""),0.0)</f>
        <v>0</v>
      </c>
      <c r="Z717" s="5"/>
    </row>
    <row r="718">
      <c r="A718" s="5" t="str">
        <f>IFERROR(__xludf.DUMMYFUNCTION("""COMPUTED_VALUE"""),"สามชั้นม้วนกลม--5-กก./หิ้ว-(105)")</f>
        <v>สามชั้นม้วนกลม--5-กก./หิ้ว-(105)</v>
      </c>
      <c r="B718" s="5">
        <f>IFERROR(__xludf.DUMMYFUNCTION("""COMPUTED_VALUE"""),10077.0)</f>
        <v>10077</v>
      </c>
      <c r="C718" s="5" t="str">
        <f>IFERROR(__xludf.DUMMYFUNCTION("""COMPUTED_VALUE"""),"เบคอนสามชั้นกลม  5 กก./หิ้ว (110)")</f>
        <v>เบคอนสามชั้นกลม  5 กก./หิ้ว (110)</v>
      </c>
      <c r="D718" s="5" t="str">
        <f>IFERROR(__xludf.DUMMYFUNCTION("""COMPUTED_VALUE"""),"**ของหิ้ว มหาชัย")</f>
        <v>**ของหิ้ว มหาชัย</v>
      </c>
      <c r="E718" s="5"/>
      <c r="F718" s="5" t="str">
        <f>IFERROR(__xludf.DUMMYFUNCTION("""COMPUTED_VALUE"""),"N")</f>
        <v>N</v>
      </c>
      <c r="G718" s="5"/>
      <c r="H718" s="5"/>
      <c r="I718" s="5"/>
      <c r="J718" s="5"/>
      <c r="K718" s="5"/>
      <c r="L718" s="5"/>
      <c r="M718" s="5">
        <f>IFERROR(__xludf.DUMMYFUNCTION("""COMPUTED_VALUE"""),518.48)</f>
        <v>518.48</v>
      </c>
      <c r="N718" s="5"/>
      <c r="O718" s="5"/>
      <c r="P718" s="5"/>
      <c r="Q718" s="5" t="str">
        <f>IFERROR(__xludf.DUMMYFUNCTION("""COMPUTED_VALUE"""),"Y")</f>
        <v>Y</v>
      </c>
      <c r="R718" s="5"/>
      <c r="S718" s="5" t="str">
        <f>IFERROR(__xludf.DUMMYFUNCTION("""COMPUTED_VALUE"""),"ขึ้นของมหาชัย")</f>
        <v>ขึ้นของมหาชัย</v>
      </c>
      <c r="T718" s="5">
        <f>IFERROR(__xludf.DUMMYFUNCTION("""COMPUTED_VALUE"""),500.0)</f>
        <v>500</v>
      </c>
      <c r="U718" s="5" t="str">
        <f>IFERROR(__xludf.DUMMYFUNCTION("""COMPUTED_VALUE"""),"Y")</f>
        <v>Y</v>
      </c>
      <c r="V718" s="5">
        <f>IFERROR(__xludf.DUMMYFUNCTION("""COMPUTED_VALUE"""),550.0)</f>
        <v>550</v>
      </c>
      <c r="W718" s="5">
        <f>IFERROR(__xludf.DUMMYFUNCTION("""COMPUTED_VALUE"""),0.0)</f>
        <v>0</v>
      </c>
      <c r="X718" s="5">
        <f>IFERROR(__xludf.DUMMYFUNCTION("""COMPUTED_VALUE"""),0.0)</f>
        <v>0</v>
      </c>
      <c r="Y718" s="5"/>
      <c r="Z718" s="5"/>
    </row>
    <row r="719">
      <c r="A719" s="5" t="str">
        <f>IFERROR(__xludf.DUMMYFUNCTION("""COMPUTED_VALUE"""),"เบคอนสูตร-1-10*500-กรัม-(หิ้ว)")</f>
        <v>เบคอนสูตร-1-10*500-กรัม-(หิ้ว)</v>
      </c>
      <c r="B719" s="5">
        <f>IFERROR(__xludf.DUMMYFUNCTION("""COMPUTED_VALUE"""),10063.0)</f>
        <v>10063</v>
      </c>
      <c r="C719" s="5" t="str">
        <f>IFERROR(__xludf.DUMMYFUNCTION("""COMPUTED_VALUE"""),"เบคอนสูตร 1 10*500g(หิ้ว)  -65")</f>
        <v>เบคอนสูตร 1 10*500g(หิ้ว)  -65</v>
      </c>
      <c r="D719" s="5" t="str">
        <f>IFERROR(__xludf.DUMMYFUNCTION("""COMPUTED_VALUE"""),"**ของหิ้ว มหาชัย")</f>
        <v>**ของหิ้ว มหาชัย</v>
      </c>
      <c r="E719" s="5"/>
      <c r="F719" s="5" t="str">
        <f>IFERROR(__xludf.DUMMYFUNCTION("""COMPUTED_VALUE"""),"N")</f>
        <v>N</v>
      </c>
      <c r="G719" s="5"/>
      <c r="H719" s="5"/>
      <c r="I719" s="5"/>
      <c r="J719" s="5"/>
      <c r="K719" s="5"/>
      <c r="L719" s="5"/>
      <c r="M719" s="5">
        <f>IFERROR(__xludf.DUMMYFUNCTION("""COMPUTED_VALUE"""),592.16)</f>
        <v>592.16</v>
      </c>
      <c r="N719" s="5"/>
      <c r="O719" s="5"/>
      <c r="P719" s="5"/>
      <c r="Q719" s="5" t="str">
        <f>IFERROR(__xludf.DUMMYFUNCTION("""COMPUTED_VALUE"""),"Y")</f>
        <v>Y</v>
      </c>
      <c r="R719" s="5"/>
      <c r="S719" s="5"/>
      <c r="T719" s="5">
        <f>IFERROR(__xludf.DUMMYFUNCTION("""COMPUTED_VALUE"""),570.0)</f>
        <v>570</v>
      </c>
      <c r="U719" s="5" t="str">
        <f>IFERROR(__xludf.DUMMYFUNCTION("""COMPUTED_VALUE"""),"Y")</f>
        <v>Y</v>
      </c>
      <c r="V719" s="5">
        <f>IFERROR(__xludf.DUMMYFUNCTION("""COMPUTED_VALUE"""),650.0)</f>
        <v>650</v>
      </c>
      <c r="W719" s="5">
        <f>IFERROR(__xludf.DUMMYFUNCTION("""COMPUTED_VALUE"""),13.0)</f>
        <v>13</v>
      </c>
      <c r="X719" s="5">
        <f>IFERROR(__xludf.DUMMYFUNCTION("""COMPUTED_VALUE"""),0.0)</f>
        <v>0</v>
      </c>
      <c r="Y719" s="5"/>
      <c r="Z719" s="5"/>
    </row>
    <row r="720">
      <c r="A720" s="5" t="str">
        <f>IFERROR(__xludf.DUMMYFUNCTION("""COMPUTED_VALUE"""),"เบคอน-สูตร-2-1000-กรัม(หิ้ว)")</f>
        <v>เบคอน-สูตร-2-1000-กรัม(หิ้ว)</v>
      </c>
      <c r="B720" s="5">
        <f>IFERROR(__xludf.DUMMYFUNCTION("""COMPUTED_VALUE"""),10051.0)</f>
        <v>10051</v>
      </c>
      <c r="C720" s="5" t="str">
        <f>IFERROR(__xludf.DUMMYFUNCTION("""COMPUTED_VALUE"""),"เบคอนสูตร 2 1000 กรัม(หิ้ว)-115")</f>
        <v>เบคอนสูตร 2 1000 กรัม(หิ้ว)-115</v>
      </c>
      <c r="D720" s="5" t="str">
        <f>IFERROR(__xludf.DUMMYFUNCTION("""COMPUTED_VALUE"""),"**ของหิ้ว มหาชัย")</f>
        <v>**ของหิ้ว มหาชัย</v>
      </c>
      <c r="E720" s="5"/>
      <c r="F720" s="5" t="str">
        <f>IFERROR(__xludf.DUMMYFUNCTION("""COMPUTED_VALUE"""),"N")</f>
        <v>N</v>
      </c>
      <c r="G720" s="5"/>
      <c r="H720" s="5"/>
      <c r="I720" s="5"/>
      <c r="J720" s="5"/>
      <c r="K720" s="5"/>
      <c r="L720" s="5"/>
      <c r="M720" s="5">
        <f>IFERROR(__xludf.DUMMYFUNCTION("""COMPUTED_VALUE"""),507.22)</f>
        <v>507.22</v>
      </c>
      <c r="N720" s="5"/>
      <c r="O720" s="5"/>
      <c r="P720" s="5"/>
      <c r="Q720" s="5" t="str">
        <f>IFERROR(__xludf.DUMMYFUNCTION("""COMPUTED_VALUE"""),"Y")</f>
        <v>Y</v>
      </c>
      <c r="R720" s="5"/>
      <c r="S720" s="5" t="str">
        <f>IFERROR(__xludf.DUMMYFUNCTION("""COMPUTED_VALUE"""),"ขึ้นของมหาชัย")</f>
        <v>ขึ้นของมหาชัย</v>
      </c>
      <c r="T720" s="5">
        <f>IFERROR(__xludf.DUMMYFUNCTION("""COMPUTED_VALUE"""),0.0)</f>
        <v>0</v>
      </c>
      <c r="U720" s="5" t="str">
        <f>IFERROR(__xludf.DUMMYFUNCTION("""COMPUTED_VALUE"""),"Y")</f>
        <v>Y</v>
      </c>
      <c r="V720" s="5">
        <f>IFERROR(__xludf.DUMMYFUNCTION("""COMPUTED_VALUE"""),575.0)</f>
        <v>575</v>
      </c>
      <c r="W720" s="5">
        <f>IFERROR(__xludf.DUMMYFUNCTION("""COMPUTED_VALUE"""),4.0)</f>
        <v>4</v>
      </c>
      <c r="X720" s="5"/>
      <c r="Y720" s="5"/>
      <c r="Z720" s="5"/>
    </row>
    <row r="721">
      <c r="A721" s="5" t="str">
        <f>IFERROR(__xludf.DUMMYFUNCTION("""COMPUTED_VALUE"""),"เบคอนสูตร-500กรัม*10แพ็ค-(หิ้ว)")</f>
        <v>เบคอนสูตร-500กรัม*10แพ็ค-(หิ้ว)</v>
      </c>
      <c r="B721" s="5">
        <f>IFERROR(__xludf.DUMMYFUNCTION("""COMPUTED_VALUE"""),11574.0)</f>
        <v>11574</v>
      </c>
      <c r="C721" s="5" t="str">
        <f>IFERROR(__xludf.DUMMYFUNCTION("""COMPUTED_VALUE"""),"เบคอนสูตร2 500g*10แพ็ค (หิ้ว)-70")</f>
        <v>เบคอนสูตร2 500g*10แพ็ค (หิ้ว)-70</v>
      </c>
      <c r="D721" s="5" t="str">
        <f>IFERROR(__xludf.DUMMYFUNCTION("""COMPUTED_VALUE"""),"**ของหิ้ว มหาชัย")</f>
        <v>**ของหิ้ว มหาชัย</v>
      </c>
      <c r="E721" s="5" t="str">
        <f>IFERROR(__xludf.DUMMYFUNCTION("""COMPUTED_VALUE"""),"&lt;p&gt;5&lt;/p&gt;")</f>
        <v>&lt;p&gt;5&lt;/p&gt;</v>
      </c>
      <c r="F721" s="5" t="str">
        <f>IFERROR(__xludf.DUMMYFUNCTION("""COMPUTED_VALUE"""),"N")</f>
        <v>N</v>
      </c>
      <c r="G721" s="5"/>
      <c r="H721" s="5"/>
      <c r="I721" s="5"/>
      <c r="J721" s="5"/>
      <c r="K721" s="5"/>
      <c r="L721" s="5"/>
      <c r="M721" s="5">
        <f>IFERROR(__xludf.DUMMYFUNCTION("""COMPUTED_VALUE"""),595.96)</f>
        <v>595.96</v>
      </c>
      <c r="N721" s="5">
        <f>IFERROR(__xludf.DUMMYFUNCTION("""COMPUTED_VALUE"""),11574.0)</f>
        <v>11574</v>
      </c>
      <c r="O721" s="5"/>
      <c r="P721" s="5"/>
      <c r="Q721" s="5" t="str">
        <f>IFERROR(__xludf.DUMMYFUNCTION("""COMPUTED_VALUE"""),"Y")</f>
        <v>Y</v>
      </c>
      <c r="R721" s="5"/>
      <c r="S721" s="5" t="str">
        <f>IFERROR(__xludf.DUMMYFUNCTION("""COMPUTED_VALUE"""),"ขึ้นของมหาชัย")</f>
        <v>ขึ้นของมหาชัย</v>
      </c>
      <c r="T721" s="5">
        <f>IFERROR(__xludf.DUMMYFUNCTION("""COMPUTED_VALUE"""),550.0)</f>
        <v>550</v>
      </c>
      <c r="U721" s="5" t="str">
        <f>IFERROR(__xludf.DUMMYFUNCTION("""COMPUTED_VALUE"""),"Y")</f>
        <v>Y</v>
      </c>
      <c r="V721" s="5">
        <f>IFERROR(__xludf.DUMMYFUNCTION("""COMPUTED_VALUE"""),700.0)</f>
        <v>700</v>
      </c>
      <c r="W721" s="5">
        <f>IFERROR(__xludf.DUMMYFUNCTION("""COMPUTED_VALUE"""),3.5)</f>
        <v>3.5</v>
      </c>
      <c r="X721" s="5">
        <f>IFERROR(__xludf.DUMMYFUNCTION("""COMPUTED_VALUE"""),2.0)</f>
        <v>2</v>
      </c>
      <c r="Y721" s="5">
        <f>IFERROR(__xludf.DUMMYFUNCTION("""COMPUTED_VALUE"""),7.0)</f>
        <v>7</v>
      </c>
      <c r="Z721" s="5"/>
    </row>
    <row r="722">
      <c r="A722" s="5" t="str">
        <f>IFERROR(__xludf.DUMMYFUNCTION("""COMPUTED_VALUE"""),"ร้าน-เบ้อเร่อ-ดอลลี่ตัวลังน้ำตาล-(63)")</f>
        <v>ร้าน-เบ้อเร่อ-ดอลลี่ตัวลังน้ำตาล-(63)</v>
      </c>
      <c r="B722" s="5">
        <f>IFERROR(__xludf.DUMMYFUNCTION("""COMPUTED_VALUE"""),10701.0)</f>
        <v>10701</v>
      </c>
      <c r="C722" s="5" t="str">
        <f>IFERROR(__xludf.DUMMYFUNCTION("""COMPUTED_VALUE"""),"เบ้อเร่อ ดอลลี่ตัว (น้ำตาล)-63")</f>
        <v>เบ้อเร่อ ดอลลี่ตัว (น้ำตาล)-63</v>
      </c>
      <c r="D722" s="5" t="str">
        <f>IFERROR(__xludf.DUMMYFUNCTION("""COMPUTED_VALUE"""),"**ร้านค้า ราคาพิเศษ")</f>
        <v>**ร้านค้า ราคาพิเศษ</v>
      </c>
      <c r="E722" s="5" t="str">
        <f>IFERROR(__xludf.DUMMYFUNCTION("""COMPUTED_VALUE"""),"&lt;p&gt;X&lt;/p&gt;")</f>
        <v>&lt;p&gt;X&lt;/p&gt;</v>
      </c>
      <c r="F722" s="5" t="str">
        <f>IFERROR(__xludf.DUMMYFUNCTION("""COMPUTED_VALUE"""),"N")</f>
        <v>N</v>
      </c>
      <c r="G722" s="5"/>
      <c r="H722" s="5"/>
      <c r="I722" s="5"/>
      <c r="J722" s="5"/>
      <c r="K722" s="5"/>
      <c r="L722" s="5"/>
      <c r="M722" s="5"/>
      <c r="N722" s="5">
        <f>IFERROR(__xludf.DUMMYFUNCTION("""COMPUTED_VALUE"""),10701.0)</f>
        <v>10701</v>
      </c>
      <c r="O722" s="5">
        <f>IFERROR(__xludf.DUMMYFUNCTION("""COMPUTED_VALUE"""),10436.0)</f>
        <v>10436</v>
      </c>
      <c r="P722" s="5">
        <f>IFERROR(__xludf.DUMMYFUNCTION("""COMPUTED_VALUE"""),10.0)</f>
        <v>10</v>
      </c>
      <c r="Q722" s="5" t="str">
        <f>IFERROR(__xludf.DUMMYFUNCTION("""COMPUTED_VALUE"""),"N")</f>
        <v>N</v>
      </c>
      <c r="R722" s="5" t="str">
        <f>IFERROR(__xludf.DUMMYFUNCTION("""COMPUTED_VALUE"""),"N")</f>
        <v>N</v>
      </c>
      <c r="S722" s="5"/>
      <c r="T722" s="5"/>
      <c r="U722" s="5" t="str">
        <f>IFERROR(__xludf.DUMMYFUNCTION("""COMPUTED_VALUE"""),"Y")</f>
        <v>Y</v>
      </c>
      <c r="V722" s="5">
        <f>IFERROR(__xludf.DUMMYFUNCTION("""COMPUTED_VALUE"""),630.0)</f>
        <v>630</v>
      </c>
      <c r="W722" s="5"/>
      <c r="X722" s="5"/>
      <c r="Y722" s="5"/>
      <c r="Z722" s="5"/>
    </row>
    <row r="723">
      <c r="A723" s="5" t="str">
        <f>IFERROR(__xludf.DUMMYFUNCTION("""COMPUTED_VALUE"""),"เบ้อเร่อ-สันคอแท่ง-เบ-(137)")</f>
        <v>เบ้อเร่อ-สันคอแท่ง-เบ-(137)</v>
      </c>
      <c r="B723" s="5">
        <f>IFERROR(__xludf.DUMMYFUNCTION("""COMPUTED_VALUE"""),10111.0)</f>
        <v>10111</v>
      </c>
      <c r="C723" s="5" t="str">
        <f>IFERROR(__xludf.DUMMYFUNCTION("""COMPUTED_VALUE"""),"เบ้อเร่อ สันคอแท่ง เบ (147)")</f>
        <v>เบ้อเร่อ สันคอแท่ง เบ (147)</v>
      </c>
      <c r="D723" s="5" t="str">
        <f>IFERROR(__xludf.DUMMYFUNCTION("""COMPUTED_VALUE"""),"**ร้านค้า ราคาพิเศษ")</f>
        <v>**ร้านค้า ราคาพิเศษ</v>
      </c>
      <c r="E723" s="5"/>
      <c r="F723" s="5" t="str">
        <f>IFERROR(__xludf.DUMMYFUNCTION("""COMPUTED_VALUE"""),"Y")</f>
        <v>Y</v>
      </c>
      <c r="G723" s="5"/>
      <c r="H723" s="5"/>
      <c r="I723" s="5"/>
      <c r="J723" s="5"/>
      <c r="K723" s="5"/>
      <c r="L723" s="5"/>
      <c r="M723" s="5"/>
      <c r="N723" s="5"/>
      <c r="O723" s="5">
        <f>IFERROR(__xludf.DUMMYFUNCTION("""COMPUTED_VALUE"""),11178.0)</f>
        <v>11178</v>
      </c>
      <c r="P723" s="5">
        <f>IFERROR(__xludf.DUMMYFUNCTION("""COMPUTED_VALUE"""),1.0)</f>
        <v>1</v>
      </c>
      <c r="Q723" s="5" t="str">
        <f>IFERROR(__xludf.DUMMYFUNCTION("""COMPUTED_VALUE"""),"N")</f>
        <v>N</v>
      </c>
      <c r="R723" s="5" t="str">
        <f>IFERROR(__xludf.DUMMYFUNCTION("""COMPUTED_VALUE"""),"N")</f>
        <v>N</v>
      </c>
      <c r="S723" s="5"/>
      <c r="T723" s="5"/>
      <c r="U723" s="5" t="str">
        <f>IFERROR(__xludf.DUMMYFUNCTION("""COMPUTED_VALUE"""),"Y")</f>
        <v>Y</v>
      </c>
      <c r="V723" s="5">
        <f>IFERROR(__xludf.DUMMYFUNCTION("""COMPUTED_VALUE"""),147.0)</f>
        <v>147</v>
      </c>
      <c r="W723" s="5"/>
      <c r="X723" s="5"/>
      <c r="Y723" s="5"/>
      <c r="Z723" s="5"/>
    </row>
    <row r="724">
      <c r="A724" s="5" t="str">
        <f>IFERROR(__xludf.DUMMYFUNCTION("""COMPUTED_VALUE"""),"เบ้อเร่อ-สามชั้นแท่ง-เบ")</f>
        <v>เบ้อเร่อ-สามชั้นแท่ง-เบ</v>
      </c>
      <c r="B724" s="5">
        <f>IFERROR(__xludf.DUMMYFUNCTION("""COMPUTED_VALUE"""),10783.0)</f>
        <v>10783</v>
      </c>
      <c r="C724" s="5" t="str">
        <f>IFERROR(__xludf.DUMMYFUNCTION("""COMPUTED_VALUE"""),"เบ้อเร่อ สามชั้นแท่ง เบ (157)")</f>
        <v>เบ้อเร่อ สามชั้นแท่ง เบ (157)</v>
      </c>
      <c r="D724" s="5" t="str">
        <f>IFERROR(__xludf.DUMMYFUNCTION("""COMPUTED_VALUE"""),"**ร้านค้า ราคาพิเศษ")</f>
        <v>**ร้านค้า ราคาพิเศษ</v>
      </c>
      <c r="E724" s="5"/>
      <c r="F724" s="5" t="str">
        <f>IFERROR(__xludf.DUMMYFUNCTION("""COMPUTED_VALUE"""),"Y")</f>
        <v>Y</v>
      </c>
      <c r="G724" s="5"/>
      <c r="H724" s="5"/>
      <c r="I724" s="5"/>
      <c r="J724" s="5"/>
      <c r="K724" s="5"/>
      <c r="L724" s="5"/>
      <c r="M724" s="5"/>
      <c r="N724" s="5"/>
      <c r="O724" s="5">
        <f>IFERROR(__xludf.DUMMYFUNCTION("""COMPUTED_VALUE"""),11299.0)</f>
        <v>11299</v>
      </c>
      <c r="P724" s="5">
        <f>IFERROR(__xludf.DUMMYFUNCTION("""COMPUTED_VALUE"""),1.0)</f>
        <v>1</v>
      </c>
      <c r="Q724" s="5" t="str">
        <f>IFERROR(__xludf.DUMMYFUNCTION("""COMPUTED_VALUE"""),"N")</f>
        <v>N</v>
      </c>
      <c r="R724" s="5" t="str">
        <f>IFERROR(__xludf.DUMMYFUNCTION("""COMPUTED_VALUE"""),"N")</f>
        <v>N</v>
      </c>
      <c r="S724" s="5"/>
      <c r="T724" s="5"/>
      <c r="U724" s="5" t="str">
        <f>IFERROR(__xludf.DUMMYFUNCTION("""COMPUTED_VALUE"""),"Y")</f>
        <v>Y</v>
      </c>
      <c r="V724" s="5">
        <f>IFERROR(__xludf.DUMMYFUNCTION("""COMPUTED_VALUE"""),157.0)</f>
        <v>157</v>
      </c>
      <c r="W724" s="5"/>
      <c r="X724" s="5"/>
      <c r="Y724" s="5"/>
      <c r="Z724" s="5"/>
    </row>
    <row r="725">
      <c r="A725" s="5" t="str">
        <f>IFERROR(__xludf.DUMMYFUNCTION("""COMPUTED_VALUE"""),"เบ้อเร่อ-หมูนุ่มเบทาโกร")</f>
        <v>เบ้อเร่อ-หมูนุ่มเบทาโกร</v>
      </c>
      <c r="B725" s="5">
        <f>IFERROR(__xludf.DUMMYFUNCTION("""COMPUTED_VALUE"""),10058.0)</f>
        <v>10058</v>
      </c>
      <c r="C725" s="5" t="str">
        <f>IFERROR(__xludf.DUMMYFUNCTION("""COMPUTED_VALUE"""),"เบ้อเร่อ หมูนุ่มเบทาโกร 10kg ลัง (90)")</f>
        <v>เบ้อเร่อ หมูนุ่มเบทาโกร 10kg ลัง (90)</v>
      </c>
      <c r="D725" s="5" t="str">
        <f>IFERROR(__xludf.DUMMYFUNCTION("""COMPUTED_VALUE"""),"**ร้านค้า ราคาพิเศษ")</f>
        <v>**ร้านค้า ราคาพิเศษ</v>
      </c>
      <c r="E725" s="5"/>
      <c r="F725" s="5" t="str">
        <f>IFERROR(__xludf.DUMMYFUNCTION("""COMPUTED_VALUE"""),"N")</f>
        <v>N</v>
      </c>
      <c r="G725" s="5"/>
      <c r="H725" s="5"/>
      <c r="I725" s="5"/>
      <c r="J725" s="5"/>
      <c r="K725" s="5"/>
      <c r="L725" s="5"/>
      <c r="M725" s="5"/>
      <c r="N725" s="5"/>
      <c r="O725" s="5">
        <f>IFERROR(__xludf.DUMMYFUNCTION("""COMPUTED_VALUE"""),10272.0)</f>
        <v>10272</v>
      </c>
      <c r="P725" s="5">
        <f>IFERROR(__xludf.DUMMYFUNCTION("""COMPUTED_VALUE"""),10.0)</f>
        <v>10</v>
      </c>
      <c r="Q725" s="5" t="str">
        <f>IFERROR(__xludf.DUMMYFUNCTION("""COMPUTED_VALUE"""),"N")</f>
        <v>N</v>
      </c>
      <c r="R725" s="5" t="str">
        <f>IFERROR(__xludf.DUMMYFUNCTION("""COMPUTED_VALUE"""),"N")</f>
        <v>N</v>
      </c>
      <c r="S725" s="5"/>
      <c r="T725" s="5"/>
      <c r="U725" s="5" t="str">
        <f>IFERROR(__xludf.DUMMYFUNCTION("""COMPUTED_VALUE"""),"Y")</f>
        <v>Y</v>
      </c>
      <c r="V725" s="5">
        <f>IFERROR(__xludf.DUMMYFUNCTION("""COMPUTED_VALUE"""),900.0)</f>
        <v>900</v>
      </c>
      <c r="W725" s="5"/>
      <c r="X725" s="5"/>
      <c r="Y725" s="5"/>
      <c r="Z725" s="5"/>
    </row>
    <row r="726">
      <c r="A726" s="5" t="str">
        <f>IFERROR(__xludf.DUMMYFUNCTION("""COMPUTED_VALUE"""),"ร้านเบ้อเร่อ-เสือออส-(255)")</f>
        <v>ร้านเบ้อเร่อ-เสือออส-(255)</v>
      </c>
      <c r="B726" s="5">
        <f>IFERROR(__xludf.DUMMYFUNCTION("""COMPUTED_VALUE"""),10612.0)</f>
        <v>10612</v>
      </c>
      <c r="C726" s="5" t="str">
        <f>IFERROR(__xludf.DUMMYFUNCTION("""COMPUTED_VALUE"""),"เบ้อเร่อ เสือออส (255)")</f>
        <v>เบ้อเร่อ เสือออส (255)</v>
      </c>
      <c r="D726" s="5" t="str">
        <f>IFERROR(__xludf.DUMMYFUNCTION("""COMPUTED_VALUE"""),"**ร้านค้า ราคาพิเศษ")</f>
        <v>**ร้านค้า ราคาพิเศษ</v>
      </c>
      <c r="E726" s="5"/>
      <c r="F726" s="5" t="str">
        <f>IFERROR(__xludf.DUMMYFUNCTION("""COMPUTED_VALUE"""),"Y")</f>
        <v>Y</v>
      </c>
      <c r="G726" s="5"/>
      <c r="H726" s="5"/>
      <c r="I726" s="5"/>
      <c r="J726" s="5"/>
      <c r="K726" s="5"/>
      <c r="L726" s="5"/>
      <c r="M726" s="5"/>
      <c r="N726" s="5"/>
      <c r="O726" s="5">
        <f>IFERROR(__xludf.DUMMYFUNCTION("""COMPUTED_VALUE"""),10715.0)</f>
        <v>10715</v>
      </c>
      <c r="P726" s="5">
        <f>IFERROR(__xludf.DUMMYFUNCTION("""COMPUTED_VALUE"""),1.0)</f>
        <v>1</v>
      </c>
      <c r="Q726" s="5" t="str">
        <f>IFERROR(__xludf.DUMMYFUNCTION("""COMPUTED_VALUE"""),"N")</f>
        <v>N</v>
      </c>
      <c r="R726" s="5" t="str">
        <f>IFERROR(__xludf.DUMMYFUNCTION("""COMPUTED_VALUE"""),"N")</f>
        <v>N</v>
      </c>
      <c r="S726" s="5"/>
      <c r="T726" s="5"/>
      <c r="U726" s="5" t="str">
        <f>IFERROR(__xludf.DUMMYFUNCTION("""COMPUTED_VALUE"""),"Y")</f>
        <v>Y</v>
      </c>
      <c r="V726" s="5">
        <f>IFERROR(__xludf.DUMMYFUNCTION("""COMPUTED_VALUE"""),255.0)</f>
        <v>255</v>
      </c>
      <c r="W726" s="5"/>
      <c r="X726" s="5"/>
      <c r="Y726" s="5"/>
      <c r="Z726" s="5"/>
    </row>
    <row r="727">
      <c r="A727" s="5" t="str">
        <f>IFERROR(__xludf.DUMMYFUNCTION("""COMPUTED_VALUE"""),"เป็ด-น้ำยาทำความสะอาด")</f>
        <v>เป็ด-น้ำยาทำความสะอาด</v>
      </c>
      <c r="B727" s="5">
        <f>IFERROR(__xludf.DUMMYFUNCTION("""COMPUTED_VALUE"""),10444.0)</f>
        <v>10444</v>
      </c>
      <c r="C727" s="5" t="str">
        <f>IFERROR(__xludf.DUMMYFUNCTION("""COMPUTED_VALUE"""),"เป็ด น้ำยาทำความสะอาด")</f>
        <v>เป็ด น้ำยาทำความสะอาด</v>
      </c>
      <c r="D727" s="5"/>
      <c r="E727" s="5"/>
      <c r="F727" s="5" t="str">
        <f>IFERROR(__xludf.DUMMYFUNCTION("""COMPUTED_VALUE"""),"N")</f>
        <v>N</v>
      </c>
      <c r="G727" s="5"/>
      <c r="H727" s="5"/>
      <c r="I727" s="5"/>
      <c r="J727" s="5"/>
      <c r="K727" s="5"/>
      <c r="L727" s="5"/>
      <c r="M727" s="5">
        <f>IFERROR(__xludf.DUMMYFUNCTION("""COMPUTED_VALUE"""),36.67)</f>
        <v>36.67</v>
      </c>
      <c r="N727" s="5"/>
      <c r="O727" s="5"/>
      <c r="P727" s="5"/>
      <c r="Q727" s="5" t="str">
        <f>IFERROR(__xludf.DUMMYFUNCTION("""COMPUTED_VALUE"""),"N")</f>
        <v>N</v>
      </c>
      <c r="R727" s="5"/>
      <c r="S727" s="5"/>
      <c r="T727" s="5"/>
      <c r="U727" s="5" t="str">
        <f>IFERROR(__xludf.DUMMYFUNCTION("""COMPUTED_VALUE"""),"Y")</f>
        <v>Y</v>
      </c>
      <c r="V727" s="5">
        <f>IFERROR(__xludf.DUMMYFUNCTION("""COMPUTED_VALUE"""),45.0)</f>
        <v>45</v>
      </c>
      <c r="W727" s="5"/>
      <c r="X727" s="5"/>
      <c r="Y727" s="5"/>
      <c r="Z727" s="5"/>
    </row>
    <row r="728">
      <c r="A728" s="5" t="str">
        <f>IFERROR(__xludf.DUMMYFUNCTION("""COMPUTED_VALUE"""),"เป็ดบด-1-kg-1")</f>
        <v>เป็ดบด-1-kg-1</v>
      </c>
      <c r="B728" s="5">
        <f>IFERROR(__xludf.DUMMYFUNCTION("""COMPUTED_VALUE"""),10171.0)</f>
        <v>10171</v>
      </c>
      <c r="C728" s="5" t="str">
        <f>IFERROR(__xludf.DUMMYFUNCTION("""COMPUTED_VALUE"""),"เป็ดบด 1 Kg(110)")</f>
        <v>เป็ดบด 1 Kg(110)</v>
      </c>
      <c r="D728" s="5" t="str">
        <f>IFERROR(__xludf.DUMMYFUNCTION("""COMPUTED_VALUE"""),"**ของหิ้ว ร้อยเอ็ด")</f>
        <v>**ของหิ้ว ร้อยเอ็ด</v>
      </c>
      <c r="E728" s="5" t="str">
        <f>IFERROR(__xludf.DUMMYFUNCTION("""COMPUTED_VALUE"""),"&lt;p&gt;B&lt;/p&gt;")</f>
        <v>&lt;p&gt;B&lt;/p&gt;</v>
      </c>
      <c r="F728" s="5" t="str">
        <f>IFERROR(__xludf.DUMMYFUNCTION("""COMPUTED_VALUE"""),"N")</f>
        <v>N</v>
      </c>
      <c r="G728" s="5"/>
      <c r="H728" s="5"/>
      <c r="I728" s="5"/>
      <c r="J728" s="5"/>
      <c r="K728" s="5"/>
      <c r="L728" s="5"/>
      <c r="M728" s="5">
        <f>IFERROR(__xludf.DUMMYFUNCTION("""COMPUTED_VALUE"""),75.87)</f>
        <v>75.87</v>
      </c>
      <c r="N728" s="5">
        <f>IFERROR(__xludf.DUMMYFUNCTION("""COMPUTED_VALUE"""),10171.0)</f>
        <v>10171</v>
      </c>
      <c r="O728" s="5"/>
      <c r="P728" s="5"/>
      <c r="Q728" s="5" t="str">
        <f>IFERROR(__xludf.DUMMYFUNCTION("""COMPUTED_VALUE"""),"Y")</f>
        <v>Y</v>
      </c>
      <c r="R728" s="5"/>
      <c r="S728" s="5" t="str">
        <f>IFERROR(__xludf.DUMMYFUNCTION("""COMPUTED_VALUE"""),"บุญศิริ")</f>
        <v>บุญศิริ</v>
      </c>
      <c r="T728" s="5">
        <f>IFERROR(__xludf.DUMMYFUNCTION("""COMPUTED_VALUE"""),76.0)</f>
        <v>76</v>
      </c>
      <c r="U728" s="5" t="str">
        <f>IFERROR(__xludf.DUMMYFUNCTION("""COMPUTED_VALUE"""),"Y")</f>
        <v>Y</v>
      </c>
      <c r="V728" s="5">
        <f>IFERROR(__xludf.DUMMYFUNCTION("""COMPUTED_VALUE"""),110.0)</f>
        <v>110</v>
      </c>
      <c r="W728" s="5">
        <f>IFERROR(__xludf.DUMMYFUNCTION("""COMPUTED_VALUE"""),47.0)</f>
        <v>47</v>
      </c>
      <c r="X728" s="5">
        <f>IFERROR(__xludf.DUMMYFUNCTION("""COMPUTED_VALUE"""),8.0)</f>
        <v>8</v>
      </c>
      <c r="Y728" s="5">
        <f>IFERROR(__xludf.DUMMYFUNCTION("""COMPUTED_VALUE"""),14.0)</f>
        <v>14</v>
      </c>
      <c r="Z728" s="5"/>
    </row>
    <row r="729">
      <c r="A729" s="5" t="str">
        <f>IFERROR(__xludf.DUMMYFUNCTION("""COMPUTED_VALUE"""),"เป็ดบด-5*1-kg-หิ้ว-1")</f>
        <v>เป็ดบด-5*1-kg-หิ้ว-1</v>
      </c>
      <c r="B729" s="5">
        <f>IFERROR(__xludf.DUMMYFUNCTION("""COMPUTED_VALUE"""),10296.0)</f>
        <v>10296</v>
      </c>
      <c r="C729" s="5" t="str">
        <f>IFERROR(__xludf.DUMMYFUNCTION("""COMPUTED_VALUE"""),"เป็ดบด 5*1 Kg หิ้ว(95)")</f>
        <v>เป็ดบด 5*1 Kg หิ้ว(95)</v>
      </c>
      <c r="D729" s="5"/>
      <c r="E729" s="5" t="str">
        <f>IFERROR(__xludf.DUMMYFUNCTION("""COMPUTED_VALUE"""),"&lt;p&gt;S&lt;/p&gt;")</f>
        <v>&lt;p&gt;S&lt;/p&gt;</v>
      </c>
      <c r="F729" s="5" t="str">
        <f>IFERROR(__xludf.DUMMYFUNCTION("""COMPUTED_VALUE"""),"N")</f>
        <v>N</v>
      </c>
      <c r="G729" s="5"/>
      <c r="H729" s="5"/>
      <c r="I729" s="5"/>
      <c r="J729" s="5"/>
      <c r="K729" s="5"/>
      <c r="L729" s="5"/>
      <c r="M729" s="5"/>
      <c r="N729" s="5">
        <f>IFERROR(__xludf.DUMMYFUNCTION("""COMPUTED_VALUE"""),10296.0)</f>
        <v>10296</v>
      </c>
      <c r="O729" s="5">
        <f>IFERROR(__xludf.DUMMYFUNCTION("""COMPUTED_VALUE"""),10171.0)</f>
        <v>10171</v>
      </c>
      <c r="P729" s="5">
        <f>IFERROR(__xludf.DUMMYFUNCTION("""COMPUTED_VALUE"""),5.0)</f>
        <v>5</v>
      </c>
      <c r="Q729" s="5" t="str">
        <f>IFERROR(__xludf.DUMMYFUNCTION("""COMPUTED_VALUE"""),"N")</f>
        <v>N</v>
      </c>
      <c r="R729" s="5" t="str">
        <f>IFERROR(__xludf.DUMMYFUNCTION("""COMPUTED_VALUE"""),"N")</f>
        <v>N</v>
      </c>
      <c r="S729" s="5"/>
      <c r="T729" s="5"/>
      <c r="U729" s="5" t="str">
        <f>IFERROR(__xludf.DUMMYFUNCTION("""COMPUTED_VALUE"""),"Y")</f>
        <v>Y</v>
      </c>
      <c r="V729" s="5">
        <f>IFERROR(__xludf.DUMMYFUNCTION("""COMPUTED_VALUE"""),475.0)</f>
        <v>475</v>
      </c>
      <c r="W729" s="5"/>
      <c r="X729" s="5"/>
      <c r="Y729" s="5"/>
      <c r="Z729" s="5"/>
    </row>
    <row r="730">
      <c r="A730" s="5" t="str">
        <f>IFERROR(__xludf.DUMMYFUNCTION("""COMPUTED_VALUE"""),"เป็ดบด-หิ้ว-(พิเศษ-90)")</f>
        <v>เป็ดบด-หิ้ว-(พิเศษ-90)</v>
      </c>
      <c r="B730" s="5">
        <f>IFERROR(__xludf.DUMMYFUNCTION("""COMPUTED_VALUE"""),11425.0)</f>
        <v>11425</v>
      </c>
      <c r="C730" s="5" t="str">
        <f>IFERROR(__xludf.DUMMYFUNCTION("""COMPUTED_VALUE"""),"เป็ดบด หิ้ว (พิเศษ 89)")</f>
        <v>เป็ดบด หิ้ว (พิเศษ 89)</v>
      </c>
      <c r="D730" s="5" t="str">
        <f>IFERROR(__xludf.DUMMYFUNCTION("""COMPUTED_VALUE"""),"**ร้านค้า ราคาพิเศษ")</f>
        <v>**ร้านค้า ราคาพิเศษ</v>
      </c>
      <c r="E730" s="5" t="str">
        <f>IFERROR(__xludf.DUMMYFUNCTION("""COMPUTED_VALUE"""),"&lt;p&gt;X&lt;/p&gt;")</f>
        <v>&lt;p&gt;X&lt;/p&gt;</v>
      </c>
      <c r="F730" s="5" t="str">
        <f>IFERROR(__xludf.DUMMYFUNCTION("""COMPUTED_VALUE"""),"N")</f>
        <v>N</v>
      </c>
      <c r="G730" s="5"/>
      <c r="H730" s="5"/>
      <c r="I730" s="5"/>
      <c r="J730" s="5"/>
      <c r="K730" s="5"/>
      <c r="L730" s="5"/>
      <c r="M730" s="5"/>
      <c r="N730" s="5">
        <f>IFERROR(__xludf.DUMMYFUNCTION("""COMPUTED_VALUE"""),11425.0)</f>
        <v>11425</v>
      </c>
      <c r="O730" s="5">
        <f>IFERROR(__xludf.DUMMYFUNCTION("""COMPUTED_VALUE"""),10171.0)</f>
        <v>10171</v>
      </c>
      <c r="P730" s="5">
        <f>IFERROR(__xludf.DUMMYFUNCTION("""COMPUTED_VALUE"""),5.0)</f>
        <v>5</v>
      </c>
      <c r="Q730" s="5" t="str">
        <f>IFERROR(__xludf.DUMMYFUNCTION("""COMPUTED_VALUE"""),"N")</f>
        <v>N</v>
      </c>
      <c r="R730" s="5" t="str">
        <f>IFERROR(__xludf.DUMMYFUNCTION("""COMPUTED_VALUE"""),"N")</f>
        <v>N</v>
      </c>
      <c r="S730" s="5"/>
      <c r="T730" s="5"/>
      <c r="U730" s="5" t="str">
        <f>IFERROR(__xludf.DUMMYFUNCTION("""COMPUTED_VALUE"""),"Y")</f>
        <v>Y</v>
      </c>
      <c r="V730" s="5">
        <f>IFERROR(__xludf.DUMMYFUNCTION("""COMPUTED_VALUE"""),445.0)</f>
        <v>445</v>
      </c>
      <c r="W730" s="5"/>
      <c r="X730" s="5"/>
      <c r="Y730" s="5"/>
      <c r="Z730" s="5"/>
    </row>
    <row r="731">
      <c r="A731" s="5" t="str">
        <f>IFERROR(__xludf.DUMMYFUNCTION("""COMPUTED_VALUE"""),"เป๊บซี่-1-ลิตร")</f>
        <v>เป๊บซี่-1-ลิตร</v>
      </c>
      <c r="B731" s="5">
        <f>IFERROR(__xludf.DUMMYFUNCTION("""COMPUTED_VALUE"""),10736.0)</f>
        <v>10736</v>
      </c>
      <c r="C731" s="5" t="str">
        <f>IFERROR(__xludf.DUMMYFUNCTION("""COMPUTED_VALUE"""),"เป๊บซี่ 1 ลิตร")</f>
        <v>เป๊บซี่ 1 ลิตร</v>
      </c>
      <c r="D731" s="5"/>
      <c r="E731" s="5"/>
      <c r="F731" s="5" t="str">
        <f>IFERROR(__xludf.DUMMYFUNCTION("""COMPUTED_VALUE"""),"N")</f>
        <v>N</v>
      </c>
      <c r="G731" s="5"/>
      <c r="H731" s="5"/>
      <c r="I731" s="5"/>
      <c r="J731" s="5"/>
      <c r="K731" s="5"/>
      <c r="L731" s="5"/>
      <c r="M731" s="5">
        <f>IFERROR(__xludf.DUMMYFUNCTION("""COMPUTED_VALUE"""),0.0)</f>
        <v>0</v>
      </c>
      <c r="N731" s="5"/>
      <c r="O731" s="5"/>
      <c r="P731" s="5"/>
      <c r="Q731" s="5" t="str">
        <f>IFERROR(__xludf.DUMMYFUNCTION("""COMPUTED_VALUE"""),"N")</f>
        <v>N</v>
      </c>
      <c r="R731" s="5"/>
      <c r="S731" s="5"/>
      <c r="T731" s="5"/>
      <c r="U731" s="5" t="str">
        <f>IFERROR(__xludf.DUMMYFUNCTION("""COMPUTED_VALUE"""),"Y")</f>
        <v>Y</v>
      </c>
      <c r="V731" s="5"/>
      <c r="W731" s="5"/>
      <c r="X731" s="5"/>
      <c r="Y731" s="5"/>
      <c r="Z731" s="5"/>
    </row>
    <row r="732">
      <c r="A732" s="5" t="str">
        <f>IFERROR(__xludf.DUMMYFUNCTION("""COMPUTED_VALUE"""),"ซาลาเปาทูโทนไข่กุ้ง--20*500g-ลัง")</f>
        <v>ซาลาเปาทูโทนไข่กุ้ง--20*500g-ลัง</v>
      </c>
      <c r="B732" s="5">
        <f>IFERROR(__xludf.DUMMYFUNCTION("""COMPUTED_VALUE"""),11262.0)</f>
        <v>11262</v>
      </c>
      <c r="C732" s="5" t="str">
        <f>IFERROR(__xludf.DUMMYFUNCTION("""COMPUTED_VALUE"""),"เปาทูโทนไข่กุ้ง 500 กรัม (ลัง)")</f>
        <v>เปาทูโทนไข่กุ้ง 500 กรัม (ลัง)</v>
      </c>
      <c r="D732" s="5"/>
      <c r="E732" s="5" t="str">
        <f>IFERROR(__xludf.DUMMYFUNCTION("""COMPUTED_VALUE"""),"&lt;p&gt;S&lt;/p&gt;")</f>
        <v>&lt;p&gt;S&lt;/p&gt;</v>
      </c>
      <c r="F732" s="5" t="str">
        <f>IFERROR(__xludf.DUMMYFUNCTION("""COMPUTED_VALUE"""),"N")</f>
        <v>N</v>
      </c>
      <c r="G732" s="5"/>
      <c r="H732" s="5"/>
      <c r="I732" s="5"/>
      <c r="J732" s="5"/>
      <c r="K732" s="5"/>
      <c r="L732" s="5"/>
      <c r="M732" s="5"/>
      <c r="N732" s="5"/>
      <c r="O732" s="5">
        <f>IFERROR(__xludf.DUMMYFUNCTION("""COMPUTED_VALUE"""),10674.0)</f>
        <v>10674</v>
      </c>
      <c r="P732" s="5">
        <f>IFERROR(__xludf.DUMMYFUNCTION("""COMPUTED_VALUE"""),20.0)</f>
        <v>20</v>
      </c>
      <c r="Q732" s="5" t="str">
        <f>IFERROR(__xludf.DUMMYFUNCTION("""COMPUTED_VALUE"""),"N")</f>
        <v>N</v>
      </c>
      <c r="R732" s="5" t="str">
        <f>IFERROR(__xludf.DUMMYFUNCTION("""COMPUTED_VALUE"""),"N")</f>
        <v>N</v>
      </c>
      <c r="S732" s="5"/>
      <c r="T732" s="5"/>
      <c r="U732" s="5" t="str">
        <f>IFERROR(__xludf.DUMMYFUNCTION("""COMPUTED_VALUE"""),"Y")</f>
        <v>Y</v>
      </c>
      <c r="V732" s="5">
        <f>IFERROR(__xludf.DUMMYFUNCTION("""COMPUTED_VALUE"""),1580.0)</f>
        <v>1580</v>
      </c>
      <c r="W732" s="5"/>
      <c r="X732" s="5"/>
      <c r="Y732" s="5"/>
      <c r="Z732" s="5"/>
    </row>
    <row r="733">
      <c r="A733" s="5" t="str">
        <f>IFERROR(__xludf.DUMMYFUNCTION("""COMPUTED_VALUE"""),"ซาลาเปาไส้ไข่กุ้ง-500g")</f>
        <v>ซาลาเปาไส้ไข่กุ้ง-500g</v>
      </c>
      <c r="B733" s="5">
        <f>IFERROR(__xludf.DUMMYFUNCTION("""COMPUTED_VALUE"""),10674.0)</f>
        <v>10674</v>
      </c>
      <c r="C733" s="5" t="str">
        <f>IFERROR(__xludf.DUMMYFUNCTION("""COMPUTED_VALUE"""),"เปาทูโทนไข่กุ้ง 500g")</f>
        <v>เปาทูโทนไข่กุ้ง 500g</v>
      </c>
      <c r="D733" s="5" t="str">
        <f>IFERROR(__xludf.DUMMYFUNCTION("""COMPUTED_VALUE"""),"ทวีวงษ์-PFP")</f>
        <v>ทวีวงษ์-PFP</v>
      </c>
      <c r="E733" s="5" t="str">
        <f>IFERROR(__xludf.DUMMYFUNCTION("""COMPUTED_VALUE"""),"&lt;p&gt;X&lt;/p&gt;")</f>
        <v>&lt;p&gt;X&lt;/p&gt;</v>
      </c>
      <c r="F733" s="5" t="str">
        <f>IFERROR(__xludf.DUMMYFUNCTION("""COMPUTED_VALUE"""),"N")</f>
        <v>N</v>
      </c>
      <c r="G733" s="5"/>
      <c r="H733" s="5"/>
      <c r="I733" s="5"/>
      <c r="J733" s="5"/>
      <c r="K733" s="5"/>
      <c r="L733" s="5"/>
      <c r="M733" s="5">
        <f>IFERROR(__xludf.DUMMYFUNCTION("""COMPUTED_VALUE"""),75.0)</f>
        <v>75</v>
      </c>
      <c r="N733" s="5">
        <f>IFERROR(__xludf.DUMMYFUNCTION("""COMPUTED_VALUE"""),8.850016635251E12)</f>
        <v>8850016635251</v>
      </c>
      <c r="O733" s="5"/>
      <c r="P733" s="5"/>
      <c r="Q733" s="5" t="str">
        <f>IFERROR(__xludf.DUMMYFUNCTION("""COMPUTED_VALUE"""),"Y")</f>
        <v>Y</v>
      </c>
      <c r="R733" s="5"/>
      <c r="S733" s="5" t="str">
        <f>IFERROR(__xludf.DUMMYFUNCTION("""COMPUTED_VALUE"""),"ทวีวงษ์")</f>
        <v>ทวีวงษ์</v>
      </c>
      <c r="T733" s="5">
        <f>IFERROR(__xludf.DUMMYFUNCTION("""COMPUTED_VALUE"""),75.0)</f>
        <v>75</v>
      </c>
      <c r="U733" s="5" t="str">
        <f>IFERROR(__xludf.DUMMYFUNCTION("""COMPUTED_VALUE"""),"Y")</f>
        <v>Y</v>
      </c>
      <c r="V733" s="5">
        <f>IFERROR(__xludf.DUMMYFUNCTION("""COMPUTED_VALUE"""),85.0)</f>
        <v>85</v>
      </c>
      <c r="W733" s="5">
        <f>IFERROR(__xludf.DUMMYFUNCTION("""COMPUTED_VALUE"""),100.0)</f>
        <v>100</v>
      </c>
      <c r="X733" s="5">
        <f>IFERROR(__xludf.DUMMYFUNCTION("""COMPUTED_VALUE"""),20.0)</f>
        <v>20</v>
      </c>
      <c r="Y733" s="5">
        <f>IFERROR(__xludf.DUMMYFUNCTION("""COMPUTED_VALUE"""),80.0)</f>
        <v>80</v>
      </c>
      <c r="Z733" s="5"/>
    </row>
    <row r="734">
      <c r="A734" s="5" t="str">
        <f>IFERROR(__xludf.DUMMYFUNCTION("""COMPUTED_VALUE"""),"เพียวไลพ์-600-ml")</f>
        <v>เพียวไลพ์-600-ml</v>
      </c>
      <c r="B734" s="5">
        <f>IFERROR(__xludf.DUMMYFUNCTION("""COMPUTED_VALUE"""),10004.0)</f>
        <v>10004</v>
      </c>
      <c r="C734" s="5" t="str">
        <f>IFERROR(__xludf.DUMMYFUNCTION("""COMPUTED_VALUE"""),"เพียวไลพ์ 600 ml")</f>
        <v>เพียวไลพ์ 600 ml</v>
      </c>
      <c r="D734" s="5"/>
      <c r="E734" s="5"/>
      <c r="F734" s="5" t="str">
        <f>IFERROR(__xludf.DUMMYFUNCTION("""COMPUTED_VALUE"""),"N")</f>
        <v>N</v>
      </c>
      <c r="G734" s="5"/>
      <c r="H734" s="5"/>
      <c r="I734" s="5"/>
      <c r="J734" s="5"/>
      <c r="K734" s="5"/>
      <c r="L734" s="5"/>
      <c r="M734" s="5">
        <f>IFERROR(__xludf.DUMMYFUNCTION("""COMPUTED_VALUE"""),4.0)</f>
        <v>4</v>
      </c>
      <c r="N734" s="5">
        <f>IFERROR(__xludf.DUMMYFUNCTION("""COMPUTED_VALUE"""),8.85012400385E12)</f>
        <v>8850124003850</v>
      </c>
      <c r="O734" s="5"/>
      <c r="P734" s="5"/>
      <c r="Q734" s="5" t="str">
        <f>IFERROR(__xludf.DUMMYFUNCTION("""COMPUTED_VALUE"""),"N")</f>
        <v>N</v>
      </c>
      <c r="R734" s="5"/>
      <c r="S734" s="5"/>
      <c r="T734" s="5"/>
      <c r="U734" s="5" t="str">
        <f>IFERROR(__xludf.DUMMYFUNCTION("""COMPUTED_VALUE"""),"Y")</f>
        <v>Y</v>
      </c>
      <c r="V734" s="5">
        <f>IFERROR(__xludf.DUMMYFUNCTION("""COMPUTED_VALUE"""),10.0)</f>
        <v>10</v>
      </c>
      <c r="W734" s="5"/>
      <c r="X734" s="5"/>
      <c r="Y734" s="5"/>
      <c r="Z734" s="5"/>
    </row>
    <row r="735">
      <c r="A735" s="5" t="str">
        <f>IFERROR(__xludf.DUMMYFUNCTION("""COMPUTED_VALUE"""),"เฟรนฟาย-หยัก10มิล-10kg(ลัง)-r100")</f>
        <v>เฟรนฟาย-หยัก10มิล-10kg(ลัง)-r100</v>
      </c>
      <c r="B735" s="5">
        <f>IFERROR(__xludf.DUMMYFUNCTION("""COMPUTED_VALUE"""),10460.0)</f>
        <v>10460</v>
      </c>
      <c r="C735" s="5" t="str">
        <f>IFERROR(__xludf.DUMMYFUNCTION("""COMPUTED_VALUE"""),"เฟรนฟรายหยัก 10Kg R100-50")</f>
        <v>เฟรนฟรายหยัก 10Kg R100-50</v>
      </c>
      <c r="D735" s="5" t="str">
        <f>IFERROR(__xludf.DUMMYFUNCTION("""COMPUTED_VALUE"""),"**ร้านค้า ราคาพิเศษ")</f>
        <v>**ร้านค้า ราคาพิเศษ</v>
      </c>
      <c r="E735" s="5"/>
      <c r="F735" s="5" t="str">
        <f>IFERROR(__xludf.DUMMYFUNCTION("""COMPUTED_VALUE"""),"N")</f>
        <v>N</v>
      </c>
      <c r="G735" s="5"/>
      <c r="H735" s="5"/>
      <c r="I735" s="5"/>
      <c r="J735" s="5"/>
      <c r="K735" s="5"/>
      <c r="L735" s="5"/>
      <c r="M735" s="5"/>
      <c r="N735" s="5">
        <f>IFERROR(__xludf.DUMMYFUNCTION("""COMPUTED_VALUE"""),10460.0)</f>
        <v>10460</v>
      </c>
      <c r="O735" s="5">
        <f>IFERROR(__xludf.DUMMYFUNCTION("""COMPUTED_VALUE"""),10445.0)</f>
        <v>10445</v>
      </c>
      <c r="P735" s="5">
        <f>IFERROR(__xludf.DUMMYFUNCTION("""COMPUTED_VALUE"""),1.0)</f>
        <v>1</v>
      </c>
      <c r="Q735" s="5" t="str">
        <f>IFERROR(__xludf.DUMMYFUNCTION("""COMPUTED_VALUE"""),"N")</f>
        <v>N</v>
      </c>
      <c r="R735" s="5" t="str">
        <f>IFERROR(__xludf.DUMMYFUNCTION("""COMPUTED_VALUE"""),"N")</f>
        <v>N</v>
      </c>
      <c r="S735" s="5"/>
      <c r="T735" s="5"/>
      <c r="U735" s="5" t="str">
        <f>IFERROR(__xludf.DUMMYFUNCTION("""COMPUTED_VALUE"""),"Y")</f>
        <v>Y</v>
      </c>
      <c r="V735" s="5">
        <f>IFERROR(__xludf.DUMMYFUNCTION("""COMPUTED_VALUE"""),500.0)</f>
        <v>500</v>
      </c>
      <c r="W735" s="5"/>
      <c r="X735" s="5"/>
      <c r="Y735" s="5"/>
      <c r="Z735" s="5"/>
    </row>
    <row r="736">
      <c r="A736" s="5" t="str">
        <f>IFERROR(__xludf.DUMMYFUNCTION("""COMPUTED_VALUE"""),"เฟรนฟราย-ยูเรนัส-10-มิล-12-กก.")</f>
        <v>เฟรนฟราย-ยูเรนัส-10-มิล-12-กก.</v>
      </c>
      <c r="B736" s="5">
        <f>IFERROR(__xludf.DUMMYFUNCTION("""COMPUTED_VALUE"""),10055.0)</f>
        <v>10055</v>
      </c>
      <c r="C736" s="5" t="str">
        <f>IFERROR(__xludf.DUMMYFUNCTION("""COMPUTED_VALUE"""),"เฟรนฟาย 10มิล(12กก)-53")</f>
        <v>เฟรนฟาย 10มิล(12กก)-53</v>
      </c>
      <c r="D736" s="5" t="str">
        <f>IFERROR(__xludf.DUMMYFUNCTION("""COMPUTED_VALUE"""),"**ลัง มหาชัย")</f>
        <v>**ลัง มหาชัย</v>
      </c>
      <c r="E736" s="5"/>
      <c r="F736" s="5" t="str">
        <f>IFERROR(__xludf.DUMMYFUNCTION("""COMPUTED_VALUE"""),"N")</f>
        <v>N</v>
      </c>
      <c r="G736" s="5"/>
      <c r="H736" s="5"/>
      <c r="I736" s="5"/>
      <c r="J736" s="5"/>
      <c r="K736" s="5"/>
      <c r="L736" s="5"/>
      <c r="M736" s="5">
        <f>IFERROR(__xludf.DUMMYFUNCTION("""COMPUTED_VALUE"""),485.23)</f>
        <v>485.23</v>
      </c>
      <c r="N736" s="5"/>
      <c r="O736" s="5"/>
      <c r="P736" s="5"/>
      <c r="Q736" s="5" t="str">
        <f>IFERROR(__xludf.DUMMYFUNCTION("""COMPUTED_VALUE"""),"Y")</f>
        <v>Y</v>
      </c>
      <c r="R736" s="5"/>
      <c r="S736" s="5"/>
      <c r="T736" s="5">
        <f>IFERROR(__xludf.DUMMYFUNCTION("""COMPUTED_VALUE"""),468.0)</f>
        <v>468</v>
      </c>
      <c r="U736" s="5" t="str">
        <f>IFERROR(__xludf.DUMMYFUNCTION("""COMPUTED_VALUE"""),"N")</f>
        <v>N</v>
      </c>
      <c r="V736" s="5">
        <f>IFERROR(__xludf.DUMMYFUNCTION("""COMPUTED_VALUE"""),636.0)</f>
        <v>636</v>
      </c>
      <c r="W736" s="5">
        <f>IFERROR(__xludf.DUMMYFUNCTION("""COMPUTED_VALUE"""),0.0)</f>
        <v>0</v>
      </c>
      <c r="X736" s="5"/>
      <c r="Y736" s="5"/>
      <c r="Z736" s="5"/>
    </row>
    <row r="737">
      <c r="A737" s="5" t="str">
        <f>IFERROR(__xludf.DUMMYFUNCTION("""COMPUTED_VALUE"""),"เฟรนฟราย-วีนัส--ลังขาว10-โล")</f>
        <v>เฟรนฟราย-วีนัส--ลังขาว10-โล</v>
      </c>
      <c r="B737" s="5">
        <f>IFERROR(__xludf.DUMMYFUNCTION("""COMPUTED_VALUE"""),10995.0)</f>
        <v>10995</v>
      </c>
      <c r="C737" s="5" t="str">
        <f>IFERROR(__xludf.DUMMYFUNCTION("""COMPUTED_VALUE"""),"เฟรนฟาย วีนัส 7 มิล  (ลัง)")</f>
        <v>เฟรนฟาย วีนัส 7 มิล  (ลัง)</v>
      </c>
      <c r="D737" s="5"/>
      <c r="E737" s="5" t="str">
        <f>IFERROR(__xludf.DUMMYFUNCTION("""COMPUTED_VALUE"""),"&lt;p&gt;S&lt;/p&gt;")</f>
        <v>&lt;p&gt;S&lt;/p&gt;</v>
      </c>
      <c r="F737" s="5" t="str">
        <f>IFERROR(__xludf.DUMMYFUNCTION("""COMPUTED_VALUE"""),"N")</f>
        <v>N</v>
      </c>
      <c r="G737" s="5"/>
      <c r="H737" s="5"/>
      <c r="I737" s="5"/>
      <c r="J737" s="5"/>
      <c r="K737" s="5"/>
      <c r="L737" s="5"/>
      <c r="M737" s="5"/>
      <c r="N737" s="5">
        <f>IFERROR(__xludf.DUMMYFUNCTION("""COMPUTED_VALUE"""),10995.0)</f>
        <v>10995</v>
      </c>
      <c r="O737" s="5">
        <f>IFERROR(__xludf.DUMMYFUNCTION("""COMPUTED_VALUE"""),10018.0)</f>
        <v>10018</v>
      </c>
      <c r="P737" s="5">
        <f>IFERROR(__xludf.DUMMYFUNCTION("""COMPUTED_VALUE"""),10.0)</f>
        <v>10</v>
      </c>
      <c r="Q737" s="5" t="str">
        <f>IFERROR(__xludf.DUMMYFUNCTION("""COMPUTED_VALUE"""),"N")</f>
        <v>N</v>
      </c>
      <c r="R737" s="5" t="str">
        <f>IFERROR(__xludf.DUMMYFUNCTION("""COMPUTED_VALUE"""),"N")</f>
        <v>N</v>
      </c>
      <c r="S737" s="5"/>
      <c r="T737" s="5"/>
      <c r="U737" s="5" t="str">
        <f>IFERROR(__xludf.DUMMYFUNCTION("""COMPUTED_VALUE"""),"Y")</f>
        <v>Y</v>
      </c>
      <c r="V737" s="5">
        <f>IFERROR(__xludf.DUMMYFUNCTION("""COMPUTED_VALUE"""),530.0)</f>
        <v>530</v>
      </c>
      <c r="W737" s="5"/>
      <c r="X737" s="5"/>
      <c r="Y737" s="5"/>
      <c r="Z737" s="5"/>
    </row>
    <row r="738">
      <c r="A738" s="5" t="str">
        <f>IFERROR(__xludf.DUMMYFUNCTION("""COMPUTED_VALUE"""),"เฟรนฟราย-วีนัส--7มิล-ลัง10กก(ลัง)-r100")</f>
        <v>เฟรนฟราย-วีนัส--7มิล-ลัง10กก(ลัง)-r100</v>
      </c>
      <c r="B738" s="5">
        <f>IFERROR(__xludf.DUMMYFUNCTION("""COMPUTED_VALUE"""),10339.0)</f>
        <v>10339</v>
      </c>
      <c r="C738" s="5" t="str">
        <f>IFERROR(__xludf.DUMMYFUNCTION("""COMPUTED_VALUE"""),"เฟรนฟาย วีนัส 7มิล (ลัง) R100 (490)")</f>
        <v>เฟรนฟาย วีนัส 7มิล (ลัง) R100 (490)</v>
      </c>
      <c r="D738" s="5" t="str">
        <f>IFERROR(__xludf.DUMMYFUNCTION("""COMPUTED_VALUE"""),"**ร้านค้า ราคาพิเศษ")</f>
        <v>**ร้านค้า ราคาพิเศษ</v>
      </c>
      <c r="E738" s="5"/>
      <c r="F738" s="5" t="str">
        <f>IFERROR(__xludf.DUMMYFUNCTION("""COMPUTED_VALUE"""),"N")</f>
        <v>N</v>
      </c>
      <c r="G738" s="5"/>
      <c r="H738" s="5"/>
      <c r="I738" s="5"/>
      <c r="J738" s="5"/>
      <c r="K738" s="5"/>
      <c r="L738" s="5"/>
      <c r="M738" s="5"/>
      <c r="N738" s="5">
        <f>IFERROR(__xludf.DUMMYFUNCTION("""COMPUTED_VALUE"""),10339.0)</f>
        <v>10339</v>
      </c>
      <c r="O738" s="5">
        <f>IFERROR(__xludf.DUMMYFUNCTION("""COMPUTED_VALUE"""),10018.0)</f>
        <v>10018</v>
      </c>
      <c r="P738" s="5">
        <f>IFERROR(__xludf.DUMMYFUNCTION("""COMPUTED_VALUE"""),10.0)</f>
        <v>10</v>
      </c>
      <c r="Q738" s="5" t="str">
        <f>IFERROR(__xludf.DUMMYFUNCTION("""COMPUTED_VALUE"""),"N")</f>
        <v>N</v>
      </c>
      <c r="R738" s="5" t="str">
        <f>IFERROR(__xludf.DUMMYFUNCTION("""COMPUTED_VALUE"""),"N")</f>
        <v>N</v>
      </c>
      <c r="S738" s="5"/>
      <c r="T738" s="5"/>
      <c r="U738" s="5" t="str">
        <f>IFERROR(__xludf.DUMMYFUNCTION("""COMPUTED_VALUE"""),"Y")</f>
        <v>Y</v>
      </c>
      <c r="V738" s="5">
        <f>IFERROR(__xludf.DUMMYFUNCTION("""COMPUTED_VALUE"""),490.0)</f>
        <v>490</v>
      </c>
      <c r="W738" s="5"/>
      <c r="X738" s="5"/>
      <c r="Y738" s="5"/>
      <c r="Z738" s="5"/>
    </row>
    <row r="739">
      <c r="A739" s="5" t="str">
        <f>IFERROR(__xludf.DUMMYFUNCTION("""COMPUTED_VALUE"""),"ร้านพี่นิด-เฟรนฟราย-วีนัส--7มิล-580-(ลัง)")</f>
        <v>ร้านพี่นิด-เฟรนฟราย-วีนัส--7มิล-580-(ลัง)</v>
      </c>
      <c r="B739" s="5">
        <f>IFERROR(__xludf.DUMMYFUNCTION("""COMPUTED_VALUE"""),10337.0)</f>
        <v>10337</v>
      </c>
      <c r="C739" s="5" t="str">
        <f>IFERROR(__xludf.DUMMYFUNCTION("""COMPUTED_VALUE"""),"เฟรนฟาย วีนัส 7มิล พิเศษ (ลัง)-500")</f>
        <v>เฟรนฟาย วีนัส 7มิล พิเศษ (ลัง)-500</v>
      </c>
      <c r="D739" s="5" t="str">
        <f>IFERROR(__xludf.DUMMYFUNCTION("""COMPUTED_VALUE"""),"**ร้านค้า ราคาพิเศษ")</f>
        <v>**ร้านค้า ราคาพิเศษ</v>
      </c>
      <c r="E739" s="5"/>
      <c r="F739" s="5" t="str">
        <f>IFERROR(__xludf.DUMMYFUNCTION("""COMPUTED_VALUE"""),"N")</f>
        <v>N</v>
      </c>
      <c r="G739" s="5"/>
      <c r="H739" s="5"/>
      <c r="I739" s="5"/>
      <c r="J739" s="5"/>
      <c r="K739" s="5"/>
      <c r="L739" s="5"/>
      <c r="M739" s="5"/>
      <c r="N739" s="5">
        <f>IFERROR(__xludf.DUMMYFUNCTION("""COMPUTED_VALUE"""),10337.0)</f>
        <v>10337</v>
      </c>
      <c r="O739" s="5">
        <f>IFERROR(__xludf.DUMMYFUNCTION("""COMPUTED_VALUE"""),10018.0)</f>
        <v>10018</v>
      </c>
      <c r="P739" s="5">
        <f>IFERROR(__xludf.DUMMYFUNCTION("""COMPUTED_VALUE"""),10.0)</f>
        <v>10</v>
      </c>
      <c r="Q739" s="5" t="str">
        <f>IFERROR(__xludf.DUMMYFUNCTION("""COMPUTED_VALUE"""),"N")</f>
        <v>N</v>
      </c>
      <c r="R739" s="5" t="str">
        <f>IFERROR(__xludf.DUMMYFUNCTION("""COMPUTED_VALUE"""),"N")</f>
        <v>N</v>
      </c>
      <c r="S739" s="5"/>
      <c r="T739" s="5"/>
      <c r="U739" s="5" t="str">
        <f>IFERROR(__xludf.DUMMYFUNCTION("""COMPUTED_VALUE"""),"Y")</f>
        <v>Y</v>
      </c>
      <c r="V739" s="5">
        <f>IFERROR(__xludf.DUMMYFUNCTION("""COMPUTED_VALUE"""),500.0)</f>
        <v>500</v>
      </c>
      <c r="W739" s="5"/>
      <c r="X739" s="5"/>
      <c r="Y739" s="5"/>
      <c r="Z739" s="5"/>
    </row>
    <row r="740">
      <c r="A740" s="5" t="str">
        <f>IFERROR(__xludf.DUMMYFUNCTION("""COMPUTED_VALUE"""),"เฟรนฟรายเรียบ-แพ็ค-1kg")</f>
        <v>เฟรนฟรายเรียบ-แพ็ค-1kg</v>
      </c>
      <c r="B740" s="5">
        <f>IFERROR(__xludf.DUMMYFUNCTION("""COMPUTED_VALUE"""),10018.0)</f>
        <v>10018</v>
      </c>
      <c r="C740" s="5" t="str">
        <f>IFERROR(__xludf.DUMMYFUNCTION("""COMPUTED_VALUE"""),"เฟรนฟาย วีนัส 7มิลถุง1Kg")</f>
        <v>เฟรนฟาย วีนัส 7มิลถุง1Kg</v>
      </c>
      <c r="D740" s="5" t="str">
        <f>IFERROR(__xludf.DUMMYFUNCTION("""COMPUTED_VALUE"""),"**ลัง ร้อยเอ็ด")</f>
        <v>**ลัง ร้อยเอ็ด</v>
      </c>
      <c r="E740" s="5" t="str">
        <f>IFERROR(__xludf.DUMMYFUNCTION("""COMPUTED_VALUE"""),"&lt;p&gt;A&lt;/p&gt;")</f>
        <v>&lt;p&gt;A&lt;/p&gt;</v>
      </c>
      <c r="F740" s="5" t="str">
        <f>IFERROR(__xludf.DUMMYFUNCTION("""COMPUTED_VALUE"""),"N")</f>
        <v>N</v>
      </c>
      <c r="G740" s="5"/>
      <c r="H740" s="5"/>
      <c r="I740" s="5"/>
      <c r="J740" s="5"/>
      <c r="K740" s="5"/>
      <c r="L740" s="5"/>
      <c r="M740" s="5">
        <f>IFERROR(__xludf.DUMMYFUNCTION("""COMPUTED_VALUE"""),42.98)</f>
        <v>42.98</v>
      </c>
      <c r="N740" s="5">
        <f>IFERROR(__xludf.DUMMYFUNCTION("""COMPUTED_VALUE"""),10018.0)</f>
        <v>10018</v>
      </c>
      <c r="O740" s="5"/>
      <c r="P740" s="5"/>
      <c r="Q740" s="5" t="str">
        <f>IFERROR(__xludf.DUMMYFUNCTION("""COMPUTED_VALUE"""),"Y")</f>
        <v>Y</v>
      </c>
      <c r="R740" s="5"/>
      <c r="S740" s="5" t="str">
        <f>IFERROR(__xludf.DUMMYFUNCTION("""COMPUTED_VALUE"""),"ขึ้นของมหาชัย")</f>
        <v>ขึ้นของมหาชัย</v>
      </c>
      <c r="T740" s="5">
        <f>IFERROR(__xludf.DUMMYFUNCTION("""COMPUTED_VALUE"""),41.99)</f>
        <v>41.99</v>
      </c>
      <c r="U740" s="5" t="str">
        <f>IFERROR(__xludf.DUMMYFUNCTION("""COMPUTED_VALUE"""),"Y")</f>
        <v>Y</v>
      </c>
      <c r="V740" s="5">
        <f>IFERROR(__xludf.DUMMYFUNCTION("""COMPUTED_VALUE"""),70.0)</f>
        <v>70</v>
      </c>
      <c r="W740" s="5">
        <f>IFERROR(__xludf.DUMMYFUNCTION("""COMPUTED_VALUE"""),360.0)</f>
        <v>360</v>
      </c>
      <c r="X740" s="5">
        <f>IFERROR(__xludf.DUMMYFUNCTION("""COMPUTED_VALUE"""),58.0)</f>
        <v>58</v>
      </c>
      <c r="Y740" s="5">
        <f>IFERROR(__xludf.DUMMYFUNCTION("""COMPUTED_VALUE"""),97.0)</f>
        <v>97</v>
      </c>
      <c r="Z740" s="5"/>
    </row>
    <row r="741">
      <c r="A741" s="5" t="str">
        <f>IFERROR(__xludf.DUMMYFUNCTION("""COMPUTED_VALUE"""),"เฟรนฟรายหยัก-ลังละ-10-กก.")</f>
        <v>เฟรนฟรายหยัก-ลังละ-10-กก.</v>
      </c>
      <c r="B741" s="5">
        <f>IFERROR(__xludf.DUMMYFUNCTION("""COMPUTED_VALUE"""),10445.0)</f>
        <v>10445</v>
      </c>
      <c r="C741" s="5" t="str">
        <f>IFERROR(__xludf.DUMMYFUNCTION("""COMPUTED_VALUE"""),"เฟรนฟาย หยัก  (ลัง) - 53")</f>
        <v>เฟรนฟาย หยัก  (ลัง) - 53</v>
      </c>
      <c r="D741" s="5" t="str">
        <f>IFERROR(__xludf.DUMMYFUNCTION("""COMPUTED_VALUE"""),"**ลัง ร้อยเอ็ด")</f>
        <v>**ลัง ร้อยเอ็ด</v>
      </c>
      <c r="E741" s="5" t="str">
        <f>IFERROR(__xludf.DUMMYFUNCTION("""COMPUTED_VALUE"""),"&lt;p&gt;B&lt;/p&gt;")</f>
        <v>&lt;p&gt;B&lt;/p&gt;</v>
      </c>
      <c r="F741" s="5" t="str">
        <f>IFERROR(__xludf.DUMMYFUNCTION("""COMPUTED_VALUE"""),"N")</f>
        <v>N</v>
      </c>
      <c r="G741" s="5"/>
      <c r="H741" s="5"/>
      <c r="I741" s="5"/>
      <c r="J741" s="5"/>
      <c r="K741" s="5"/>
      <c r="L741" s="5"/>
      <c r="M741" s="5">
        <f>IFERROR(__xludf.DUMMYFUNCTION("""COMPUTED_VALUE"""),420.0)</f>
        <v>420</v>
      </c>
      <c r="N741" s="5">
        <f>IFERROR(__xludf.DUMMYFUNCTION("""COMPUTED_VALUE"""),10445.0)</f>
        <v>10445</v>
      </c>
      <c r="O741" s="5"/>
      <c r="P741" s="5"/>
      <c r="Q741" s="5" t="str">
        <f>IFERROR(__xludf.DUMMYFUNCTION("""COMPUTED_VALUE"""),"Y")</f>
        <v>Y</v>
      </c>
      <c r="R741" s="5"/>
      <c r="S741" s="5" t="str">
        <f>IFERROR(__xludf.DUMMYFUNCTION("""COMPUTED_VALUE"""),"ฟู้ดโปรเจ็ค")</f>
        <v>ฟู้ดโปรเจ็ค</v>
      </c>
      <c r="T741" s="5">
        <f>IFERROR(__xludf.DUMMYFUNCTION("""COMPUTED_VALUE"""),420.0)</f>
        <v>420</v>
      </c>
      <c r="U741" s="5" t="str">
        <f>IFERROR(__xludf.DUMMYFUNCTION("""COMPUTED_VALUE"""),"Y")</f>
        <v>Y</v>
      </c>
      <c r="V741" s="5">
        <f>IFERROR(__xludf.DUMMYFUNCTION("""COMPUTED_VALUE"""),530.0)</f>
        <v>530</v>
      </c>
      <c r="W741" s="5">
        <f>IFERROR(__xludf.DUMMYFUNCTION("""COMPUTED_VALUE"""),3.0)</f>
        <v>3</v>
      </c>
      <c r="X741" s="5">
        <f>IFERROR(__xludf.DUMMYFUNCTION("""COMPUTED_VALUE"""),5.0)</f>
        <v>5</v>
      </c>
      <c r="Y741" s="5">
        <f>IFERROR(__xludf.DUMMYFUNCTION("""COMPUTED_VALUE"""),9.0)</f>
        <v>9</v>
      </c>
      <c r="Z741" s="5"/>
    </row>
    <row r="742">
      <c r="A742" s="5" t="str">
        <f>IFERROR(__xludf.DUMMYFUNCTION("""COMPUTED_VALUE"""),"เฟรนฟรายเรียบ-ลังน้ำตาล12kg")</f>
        <v>เฟรนฟรายเรียบ-ลังน้ำตาล12kg</v>
      </c>
      <c r="B742" s="5">
        <f>IFERROR(__xludf.DUMMYFUNCTION("""COMPUTED_VALUE"""),10765.0)</f>
        <v>10765</v>
      </c>
      <c r="C742" s="5" t="str">
        <f>IFERROR(__xludf.DUMMYFUNCTION("""COMPUTED_VALUE"""),"เฟรนฟายยูเรนัส  10มิล(ลัง)-53")</f>
        <v>เฟรนฟายยูเรนัส  10มิล(ลัง)-53</v>
      </c>
      <c r="D742" s="5" t="str">
        <f>IFERROR(__xludf.DUMMYFUNCTION("""COMPUTED_VALUE"""),"**ลัง ร้อยเอ็ด")</f>
        <v>**ลัง ร้อยเอ็ด</v>
      </c>
      <c r="E742" s="5" t="str">
        <f>IFERROR(__xludf.DUMMYFUNCTION("""COMPUTED_VALUE"""),"&lt;p&gt;ส&lt;/p&gt;")</f>
        <v>&lt;p&gt;ส&lt;/p&gt;</v>
      </c>
      <c r="F742" s="5" t="str">
        <f>IFERROR(__xludf.DUMMYFUNCTION("""COMPUTED_VALUE"""),"N")</f>
        <v>N</v>
      </c>
      <c r="G742" s="5"/>
      <c r="H742" s="5"/>
      <c r="I742" s="5"/>
      <c r="J742" s="5"/>
      <c r="K742" s="5"/>
      <c r="L742" s="5"/>
      <c r="M742" s="5"/>
      <c r="N742" s="5">
        <f>IFERROR(__xludf.DUMMYFUNCTION("""COMPUTED_VALUE"""),10765.0)</f>
        <v>10765</v>
      </c>
      <c r="O742" s="5">
        <f>IFERROR(__xludf.DUMMYFUNCTION("""COMPUTED_VALUE"""),10382.0)</f>
        <v>10382</v>
      </c>
      <c r="P742" s="5">
        <f>IFERROR(__xludf.DUMMYFUNCTION("""COMPUTED_VALUE"""),10.0)</f>
        <v>10</v>
      </c>
      <c r="Q742" s="5" t="str">
        <f>IFERROR(__xludf.DUMMYFUNCTION("""COMPUTED_VALUE"""),"N")</f>
        <v>N</v>
      </c>
      <c r="R742" s="5" t="str">
        <f>IFERROR(__xludf.DUMMYFUNCTION("""COMPUTED_VALUE"""),"N")</f>
        <v>N</v>
      </c>
      <c r="S742" s="5"/>
      <c r="T742" s="5"/>
      <c r="U742" s="5" t="str">
        <f>IFERROR(__xludf.DUMMYFUNCTION("""COMPUTED_VALUE"""),"Y")</f>
        <v>Y</v>
      </c>
      <c r="V742" s="5">
        <f>IFERROR(__xludf.DUMMYFUNCTION("""COMPUTED_VALUE"""),530.0)</f>
        <v>530</v>
      </c>
      <c r="W742" s="5"/>
      <c r="X742" s="5"/>
      <c r="Y742" s="5"/>
      <c r="Z742" s="5"/>
    </row>
    <row r="743">
      <c r="A743" s="5" t="str">
        <f>IFERROR(__xludf.DUMMYFUNCTION("""COMPUTED_VALUE"""),"เฟรนฟาย(ใหญ่)-2kg")</f>
        <v>เฟรนฟาย(ใหญ่)-2kg</v>
      </c>
      <c r="B743" s="5">
        <f>IFERROR(__xludf.DUMMYFUNCTION("""COMPUTED_VALUE"""),10382.0)</f>
        <v>10382</v>
      </c>
      <c r="C743" s="5" t="str">
        <f>IFERROR(__xludf.DUMMYFUNCTION("""COMPUTED_VALUE"""),"เฟรนฟายยูเรนัส 10มิล  1kg")</f>
        <v>เฟรนฟายยูเรนัส 10มิล  1kg</v>
      </c>
      <c r="D743" s="5" t="str">
        <f>IFERROR(__xludf.DUMMYFUNCTION("""COMPUTED_VALUE"""),"**ลัง ร้อยเอ็ด")</f>
        <v>**ลัง ร้อยเอ็ด</v>
      </c>
      <c r="E743" s="5" t="str">
        <f>IFERROR(__xludf.DUMMYFUNCTION("""COMPUTED_VALUE"""),"&lt;p&gt;B&lt;/p&gt;")</f>
        <v>&lt;p&gt;B&lt;/p&gt;</v>
      </c>
      <c r="F743" s="5" t="str">
        <f>IFERROR(__xludf.DUMMYFUNCTION("""COMPUTED_VALUE"""),"N")</f>
        <v>N</v>
      </c>
      <c r="G743" s="5"/>
      <c r="H743" s="5"/>
      <c r="I743" s="5"/>
      <c r="J743" s="5"/>
      <c r="K743" s="5"/>
      <c r="L743" s="5"/>
      <c r="M743" s="5">
        <f>IFERROR(__xludf.DUMMYFUNCTION("""COMPUTED_VALUE"""),43.2)</f>
        <v>43.2</v>
      </c>
      <c r="N743" s="5">
        <f>IFERROR(__xludf.DUMMYFUNCTION("""COMPUTED_VALUE"""),6.959973705846E12)</f>
        <v>6959973705846</v>
      </c>
      <c r="O743" s="5"/>
      <c r="P743" s="5"/>
      <c r="Q743" s="5" t="str">
        <f>IFERROR(__xludf.DUMMYFUNCTION("""COMPUTED_VALUE"""),"Y")</f>
        <v>Y</v>
      </c>
      <c r="R743" s="5"/>
      <c r="S743" s="5" t="str">
        <f>IFERROR(__xludf.DUMMYFUNCTION("""COMPUTED_VALUE"""),"ฟู้ดโปรเจ็ค")</f>
        <v>ฟู้ดโปรเจ็ค</v>
      </c>
      <c r="T743" s="5">
        <f>IFERROR(__xludf.DUMMYFUNCTION("""COMPUTED_VALUE"""),39.81)</f>
        <v>39.81</v>
      </c>
      <c r="U743" s="5" t="str">
        <f>IFERROR(__xludf.DUMMYFUNCTION("""COMPUTED_VALUE"""),"Y")</f>
        <v>Y</v>
      </c>
      <c r="V743" s="5">
        <f>IFERROR(__xludf.DUMMYFUNCTION("""COMPUTED_VALUE"""),70.0)</f>
        <v>70</v>
      </c>
      <c r="W743" s="5">
        <f>IFERROR(__xludf.DUMMYFUNCTION("""COMPUTED_VALUE"""),490.0)</f>
        <v>490</v>
      </c>
      <c r="X743" s="5">
        <f>IFERROR(__xludf.DUMMYFUNCTION("""COMPUTED_VALUE"""),26.0)</f>
        <v>26</v>
      </c>
      <c r="Y743" s="5">
        <f>IFERROR(__xludf.DUMMYFUNCTION("""COMPUTED_VALUE"""),46.0)</f>
        <v>46</v>
      </c>
      <c r="Z743" s="5"/>
    </row>
    <row r="744">
      <c r="A744" s="5" t="str">
        <f>IFERROR(__xludf.DUMMYFUNCTION("""COMPUTED_VALUE"""),"เฟรนฟาย-ยูเรนัส-10มิล-10kg(ลัง)-r100")</f>
        <v>เฟรนฟาย-ยูเรนัส-10มิล-10kg(ลัง)-r100</v>
      </c>
      <c r="B744" s="5">
        <f>IFERROR(__xludf.DUMMYFUNCTION("""COMPUTED_VALUE"""),10392.0)</f>
        <v>10392</v>
      </c>
      <c r="C744" s="5" t="str">
        <f>IFERROR(__xludf.DUMMYFUNCTION("""COMPUTED_VALUE"""),"เฟรนฟายยูเรนัส 10มิล(ลัง) -R100(49)")</f>
        <v>เฟรนฟายยูเรนัส 10มิล(ลัง) -R100(49)</v>
      </c>
      <c r="D744" s="5" t="str">
        <f>IFERROR(__xludf.DUMMYFUNCTION("""COMPUTED_VALUE"""),"**ร้านค้า ราคาพิเศษ")</f>
        <v>**ร้านค้า ราคาพิเศษ</v>
      </c>
      <c r="E744" s="5"/>
      <c r="F744" s="5" t="str">
        <f>IFERROR(__xludf.DUMMYFUNCTION("""COMPUTED_VALUE"""),"N")</f>
        <v>N</v>
      </c>
      <c r="G744" s="5"/>
      <c r="H744" s="5"/>
      <c r="I744" s="5"/>
      <c r="J744" s="5"/>
      <c r="K744" s="5"/>
      <c r="L744" s="5"/>
      <c r="M744" s="5"/>
      <c r="N744" s="5">
        <f>IFERROR(__xludf.DUMMYFUNCTION("""COMPUTED_VALUE"""),10392.0)</f>
        <v>10392</v>
      </c>
      <c r="O744" s="5">
        <f>IFERROR(__xludf.DUMMYFUNCTION("""COMPUTED_VALUE"""),10382.0)</f>
        <v>10382</v>
      </c>
      <c r="P744" s="5">
        <f>IFERROR(__xludf.DUMMYFUNCTION("""COMPUTED_VALUE"""),10.0)</f>
        <v>10</v>
      </c>
      <c r="Q744" s="5" t="str">
        <f>IFERROR(__xludf.DUMMYFUNCTION("""COMPUTED_VALUE"""),"N")</f>
        <v>N</v>
      </c>
      <c r="R744" s="5" t="str">
        <f>IFERROR(__xludf.DUMMYFUNCTION("""COMPUTED_VALUE"""),"N")</f>
        <v>N</v>
      </c>
      <c r="S744" s="5"/>
      <c r="T744" s="5"/>
      <c r="U744" s="5" t="str">
        <f>IFERROR(__xludf.DUMMYFUNCTION("""COMPUTED_VALUE"""),"Y")</f>
        <v>Y</v>
      </c>
      <c r="V744" s="5">
        <f>IFERROR(__xludf.DUMMYFUNCTION("""COMPUTED_VALUE"""),490.0)</f>
        <v>490</v>
      </c>
      <c r="W744" s="5"/>
      <c r="X744" s="5"/>
      <c r="Y744" s="5"/>
      <c r="Z744" s="5"/>
    </row>
    <row r="745">
      <c r="A745" s="5" t="str">
        <f>IFERROR(__xludf.DUMMYFUNCTION("""COMPUTED_VALUE"""),"เฟรนฟรายหยัก---10มิล-แพ็ค-1กก")</f>
        <v>เฟรนฟรายหยัก---10มิล-แพ็ค-1กก</v>
      </c>
      <c r="B745" s="5">
        <f>IFERROR(__xludf.DUMMYFUNCTION("""COMPUTED_VALUE"""),10076.0)</f>
        <v>10076</v>
      </c>
      <c r="C745" s="5" t="str">
        <f>IFERROR(__xludf.DUMMYFUNCTION("""COMPUTED_VALUE"""),"เฟรนฟายหยัก แพ็ค 1กก")</f>
        <v>เฟรนฟายหยัก แพ็ค 1กก</v>
      </c>
      <c r="D745" s="5" t="str">
        <f>IFERROR(__xludf.DUMMYFUNCTION("""COMPUTED_VALUE"""),"**ลัง ร้อยเอ็ด")</f>
        <v>**ลัง ร้อยเอ็ด</v>
      </c>
      <c r="E745" s="5"/>
      <c r="F745" s="5" t="str">
        <f>IFERROR(__xludf.DUMMYFUNCTION("""COMPUTED_VALUE"""),"N")</f>
        <v>N</v>
      </c>
      <c r="G745" s="5"/>
      <c r="H745" s="5"/>
      <c r="I745" s="5"/>
      <c r="J745" s="5"/>
      <c r="K745" s="5"/>
      <c r="L745" s="5"/>
      <c r="M745" s="5"/>
      <c r="N745" s="5">
        <f>IFERROR(__xludf.DUMMYFUNCTION("""COMPUTED_VALUE"""),10076.0)</f>
        <v>10076</v>
      </c>
      <c r="O745" s="5">
        <f>IFERROR(__xludf.DUMMYFUNCTION("""COMPUTED_VALUE"""),10445.0)</f>
        <v>10445</v>
      </c>
      <c r="P745" s="5">
        <f>IFERROR(__xludf.DUMMYFUNCTION("""COMPUTED_VALUE"""),0.1)</f>
        <v>0.1</v>
      </c>
      <c r="Q745" s="5" t="str">
        <f>IFERROR(__xludf.DUMMYFUNCTION("""COMPUTED_VALUE"""),"N")</f>
        <v>N</v>
      </c>
      <c r="R745" s="5" t="str">
        <f>IFERROR(__xludf.DUMMYFUNCTION("""COMPUTED_VALUE"""),"N")</f>
        <v>N</v>
      </c>
      <c r="S745" s="5"/>
      <c r="T745" s="5"/>
      <c r="U745" s="5" t="str">
        <f>IFERROR(__xludf.DUMMYFUNCTION("""COMPUTED_VALUE"""),"N")</f>
        <v>N</v>
      </c>
      <c r="V745" s="5">
        <f>IFERROR(__xludf.DUMMYFUNCTION("""COMPUTED_VALUE"""),70.0)</f>
        <v>70</v>
      </c>
      <c r="W745" s="5"/>
      <c r="X745" s="5"/>
      <c r="Y745" s="5"/>
      <c r="Z745" s="5"/>
    </row>
    <row r="746">
      <c r="A746" s="5" t="str">
        <f>IFERROR(__xludf.DUMMYFUNCTION("""COMPUTED_VALUE"""),"เมล็ดข้าวโพดหวาน-1กก")</f>
        <v>เมล็ดข้าวโพดหวาน-1กก</v>
      </c>
      <c r="B746" s="5">
        <f>IFERROR(__xludf.DUMMYFUNCTION("""COMPUTED_VALUE"""),11363.0)</f>
        <v>11363</v>
      </c>
      <c r="C746" s="5" t="str">
        <f>IFERROR(__xludf.DUMMYFUNCTION("""COMPUTED_VALUE"""),"เมล็ดข้าวโพดหวาน 1กก")</f>
        <v>เมล็ดข้าวโพดหวาน 1กก</v>
      </c>
      <c r="D746" s="5"/>
      <c r="E746" s="5" t="str">
        <f>IFERROR(__xludf.DUMMYFUNCTION("""COMPUTED_VALUE"""),"&lt;p&gt;X&lt;/p&gt;")</f>
        <v>&lt;p&gt;X&lt;/p&gt;</v>
      </c>
      <c r="F746" s="5" t="str">
        <f>IFERROR(__xludf.DUMMYFUNCTION("""COMPUTED_VALUE"""),"N")</f>
        <v>N</v>
      </c>
      <c r="G746" s="5"/>
      <c r="H746" s="5"/>
      <c r="I746" s="5"/>
      <c r="J746" s="5"/>
      <c r="K746" s="5"/>
      <c r="L746" s="5"/>
      <c r="M746" s="5"/>
      <c r="N746" s="5">
        <f>IFERROR(__xludf.DUMMYFUNCTION("""COMPUTED_VALUE"""),11363.0)</f>
        <v>11363</v>
      </c>
      <c r="O746" s="5">
        <f>IFERROR(__xludf.DUMMYFUNCTION("""COMPUTED_VALUE"""),11604.0)</f>
        <v>11604</v>
      </c>
      <c r="P746" s="5">
        <f>IFERROR(__xludf.DUMMYFUNCTION("""COMPUTED_VALUE"""),0.1)</f>
        <v>0.1</v>
      </c>
      <c r="Q746" s="5" t="str">
        <f>IFERROR(__xludf.DUMMYFUNCTION("""COMPUTED_VALUE"""),"N")</f>
        <v>N</v>
      </c>
      <c r="R746" s="5" t="str">
        <f>IFERROR(__xludf.DUMMYFUNCTION("""COMPUTED_VALUE"""),"N")</f>
        <v>N</v>
      </c>
      <c r="S746" s="5"/>
      <c r="T746" s="5"/>
      <c r="U746" s="5" t="str">
        <f>IFERROR(__xludf.DUMMYFUNCTION("""COMPUTED_VALUE"""),"Y")</f>
        <v>Y</v>
      </c>
      <c r="V746" s="5">
        <f>IFERROR(__xludf.DUMMYFUNCTION("""COMPUTED_VALUE"""),85.0)</f>
        <v>85</v>
      </c>
      <c r="W746" s="5"/>
      <c r="X746" s="5"/>
      <c r="Y746" s="5"/>
      <c r="Z746" s="5"/>
    </row>
    <row r="747">
      <c r="A747" s="5" t="str">
        <f>IFERROR(__xludf.DUMMYFUNCTION("""COMPUTED_VALUE"""),"เศษเบคอน-a-10*500-กรัม/--หิ้้ว")</f>
        <v>เศษเบคอน-a-10*500-กรัม/--หิ้้ว</v>
      </c>
      <c r="B747" s="5">
        <f>IFERROR(__xludf.DUMMYFUNCTION("""COMPUTED_VALUE"""),10547.0)</f>
        <v>10547</v>
      </c>
      <c r="C747" s="5" t="str">
        <f>IFERROR(__xludf.DUMMYFUNCTION("""COMPUTED_VALUE"""),"เศษเบคอน A 10*500 กรัม/หิ้ว (48)")</f>
        <v>เศษเบคอน A 10*500 กรัม/หิ้ว (48)</v>
      </c>
      <c r="D747" s="5"/>
      <c r="E747" s="5"/>
      <c r="F747" s="5" t="str">
        <f>IFERROR(__xludf.DUMMYFUNCTION("""COMPUTED_VALUE"""),"N")</f>
        <v>N</v>
      </c>
      <c r="G747" s="5"/>
      <c r="H747" s="5"/>
      <c r="I747" s="5"/>
      <c r="J747" s="5"/>
      <c r="K747" s="5"/>
      <c r="L747" s="5"/>
      <c r="M747" s="5"/>
      <c r="N747" s="5"/>
      <c r="O747" s="5">
        <f>IFERROR(__xludf.DUMMYFUNCTION("""COMPUTED_VALUE"""),10441.0)</f>
        <v>10441</v>
      </c>
      <c r="P747" s="5">
        <f>IFERROR(__xludf.DUMMYFUNCTION("""COMPUTED_VALUE"""),0.5)</f>
        <v>0.5</v>
      </c>
      <c r="Q747" s="5" t="str">
        <f>IFERROR(__xludf.DUMMYFUNCTION("""COMPUTED_VALUE"""),"N")</f>
        <v>N</v>
      </c>
      <c r="R747" s="5" t="str">
        <f>IFERROR(__xludf.DUMMYFUNCTION("""COMPUTED_VALUE"""),"N")</f>
        <v>N</v>
      </c>
      <c r="S747" s="5"/>
      <c r="T747" s="5"/>
      <c r="U747" s="5" t="str">
        <f>IFERROR(__xludf.DUMMYFUNCTION("""COMPUTED_VALUE"""),"N")</f>
        <v>N</v>
      </c>
      <c r="V747" s="5">
        <f>IFERROR(__xludf.DUMMYFUNCTION("""COMPUTED_VALUE"""),480.0)</f>
        <v>480</v>
      </c>
      <c r="W747" s="5"/>
      <c r="X747" s="5"/>
      <c r="Y747" s="5"/>
      <c r="Z747" s="5"/>
    </row>
    <row r="748">
      <c r="A748" s="5" t="str">
        <f>IFERROR(__xludf.DUMMYFUNCTION("""COMPUTED_VALUE"""),"เศษเบคอน-a-500")</f>
        <v>เศษเบคอน-a-500</v>
      </c>
      <c r="B748" s="5">
        <f>IFERROR(__xludf.DUMMYFUNCTION("""COMPUTED_VALUE"""),10009.0)</f>
        <v>10009</v>
      </c>
      <c r="C748" s="5" t="str">
        <f>IFERROR(__xludf.DUMMYFUNCTION("""COMPUTED_VALUE"""),"เศษเบคอน A 500")</f>
        <v>เศษเบคอน A 500</v>
      </c>
      <c r="D748" s="5"/>
      <c r="E748" s="5"/>
      <c r="F748" s="5" t="str">
        <f>IFERROR(__xludf.DUMMYFUNCTION("""COMPUTED_VALUE"""),"N")</f>
        <v>N</v>
      </c>
      <c r="G748" s="5"/>
      <c r="H748" s="5"/>
      <c r="I748" s="5"/>
      <c r="J748" s="5"/>
      <c r="K748" s="5"/>
      <c r="L748" s="5"/>
      <c r="M748" s="5"/>
      <c r="N748" s="5"/>
      <c r="O748" s="5">
        <f>IFERROR(__xludf.DUMMYFUNCTION("""COMPUTED_VALUE"""),10441.0)</f>
        <v>10441</v>
      </c>
      <c r="P748" s="5">
        <f>IFERROR(__xludf.DUMMYFUNCTION("""COMPUTED_VALUE"""),0.05)</f>
        <v>0.05</v>
      </c>
      <c r="Q748" s="5" t="str">
        <f>IFERROR(__xludf.DUMMYFUNCTION("""COMPUTED_VALUE"""),"N")</f>
        <v>N</v>
      </c>
      <c r="R748" s="5" t="str">
        <f>IFERROR(__xludf.DUMMYFUNCTION("""COMPUTED_VALUE"""),"N")</f>
        <v>N</v>
      </c>
      <c r="S748" s="5"/>
      <c r="T748" s="5"/>
      <c r="U748" s="5" t="str">
        <f>IFERROR(__xludf.DUMMYFUNCTION("""COMPUTED_VALUE"""),"N")</f>
        <v>N</v>
      </c>
      <c r="V748" s="5">
        <f>IFERROR(__xludf.DUMMYFUNCTION("""COMPUTED_VALUE"""),48.0)</f>
        <v>48</v>
      </c>
      <c r="W748" s="5"/>
      <c r="X748" s="5"/>
      <c r="Y748" s="5"/>
      <c r="Z748" s="5"/>
    </row>
    <row r="749">
      <c r="A749" s="5" t="str">
        <f>IFERROR(__xludf.DUMMYFUNCTION("""COMPUTED_VALUE"""),"เศษเบคอน-a-500-กรัม/แพ็ค")</f>
        <v>เศษเบคอน-a-500-กรัม/แพ็ค</v>
      </c>
      <c r="B749" s="5">
        <f>IFERROR(__xludf.DUMMYFUNCTION("""COMPUTED_VALUE"""),10441.0)</f>
        <v>10441</v>
      </c>
      <c r="C749" s="5" t="str">
        <f>IFERROR(__xludf.DUMMYFUNCTION("""COMPUTED_VALUE"""),"เศษเบคอน A 500 กรัม/ ลัง")</f>
        <v>เศษเบคอน A 500 กรัม/ ลัง</v>
      </c>
      <c r="D749" s="5" t="str">
        <f>IFERROR(__xludf.DUMMYFUNCTION("""COMPUTED_VALUE"""),"**ลัง มหาชัย")</f>
        <v>**ลัง มหาชัย</v>
      </c>
      <c r="E749" s="5" t="str">
        <f>IFERROR(__xludf.DUMMYFUNCTION("""COMPUTED_VALUE"""),"&lt;p&gt;20&lt;/p&gt;")</f>
        <v>&lt;p&gt;20&lt;/p&gt;</v>
      </c>
      <c r="F749" s="5" t="str">
        <f>IFERROR(__xludf.DUMMYFUNCTION("""COMPUTED_VALUE"""),"N")</f>
        <v>N</v>
      </c>
      <c r="G749" s="5"/>
      <c r="H749" s="5"/>
      <c r="I749" s="5"/>
      <c r="J749" s="5"/>
      <c r="K749" s="5"/>
      <c r="L749" s="5"/>
      <c r="M749" s="5">
        <f>IFERROR(__xludf.DUMMYFUNCTION("""COMPUTED_VALUE"""),889.18)</f>
        <v>889.18</v>
      </c>
      <c r="N749" s="5"/>
      <c r="O749" s="5"/>
      <c r="P749" s="5"/>
      <c r="Q749" s="5" t="str">
        <f>IFERROR(__xludf.DUMMYFUNCTION("""COMPUTED_VALUE"""),"Y")</f>
        <v>Y</v>
      </c>
      <c r="R749" s="5"/>
      <c r="S749" s="5" t="str">
        <f>IFERROR(__xludf.DUMMYFUNCTION("""COMPUTED_VALUE"""),"ขึ้นของมหาชัย")</f>
        <v>ขึ้นของมหาชัย</v>
      </c>
      <c r="T749" s="5">
        <f>IFERROR(__xludf.DUMMYFUNCTION("""COMPUTED_VALUE"""),850.0)</f>
        <v>850</v>
      </c>
      <c r="U749" s="5" t="str">
        <f>IFERROR(__xludf.DUMMYFUNCTION("""COMPUTED_VALUE"""),"N")</f>
        <v>N</v>
      </c>
      <c r="V749" s="5">
        <f>IFERROR(__xludf.DUMMYFUNCTION("""COMPUTED_VALUE"""),960.0)</f>
        <v>960</v>
      </c>
      <c r="W749" s="5">
        <f>IFERROR(__xludf.DUMMYFUNCTION("""COMPUTED_VALUE"""),0.0)</f>
        <v>0</v>
      </c>
      <c r="X749" s="5">
        <f>IFERROR(__xludf.DUMMYFUNCTION("""COMPUTED_VALUE"""),0.0)</f>
        <v>0</v>
      </c>
      <c r="Y749" s="5">
        <f>IFERROR(__xludf.DUMMYFUNCTION("""COMPUTED_VALUE"""),0.0)</f>
        <v>0</v>
      </c>
      <c r="Z749" s="5"/>
    </row>
    <row r="750">
      <c r="A750" s="5" t="str">
        <f>IFERROR(__xludf.DUMMYFUNCTION("""COMPUTED_VALUE"""),"เส้นปลา-500กรัม20*ลัง")</f>
        <v>เส้นปลา-500กรัม20*ลัง</v>
      </c>
      <c r="B750" s="5">
        <f>IFERROR(__xludf.DUMMYFUNCTION("""COMPUTED_VALUE"""),10045.0)</f>
        <v>10045</v>
      </c>
      <c r="C750" s="5" t="str">
        <f>IFERROR(__xludf.DUMMYFUNCTION("""COMPUTED_VALUE"""),"เส้นปลาทวีวงษ์500g  20แพ็ค / (ลัง)")</f>
        <v>เส้นปลาทวีวงษ์500g  20แพ็ค / (ลัง)</v>
      </c>
      <c r="D750" s="5" t="str">
        <f>IFERROR(__xludf.DUMMYFUNCTION("""COMPUTED_VALUE"""),"ทวีวงษ์-PFP")</f>
        <v>ทวีวงษ์-PFP</v>
      </c>
      <c r="E750" s="5"/>
      <c r="F750" s="5" t="str">
        <f>IFERROR(__xludf.DUMMYFUNCTION("""COMPUTED_VALUE"""),"N")</f>
        <v>N</v>
      </c>
      <c r="G750" s="5"/>
      <c r="H750" s="5"/>
      <c r="I750" s="5"/>
      <c r="J750" s="5"/>
      <c r="K750" s="5"/>
      <c r="L750" s="5"/>
      <c r="M750" s="5">
        <f>IFERROR(__xludf.DUMMYFUNCTION("""COMPUTED_VALUE"""),1200.0)</f>
        <v>1200</v>
      </c>
      <c r="N750" s="5">
        <f>IFERROR(__xludf.DUMMYFUNCTION("""COMPUTED_VALUE"""),10045.0)</f>
        <v>10045</v>
      </c>
      <c r="O750" s="5"/>
      <c r="P750" s="5"/>
      <c r="Q750" s="5" t="str">
        <f>IFERROR(__xludf.DUMMYFUNCTION("""COMPUTED_VALUE"""),"Y")</f>
        <v>Y</v>
      </c>
      <c r="R750" s="5"/>
      <c r="S750" s="5" t="str">
        <f>IFERROR(__xludf.DUMMYFUNCTION("""COMPUTED_VALUE"""),"ทวีวงษ์")</f>
        <v>ทวีวงษ์</v>
      </c>
      <c r="T750" s="5">
        <f>IFERROR(__xludf.DUMMYFUNCTION("""COMPUTED_VALUE"""),1200.0)</f>
        <v>1200</v>
      </c>
      <c r="U750" s="5" t="str">
        <f>IFERROR(__xludf.DUMMYFUNCTION("""COMPUTED_VALUE"""),"Y")</f>
        <v>Y</v>
      </c>
      <c r="V750" s="5">
        <f>IFERROR(__xludf.DUMMYFUNCTION("""COMPUTED_VALUE"""),1270.0)</f>
        <v>1270</v>
      </c>
      <c r="W750" s="5">
        <f>IFERROR(__xludf.DUMMYFUNCTION("""COMPUTED_VALUE"""),1.0)</f>
        <v>1</v>
      </c>
      <c r="X750" s="5">
        <f>IFERROR(__xludf.DUMMYFUNCTION("""COMPUTED_VALUE"""),0.0)</f>
        <v>0</v>
      </c>
      <c r="Y750" s="5"/>
      <c r="Z750" s="5"/>
    </row>
    <row r="751">
      <c r="A751" s="5" t="str">
        <f>IFERROR(__xludf.DUMMYFUNCTION("""COMPUTED_VALUE"""),"(s)-เส้นหนึบ")</f>
        <v>(s)-เส้นหนึบ</v>
      </c>
      <c r="B751" s="5">
        <f>IFERROR(__xludf.DUMMYFUNCTION("""COMPUTED_VALUE"""),31474.0)</f>
        <v>31474</v>
      </c>
      <c r="C751" s="5" t="str">
        <f>IFERROR(__xludf.DUMMYFUNCTION("""COMPUTED_VALUE"""),"เส้นหนึบ 10แพ็ค/หิ้ว")</f>
        <v>เส้นหนึบ 10แพ็ค/หิ้ว</v>
      </c>
      <c r="D751" s="5"/>
      <c r="E751" s="5" t="str">
        <f>IFERROR(__xludf.DUMMYFUNCTION("""COMPUTED_VALUE"""),"&lt;p&gt;X&lt;/p&gt;")</f>
        <v>&lt;p&gt;X&lt;/p&gt;</v>
      </c>
      <c r="F751" s="5" t="str">
        <f>IFERROR(__xludf.DUMMYFUNCTION("""COMPUTED_VALUE"""),"N")</f>
        <v>N</v>
      </c>
      <c r="G751" s="5"/>
      <c r="H751" s="5"/>
      <c r="I751" s="5"/>
      <c r="J751" s="5"/>
      <c r="K751" s="5"/>
      <c r="L751" s="5"/>
      <c r="M751" s="5"/>
      <c r="N751" s="5"/>
      <c r="O751" s="5">
        <f>IFERROR(__xludf.DUMMYFUNCTION("""COMPUTED_VALUE"""),11474.0)</f>
        <v>11474</v>
      </c>
      <c r="P751" s="5">
        <f>IFERROR(__xludf.DUMMYFUNCTION("""COMPUTED_VALUE"""),10.0)</f>
        <v>10</v>
      </c>
      <c r="Q751" s="5" t="str">
        <f>IFERROR(__xludf.DUMMYFUNCTION("""COMPUTED_VALUE"""),"N")</f>
        <v>N</v>
      </c>
      <c r="R751" s="5" t="str">
        <f>IFERROR(__xludf.DUMMYFUNCTION("""COMPUTED_VALUE"""),"N")</f>
        <v>N</v>
      </c>
      <c r="S751" s="5"/>
      <c r="T751" s="5"/>
      <c r="U751" s="5" t="str">
        <f>IFERROR(__xludf.DUMMYFUNCTION("""COMPUTED_VALUE"""),"Y")</f>
        <v>Y</v>
      </c>
      <c r="V751" s="5">
        <f>IFERROR(__xludf.DUMMYFUNCTION("""COMPUTED_VALUE"""),230.0)</f>
        <v>230</v>
      </c>
      <c r="W751" s="5"/>
      <c r="X751" s="5"/>
      <c r="Y751" s="5"/>
      <c r="Z751" s="5"/>
    </row>
    <row r="752">
      <c r="A752" s="5" t="str">
        <f>IFERROR(__xludf.DUMMYFUNCTION("""COMPUTED_VALUE"""),"เส้นหนึบ-50แพ็ค/ลัง")</f>
        <v>เส้นหนึบ-50แพ็ค/ลัง</v>
      </c>
      <c r="B752" s="5">
        <f>IFERROR(__xludf.DUMMYFUNCTION("""COMPUTED_VALUE"""),10273.0)</f>
        <v>10273</v>
      </c>
      <c r="C752" s="5" t="str">
        <f>IFERROR(__xludf.DUMMYFUNCTION("""COMPUTED_VALUE"""),"เส้นหนึบ 50แพ็ค/ลัง")</f>
        <v>เส้นหนึบ 50แพ็ค/ลัง</v>
      </c>
      <c r="D752" s="5"/>
      <c r="E752" s="5"/>
      <c r="F752" s="5" t="str">
        <f>IFERROR(__xludf.DUMMYFUNCTION("""COMPUTED_VALUE"""),"N")</f>
        <v>N</v>
      </c>
      <c r="G752" s="5"/>
      <c r="H752" s="5"/>
      <c r="I752" s="5"/>
      <c r="J752" s="5"/>
      <c r="K752" s="5"/>
      <c r="L752" s="5"/>
      <c r="M752" s="5"/>
      <c r="N752" s="5"/>
      <c r="O752" s="5">
        <f>IFERROR(__xludf.DUMMYFUNCTION("""COMPUTED_VALUE"""),11474.0)</f>
        <v>11474</v>
      </c>
      <c r="P752" s="5">
        <f>IFERROR(__xludf.DUMMYFUNCTION("""COMPUTED_VALUE"""),50.0)</f>
        <v>50</v>
      </c>
      <c r="Q752" s="5" t="str">
        <f>IFERROR(__xludf.DUMMYFUNCTION("""COMPUTED_VALUE"""),"N")</f>
        <v>N</v>
      </c>
      <c r="R752" s="5" t="str">
        <f>IFERROR(__xludf.DUMMYFUNCTION("""COMPUTED_VALUE"""),"N")</f>
        <v>N</v>
      </c>
      <c r="S752" s="5"/>
      <c r="T752" s="5"/>
      <c r="U752" s="5" t="str">
        <f>IFERROR(__xludf.DUMMYFUNCTION("""COMPUTED_VALUE"""),"Y")</f>
        <v>Y</v>
      </c>
      <c r="V752" s="5">
        <f>IFERROR(__xludf.DUMMYFUNCTION("""COMPUTED_VALUE"""),1150.0)</f>
        <v>1150</v>
      </c>
      <c r="W752" s="5"/>
      <c r="X752" s="5"/>
      <c r="Y752" s="5"/>
      <c r="Z752" s="5"/>
    </row>
    <row r="753">
      <c r="A753" s="5" t="str">
        <f>IFERROR(__xludf.DUMMYFUNCTION("""COMPUTED_VALUE"""),"เส้นหนึบ")</f>
        <v>เส้นหนึบ</v>
      </c>
      <c r="B753" s="5">
        <f>IFERROR(__xludf.DUMMYFUNCTION("""COMPUTED_VALUE"""),11474.0)</f>
        <v>11474</v>
      </c>
      <c r="C753" s="5" t="str">
        <f>IFERROR(__xludf.DUMMYFUNCTION("""COMPUTED_VALUE"""),"เส้นหนึบ แพ็ค")</f>
        <v>เส้นหนึบ แพ็ค</v>
      </c>
      <c r="D753" s="5" t="str">
        <f>IFERROR(__xludf.DUMMYFUNCTION("""COMPUTED_VALUE"""),"**ของแห้ง")</f>
        <v>**ของแห้ง</v>
      </c>
      <c r="E753" s="5" t="str">
        <f>IFERROR(__xludf.DUMMYFUNCTION("""COMPUTED_VALUE"""),"&lt;p&gt;X&lt;/p&gt;")</f>
        <v>&lt;p&gt;X&lt;/p&gt;</v>
      </c>
      <c r="F753" s="5" t="str">
        <f>IFERROR(__xludf.DUMMYFUNCTION("""COMPUTED_VALUE"""),"N")</f>
        <v>N</v>
      </c>
      <c r="G753" s="5"/>
      <c r="H753" s="5"/>
      <c r="I753" s="5"/>
      <c r="J753" s="5"/>
      <c r="K753" s="5"/>
      <c r="L753" s="5"/>
      <c r="M753" s="5">
        <f>IFERROR(__xludf.DUMMYFUNCTION("""COMPUTED_VALUE"""),17.8)</f>
        <v>17.8</v>
      </c>
      <c r="N753" s="5">
        <f>IFERROR(__xludf.DUMMYFUNCTION("""COMPUTED_VALUE"""),11474.0)</f>
        <v>11474</v>
      </c>
      <c r="O753" s="5"/>
      <c r="P753" s="5"/>
      <c r="Q753" s="5" t="str">
        <f>IFERROR(__xludf.DUMMYFUNCTION("""COMPUTED_VALUE"""),"Y")</f>
        <v>Y</v>
      </c>
      <c r="R753" s="5"/>
      <c r="S753" s="5"/>
      <c r="T753" s="5">
        <f>IFERROR(__xludf.DUMMYFUNCTION("""COMPUTED_VALUE"""),15.8)</f>
        <v>15.8</v>
      </c>
      <c r="U753" s="5" t="str">
        <f>IFERROR(__xludf.DUMMYFUNCTION("""COMPUTED_VALUE"""),"Y")</f>
        <v>Y</v>
      </c>
      <c r="V753" s="5">
        <f>IFERROR(__xludf.DUMMYFUNCTION("""COMPUTED_VALUE"""),25.0)</f>
        <v>25</v>
      </c>
      <c r="W753" s="5">
        <f>IFERROR(__xludf.DUMMYFUNCTION("""COMPUTED_VALUE"""),120.0)</f>
        <v>120</v>
      </c>
      <c r="X753" s="5"/>
      <c r="Y753" s="5"/>
      <c r="Z753" s="5"/>
    </row>
    <row r="754">
      <c r="A754" s="5" t="str">
        <f>IFERROR(__xludf.DUMMYFUNCTION("""COMPUTED_VALUE"""),"เส้นแก้วธนา-12*1กก-ลัง")</f>
        <v>เส้นแก้วธนา-12*1กก-ลัง</v>
      </c>
      <c r="B754" s="5">
        <f>IFERROR(__xludf.DUMMYFUNCTION("""COMPUTED_VALUE"""),10376.0)</f>
        <v>10376</v>
      </c>
      <c r="C754" s="5" t="str">
        <f>IFERROR(__xludf.DUMMYFUNCTION("""COMPUTED_VALUE"""),"เส้นแก้วคาวา 12 กก. (ลัง) - 57")</f>
        <v>เส้นแก้วคาวา 12 กก. (ลัง) - 57</v>
      </c>
      <c r="D754" s="5"/>
      <c r="E754" s="5" t="str">
        <f>IFERROR(__xludf.DUMMYFUNCTION("""COMPUTED_VALUE"""),"&lt;p&gt;S&lt;/p&gt;")</f>
        <v>&lt;p&gt;S&lt;/p&gt;</v>
      </c>
      <c r="F754" s="5" t="str">
        <f>IFERROR(__xludf.DUMMYFUNCTION("""COMPUTED_VALUE"""),"N")</f>
        <v>N</v>
      </c>
      <c r="G754" s="5"/>
      <c r="H754" s="5"/>
      <c r="I754" s="5"/>
      <c r="J754" s="5"/>
      <c r="K754" s="5"/>
      <c r="L754" s="5"/>
      <c r="M754" s="5"/>
      <c r="N754" s="5">
        <f>IFERROR(__xludf.DUMMYFUNCTION("""COMPUTED_VALUE"""),10376.0)</f>
        <v>10376</v>
      </c>
      <c r="O754" s="5">
        <f>IFERROR(__xludf.DUMMYFUNCTION("""COMPUTED_VALUE"""),10206.0)</f>
        <v>10206</v>
      </c>
      <c r="P754" s="5">
        <f>IFERROR(__xludf.DUMMYFUNCTION("""COMPUTED_VALUE"""),12.0)</f>
        <v>12</v>
      </c>
      <c r="Q754" s="5" t="str">
        <f>IFERROR(__xludf.DUMMYFUNCTION("""COMPUTED_VALUE"""),"N")</f>
        <v>N</v>
      </c>
      <c r="R754" s="5" t="str">
        <f>IFERROR(__xludf.DUMMYFUNCTION("""COMPUTED_VALUE"""),"N")</f>
        <v>N</v>
      </c>
      <c r="S754" s="5"/>
      <c r="T754" s="5"/>
      <c r="U754" s="5" t="str">
        <f>IFERROR(__xludf.DUMMYFUNCTION("""COMPUTED_VALUE"""),"Y")</f>
        <v>Y</v>
      </c>
      <c r="V754" s="5">
        <f>IFERROR(__xludf.DUMMYFUNCTION("""COMPUTED_VALUE"""),684.0)</f>
        <v>684</v>
      </c>
      <c r="W754" s="5"/>
      <c r="X754" s="5"/>
      <c r="Y754" s="5"/>
      <c r="Z754" s="5"/>
    </row>
    <row r="755">
      <c r="A755" s="5" t="str">
        <f>IFERROR(__xludf.DUMMYFUNCTION("""COMPUTED_VALUE"""),"(s)-สาหร่ายแก้วตราธะนา-1กก-1")</f>
        <v>(s)-สาหร่ายแก้วตราธะนา-1กก-1</v>
      </c>
      <c r="B755" s="5">
        <f>IFERROR(__xludf.DUMMYFUNCTION("""COMPUTED_VALUE"""),30206.0)</f>
        <v>30206</v>
      </c>
      <c r="C755" s="5" t="str">
        <f>IFERROR(__xludf.DUMMYFUNCTION("""COMPUTED_VALUE"""),"เส้นแก้วคาวา 12กก/ลัง R100(52)")</f>
        <v>เส้นแก้วคาวา 12กก/ลัง R100(52)</v>
      </c>
      <c r="D755" s="5" t="str">
        <f>IFERROR(__xludf.DUMMYFUNCTION("""COMPUTED_VALUE"""),"**ร้านค้า ราคาพิเศษ")</f>
        <v>**ร้านค้า ราคาพิเศษ</v>
      </c>
      <c r="E755" s="5" t="str">
        <f>IFERROR(__xludf.DUMMYFUNCTION("""COMPUTED_VALUE"""),"&lt;p&gt;X&lt;/p&gt;")</f>
        <v>&lt;p&gt;X&lt;/p&gt;</v>
      </c>
      <c r="F755" s="5" t="str">
        <f>IFERROR(__xludf.DUMMYFUNCTION("""COMPUTED_VALUE"""),"N")</f>
        <v>N</v>
      </c>
      <c r="G755" s="5"/>
      <c r="H755" s="5"/>
      <c r="I755" s="5"/>
      <c r="J755" s="5"/>
      <c r="K755" s="5"/>
      <c r="L755" s="5"/>
      <c r="M755" s="5"/>
      <c r="N755" s="5">
        <f>IFERROR(__xludf.DUMMYFUNCTION("""COMPUTED_VALUE"""),8.859088901011E12)</f>
        <v>8859088901011</v>
      </c>
      <c r="O755" s="5">
        <f>IFERROR(__xludf.DUMMYFUNCTION("""COMPUTED_VALUE"""),10206.0)</f>
        <v>10206</v>
      </c>
      <c r="P755" s="5">
        <f>IFERROR(__xludf.DUMMYFUNCTION("""COMPUTED_VALUE"""),12.0)</f>
        <v>12</v>
      </c>
      <c r="Q755" s="5" t="str">
        <f>IFERROR(__xludf.DUMMYFUNCTION("""COMPUTED_VALUE"""),"N")</f>
        <v>N</v>
      </c>
      <c r="R755" s="5" t="str">
        <f>IFERROR(__xludf.DUMMYFUNCTION("""COMPUTED_VALUE"""),"N")</f>
        <v>N</v>
      </c>
      <c r="S755" s="5"/>
      <c r="T755" s="5"/>
      <c r="U755" s="5" t="str">
        <f>IFERROR(__xludf.DUMMYFUNCTION("""COMPUTED_VALUE"""),"N")</f>
        <v>N</v>
      </c>
      <c r="V755" s="5">
        <f>IFERROR(__xludf.DUMMYFUNCTION("""COMPUTED_VALUE"""),624.0)</f>
        <v>624</v>
      </c>
      <c r="W755" s="5"/>
      <c r="X755" s="5"/>
      <c r="Y755" s="5"/>
      <c r="Z755" s="5"/>
    </row>
    <row r="756">
      <c r="A756" s="5" t="str">
        <f>IFERROR(__xludf.DUMMYFUNCTION("""COMPUTED_VALUE"""),"สาหร่ายแก้วตราธะนา-1กก-1")</f>
        <v>สาหร่ายแก้วตราธะนา-1กก-1</v>
      </c>
      <c r="B756" s="5">
        <f>IFERROR(__xludf.DUMMYFUNCTION("""COMPUTED_VALUE"""),10206.0)</f>
        <v>10206</v>
      </c>
      <c r="C756" s="5" t="str">
        <f>IFERROR(__xludf.DUMMYFUNCTION("""COMPUTED_VALUE"""),"เส้นแก้วคาวา 1กก(64)")</f>
        <v>เส้นแก้วคาวา 1กก(64)</v>
      </c>
      <c r="D756" s="5" t="str">
        <f>IFERROR(__xludf.DUMMYFUNCTION("""COMPUTED_VALUE"""),"**ของแห้ง")</f>
        <v>**ของแห้ง</v>
      </c>
      <c r="E756" s="5" t="str">
        <f>IFERROR(__xludf.DUMMYFUNCTION("""COMPUTED_VALUE"""),"&lt;p&gt;A&lt;/p&gt;")</f>
        <v>&lt;p&gt;A&lt;/p&gt;</v>
      </c>
      <c r="F756" s="5" t="str">
        <f>IFERROR(__xludf.DUMMYFUNCTION("""COMPUTED_VALUE"""),"N")</f>
        <v>N</v>
      </c>
      <c r="G756" s="5"/>
      <c r="H756" s="5"/>
      <c r="I756" s="5"/>
      <c r="J756" s="5"/>
      <c r="K756" s="5"/>
      <c r="L756" s="5"/>
      <c r="M756" s="5">
        <f>IFERROR(__xludf.DUMMYFUNCTION("""COMPUTED_VALUE"""),50.0)</f>
        <v>50</v>
      </c>
      <c r="N756" s="5">
        <f>IFERROR(__xludf.DUMMYFUNCTION("""COMPUTED_VALUE"""),8.859849200018E12)</f>
        <v>8859849200018</v>
      </c>
      <c r="O756" s="5"/>
      <c r="P756" s="5"/>
      <c r="Q756" s="5" t="str">
        <f>IFERROR(__xludf.DUMMYFUNCTION("""COMPUTED_VALUE"""),"Y")</f>
        <v>Y</v>
      </c>
      <c r="R756" s="5"/>
      <c r="S756" s="5" t="str">
        <f>IFERROR(__xludf.DUMMYFUNCTION("""COMPUTED_VALUE"""),"หมูอร่อย")</f>
        <v>หมูอร่อย</v>
      </c>
      <c r="T756" s="5">
        <f>IFERROR(__xludf.DUMMYFUNCTION("""COMPUTED_VALUE"""),50.0)</f>
        <v>50</v>
      </c>
      <c r="U756" s="5" t="str">
        <f>IFERROR(__xludf.DUMMYFUNCTION("""COMPUTED_VALUE"""),"Y")</f>
        <v>Y</v>
      </c>
      <c r="V756" s="5">
        <f>IFERROR(__xludf.DUMMYFUNCTION("""COMPUTED_VALUE"""),64.0)</f>
        <v>64</v>
      </c>
      <c r="W756" s="5">
        <f>IFERROR(__xludf.DUMMYFUNCTION("""COMPUTED_VALUE"""),108.0)</f>
        <v>108</v>
      </c>
      <c r="X756" s="5">
        <f>IFERROR(__xludf.DUMMYFUNCTION("""COMPUTED_VALUE"""),44.0)</f>
        <v>44</v>
      </c>
      <c r="Y756" s="5">
        <f>IFERROR(__xludf.DUMMYFUNCTION("""COMPUTED_VALUE"""),65.0)</f>
        <v>65</v>
      </c>
      <c r="Z756" s="5"/>
    </row>
    <row r="757">
      <c r="A757" s="5" t="str">
        <f>IFERROR(__xludf.DUMMYFUNCTION("""COMPUTED_VALUE"""),"เส้นแก้วคาวา-500-กรัม()")</f>
        <v>เส้นแก้วคาวา-500-กรัม()</v>
      </c>
      <c r="B757" s="5">
        <f>IFERROR(__xludf.DUMMYFUNCTION("""COMPUTED_VALUE"""),10746.0)</f>
        <v>10746</v>
      </c>
      <c r="C757" s="5" t="str">
        <f>IFERROR(__xludf.DUMMYFUNCTION("""COMPUTED_VALUE"""),"เส้นแก้วคาวา 500g (45)")</f>
        <v>เส้นแก้วคาวา 500g (45)</v>
      </c>
      <c r="D757" s="5" t="str">
        <f>IFERROR(__xludf.DUMMYFUNCTION("""COMPUTED_VALUE"""),"**ของแห้ง")</f>
        <v>**ของแห้ง</v>
      </c>
      <c r="E757" s="5"/>
      <c r="F757" s="5" t="str">
        <f>IFERROR(__xludf.DUMMYFUNCTION("""COMPUTED_VALUE"""),"N")</f>
        <v>N</v>
      </c>
      <c r="G757" s="5"/>
      <c r="H757" s="5"/>
      <c r="I757" s="5"/>
      <c r="J757" s="5"/>
      <c r="K757" s="5"/>
      <c r="L757" s="5"/>
      <c r="M757" s="5">
        <f>IFERROR(__xludf.DUMMYFUNCTION("""COMPUTED_VALUE"""),40.0)</f>
        <v>40</v>
      </c>
      <c r="N757" s="5"/>
      <c r="O757" s="5"/>
      <c r="P757" s="5"/>
      <c r="Q757" s="5" t="str">
        <f>IFERROR(__xludf.DUMMYFUNCTION("""COMPUTED_VALUE"""),"Y")</f>
        <v>Y</v>
      </c>
      <c r="R757" s="5"/>
      <c r="S757" s="5"/>
      <c r="T757" s="5">
        <f>IFERROR(__xludf.DUMMYFUNCTION("""COMPUTED_VALUE"""),40.0)</f>
        <v>40</v>
      </c>
      <c r="U757" s="5" t="str">
        <f>IFERROR(__xludf.DUMMYFUNCTION("""COMPUTED_VALUE"""),"N")</f>
        <v>N</v>
      </c>
      <c r="V757" s="5">
        <f>IFERROR(__xludf.DUMMYFUNCTION("""COMPUTED_VALUE"""),45.0)</f>
        <v>45</v>
      </c>
      <c r="W757" s="5">
        <f>IFERROR(__xludf.DUMMYFUNCTION("""COMPUTED_VALUE"""),0.0)</f>
        <v>0</v>
      </c>
      <c r="X757" s="5"/>
      <c r="Y757" s="5"/>
      <c r="Z757" s="5"/>
    </row>
    <row r="758">
      <c r="A758" s="5" t="str">
        <f>IFERROR(__xludf.DUMMYFUNCTION("""COMPUTED_VALUE"""),"เส้นแก้วคาวา-500g-20แพ็ต-(ลัง)")</f>
        <v>เส้นแก้วคาวา-500g-20แพ็ต-(ลัง)</v>
      </c>
      <c r="B758" s="5">
        <f>IFERROR(__xludf.DUMMYFUNCTION("""COMPUTED_VALUE"""),10879.0)</f>
        <v>10879</v>
      </c>
      <c r="C758" s="5" t="str">
        <f>IFERROR(__xludf.DUMMYFUNCTION("""COMPUTED_VALUE"""),"เส้นแก้วคาวา 500g 20แพ็ต (ลัง)")</f>
        <v>เส้นแก้วคาวา 500g 20แพ็ต (ลัง)</v>
      </c>
      <c r="D758" s="5"/>
      <c r="E758" s="5"/>
      <c r="F758" s="5" t="str">
        <f>IFERROR(__xludf.DUMMYFUNCTION("""COMPUTED_VALUE"""),"N")</f>
        <v>N</v>
      </c>
      <c r="G758" s="5"/>
      <c r="H758" s="5"/>
      <c r="I758" s="5"/>
      <c r="J758" s="5"/>
      <c r="K758" s="5"/>
      <c r="L758" s="5"/>
      <c r="M758" s="5"/>
      <c r="N758" s="5"/>
      <c r="O758" s="5">
        <f>IFERROR(__xludf.DUMMYFUNCTION("""COMPUTED_VALUE"""),10746.0)</f>
        <v>10746</v>
      </c>
      <c r="P758" s="5">
        <f>IFERROR(__xludf.DUMMYFUNCTION("""COMPUTED_VALUE"""),20.0)</f>
        <v>20</v>
      </c>
      <c r="Q758" s="5" t="str">
        <f>IFERROR(__xludf.DUMMYFUNCTION("""COMPUTED_VALUE"""),"N")</f>
        <v>N</v>
      </c>
      <c r="R758" s="5" t="str">
        <f>IFERROR(__xludf.DUMMYFUNCTION("""COMPUTED_VALUE"""),"N")</f>
        <v>N</v>
      </c>
      <c r="S758" s="5"/>
      <c r="T758" s="5"/>
      <c r="U758" s="5" t="str">
        <f>IFERROR(__xludf.DUMMYFUNCTION("""COMPUTED_VALUE"""),"N")</f>
        <v>N</v>
      </c>
      <c r="V758" s="5">
        <f>IFERROR(__xludf.DUMMYFUNCTION("""COMPUTED_VALUE"""),850.0)</f>
        <v>850</v>
      </c>
      <c r="W758" s="5"/>
      <c r="X758" s="5"/>
      <c r="Y758" s="5"/>
      <c r="Z758" s="5"/>
    </row>
    <row r="759">
      <c r="A759" s="5" t="str">
        <f>IFERROR(__xludf.DUMMYFUNCTION("""COMPUTED_VALUE"""),"เสือร้องไห้-โคขุน(195)")</f>
        <v>เสือร้องไห้-โคขุน(195)</v>
      </c>
      <c r="B759" s="5">
        <f>IFERROR(__xludf.DUMMYFUNCTION("""COMPUTED_VALUE"""),10088.0)</f>
        <v>10088</v>
      </c>
      <c r="C759" s="5" t="str">
        <f>IFERROR(__xludf.DUMMYFUNCTION("""COMPUTED_VALUE"""),"เสือ โคขุน(205)")</f>
        <v>เสือ โคขุน(205)</v>
      </c>
      <c r="D759" s="5" t="str">
        <f>IFERROR(__xludf.DUMMYFUNCTION("""COMPUTED_VALUE"""),"**ชั่งน้ำหนัก")</f>
        <v>**ชั่งน้ำหนัก</v>
      </c>
      <c r="E759" s="5" t="str">
        <f>IFERROR(__xludf.DUMMYFUNCTION("""COMPUTED_VALUE"""),"&lt;p&gt;S&lt;/p&gt;")</f>
        <v>&lt;p&gt;S&lt;/p&gt;</v>
      </c>
      <c r="F759" s="5" t="str">
        <f>IFERROR(__xludf.DUMMYFUNCTION("""COMPUTED_VALUE"""),"Y")</f>
        <v>Y</v>
      </c>
      <c r="G759" s="5"/>
      <c r="H759" s="5"/>
      <c r="I759" s="5"/>
      <c r="J759" s="5"/>
      <c r="K759" s="5"/>
      <c r="L759" s="5"/>
      <c r="M759" s="5">
        <f>IFERROR(__xludf.DUMMYFUNCTION("""COMPUTED_VALUE"""),185.0)</f>
        <v>185</v>
      </c>
      <c r="N759" s="5">
        <f>IFERROR(__xludf.DUMMYFUNCTION("""COMPUTED_VALUE"""),10088.0)</f>
        <v>10088</v>
      </c>
      <c r="O759" s="5"/>
      <c r="P759" s="5"/>
      <c r="Q759" s="5" t="str">
        <f>IFERROR(__xludf.DUMMYFUNCTION("""COMPUTED_VALUE"""),"Y")</f>
        <v>Y</v>
      </c>
      <c r="R759" s="5"/>
      <c r="S759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59" s="5">
        <f>IFERROR(__xludf.DUMMYFUNCTION("""COMPUTED_VALUE"""),185.0)</f>
        <v>185</v>
      </c>
      <c r="U759" s="5" t="str">
        <f>IFERROR(__xludf.DUMMYFUNCTION("""COMPUTED_VALUE"""),"Y")</f>
        <v>Y</v>
      </c>
      <c r="V759" s="5">
        <f>IFERROR(__xludf.DUMMYFUNCTION("""COMPUTED_VALUE"""),205.0)</f>
        <v>205</v>
      </c>
      <c r="W759" s="5">
        <f>IFERROR(__xludf.DUMMYFUNCTION("""COMPUTED_VALUE"""),23.76)</f>
        <v>23.76</v>
      </c>
      <c r="X759" s="5">
        <f>IFERROR(__xludf.DUMMYFUNCTION("""COMPUTED_VALUE"""),0.0)</f>
        <v>0</v>
      </c>
      <c r="Y759" s="5"/>
      <c r="Z759" s="5"/>
    </row>
    <row r="760">
      <c r="A760" s="5" t="str">
        <f>IFERROR(__xludf.DUMMYFUNCTION("""COMPUTED_VALUE"""),"(s)-เห็ดออรินจิ")</f>
        <v>(s)-เห็ดออรินจิ</v>
      </c>
      <c r="B760" s="5">
        <f>IFERROR(__xludf.DUMMYFUNCTION("""COMPUTED_VALUE"""),30512.0)</f>
        <v>30512</v>
      </c>
      <c r="C760" s="5" t="str">
        <f>IFERROR(__xludf.DUMMYFUNCTION("""COMPUTED_VALUE"""),"เห็ดออรินจิ (พิเศษ)5kg/ลัง")</f>
        <v>เห็ดออรินจิ (พิเศษ)5kg/ลัง</v>
      </c>
      <c r="D760" s="5" t="str">
        <f>IFERROR(__xludf.DUMMYFUNCTION("""COMPUTED_VALUE"""),"**ร้านค้า ราคาพิเศษ")</f>
        <v>**ร้านค้า ราคาพิเศษ</v>
      </c>
      <c r="E760" s="5" t="str">
        <f>IFERROR(__xludf.DUMMYFUNCTION("""COMPUTED_VALUE"""),"&lt;p&gt;X&lt;/p&gt;")</f>
        <v>&lt;p&gt;X&lt;/p&gt;</v>
      </c>
      <c r="F760" s="5" t="str">
        <f>IFERROR(__xludf.DUMMYFUNCTION("""COMPUTED_VALUE"""),"N")</f>
        <v>N</v>
      </c>
      <c r="G760" s="5"/>
      <c r="H760" s="5"/>
      <c r="I760" s="5"/>
      <c r="J760" s="5"/>
      <c r="K760" s="5"/>
      <c r="L760" s="5"/>
      <c r="M760" s="5"/>
      <c r="N760" s="5">
        <f>IFERROR(__xludf.DUMMYFUNCTION("""COMPUTED_VALUE"""),10512.0)</f>
        <v>10512</v>
      </c>
      <c r="O760" s="5">
        <f>IFERROR(__xludf.DUMMYFUNCTION("""COMPUTED_VALUE"""),10512.0)</f>
        <v>10512</v>
      </c>
      <c r="P760" s="5">
        <f>IFERROR(__xludf.DUMMYFUNCTION("""COMPUTED_VALUE"""),5.0)</f>
        <v>5</v>
      </c>
      <c r="Q760" s="5" t="str">
        <f>IFERROR(__xludf.DUMMYFUNCTION("""COMPUTED_VALUE"""),"N")</f>
        <v>N</v>
      </c>
      <c r="R760" s="5" t="str">
        <f>IFERROR(__xludf.DUMMYFUNCTION("""COMPUTED_VALUE"""),"N")</f>
        <v>N</v>
      </c>
      <c r="S760" s="5"/>
      <c r="T760" s="5"/>
      <c r="U760" s="5" t="str">
        <f>IFERROR(__xludf.DUMMYFUNCTION("""COMPUTED_VALUE"""),"N")</f>
        <v>N</v>
      </c>
      <c r="V760" s="5">
        <f>IFERROR(__xludf.DUMMYFUNCTION("""COMPUTED_VALUE"""),375.0)</f>
        <v>375</v>
      </c>
      <c r="W760" s="5"/>
      <c r="X760" s="5"/>
      <c r="Y760" s="5"/>
      <c r="Z760" s="5"/>
    </row>
    <row r="761">
      <c r="A761" s="5" t="str">
        <f>IFERROR(__xludf.DUMMYFUNCTION("""COMPUTED_VALUE"""),"เห็ดออรินจิ")</f>
        <v>เห็ดออรินจิ</v>
      </c>
      <c r="B761" s="5">
        <f>IFERROR(__xludf.DUMMYFUNCTION("""COMPUTED_VALUE"""),10512.0)</f>
        <v>10512</v>
      </c>
      <c r="C761" s="5" t="str">
        <f>IFERROR(__xludf.DUMMYFUNCTION("""COMPUTED_VALUE"""),"เห็ดออรินจิ 1kg / ถุง")</f>
        <v>เห็ดออรินจิ 1kg / ถุง</v>
      </c>
      <c r="D761" s="5" t="str">
        <f>IFERROR(__xludf.DUMMYFUNCTION("""COMPUTED_VALUE"""),"**เครื่องดื่ม")</f>
        <v>**เครื่องดื่ม</v>
      </c>
      <c r="E761" s="5" t="str">
        <f>IFERROR(__xludf.DUMMYFUNCTION("""COMPUTED_VALUE"""),"&lt;p&gt;B&lt;/p&gt;")</f>
        <v>&lt;p&gt;B&lt;/p&gt;</v>
      </c>
      <c r="F761" s="5" t="str">
        <f>IFERROR(__xludf.DUMMYFUNCTION("""COMPUTED_VALUE"""),"N")</f>
        <v>N</v>
      </c>
      <c r="G761" s="5"/>
      <c r="H761" s="5"/>
      <c r="I761" s="5"/>
      <c r="J761" s="5"/>
      <c r="K761" s="5"/>
      <c r="L761" s="5"/>
      <c r="M761" s="5">
        <f>IFERROR(__xludf.DUMMYFUNCTION("""COMPUTED_VALUE"""),70.67)</f>
        <v>70.67</v>
      </c>
      <c r="N761" s="5">
        <f>IFERROR(__xludf.DUMMYFUNCTION("""COMPUTED_VALUE"""),10512.0)</f>
        <v>10512</v>
      </c>
      <c r="O761" s="5"/>
      <c r="P761" s="5"/>
      <c r="Q761" s="5" t="str">
        <f>IFERROR(__xludf.DUMMYFUNCTION("""COMPUTED_VALUE"""),"Y")</f>
        <v>Y</v>
      </c>
      <c r="R761" s="5"/>
      <c r="S761" s="5" t="str">
        <f>IFERROR(__xludf.DUMMYFUNCTION("""COMPUTED_VALUE"""),"แม็คโคร")</f>
        <v>แม็คโคร</v>
      </c>
      <c r="T761" s="5">
        <f>IFERROR(__xludf.DUMMYFUNCTION("""COMPUTED_VALUE"""),69.0)</f>
        <v>69</v>
      </c>
      <c r="U761" s="5" t="str">
        <f>IFERROR(__xludf.DUMMYFUNCTION("""COMPUTED_VALUE"""),"Y")</f>
        <v>Y</v>
      </c>
      <c r="V761" s="5">
        <f>IFERROR(__xludf.DUMMYFUNCTION("""COMPUTED_VALUE"""),85.0)</f>
        <v>85</v>
      </c>
      <c r="W761" s="5">
        <f>IFERROR(__xludf.DUMMYFUNCTION("""COMPUTED_VALUE"""),13.0)</f>
        <v>13</v>
      </c>
      <c r="X761" s="5">
        <f>IFERROR(__xludf.DUMMYFUNCTION("""COMPUTED_VALUE"""),16.0)</f>
        <v>16</v>
      </c>
      <c r="Y761" s="5">
        <f>IFERROR(__xludf.DUMMYFUNCTION("""COMPUTED_VALUE"""),27.0)</f>
        <v>27</v>
      </c>
      <c r="Z761" s="5"/>
    </row>
    <row r="762">
      <c r="A762" s="5" t="str">
        <f>IFERROR(__xludf.DUMMYFUNCTION("""COMPUTED_VALUE"""),"เห็ดออรินจิ-5-kg-/-ลัง")</f>
        <v>เห็ดออรินจิ-5-kg-/-ลัง</v>
      </c>
      <c r="B762" s="5">
        <f>IFERROR(__xludf.DUMMYFUNCTION("""COMPUTED_VALUE"""),10393.0)</f>
        <v>10393</v>
      </c>
      <c r="C762" s="5" t="str">
        <f>IFERROR(__xludf.DUMMYFUNCTION("""COMPUTED_VALUE"""),"เห็ดออรินจิ 5 กก. (ลัง)")</f>
        <v>เห็ดออรินจิ 5 กก. (ลัง)</v>
      </c>
      <c r="D762" s="5"/>
      <c r="E762" s="5"/>
      <c r="F762" s="5" t="str">
        <f>IFERROR(__xludf.DUMMYFUNCTION("""COMPUTED_VALUE"""),"N")</f>
        <v>N</v>
      </c>
      <c r="G762" s="5"/>
      <c r="H762" s="5"/>
      <c r="I762" s="5"/>
      <c r="J762" s="5"/>
      <c r="K762" s="5"/>
      <c r="L762" s="5"/>
      <c r="M762" s="5"/>
      <c r="N762" s="5">
        <f>IFERROR(__xludf.DUMMYFUNCTION("""COMPUTED_VALUE"""),10393.0)</f>
        <v>10393</v>
      </c>
      <c r="O762" s="5">
        <f>IFERROR(__xludf.DUMMYFUNCTION("""COMPUTED_VALUE"""),10512.0)</f>
        <v>10512</v>
      </c>
      <c r="P762" s="5">
        <f>IFERROR(__xludf.DUMMYFUNCTION("""COMPUTED_VALUE"""),5.0)</f>
        <v>5</v>
      </c>
      <c r="Q762" s="5" t="str">
        <f>IFERROR(__xludf.DUMMYFUNCTION("""COMPUTED_VALUE"""),"N")</f>
        <v>N</v>
      </c>
      <c r="R762" s="5" t="str">
        <f>IFERROR(__xludf.DUMMYFUNCTION("""COMPUTED_VALUE"""),"N")</f>
        <v>N</v>
      </c>
      <c r="S762" s="5"/>
      <c r="T762" s="5"/>
      <c r="U762" s="5" t="str">
        <f>IFERROR(__xludf.DUMMYFUNCTION("""COMPUTED_VALUE"""),"Y")</f>
        <v>Y</v>
      </c>
      <c r="V762" s="5">
        <f>IFERROR(__xludf.DUMMYFUNCTION("""COMPUTED_VALUE"""),400.0)</f>
        <v>400</v>
      </c>
      <c r="W762" s="5"/>
      <c r="X762" s="5"/>
      <c r="Y762" s="5"/>
      <c r="Z762" s="5"/>
    </row>
    <row r="763">
      <c r="A763" s="5" t="str">
        <f>IFERROR(__xludf.DUMMYFUNCTION("""COMPUTED_VALUE"""),"เห็ดออรินจิ(พิเศษ)-5-kg-/-ลัง")</f>
        <v>เห็ดออรินจิ(พิเศษ)-5-kg-/-ลัง</v>
      </c>
      <c r="B763" s="5">
        <f>IFERROR(__xludf.DUMMYFUNCTION("""COMPUTED_VALUE"""),10397.0)</f>
        <v>10397</v>
      </c>
      <c r="C763" s="5" t="str">
        <f>IFERROR(__xludf.DUMMYFUNCTION("""COMPUTED_VALUE"""),"เห็ดออรินจิ(พิเศษ) 5 Kg / ลัง")</f>
        <v>เห็ดออรินจิ(พิเศษ) 5 Kg / ลัง</v>
      </c>
      <c r="D763" s="5" t="str">
        <f>IFERROR(__xludf.DUMMYFUNCTION("""COMPUTED_VALUE"""),"**ร้านค้า ราคาพิเศษ")</f>
        <v>**ร้านค้า ราคาพิเศษ</v>
      </c>
      <c r="E763" s="5"/>
      <c r="F763" s="5" t="str">
        <f>IFERROR(__xludf.DUMMYFUNCTION("""COMPUTED_VALUE"""),"N")</f>
        <v>N</v>
      </c>
      <c r="G763" s="5"/>
      <c r="H763" s="5"/>
      <c r="I763" s="5"/>
      <c r="J763" s="5"/>
      <c r="K763" s="5"/>
      <c r="L763" s="5"/>
      <c r="M763" s="5"/>
      <c r="N763" s="5"/>
      <c r="O763" s="5">
        <f>IFERROR(__xludf.DUMMYFUNCTION("""COMPUTED_VALUE"""),10512.0)</f>
        <v>10512</v>
      </c>
      <c r="P763" s="5">
        <f>IFERROR(__xludf.DUMMYFUNCTION("""COMPUTED_VALUE"""),5.0)</f>
        <v>5</v>
      </c>
      <c r="Q763" s="5" t="str">
        <f>IFERROR(__xludf.DUMMYFUNCTION("""COMPUTED_VALUE"""),"N")</f>
        <v>N</v>
      </c>
      <c r="R763" s="5" t="str">
        <f>IFERROR(__xludf.DUMMYFUNCTION("""COMPUTED_VALUE"""),"N")</f>
        <v>N</v>
      </c>
      <c r="S763" s="5"/>
      <c r="T763" s="5"/>
      <c r="U763" s="5" t="str">
        <f>IFERROR(__xludf.DUMMYFUNCTION("""COMPUTED_VALUE"""),"N")</f>
        <v>N</v>
      </c>
      <c r="V763" s="5">
        <f>IFERROR(__xludf.DUMMYFUNCTION("""COMPUTED_VALUE"""),375.0)</f>
        <v>375</v>
      </c>
      <c r="W763" s="5"/>
      <c r="X763" s="5"/>
      <c r="Y763" s="5"/>
      <c r="Z763" s="5"/>
    </row>
    <row r="764">
      <c r="A764" s="5" t="str">
        <f>IFERROR(__xludf.DUMMYFUNCTION("""COMPUTED_VALUE"""),"เห็ดเข็ม-20*250-กรัม-(ลัง)")</f>
        <v>เห็ดเข็ม-20*250-กรัม-(ลัง)</v>
      </c>
      <c r="B764" s="5">
        <f>IFERROR(__xludf.DUMMYFUNCTION("""COMPUTED_VALUE"""),10128.0)</f>
        <v>10128</v>
      </c>
      <c r="C764" s="5" t="str">
        <f>IFERROR(__xludf.DUMMYFUNCTION("""COMPUTED_VALUE"""),"เห็ดเข็ม 20*250 กรัม (ลัง)")</f>
        <v>เห็ดเข็ม 20*250 กรัม (ลัง)</v>
      </c>
      <c r="D764" s="5"/>
      <c r="E764" s="5"/>
      <c r="F764" s="5" t="str">
        <f>IFERROR(__xludf.DUMMYFUNCTION("""COMPUTED_VALUE"""),"N")</f>
        <v>N</v>
      </c>
      <c r="G764" s="5"/>
      <c r="H764" s="5"/>
      <c r="I764" s="5"/>
      <c r="J764" s="5"/>
      <c r="K764" s="5"/>
      <c r="L764" s="5"/>
      <c r="M764" s="5">
        <f>IFERROR(__xludf.DUMMYFUNCTION("""COMPUTED_VALUE"""),235.0)</f>
        <v>235</v>
      </c>
      <c r="N764" s="5"/>
      <c r="O764" s="5"/>
      <c r="P764" s="5"/>
      <c r="Q764" s="5" t="str">
        <f>IFERROR(__xludf.DUMMYFUNCTION("""COMPUTED_VALUE"""),"Y")</f>
        <v>Y</v>
      </c>
      <c r="R764" s="5"/>
      <c r="S764" s="5"/>
      <c r="T764" s="5">
        <f>IFERROR(__xludf.DUMMYFUNCTION("""COMPUTED_VALUE"""),225.0)</f>
        <v>225</v>
      </c>
      <c r="U764" s="5" t="str">
        <f>IFERROR(__xludf.DUMMYFUNCTION("""COMPUTED_VALUE"""),"N")</f>
        <v>N</v>
      </c>
      <c r="V764" s="5">
        <f>IFERROR(__xludf.DUMMYFUNCTION("""COMPUTED_VALUE"""),285.0)</f>
        <v>285</v>
      </c>
      <c r="W764" s="5">
        <f>IFERROR(__xludf.DUMMYFUNCTION("""COMPUTED_VALUE"""),0.0)</f>
        <v>0</v>
      </c>
      <c r="X764" s="5"/>
      <c r="Y764" s="5"/>
      <c r="Z764" s="5"/>
    </row>
    <row r="765">
      <c r="A765" s="5" t="str">
        <f>IFERROR(__xludf.DUMMYFUNCTION("""COMPUTED_VALUE"""),"เบ้อเร่อ-เห็ดเข็ม-ลัง1*10kg")</f>
        <v>เบ้อเร่อ-เห็ดเข็ม-ลัง1*10kg</v>
      </c>
      <c r="B765" s="5">
        <f>IFERROR(__xludf.DUMMYFUNCTION("""COMPUTED_VALUE"""),10315.0)</f>
        <v>10315</v>
      </c>
      <c r="C765" s="5" t="str">
        <f>IFERROR(__xludf.DUMMYFUNCTION("""COMPUTED_VALUE"""),"เห็ดเข็ม(พิเศษ) ลัง1*10Kg")</f>
        <v>เห็ดเข็ม(พิเศษ) ลัง1*10Kg</v>
      </c>
      <c r="D765" s="5" t="str">
        <f>IFERROR(__xludf.DUMMYFUNCTION("""COMPUTED_VALUE"""),"**ร้านค้า ราคาพิเศษ")</f>
        <v>**ร้านค้า ราคาพิเศษ</v>
      </c>
      <c r="E765" s="5"/>
      <c r="F765" s="5" t="str">
        <f>IFERROR(__xludf.DUMMYFUNCTION("""COMPUTED_VALUE"""),"N")</f>
        <v>N</v>
      </c>
      <c r="G765" s="5"/>
      <c r="H765" s="5"/>
      <c r="I765" s="5"/>
      <c r="J765" s="5"/>
      <c r="K765" s="5"/>
      <c r="L765" s="5"/>
      <c r="M765" s="5"/>
      <c r="N765" s="5"/>
      <c r="O765" s="5">
        <f>IFERROR(__xludf.DUMMYFUNCTION("""COMPUTED_VALUE"""),11261.0)</f>
        <v>11261</v>
      </c>
      <c r="P765" s="5">
        <f>IFERROR(__xludf.DUMMYFUNCTION("""COMPUTED_VALUE"""),1.0)</f>
        <v>1</v>
      </c>
      <c r="Q765" s="5" t="str">
        <f>IFERROR(__xludf.DUMMYFUNCTION("""COMPUTED_VALUE"""),"N")</f>
        <v>N</v>
      </c>
      <c r="R765" s="5" t="str">
        <f>IFERROR(__xludf.DUMMYFUNCTION("""COMPUTED_VALUE"""),"N")</f>
        <v>N</v>
      </c>
      <c r="S765" s="5"/>
      <c r="T765" s="5"/>
      <c r="U765" s="5" t="str">
        <f>IFERROR(__xludf.DUMMYFUNCTION("""COMPUTED_VALUE"""),"Y")</f>
        <v>Y</v>
      </c>
      <c r="V765" s="5">
        <f>IFERROR(__xludf.DUMMYFUNCTION("""COMPUTED_VALUE"""),490.0)</f>
        <v>490</v>
      </c>
      <c r="W765" s="5"/>
      <c r="X765" s="5"/>
      <c r="Y765" s="5"/>
      <c r="Z765" s="5"/>
    </row>
    <row r="766">
      <c r="A766" s="5" t="str">
        <f>IFERROR(__xludf.DUMMYFUNCTION("""COMPUTED_VALUE"""),"เห็ดเข็มทอง-ลัง-1*10kg")</f>
        <v>เห็ดเข็มทอง-ลัง-1*10kg</v>
      </c>
      <c r="B766" s="5">
        <f>IFERROR(__xludf.DUMMYFUNCTION("""COMPUTED_VALUE"""),11261.0)</f>
        <v>11261</v>
      </c>
      <c r="C766" s="5" t="str">
        <f>IFERROR(__xludf.DUMMYFUNCTION("""COMPUTED_VALUE"""),"เห็ดเข็มทอง 10 กก.  (ลัง) - 49")</f>
        <v>เห็ดเข็มทอง 10 กก.  (ลัง) - 49</v>
      </c>
      <c r="D766" s="5" t="str">
        <f>IFERROR(__xludf.DUMMYFUNCTION("""COMPUTED_VALUE"""),"**เครื่องดื่ม")</f>
        <v>**เครื่องดื่ม</v>
      </c>
      <c r="E766" s="5" t="str">
        <f>IFERROR(__xludf.DUMMYFUNCTION("""COMPUTED_VALUE"""),"&lt;p&gt;B&lt;/p&gt;")</f>
        <v>&lt;p&gt;B&lt;/p&gt;</v>
      </c>
      <c r="F766" s="5" t="str">
        <f>IFERROR(__xludf.DUMMYFUNCTION("""COMPUTED_VALUE"""),"N")</f>
        <v>N</v>
      </c>
      <c r="G766" s="5"/>
      <c r="H766" s="5"/>
      <c r="I766" s="5"/>
      <c r="J766" s="5"/>
      <c r="K766" s="5"/>
      <c r="L766" s="5"/>
      <c r="M766" s="5">
        <f>IFERROR(__xludf.DUMMYFUNCTION("""COMPUTED_VALUE"""),430.0)</f>
        <v>430</v>
      </c>
      <c r="N766" s="5">
        <f>IFERROR(__xludf.DUMMYFUNCTION("""COMPUTED_VALUE"""),11261.0)</f>
        <v>11261</v>
      </c>
      <c r="O766" s="5"/>
      <c r="P766" s="5"/>
      <c r="Q766" s="5" t="str">
        <f>IFERROR(__xludf.DUMMYFUNCTION("""COMPUTED_VALUE"""),"Y")</f>
        <v>Y</v>
      </c>
      <c r="R766" s="5"/>
      <c r="S766" s="5" t="str">
        <f>IFERROR(__xludf.DUMMYFUNCTION("""COMPUTED_VALUE"""),"เห็ดเข็ม(โปร)")</f>
        <v>เห็ดเข็ม(โปร)</v>
      </c>
      <c r="T766" s="5">
        <f>IFERROR(__xludf.DUMMYFUNCTION("""COMPUTED_VALUE"""),430.0)</f>
        <v>430</v>
      </c>
      <c r="U766" s="5" t="str">
        <f>IFERROR(__xludf.DUMMYFUNCTION("""COMPUTED_VALUE"""),"Y")</f>
        <v>Y</v>
      </c>
      <c r="V766" s="5">
        <f>IFERROR(__xludf.DUMMYFUNCTION("""COMPUTED_VALUE"""),490.0)</f>
        <v>490</v>
      </c>
      <c r="W766" s="5">
        <f>IFERROR(__xludf.DUMMYFUNCTION("""COMPUTED_VALUE"""),0.5)</f>
        <v>0.5</v>
      </c>
      <c r="X766" s="5">
        <f>IFERROR(__xludf.DUMMYFUNCTION("""COMPUTED_VALUE"""),3.0)</f>
        <v>3</v>
      </c>
      <c r="Y766" s="5">
        <f>IFERROR(__xludf.DUMMYFUNCTION("""COMPUTED_VALUE"""),5.0)</f>
        <v>5</v>
      </c>
      <c r="Z766" s="5"/>
    </row>
    <row r="767">
      <c r="A767" s="5" t="str">
        <f>IFERROR(__xludf.DUMMYFUNCTION("""COMPUTED_VALUE"""),"(s)-เห็ดเข็มทอง-200-กรัม")</f>
        <v>(s)-เห็ดเข็มทอง-200-กรัม</v>
      </c>
      <c r="B767" s="5">
        <f>IFERROR(__xludf.DUMMYFUNCTION("""COMPUTED_VALUE"""),30647.0)</f>
        <v>30647</v>
      </c>
      <c r="C767" s="5" t="str">
        <f>IFERROR(__xludf.DUMMYFUNCTION("""COMPUTED_VALUE"""),"เห็ดเข็มทอง 200 กรัม")</f>
        <v>เห็ดเข็มทอง 200 กรัม</v>
      </c>
      <c r="D767" s="5"/>
      <c r="E767" s="5" t="str">
        <f>IFERROR(__xludf.DUMMYFUNCTION("""COMPUTED_VALUE"""),"&lt;p&gt;S&lt;/p&gt;")</f>
        <v>&lt;p&gt;S&lt;/p&gt;</v>
      </c>
      <c r="F767" s="5" t="str">
        <f>IFERROR(__xludf.DUMMYFUNCTION("""COMPUTED_VALUE"""),"N")</f>
        <v>N</v>
      </c>
      <c r="G767" s="5"/>
      <c r="H767" s="5"/>
      <c r="I767" s="5"/>
      <c r="J767" s="5"/>
      <c r="K767" s="5"/>
      <c r="L767" s="5"/>
      <c r="M767" s="5"/>
      <c r="N767" s="5"/>
      <c r="O767" s="5">
        <f>IFERROR(__xludf.DUMMYFUNCTION("""COMPUTED_VALUE"""),10510.0)</f>
        <v>10510</v>
      </c>
      <c r="P767" s="5">
        <f>IFERROR(__xludf.DUMMYFUNCTION("""COMPUTED_VALUE"""),0.04)</f>
        <v>0.04</v>
      </c>
      <c r="Q767" s="5" t="str">
        <f>IFERROR(__xludf.DUMMYFUNCTION("""COMPUTED_VALUE"""),"N")</f>
        <v>N</v>
      </c>
      <c r="R767" s="5" t="str">
        <f>IFERROR(__xludf.DUMMYFUNCTION("""COMPUTED_VALUE"""),"N")</f>
        <v>N</v>
      </c>
      <c r="S767" s="5"/>
      <c r="T767" s="5"/>
      <c r="U767" s="5" t="str">
        <f>IFERROR(__xludf.DUMMYFUNCTION("""COMPUTED_VALUE"""),"Y")</f>
        <v>Y</v>
      </c>
      <c r="V767" s="5">
        <f>IFERROR(__xludf.DUMMYFUNCTION("""COMPUTED_VALUE"""),12.0)</f>
        <v>12</v>
      </c>
      <c r="W767" s="5"/>
      <c r="X767" s="5"/>
      <c r="Y767" s="5"/>
      <c r="Z767" s="5"/>
    </row>
    <row r="768">
      <c r="A768" s="5" t="str">
        <f>IFERROR(__xludf.DUMMYFUNCTION("""COMPUTED_VALUE"""),"เห็ดเข็มทอง-25*200-กรัม")</f>
        <v>เห็ดเข็มทอง-25*200-กรัม</v>
      </c>
      <c r="B768" s="5">
        <f>IFERROR(__xludf.DUMMYFUNCTION("""COMPUTED_VALUE"""),10510.0)</f>
        <v>10510</v>
      </c>
      <c r="C768" s="5" t="str">
        <f>IFERROR(__xludf.DUMMYFUNCTION("""COMPUTED_VALUE"""),"เห็ดเข็มทอง 25*200 กรัม  (ลัง)")</f>
        <v>เห็ดเข็มทอง 25*200 กรัม  (ลัง)</v>
      </c>
      <c r="D768" s="5" t="str">
        <f>IFERROR(__xludf.DUMMYFUNCTION("""COMPUTED_VALUE"""),"**เครื่องดื่ม")</f>
        <v>**เครื่องดื่ม</v>
      </c>
      <c r="E768" s="5" t="str">
        <f>IFERROR(__xludf.DUMMYFUNCTION("""COMPUTED_VALUE"""),"&lt;p&gt;B&lt;/p&gt;")</f>
        <v>&lt;p&gt;B&lt;/p&gt;</v>
      </c>
      <c r="F768" s="5" t="str">
        <f>IFERROR(__xludf.DUMMYFUNCTION("""COMPUTED_VALUE"""),"N")</f>
        <v>N</v>
      </c>
      <c r="G768" s="5"/>
      <c r="H768" s="5"/>
      <c r="I768" s="5"/>
      <c r="J768" s="5"/>
      <c r="K768" s="5"/>
      <c r="L768" s="5"/>
      <c r="M768" s="5">
        <f>IFERROR(__xludf.DUMMYFUNCTION("""COMPUTED_VALUE"""),235.0)</f>
        <v>235</v>
      </c>
      <c r="N768" s="5">
        <f>IFERROR(__xludf.DUMMYFUNCTION("""COMPUTED_VALUE"""),10510.0)</f>
        <v>10510</v>
      </c>
      <c r="O768" s="5"/>
      <c r="P768" s="5"/>
      <c r="Q768" s="5" t="str">
        <f>IFERROR(__xludf.DUMMYFUNCTION("""COMPUTED_VALUE"""),"Y")</f>
        <v>Y</v>
      </c>
      <c r="R768" s="5"/>
      <c r="S768" s="5" t="str">
        <f>IFERROR(__xludf.DUMMYFUNCTION("""COMPUTED_VALUE"""),"เห็ดเข็ม(โปร)")</f>
        <v>เห็ดเข็ม(โปร)</v>
      </c>
      <c r="T768" s="5">
        <f>IFERROR(__xludf.DUMMYFUNCTION("""COMPUTED_VALUE"""),235.0)</f>
        <v>235</v>
      </c>
      <c r="U768" s="5" t="str">
        <f>IFERROR(__xludf.DUMMYFUNCTION("""COMPUTED_VALUE"""),"Y")</f>
        <v>Y</v>
      </c>
      <c r="V768" s="5">
        <f>IFERROR(__xludf.DUMMYFUNCTION("""COMPUTED_VALUE"""),285.0)</f>
        <v>285</v>
      </c>
      <c r="W768" s="5">
        <f>IFERROR(__xludf.DUMMYFUNCTION("""COMPUTED_VALUE"""),0.0)</f>
        <v>0</v>
      </c>
      <c r="X768" s="5">
        <f>IFERROR(__xludf.DUMMYFUNCTION("""COMPUTED_VALUE"""),13.0)</f>
        <v>13</v>
      </c>
      <c r="Y768" s="5">
        <f>IFERROR(__xludf.DUMMYFUNCTION("""COMPUTED_VALUE"""),22.0)</f>
        <v>22</v>
      </c>
      <c r="Z768" s="5"/>
    </row>
    <row r="769">
      <c r="A769" s="5" t="str">
        <f>IFERROR(__xludf.DUMMYFUNCTION("""COMPUTED_VALUE"""),"เห็ดเข็มทอง-ลังน้ำตาล--200-กรัม(ลัง)")</f>
        <v>เห็ดเข็มทอง-ลังน้ำตาล--200-กรัม(ลัง)</v>
      </c>
      <c r="B769" s="5">
        <f>IFERROR(__xludf.DUMMYFUNCTION("""COMPUTED_VALUE"""),10130.0)</f>
        <v>10130</v>
      </c>
      <c r="C769" s="5" t="str">
        <f>IFERROR(__xludf.DUMMYFUNCTION("""COMPUTED_VALUE"""),"เห็ดเข็มทอง ลังน้ําตาล  200 กรัม(ลัง)")</f>
        <v>เห็ดเข็มทอง ลังน้ําตาล  200 กรัม(ลัง)</v>
      </c>
      <c r="D769" s="5"/>
      <c r="E769" s="5"/>
      <c r="F769" s="5" t="str">
        <f>IFERROR(__xludf.DUMMYFUNCTION("""COMPUTED_VALUE"""),"N")</f>
        <v>N</v>
      </c>
      <c r="G769" s="5"/>
      <c r="H769" s="5"/>
      <c r="I769" s="5"/>
      <c r="J769" s="5"/>
      <c r="K769" s="5"/>
      <c r="L769" s="5"/>
      <c r="M769" s="5">
        <f>IFERROR(__xludf.DUMMYFUNCTION("""COMPUTED_VALUE"""),200.0)</f>
        <v>200</v>
      </c>
      <c r="N769" s="5"/>
      <c r="O769" s="5"/>
      <c r="P769" s="5"/>
      <c r="Q769" s="5" t="str">
        <f>IFERROR(__xludf.DUMMYFUNCTION("""COMPUTED_VALUE"""),"Y")</f>
        <v>Y</v>
      </c>
      <c r="R769" s="5"/>
      <c r="S769" s="5"/>
      <c r="T769" s="5">
        <f>IFERROR(__xludf.DUMMYFUNCTION("""COMPUTED_VALUE"""),200.0)</f>
        <v>200</v>
      </c>
      <c r="U769" s="5" t="str">
        <f>IFERROR(__xludf.DUMMYFUNCTION("""COMPUTED_VALUE"""),"Y")</f>
        <v>Y</v>
      </c>
      <c r="V769" s="5">
        <f>IFERROR(__xludf.DUMMYFUNCTION("""COMPUTED_VALUE"""),245.0)</f>
        <v>245</v>
      </c>
      <c r="W769" s="5">
        <f>IFERROR(__xludf.DUMMYFUNCTION("""COMPUTED_VALUE"""),0.0)</f>
        <v>0</v>
      </c>
      <c r="X769" s="5"/>
      <c r="Y769" s="5"/>
      <c r="Z769" s="5"/>
    </row>
    <row r="770">
      <c r="A770" s="5" t="str">
        <f>IFERROR(__xludf.DUMMYFUNCTION("""COMPUTED_VALUE"""),"เห็ดโปร-(แพ็ค-1กก)")</f>
        <v>เห็ดโปร-(แพ็ค-1กก)</v>
      </c>
      <c r="B770" s="5">
        <f>IFERROR(__xludf.DUMMYFUNCTION("""COMPUTED_VALUE"""),11258.0)</f>
        <v>11258</v>
      </c>
      <c r="C770" s="5" t="str">
        <f>IFERROR(__xludf.DUMMYFUNCTION("""COMPUTED_VALUE"""),"เห็ดเข็มโปร (แพ็ค 1กก)")</f>
        <v>เห็ดเข็มโปร (แพ็ค 1กก)</v>
      </c>
      <c r="D770" s="5"/>
      <c r="E770" s="5" t="str">
        <f>IFERROR(__xludf.DUMMYFUNCTION("""COMPUTED_VALUE"""),"&lt;p&gt;X&lt;/p&gt;")</f>
        <v>&lt;p&gt;X&lt;/p&gt;</v>
      </c>
      <c r="F770" s="5" t="str">
        <f>IFERROR(__xludf.DUMMYFUNCTION("""COMPUTED_VALUE"""),"N")</f>
        <v>N</v>
      </c>
      <c r="G770" s="5"/>
      <c r="H770" s="5"/>
      <c r="I770" s="5"/>
      <c r="J770" s="5"/>
      <c r="K770" s="5"/>
      <c r="L770" s="5"/>
      <c r="M770" s="5"/>
      <c r="N770" s="5">
        <f>IFERROR(__xludf.DUMMYFUNCTION("""COMPUTED_VALUE"""),11258.0)</f>
        <v>11258</v>
      </c>
      <c r="O770" s="5">
        <f>IFERROR(__xludf.DUMMYFUNCTION("""COMPUTED_VALUE"""),11261.0)</f>
        <v>11261</v>
      </c>
      <c r="P770" s="5">
        <f>IFERROR(__xludf.DUMMYFUNCTION("""COMPUTED_VALUE"""),0.1)</f>
        <v>0.1</v>
      </c>
      <c r="Q770" s="5" t="str">
        <f>IFERROR(__xludf.DUMMYFUNCTION("""COMPUTED_VALUE"""),"N")</f>
        <v>N</v>
      </c>
      <c r="R770" s="5" t="str">
        <f>IFERROR(__xludf.DUMMYFUNCTION("""COMPUTED_VALUE"""),"N")</f>
        <v>N</v>
      </c>
      <c r="S770" s="5"/>
      <c r="T770" s="5"/>
      <c r="U770" s="5" t="str">
        <f>IFERROR(__xludf.DUMMYFUNCTION("""COMPUTED_VALUE"""),"Y")</f>
        <v>Y</v>
      </c>
      <c r="V770" s="5">
        <f>IFERROR(__xludf.DUMMYFUNCTION("""COMPUTED_VALUE"""),65.0)</f>
        <v>65</v>
      </c>
      <c r="W770" s="5"/>
      <c r="X770" s="5"/>
      <c r="Y770" s="5"/>
      <c r="Z770" s="5"/>
    </row>
    <row r="771">
      <c r="A771" s="5" t="str">
        <f>IFERROR(__xludf.DUMMYFUNCTION("""COMPUTED_VALUE"""),"เห็ดหูหนูขาวแห้งตราฟินิกซ์-ถุงเล็ก")</f>
        <v>เห็ดหูหนูขาวแห้งตราฟินิกซ์-ถุงเล็ก</v>
      </c>
      <c r="B771" s="5">
        <f>IFERROR(__xludf.DUMMYFUNCTION("""COMPUTED_VALUE"""),10507.0)</f>
        <v>10507</v>
      </c>
      <c r="C771" s="5" t="str">
        <f>IFERROR(__xludf.DUMMYFUNCTION("""COMPUTED_VALUE"""),"เห็ดแห้ง (เล็ก) แพ็ค 2ดอก")</f>
        <v>เห็ดแห้ง (เล็ก) แพ็ค 2ดอก</v>
      </c>
      <c r="D771" s="5" t="str">
        <f>IFERROR(__xludf.DUMMYFUNCTION("""COMPUTED_VALUE"""),"**ของแห้ง")</f>
        <v>**ของแห้ง</v>
      </c>
      <c r="E771" s="5" t="str">
        <f>IFERROR(__xludf.DUMMYFUNCTION("""COMPUTED_VALUE"""),"&lt;p&gt;X&lt;/p&gt;")</f>
        <v>&lt;p&gt;X&lt;/p&gt;</v>
      </c>
      <c r="F771" s="5" t="str">
        <f>IFERROR(__xludf.DUMMYFUNCTION("""COMPUTED_VALUE"""),"N")</f>
        <v>N</v>
      </c>
      <c r="G771" s="5"/>
      <c r="H771" s="5"/>
      <c r="I771" s="5"/>
      <c r="J771" s="5"/>
      <c r="K771" s="5"/>
      <c r="L771" s="5"/>
      <c r="M771" s="5">
        <f>IFERROR(__xludf.DUMMYFUNCTION("""COMPUTED_VALUE"""),22.4)</f>
        <v>22.4</v>
      </c>
      <c r="N771" s="5">
        <f>IFERROR(__xludf.DUMMYFUNCTION("""COMPUTED_VALUE"""),10507.0)</f>
        <v>10507</v>
      </c>
      <c r="O771" s="5"/>
      <c r="P771" s="5"/>
      <c r="Q771" s="5" t="str">
        <f>IFERROR(__xludf.DUMMYFUNCTION("""COMPUTED_VALUE"""),"Y")</f>
        <v>Y</v>
      </c>
      <c r="R771" s="5"/>
      <c r="S771" s="5"/>
      <c r="T771" s="5">
        <f>IFERROR(__xludf.DUMMYFUNCTION("""COMPUTED_VALUE"""),20.0)</f>
        <v>20</v>
      </c>
      <c r="U771" s="5" t="str">
        <f>IFERROR(__xludf.DUMMYFUNCTION("""COMPUTED_VALUE"""),"Y")</f>
        <v>Y</v>
      </c>
      <c r="V771" s="5">
        <f>IFERROR(__xludf.DUMMYFUNCTION("""COMPUTED_VALUE"""),30.0)</f>
        <v>30</v>
      </c>
      <c r="W771" s="5">
        <f>IFERROR(__xludf.DUMMYFUNCTION("""COMPUTED_VALUE"""),150.0)</f>
        <v>150</v>
      </c>
      <c r="X771" s="5">
        <f>IFERROR(__xludf.DUMMYFUNCTION("""COMPUTED_VALUE"""),10.0)</f>
        <v>10</v>
      </c>
      <c r="Y771" s="5"/>
      <c r="Z771" s="5"/>
    </row>
    <row r="772">
      <c r="A772" s="5" t="str">
        <f>IFERROR(__xludf.DUMMYFUNCTION("""COMPUTED_VALUE"""),"เห็ดแห้งตราฟินิกซ์500g--1*8แพ็ค-ลัง")</f>
        <v>เห็ดแห้งตราฟินิกซ์500g--1*8แพ็ค-ลัง</v>
      </c>
      <c r="B772" s="5">
        <f>IFERROR(__xludf.DUMMYFUNCTION("""COMPUTED_VALUE"""),11493.0)</f>
        <v>11493</v>
      </c>
      <c r="C772" s="5" t="str">
        <f>IFERROR(__xludf.DUMMYFUNCTION("""COMPUTED_VALUE"""),"เห็ดแห้ง 500 กรัม * 8 แพ็ค  (ลัง)")</f>
        <v>เห็ดแห้ง 500 กรัม * 8 แพ็ค  (ลัง)</v>
      </c>
      <c r="D772" s="5"/>
      <c r="E772" s="5" t="str">
        <f>IFERROR(__xludf.DUMMYFUNCTION("""COMPUTED_VALUE"""),"&lt;p&gt;X&lt;/p&gt;")</f>
        <v>&lt;p&gt;X&lt;/p&gt;</v>
      </c>
      <c r="F772" s="5" t="str">
        <f>IFERROR(__xludf.DUMMYFUNCTION("""COMPUTED_VALUE"""),"N")</f>
        <v>N</v>
      </c>
      <c r="G772" s="5"/>
      <c r="H772" s="5"/>
      <c r="I772" s="5"/>
      <c r="J772" s="5"/>
      <c r="K772" s="5"/>
      <c r="L772" s="5"/>
      <c r="M772" s="5"/>
      <c r="N772" s="5">
        <f>IFERROR(__xludf.DUMMYFUNCTION("""COMPUTED_VALUE"""),11493.0)</f>
        <v>11493</v>
      </c>
      <c r="O772" s="5">
        <f>IFERROR(__xludf.DUMMYFUNCTION("""COMPUTED_VALUE"""),20143.0)</f>
        <v>20143</v>
      </c>
      <c r="P772" s="5">
        <f>IFERROR(__xludf.DUMMYFUNCTION("""COMPUTED_VALUE"""),8.0)</f>
        <v>8</v>
      </c>
      <c r="Q772" s="5" t="str">
        <f>IFERROR(__xludf.DUMMYFUNCTION("""COMPUTED_VALUE"""),"N")</f>
        <v>N</v>
      </c>
      <c r="R772" s="5" t="str">
        <f>IFERROR(__xludf.DUMMYFUNCTION("""COMPUTED_VALUE"""),"N")</f>
        <v>N</v>
      </c>
      <c r="S772" s="5"/>
      <c r="T772" s="5"/>
      <c r="U772" s="5" t="str">
        <f>IFERROR(__xludf.DUMMYFUNCTION("""COMPUTED_VALUE"""),"Y")</f>
        <v>Y</v>
      </c>
      <c r="V772" s="5">
        <f>IFERROR(__xludf.DUMMYFUNCTION("""COMPUTED_VALUE"""),1180.0)</f>
        <v>1180</v>
      </c>
      <c r="W772" s="5"/>
      <c r="X772" s="5"/>
      <c r="Y772" s="5"/>
      <c r="Z772" s="5"/>
    </row>
    <row r="773">
      <c r="A773" s="5" t="str">
        <f>IFERROR(__xludf.DUMMYFUNCTION("""COMPUTED_VALUE"""),"เห็ดแห้ง500g-*พิเศษ*-(ใหญ่)")</f>
        <v>เห็ดแห้ง500g-*พิเศษ*-(ใหญ่)</v>
      </c>
      <c r="B773" s="5">
        <f>IFERROR(__xludf.DUMMYFUNCTION("""COMPUTED_VALUE"""),10290.0)</f>
        <v>10290</v>
      </c>
      <c r="C773" s="5" t="str">
        <f>IFERROR(__xludf.DUMMYFUNCTION("""COMPUTED_VALUE"""),"เห็ดแห้ง500g *พิเศษ* (ใหญ่)")</f>
        <v>เห็ดแห้ง500g *พิเศษ* (ใหญ่)</v>
      </c>
      <c r="D773" s="5" t="str">
        <f>IFERROR(__xludf.DUMMYFUNCTION("""COMPUTED_VALUE"""),"**ร้านค้า ราคาพิเศษ")</f>
        <v>**ร้านค้า ราคาพิเศษ</v>
      </c>
      <c r="E773" s="5"/>
      <c r="F773" s="5" t="str">
        <f>IFERROR(__xludf.DUMMYFUNCTION("""COMPUTED_VALUE"""),"N")</f>
        <v>N</v>
      </c>
      <c r="G773" s="5"/>
      <c r="H773" s="5"/>
      <c r="I773" s="5"/>
      <c r="J773" s="5"/>
      <c r="K773" s="5"/>
      <c r="L773" s="5"/>
      <c r="M773" s="5"/>
      <c r="N773" s="5"/>
      <c r="O773" s="5">
        <f>IFERROR(__xludf.DUMMYFUNCTION("""COMPUTED_VALUE"""),20143.0)</f>
        <v>20143</v>
      </c>
      <c r="P773" s="5">
        <f>IFERROR(__xludf.DUMMYFUNCTION("""COMPUTED_VALUE"""),1.0)</f>
        <v>1</v>
      </c>
      <c r="Q773" s="5" t="str">
        <f>IFERROR(__xludf.DUMMYFUNCTION("""COMPUTED_VALUE"""),"N")</f>
        <v>N</v>
      </c>
      <c r="R773" s="5" t="str">
        <f>IFERROR(__xludf.DUMMYFUNCTION("""COMPUTED_VALUE"""),"N")</f>
        <v>N</v>
      </c>
      <c r="S773" s="5"/>
      <c r="T773" s="5"/>
      <c r="U773" s="5" t="str">
        <f>IFERROR(__xludf.DUMMYFUNCTION("""COMPUTED_VALUE"""),"Y")</f>
        <v>Y</v>
      </c>
      <c r="V773" s="5">
        <f>IFERROR(__xludf.DUMMYFUNCTION("""COMPUTED_VALUE"""),150.0)</f>
        <v>150</v>
      </c>
      <c r="W773" s="5"/>
      <c r="X773" s="5"/>
      <c r="Y773" s="5"/>
      <c r="Z773" s="5"/>
    </row>
    <row r="774">
      <c r="A774" s="5" t="str">
        <f>IFERROR(__xludf.DUMMYFUNCTION("""COMPUTED_VALUE"""),"เห็ดแห้ง-1")</f>
        <v>เห็ดแห้ง-1</v>
      </c>
      <c r="B774" s="5">
        <f>IFERROR(__xludf.DUMMYFUNCTION("""COMPUTED_VALUE"""),20143.0)</f>
        <v>20143</v>
      </c>
      <c r="C774" s="5" t="str">
        <f>IFERROR(__xludf.DUMMYFUNCTION("""COMPUTED_VALUE"""),"เห็ดแห้งตราฟินิกซ์500g (ใหญ่)")</f>
        <v>เห็ดแห้งตราฟินิกซ์500g (ใหญ่)</v>
      </c>
      <c r="D774" s="5" t="str">
        <f>IFERROR(__xludf.DUMMYFUNCTION("""COMPUTED_VALUE"""),"**ของแห้ง")</f>
        <v>**ของแห้ง</v>
      </c>
      <c r="E774" s="5" t="str">
        <f>IFERROR(__xludf.DUMMYFUNCTION("""COMPUTED_VALUE"""),"&lt;p&gt;B&lt;/p&gt;")</f>
        <v>&lt;p&gt;B&lt;/p&gt;</v>
      </c>
      <c r="F774" s="5" t="str">
        <f>IFERROR(__xludf.DUMMYFUNCTION("""COMPUTED_VALUE"""),"N")</f>
        <v>N</v>
      </c>
      <c r="G774" s="5"/>
      <c r="H774" s="5"/>
      <c r="I774" s="5"/>
      <c r="J774" s="5"/>
      <c r="K774" s="5"/>
      <c r="L774" s="5"/>
      <c r="M774" s="5">
        <f>IFERROR(__xludf.DUMMYFUNCTION("""COMPUTED_VALUE"""),126.74)</f>
        <v>126.74</v>
      </c>
      <c r="N774" s="5">
        <f>IFERROR(__xludf.DUMMYFUNCTION("""COMPUTED_VALUE"""),20143.0)</f>
        <v>20143</v>
      </c>
      <c r="O774" s="5"/>
      <c r="P774" s="5"/>
      <c r="Q774" s="5" t="str">
        <f>IFERROR(__xludf.DUMMYFUNCTION("""COMPUTED_VALUE"""),"Y")</f>
        <v>Y</v>
      </c>
      <c r="R774" s="5"/>
      <c r="S774" s="5" t="str">
        <f>IFERROR(__xludf.DUMMYFUNCTION("""COMPUTED_VALUE"""),"เห็ดแห้ง (ฟิกนิกซ์)")</f>
        <v>เห็ดแห้ง (ฟิกนิกซ์)</v>
      </c>
      <c r="T774" s="5">
        <f>IFERROR(__xludf.DUMMYFUNCTION("""COMPUTED_VALUE"""),123.75)</f>
        <v>123.75</v>
      </c>
      <c r="U774" s="5" t="str">
        <f>IFERROR(__xludf.DUMMYFUNCTION("""COMPUTED_VALUE"""),"Y")</f>
        <v>Y</v>
      </c>
      <c r="V774" s="5">
        <f>IFERROR(__xludf.DUMMYFUNCTION("""COMPUTED_VALUE"""),170.0)</f>
        <v>170</v>
      </c>
      <c r="W774" s="5">
        <f>IFERROR(__xludf.DUMMYFUNCTION("""COMPUTED_VALUE"""),13.0)</f>
        <v>13</v>
      </c>
      <c r="X774" s="5">
        <f>IFERROR(__xludf.DUMMYFUNCTION("""COMPUTED_VALUE"""),5.0)</f>
        <v>5</v>
      </c>
      <c r="Y774" s="5">
        <f>IFERROR(__xludf.DUMMYFUNCTION("""COMPUTED_VALUE"""),9.0)</f>
        <v>9</v>
      </c>
      <c r="Z774" s="5"/>
    </row>
    <row r="775">
      <c r="A775" s="5" t="str">
        <f>IFERROR(__xludf.DUMMYFUNCTION("""COMPUTED_VALUE"""),"เห็ดแห้งใหญ่-ยกลัง")</f>
        <v>เห็ดแห้งใหญ่-ยกลัง</v>
      </c>
      <c r="B775" s="5">
        <f>IFERROR(__xludf.DUMMYFUNCTION("""COMPUTED_VALUE"""),11411.0)</f>
        <v>11411</v>
      </c>
      <c r="C775" s="5" t="str">
        <f>IFERROR(__xludf.DUMMYFUNCTION("""COMPUTED_VALUE"""),"เห็ดแห้งเล็ก 1*50แพ็ค(ลัง)")</f>
        <v>เห็ดแห้งเล็ก 1*50แพ็ค(ลัง)</v>
      </c>
      <c r="D775" s="5"/>
      <c r="E775" s="5" t="str">
        <f>IFERROR(__xludf.DUMMYFUNCTION("""COMPUTED_VALUE"""),"&lt;p&gt;S&lt;/p&gt;")</f>
        <v>&lt;p&gt;S&lt;/p&gt;</v>
      </c>
      <c r="F775" s="5" t="str">
        <f>IFERROR(__xludf.DUMMYFUNCTION("""COMPUTED_VALUE"""),"N")</f>
        <v>N</v>
      </c>
      <c r="G775" s="5"/>
      <c r="H775" s="5"/>
      <c r="I775" s="5"/>
      <c r="J775" s="5"/>
      <c r="K775" s="5"/>
      <c r="L775" s="5"/>
      <c r="M775" s="5"/>
      <c r="N775" s="5">
        <f>IFERROR(__xludf.DUMMYFUNCTION("""COMPUTED_VALUE"""),11411.0)</f>
        <v>11411</v>
      </c>
      <c r="O775" s="5">
        <f>IFERROR(__xludf.DUMMYFUNCTION("""COMPUTED_VALUE"""),10507.0)</f>
        <v>10507</v>
      </c>
      <c r="P775" s="5">
        <f>IFERROR(__xludf.DUMMYFUNCTION("""COMPUTED_VALUE"""),50.0)</f>
        <v>50</v>
      </c>
      <c r="Q775" s="5" t="str">
        <f>IFERROR(__xludf.DUMMYFUNCTION("""COMPUTED_VALUE"""),"N")</f>
        <v>N</v>
      </c>
      <c r="R775" s="5" t="str">
        <f>IFERROR(__xludf.DUMMYFUNCTION("""COMPUTED_VALUE"""),"N")</f>
        <v>N</v>
      </c>
      <c r="S775" s="5"/>
      <c r="T775" s="5"/>
      <c r="U775" s="5" t="str">
        <f>IFERROR(__xludf.DUMMYFUNCTION("""COMPUTED_VALUE"""),"Y")</f>
        <v>Y</v>
      </c>
      <c r="V775" s="5">
        <f>IFERROR(__xludf.DUMMYFUNCTION("""COMPUTED_VALUE"""),1250.0)</f>
        <v>1250</v>
      </c>
      <c r="W775" s="5"/>
      <c r="X775" s="5"/>
      <c r="Y775" s="5"/>
      <c r="Z775" s="5"/>
    </row>
    <row r="776">
      <c r="A776" s="5" t="str">
        <f>IFERROR(__xludf.DUMMYFUNCTION("""COMPUTED_VALUE"""),"แซลม่อน-มินิ")</f>
        <v>แซลม่อน-มินิ</v>
      </c>
      <c r="B776" s="5">
        <f>IFERROR(__xludf.DUMMYFUNCTION("""COMPUTED_VALUE"""),10933.0)</f>
        <v>10933</v>
      </c>
      <c r="C776" s="5" t="str">
        <f>IFERROR(__xludf.DUMMYFUNCTION("""COMPUTED_VALUE"""),"แซลม่อนหั่นชิ้น (คิริมิ)")</f>
        <v>แซลม่อนหั่นชิ้น (คิริมิ)</v>
      </c>
      <c r="D776" s="5"/>
      <c r="E776" s="5" t="str">
        <f>IFERROR(__xludf.DUMMYFUNCTION("""COMPUTED_VALUE"""),"&lt;p&gt;X&lt;/p&gt;")</f>
        <v>&lt;p&gt;X&lt;/p&gt;</v>
      </c>
      <c r="F776" s="5" t="str">
        <f>IFERROR(__xludf.DUMMYFUNCTION("""COMPUTED_VALUE"""),"N")</f>
        <v>N</v>
      </c>
      <c r="G776" s="5"/>
      <c r="H776" s="5"/>
      <c r="I776" s="5"/>
      <c r="J776" s="5"/>
      <c r="K776" s="5"/>
      <c r="L776" s="5"/>
      <c r="M776" s="5"/>
      <c r="N776" s="5">
        <f>IFERROR(__xludf.DUMMYFUNCTION("""COMPUTED_VALUE"""),10933.0)</f>
        <v>10933</v>
      </c>
      <c r="O776" s="5">
        <f>IFERROR(__xludf.DUMMYFUNCTION("""COMPUTED_VALUE"""),10192.0)</f>
        <v>10192</v>
      </c>
      <c r="P776" s="5">
        <f>IFERROR(__xludf.DUMMYFUNCTION("""COMPUTED_VALUE"""),0.1)</f>
        <v>0.1</v>
      </c>
      <c r="Q776" s="5" t="str">
        <f>IFERROR(__xludf.DUMMYFUNCTION("""COMPUTED_VALUE"""),"N")</f>
        <v>N</v>
      </c>
      <c r="R776" s="5" t="str">
        <f>IFERROR(__xludf.DUMMYFUNCTION("""COMPUTED_VALUE"""),"N")</f>
        <v>N</v>
      </c>
      <c r="S776" s="5"/>
      <c r="T776" s="5"/>
      <c r="U776" s="5" t="str">
        <f>IFERROR(__xludf.DUMMYFUNCTION("""COMPUTED_VALUE"""),"Y")</f>
        <v>Y</v>
      </c>
      <c r="V776" s="5">
        <f>IFERROR(__xludf.DUMMYFUNCTION("""COMPUTED_VALUE"""),120.0)</f>
        <v>120</v>
      </c>
      <c r="W776" s="5"/>
      <c r="X776" s="5"/>
      <c r="Y776" s="5"/>
      <c r="Z776" s="5"/>
    </row>
    <row r="777">
      <c r="A777" s="5" t="str">
        <f>IFERROR(__xludf.DUMMYFUNCTION("""COMPUTED_VALUE"""),"แซลม่อนหั่นชิ้น(มินิ)-10แพ็ค-/-ลัง")</f>
        <v>แซลม่อนหั่นชิ้น(มินิ)-10แพ็ค-/-ลัง</v>
      </c>
      <c r="B777" s="5">
        <f>IFERROR(__xludf.DUMMYFUNCTION("""COMPUTED_VALUE"""),10192.0)</f>
        <v>10192</v>
      </c>
      <c r="C777" s="5" t="str">
        <f>IFERROR(__xludf.DUMMYFUNCTION("""COMPUTED_VALUE"""),"แซลม่อนหั่นชิ้น(คิริมิ) 10แพ็ค / ลัง")</f>
        <v>แซลม่อนหั่นชิ้น(คิริมิ) 10แพ็ค / ลัง</v>
      </c>
      <c r="D777" s="5"/>
      <c r="E777" s="5"/>
      <c r="F777" s="5" t="str">
        <f>IFERROR(__xludf.DUMMYFUNCTION("""COMPUTED_VALUE"""),"N")</f>
        <v>N</v>
      </c>
      <c r="G777" s="5"/>
      <c r="H777" s="5"/>
      <c r="I777" s="5"/>
      <c r="J777" s="5"/>
      <c r="K777" s="5"/>
      <c r="L777" s="5"/>
      <c r="M777" s="5">
        <f>IFERROR(__xludf.DUMMYFUNCTION("""COMPUTED_VALUE"""),800.0)</f>
        <v>800</v>
      </c>
      <c r="N777" s="5">
        <f>IFERROR(__xludf.DUMMYFUNCTION("""COMPUTED_VALUE"""),10192.0)</f>
        <v>10192</v>
      </c>
      <c r="O777" s="5"/>
      <c r="P777" s="5"/>
      <c r="Q777" s="5" t="str">
        <f>IFERROR(__xludf.DUMMYFUNCTION("""COMPUTED_VALUE"""),"Y")</f>
        <v>Y</v>
      </c>
      <c r="R777" s="5"/>
      <c r="S777" s="5"/>
      <c r="T777" s="5">
        <f>IFERROR(__xludf.DUMMYFUNCTION("""COMPUTED_VALUE"""),800.0)</f>
        <v>800</v>
      </c>
      <c r="U777" s="5" t="str">
        <f>IFERROR(__xludf.DUMMYFUNCTION("""COMPUTED_VALUE"""),"Y")</f>
        <v>Y</v>
      </c>
      <c r="V777" s="5">
        <f>IFERROR(__xludf.DUMMYFUNCTION("""COMPUTED_VALUE"""),1200.0)</f>
        <v>1200</v>
      </c>
      <c r="W777" s="5">
        <f>IFERROR(__xludf.DUMMYFUNCTION("""COMPUTED_VALUE"""),0.0)</f>
        <v>0</v>
      </c>
      <c r="X777" s="5"/>
      <c r="Y777" s="5"/>
      <c r="Z777" s="5"/>
    </row>
    <row r="778">
      <c r="A778" s="5" t="str">
        <f>IFERROR(__xludf.DUMMYFUNCTION("""COMPUTED_VALUE"""),"กระพรุน-a-ถัง-20-kg-1")</f>
        <v>กระพรุน-a-ถัง-20-kg-1</v>
      </c>
      <c r="B778" s="5">
        <f>IFERROR(__xludf.DUMMYFUNCTION("""COMPUTED_VALUE"""),10125.0)</f>
        <v>10125</v>
      </c>
      <c r="C778" s="5" t="str">
        <f>IFERROR(__xludf.DUMMYFUNCTION("""COMPUTED_VALUE"""),"แมงกะพรุน A ถัง")</f>
        <v>แมงกะพรุน A ถัง</v>
      </c>
      <c r="D778" s="5" t="str">
        <f>IFERROR(__xludf.DUMMYFUNCTION("""COMPUTED_VALUE"""),"**ของแห้ง")</f>
        <v>**ของแห้ง</v>
      </c>
      <c r="E778" s="5" t="str">
        <f>IFERROR(__xludf.DUMMYFUNCTION("""COMPUTED_VALUE"""),"&lt;p&gt;S&lt;/p&gt;")</f>
        <v>&lt;p&gt;S&lt;/p&gt;</v>
      </c>
      <c r="F778" s="5" t="str">
        <f>IFERROR(__xludf.DUMMYFUNCTION("""COMPUTED_VALUE"""),"N")</f>
        <v>N</v>
      </c>
      <c r="G778" s="5"/>
      <c r="H778" s="5"/>
      <c r="I778" s="5"/>
      <c r="J778" s="5"/>
      <c r="K778" s="5"/>
      <c r="L778" s="5"/>
      <c r="M778" s="5">
        <f>IFERROR(__xludf.DUMMYFUNCTION("""COMPUTED_VALUE"""),788.7)</f>
        <v>788.7</v>
      </c>
      <c r="N778" s="5">
        <f>IFERROR(__xludf.DUMMYFUNCTION("""COMPUTED_VALUE"""),10125.0)</f>
        <v>10125</v>
      </c>
      <c r="O778" s="5"/>
      <c r="P778" s="5"/>
      <c r="Q778" s="5" t="str">
        <f>IFERROR(__xludf.DUMMYFUNCTION("""COMPUTED_VALUE"""),"Y")</f>
        <v>Y</v>
      </c>
      <c r="R778" s="5"/>
      <c r="S778" s="5" t="str">
        <f>IFERROR(__xludf.DUMMYFUNCTION("""COMPUTED_VALUE"""),"ขึ้นของมหาชัย")</f>
        <v>ขึ้นของมหาชัย</v>
      </c>
      <c r="T778" s="5">
        <f>IFERROR(__xludf.DUMMYFUNCTION("""COMPUTED_VALUE"""),790.0)</f>
        <v>790</v>
      </c>
      <c r="U778" s="5" t="str">
        <f>IFERROR(__xludf.DUMMYFUNCTION("""COMPUTED_VALUE"""),"Y")</f>
        <v>Y</v>
      </c>
      <c r="V778" s="5">
        <f>IFERROR(__xludf.DUMMYFUNCTION("""COMPUTED_VALUE"""),980.0)</f>
        <v>980</v>
      </c>
      <c r="W778" s="5">
        <f>IFERROR(__xludf.DUMMYFUNCTION("""COMPUTED_VALUE"""),0.0)</f>
        <v>0</v>
      </c>
      <c r="X778" s="5">
        <f>IFERROR(__xludf.DUMMYFUNCTION("""COMPUTED_VALUE"""),5.0)</f>
        <v>5</v>
      </c>
      <c r="Y778" s="5">
        <f>IFERROR(__xludf.DUMMYFUNCTION("""COMPUTED_VALUE"""),20.0)</f>
        <v>20</v>
      </c>
      <c r="Z778" s="5"/>
    </row>
    <row r="779">
      <c r="A779" s="5" t="str">
        <f>IFERROR(__xludf.DUMMYFUNCTION("""COMPUTED_VALUE"""),"กระพรุนจืด-1-kg(65)")</f>
        <v>กระพรุนจืด-1-kg(65)</v>
      </c>
      <c r="B779" s="5">
        <f>IFERROR(__xludf.DUMMYFUNCTION("""COMPUTED_VALUE"""),10468.0)</f>
        <v>10468</v>
      </c>
      <c r="C779" s="5" t="str">
        <f>IFERROR(__xludf.DUMMYFUNCTION("""COMPUTED_VALUE"""),"แมงกะพรุนจืด 5 กก.(หิ้ว) - 90")</f>
        <v>แมงกะพรุนจืด 5 กก.(หิ้ว) - 90</v>
      </c>
      <c r="D779" s="5" t="str">
        <f>IFERROR(__xludf.DUMMYFUNCTION("""COMPUTED_VALUE"""),"**ของสด-ทำใหม่")</f>
        <v>**ของสด-ทำใหม่</v>
      </c>
      <c r="E779" s="5" t="str">
        <f>IFERROR(__xludf.DUMMYFUNCTION("""COMPUTED_VALUE"""),"&lt;p&gt;X&lt;/p&gt;")</f>
        <v>&lt;p&gt;X&lt;/p&gt;</v>
      </c>
      <c r="F779" s="5" t="str">
        <f>IFERROR(__xludf.DUMMYFUNCTION("""COMPUTED_VALUE"""),"N")</f>
        <v>N</v>
      </c>
      <c r="G779" s="5"/>
      <c r="H779" s="5"/>
      <c r="I779" s="5"/>
      <c r="J779" s="5"/>
      <c r="K779" s="5"/>
      <c r="L779" s="5"/>
      <c r="M779" s="5"/>
      <c r="N779" s="5">
        <f>IFERROR(__xludf.DUMMYFUNCTION("""COMPUTED_VALUE"""),10468.0)</f>
        <v>10468</v>
      </c>
      <c r="O779" s="5">
        <f>IFERROR(__xludf.DUMMYFUNCTION("""COMPUTED_VALUE"""),10379.0)</f>
        <v>10379</v>
      </c>
      <c r="P779" s="5">
        <f>IFERROR(__xludf.DUMMYFUNCTION("""COMPUTED_VALUE"""),5.0)</f>
        <v>5</v>
      </c>
      <c r="Q779" s="5" t="str">
        <f>IFERROR(__xludf.DUMMYFUNCTION("""COMPUTED_VALUE"""),"N")</f>
        <v>N</v>
      </c>
      <c r="R779" s="5" t="str">
        <f>IFERROR(__xludf.DUMMYFUNCTION("""COMPUTED_VALUE"""),"N")</f>
        <v>N</v>
      </c>
      <c r="S779" s="5"/>
      <c r="T779" s="5"/>
      <c r="U779" s="5" t="str">
        <f>IFERROR(__xludf.DUMMYFUNCTION("""COMPUTED_VALUE"""),"Y")</f>
        <v>Y</v>
      </c>
      <c r="V779" s="5">
        <f>IFERROR(__xludf.DUMMYFUNCTION("""COMPUTED_VALUE"""),450.0)</f>
        <v>450</v>
      </c>
      <c r="W779" s="5"/>
      <c r="X779" s="5"/>
      <c r="Y779" s="5"/>
      <c r="Z779" s="5"/>
    </row>
    <row r="780">
      <c r="A780" s="5" t="str">
        <f>IFERROR(__xludf.DUMMYFUNCTION("""COMPUTED_VALUE"""),"แองกรี้เบิร์ด")</f>
        <v>แองกรี้เบิร์ด</v>
      </c>
      <c r="B780" s="5">
        <f>IFERROR(__xludf.DUMMYFUNCTION("""COMPUTED_VALUE"""),11505.0)</f>
        <v>11505</v>
      </c>
      <c r="C780" s="5" t="str">
        <f>IFERROR(__xludf.DUMMYFUNCTION("""COMPUTED_VALUE"""),"แองกรี้เบิร์ด 500 กรัม (ลัง)")</f>
        <v>แองกรี้เบิร์ด 500 กรัม (ลัง)</v>
      </c>
      <c r="D780" s="5"/>
      <c r="E780" s="5" t="str">
        <f>IFERROR(__xludf.DUMMYFUNCTION("""COMPUTED_VALUE"""),"S")</f>
        <v>S</v>
      </c>
      <c r="F780" s="5" t="str">
        <f>IFERROR(__xludf.DUMMYFUNCTION("""COMPUTED_VALUE"""),"N")</f>
        <v>N</v>
      </c>
      <c r="G780" s="5"/>
      <c r="H780" s="5"/>
      <c r="I780" s="5"/>
      <c r="J780" s="5"/>
      <c r="K780" s="5"/>
      <c r="L780" s="5"/>
      <c r="M780" s="5"/>
      <c r="N780" s="5">
        <f>IFERROR(__xludf.DUMMYFUNCTION("""COMPUTED_VALUE"""),11505.0)</f>
        <v>11505</v>
      </c>
      <c r="O780" s="5">
        <f>IFERROR(__xludf.DUMMYFUNCTION("""COMPUTED_VALUE"""),11096.0)</f>
        <v>11096</v>
      </c>
      <c r="P780" s="5">
        <f>IFERROR(__xludf.DUMMYFUNCTION("""COMPUTED_VALUE"""),20.0)</f>
        <v>20</v>
      </c>
      <c r="Q780" s="5" t="str">
        <f>IFERROR(__xludf.DUMMYFUNCTION("""COMPUTED_VALUE"""),"N")</f>
        <v>N</v>
      </c>
      <c r="R780" s="5" t="str">
        <f>IFERROR(__xludf.DUMMYFUNCTION("""COMPUTED_VALUE"""),"N")</f>
        <v>N</v>
      </c>
      <c r="S780" s="5"/>
      <c r="T780" s="5"/>
      <c r="U780" s="5" t="str">
        <f>IFERROR(__xludf.DUMMYFUNCTION("""COMPUTED_VALUE"""),"Y")</f>
        <v>Y</v>
      </c>
      <c r="V780" s="5">
        <f>IFERROR(__xludf.DUMMYFUNCTION("""COMPUTED_VALUE"""),1420.0)</f>
        <v>1420</v>
      </c>
      <c r="W780" s="5"/>
      <c r="X780" s="5"/>
      <c r="Y780" s="5"/>
      <c r="Z780" s="5"/>
    </row>
    <row r="781">
      <c r="A781" s="5" t="str">
        <f>IFERROR(__xludf.DUMMYFUNCTION("""COMPUTED_VALUE"""),"แฮมกลม1*5kg/หิ้ว")</f>
        <v>แฮมกลม1*5kg/หิ้ว</v>
      </c>
      <c r="B781" s="5">
        <f>IFERROR(__xludf.DUMMYFUNCTION("""COMPUTED_VALUE"""),10079.0)</f>
        <v>10079</v>
      </c>
      <c r="C781" s="5" t="str">
        <f>IFERROR(__xludf.DUMMYFUNCTION("""COMPUTED_VALUE"""),"แฮมกลม 1*5kg/หิ้ว(75)")</f>
        <v>แฮมกลม 1*5kg/หิ้ว(75)</v>
      </c>
      <c r="D781" s="5"/>
      <c r="E781" s="5"/>
      <c r="F781" s="5" t="str">
        <f>IFERROR(__xludf.DUMMYFUNCTION("""COMPUTED_VALUE"""),"N")</f>
        <v>N</v>
      </c>
      <c r="G781" s="5"/>
      <c r="H781" s="5"/>
      <c r="I781" s="5"/>
      <c r="J781" s="5"/>
      <c r="K781" s="5"/>
      <c r="L781" s="5"/>
      <c r="M781" s="5"/>
      <c r="N781" s="5"/>
      <c r="O781" s="5">
        <f>IFERROR(__xludf.DUMMYFUNCTION("""COMPUTED_VALUE"""),11573.0)</f>
        <v>11573</v>
      </c>
      <c r="P781" s="5">
        <f>IFERROR(__xludf.DUMMYFUNCTION("""COMPUTED_VALUE"""),5.0)</f>
        <v>5</v>
      </c>
      <c r="Q781" s="5" t="str">
        <f>IFERROR(__xludf.DUMMYFUNCTION("""COMPUTED_VALUE"""),"N")</f>
        <v>N</v>
      </c>
      <c r="R781" s="5" t="str">
        <f>IFERROR(__xludf.DUMMYFUNCTION("""COMPUTED_VALUE"""),"N")</f>
        <v>N</v>
      </c>
      <c r="S781" s="5"/>
      <c r="T781" s="5"/>
      <c r="U781" s="5" t="str">
        <f>IFERROR(__xludf.DUMMYFUNCTION("""COMPUTED_VALUE"""),"Y")</f>
        <v>Y</v>
      </c>
      <c r="V781" s="5">
        <f>IFERROR(__xludf.DUMMYFUNCTION("""COMPUTED_VALUE"""),375.0)</f>
        <v>375</v>
      </c>
      <c r="W781" s="5"/>
      <c r="X781" s="5"/>
      <c r="Y781" s="5"/>
      <c r="Z781" s="5"/>
    </row>
    <row r="782">
      <c r="A782" s="5" t="str">
        <f>IFERROR(__xludf.DUMMYFUNCTION("""COMPUTED_VALUE"""),"หมูแฮม-1kg")</f>
        <v>หมูแฮม-1kg</v>
      </c>
      <c r="B782" s="5">
        <f>IFERROR(__xludf.DUMMYFUNCTION("""COMPUTED_VALUE"""),10863.0)</f>
        <v>10863</v>
      </c>
      <c r="C782" s="5" t="str">
        <f>IFERROR(__xludf.DUMMYFUNCTION("""COMPUTED_VALUE"""),"แฮมหมูเหลี่ยม 1กก")</f>
        <v>แฮมหมูเหลี่ยม 1กก</v>
      </c>
      <c r="D782" s="5" t="str">
        <f>IFERROR(__xludf.DUMMYFUNCTION("""COMPUTED_VALUE"""),"**ของหิ้ว มหาชัย")</f>
        <v>**ของหิ้ว มหาชัย</v>
      </c>
      <c r="E782" s="5" t="str">
        <f>IFERROR(__xludf.DUMMYFUNCTION("""COMPUTED_VALUE"""),"&lt;p&gt;1&lt;/p&gt;")</f>
        <v>&lt;p&gt;1&lt;/p&gt;</v>
      </c>
      <c r="F782" s="5" t="str">
        <f>IFERROR(__xludf.DUMMYFUNCTION("""COMPUTED_VALUE"""),"N")</f>
        <v>N</v>
      </c>
      <c r="G782" s="5"/>
      <c r="H782" s="5"/>
      <c r="I782" s="5"/>
      <c r="J782" s="5"/>
      <c r="K782" s="5"/>
      <c r="L782" s="5"/>
      <c r="M782" s="5">
        <f>IFERROR(__xludf.DUMMYFUNCTION("""COMPUTED_VALUE"""),78.42)</f>
        <v>78.42</v>
      </c>
      <c r="N782" s="5">
        <f>IFERROR(__xludf.DUMMYFUNCTION("""COMPUTED_VALUE"""),10863.0)</f>
        <v>10863</v>
      </c>
      <c r="O782" s="5"/>
      <c r="P782" s="5"/>
      <c r="Q782" s="5" t="str">
        <f>IFERROR(__xludf.DUMMYFUNCTION("""COMPUTED_VALUE"""),"Y")</f>
        <v>Y</v>
      </c>
      <c r="R782" s="5"/>
      <c r="S782" s="5" t="str">
        <f>IFERROR(__xludf.DUMMYFUNCTION("""COMPUTED_VALUE"""),"ขึ้นของมหาชัย")</f>
        <v>ขึ้นของมหาชัย</v>
      </c>
      <c r="T782" s="5">
        <f>IFERROR(__xludf.DUMMYFUNCTION("""COMPUTED_VALUE"""),80.0)</f>
        <v>80</v>
      </c>
      <c r="U782" s="5" t="str">
        <f>IFERROR(__xludf.DUMMYFUNCTION("""COMPUTED_VALUE"""),"Y")</f>
        <v>Y</v>
      </c>
      <c r="V782" s="5">
        <f>IFERROR(__xludf.DUMMYFUNCTION("""COMPUTED_VALUE"""),90.0)</f>
        <v>90</v>
      </c>
      <c r="W782" s="5">
        <f>IFERROR(__xludf.DUMMYFUNCTION("""COMPUTED_VALUE"""),33.0)</f>
        <v>33</v>
      </c>
      <c r="X782" s="5">
        <f>IFERROR(__xludf.DUMMYFUNCTION("""COMPUTED_VALUE"""),10.0)</f>
        <v>10</v>
      </c>
      <c r="Y782" s="5">
        <f>IFERROR(__xludf.DUMMYFUNCTION("""COMPUTED_VALUE"""),50.0)</f>
        <v>50</v>
      </c>
      <c r="Z782" s="5"/>
    </row>
    <row r="783">
      <c r="A783" s="5" t="str">
        <f>IFERROR(__xludf.DUMMYFUNCTION("""COMPUTED_VALUE"""),"หมูแฮม-5kg-หิ้ว")</f>
        <v>หมูแฮม-5kg-หิ้ว</v>
      </c>
      <c r="B783" s="5">
        <f>IFERROR(__xludf.DUMMYFUNCTION("""COMPUTED_VALUE"""),10864.0)</f>
        <v>10864</v>
      </c>
      <c r="C783" s="5" t="str">
        <f>IFERROR(__xludf.DUMMYFUNCTION("""COMPUTED_VALUE"""),"แฮมหมูเหลี่ยม 5Kg หิ้ว(90)")</f>
        <v>แฮมหมูเหลี่ยม 5Kg หิ้ว(90)</v>
      </c>
      <c r="D783" s="5"/>
      <c r="E783" s="5" t="str">
        <f>IFERROR(__xludf.DUMMYFUNCTION("""COMPUTED_VALUE"""),"&lt;p&gt;S&lt;/p&gt;")</f>
        <v>&lt;p&gt;S&lt;/p&gt;</v>
      </c>
      <c r="F783" s="5" t="str">
        <f>IFERROR(__xludf.DUMMYFUNCTION("""COMPUTED_VALUE"""),"N")</f>
        <v>N</v>
      </c>
      <c r="G783" s="5"/>
      <c r="H783" s="5"/>
      <c r="I783" s="5"/>
      <c r="J783" s="5"/>
      <c r="K783" s="5"/>
      <c r="L783" s="5"/>
      <c r="M783" s="5"/>
      <c r="N783" s="5">
        <f>IFERROR(__xludf.DUMMYFUNCTION("""COMPUTED_VALUE"""),10864.0)</f>
        <v>10864</v>
      </c>
      <c r="O783" s="5">
        <f>IFERROR(__xludf.DUMMYFUNCTION("""COMPUTED_VALUE"""),10863.0)</f>
        <v>10863</v>
      </c>
      <c r="P783" s="5">
        <f>IFERROR(__xludf.DUMMYFUNCTION("""COMPUTED_VALUE"""),5.0)</f>
        <v>5</v>
      </c>
      <c r="Q783" s="5" t="str">
        <f>IFERROR(__xludf.DUMMYFUNCTION("""COMPUTED_VALUE"""),"N")</f>
        <v>N</v>
      </c>
      <c r="R783" s="5" t="str">
        <f>IFERROR(__xludf.DUMMYFUNCTION("""COMPUTED_VALUE"""),"N")</f>
        <v>N</v>
      </c>
      <c r="S783" s="5"/>
      <c r="T783" s="5"/>
      <c r="U783" s="5" t="str">
        <f>IFERROR(__xludf.DUMMYFUNCTION("""COMPUTED_VALUE"""),"Y")</f>
        <v>Y</v>
      </c>
      <c r="V783" s="5">
        <f>IFERROR(__xludf.DUMMYFUNCTION("""COMPUTED_VALUE"""),450.0)</f>
        <v>450</v>
      </c>
      <c r="W783" s="5"/>
      <c r="X783" s="5"/>
      <c r="Y783" s="5"/>
      <c r="Z783" s="5"/>
    </row>
    <row r="784">
      <c r="A784" s="5" t="str">
        <f>IFERROR(__xludf.DUMMYFUNCTION("""COMPUTED_VALUE"""),"โดนัทกุ้ง-มานี-ลัง")</f>
        <v>โดนัทกุ้ง-มานี-ลัง</v>
      </c>
      <c r="B784" s="5">
        <f>IFERROR(__xludf.DUMMYFUNCTION("""COMPUTED_VALUE"""),11569.0)</f>
        <v>11569</v>
      </c>
      <c r="C784" s="5" t="str">
        <f>IFERROR(__xludf.DUMMYFUNCTION("""COMPUTED_VALUE"""),"โดนัทกุ้ง 1*10ถาด ลัง")</f>
        <v>โดนัทกุ้ง 1*10ถาด ลัง</v>
      </c>
      <c r="D784" s="5"/>
      <c r="E784" s="5" t="str">
        <f>IFERROR(__xludf.DUMMYFUNCTION("""COMPUTED_VALUE"""),"&lt;p&gt;X&lt;/p&gt;")</f>
        <v>&lt;p&gt;X&lt;/p&gt;</v>
      </c>
      <c r="F784" s="5" t="str">
        <f>IFERROR(__xludf.DUMMYFUNCTION("""COMPUTED_VALUE"""),"N")</f>
        <v>N</v>
      </c>
      <c r="G784" s="5"/>
      <c r="H784" s="5"/>
      <c r="I784" s="5"/>
      <c r="J784" s="5"/>
      <c r="K784" s="5"/>
      <c r="L784" s="5"/>
      <c r="M784" s="5"/>
      <c r="N784" s="5">
        <f>IFERROR(__xludf.DUMMYFUNCTION("""COMPUTED_VALUE"""),11569.0)</f>
        <v>11569</v>
      </c>
      <c r="O784" s="5">
        <f>IFERROR(__xludf.DUMMYFUNCTION("""COMPUTED_VALUE"""),10105.0)</f>
        <v>10105</v>
      </c>
      <c r="P784" s="5">
        <f>IFERROR(__xludf.DUMMYFUNCTION("""COMPUTED_VALUE"""),10.0)</f>
        <v>10</v>
      </c>
      <c r="Q784" s="5" t="str">
        <f>IFERROR(__xludf.DUMMYFUNCTION("""COMPUTED_VALUE"""),"N")</f>
        <v>N</v>
      </c>
      <c r="R784" s="5" t="str">
        <f>IFERROR(__xludf.DUMMYFUNCTION("""COMPUTED_VALUE"""),"N")</f>
        <v>N</v>
      </c>
      <c r="S784" s="5"/>
      <c r="T784" s="5"/>
      <c r="U784" s="5" t="str">
        <f>IFERROR(__xludf.DUMMYFUNCTION("""COMPUTED_VALUE"""),"Y")</f>
        <v>Y</v>
      </c>
      <c r="V784" s="5">
        <f>IFERROR(__xludf.DUMMYFUNCTION("""COMPUTED_VALUE"""),770.0)</f>
        <v>770</v>
      </c>
      <c r="W784" s="5"/>
      <c r="X784" s="5"/>
      <c r="Y784" s="5"/>
      <c r="Z784" s="5"/>
    </row>
    <row r="785">
      <c r="A785" s="5" t="str">
        <f>IFERROR(__xludf.DUMMYFUNCTION("""COMPUTED_VALUE"""),"โดนัสกุ้ง-1แพ็ค-1")</f>
        <v>โดนัสกุ้ง-1แพ็ค-1</v>
      </c>
      <c r="B785" s="5">
        <f>IFERROR(__xludf.DUMMYFUNCTION("""COMPUTED_VALUE"""),10105.0)</f>
        <v>10105</v>
      </c>
      <c r="C785" s="5" t="str">
        <f>IFERROR(__xludf.DUMMYFUNCTION("""COMPUTED_VALUE"""),"โดนัทกุ้ง 1แพ็ค")</f>
        <v>โดนัทกุ้ง 1แพ็ค</v>
      </c>
      <c r="D785" s="5" t="str">
        <f>IFERROR(__xludf.DUMMYFUNCTION("""COMPUTED_VALUE"""),"**ลัง ร้อยเอ็ด")</f>
        <v>**ลัง ร้อยเอ็ด</v>
      </c>
      <c r="E785" s="5" t="str">
        <f>IFERROR(__xludf.DUMMYFUNCTION("""COMPUTED_VALUE"""),"B")</f>
        <v>B</v>
      </c>
      <c r="F785" s="5" t="str">
        <f>IFERROR(__xludf.DUMMYFUNCTION("""COMPUTED_VALUE"""),"N")</f>
        <v>N</v>
      </c>
      <c r="G785" s="5"/>
      <c r="H785" s="5"/>
      <c r="I785" s="5"/>
      <c r="J785" s="5"/>
      <c r="K785" s="5"/>
      <c r="L785" s="5"/>
      <c r="M785" s="5">
        <f>IFERROR(__xludf.DUMMYFUNCTION("""COMPUTED_VALUE"""),63.0)</f>
        <v>63</v>
      </c>
      <c r="N785" s="5">
        <f>IFERROR(__xludf.DUMMYFUNCTION("""COMPUTED_VALUE"""),10105.0)</f>
        <v>10105</v>
      </c>
      <c r="O785" s="5"/>
      <c r="P785" s="5"/>
      <c r="Q785" s="5" t="str">
        <f>IFERROR(__xludf.DUMMYFUNCTION("""COMPUTED_VALUE"""),"Y")</f>
        <v>Y</v>
      </c>
      <c r="R785" s="5"/>
      <c r="S785" s="5" t="str">
        <f>IFERROR(__xludf.DUMMYFUNCTION("""COMPUTED_VALUE"""),"กันเอง ชีสบอล")</f>
        <v>กันเอง ชีสบอล</v>
      </c>
      <c r="T785" s="5">
        <f>IFERROR(__xludf.DUMMYFUNCTION("""COMPUTED_VALUE"""),63.0)</f>
        <v>63</v>
      </c>
      <c r="U785" s="5" t="str">
        <f>IFERROR(__xludf.DUMMYFUNCTION("""COMPUTED_VALUE"""),"Y")</f>
        <v>Y</v>
      </c>
      <c r="V785" s="5">
        <f>IFERROR(__xludf.DUMMYFUNCTION("""COMPUTED_VALUE"""),80.0)</f>
        <v>80</v>
      </c>
      <c r="W785" s="5">
        <f>IFERROR(__xludf.DUMMYFUNCTION("""COMPUTED_VALUE"""),10.0)</f>
        <v>10</v>
      </c>
      <c r="X785" s="5">
        <f>IFERROR(__xludf.DUMMYFUNCTION("""COMPUTED_VALUE"""),38.0)</f>
        <v>38</v>
      </c>
      <c r="Y785" s="5">
        <f>IFERROR(__xludf.DUMMYFUNCTION("""COMPUTED_VALUE"""),71.0)</f>
        <v>71</v>
      </c>
      <c r="Z785" s="5"/>
    </row>
    <row r="786">
      <c r="A786" s="5" t="str">
        <f>IFERROR(__xludf.DUMMYFUNCTION("""COMPUTED_VALUE"""),"โดนัทไก่-หัวหอม-ลัง-10-กก.")</f>
        <v>โดนัทไก่-หัวหอม-ลัง-10-กก.</v>
      </c>
      <c r="B786" s="5">
        <f>IFERROR(__xludf.DUMMYFUNCTION("""COMPUTED_VALUE"""),10804.0)</f>
        <v>10804</v>
      </c>
      <c r="C786" s="5" t="str">
        <f>IFERROR(__xludf.DUMMYFUNCTION("""COMPUTED_VALUE"""),"โดนัทไก่ หัวหอม Topsfood10กก (ลัง)-690")</f>
        <v>โดนัทไก่ หัวหอม Topsfood10กก (ลัง)-690</v>
      </c>
      <c r="D786" s="5" t="str">
        <f>IFERROR(__xludf.DUMMYFUNCTION("""COMPUTED_VALUE"""),"**ลัง มหาชัย")</f>
        <v>**ลัง มหาชัย</v>
      </c>
      <c r="E786" s="5" t="str">
        <f>IFERROR(__xludf.DUMMYFUNCTION("""COMPUTED_VALUE"""),"10")</f>
        <v>10</v>
      </c>
      <c r="F786" s="5" t="str">
        <f>IFERROR(__xludf.DUMMYFUNCTION("""COMPUTED_VALUE"""),"N")</f>
        <v>N</v>
      </c>
      <c r="G786" s="5"/>
      <c r="H786" s="5"/>
      <c r="I786" s="5"/>
      <c r="J786" s="5"/>
      <c r="K786" s="5"/>
      <c r="L786" s="5"/>
      <c r="M786" s="5">
        <f>IFERROR(__xludf.DUMMYFUNCTION("""COMPUTED_VALUE"""),654.06)</f>
        <v>654.06</v>
      </c>
      <c r="N786" s="5"/>
      <c r="O786" s="5"/>
      <c r="P786" s="5"/>
      <c r="Q786" s="5" t="str">
        <f>IFERROR(__xludf.DUMMYFUNCTION("""COMPUTED_VALUE"""),"Y")</f>
        <v>Y</v>
      </c>
      <c r="R786" s="5"/>
      <c r="S786" s="5" t="str">
        <f>IFERROR(__xludf.DUMMYFUNCTION("""COMPUTED_VALUE"""),"ขึ้นของมหาชัย")</f>
        <v>ขึ้นของมหาชัย</v>
      </c>
      <c r="T786" s="5">
        <f>IFERROR(__xludf.DUMMYFUNCTION("""COMPUTED_VALUE"""),654.0)</f>
        <v>654</v>
      </c>
      <c r="U786" s="5" t="str">
        <f>IFERROR(__xludf.DUMMYFUNCTION("""COMPUTED_VALUE"""),"Y")</f>
        <v>Y</v>
      </c>
      <c r="V786" s="5">
        <f>IFERROR(__xludf.DUMMYFUNCTION("""COMPUTED_VALUE"""),690.0)</f>
        <v>690</v>
      </c>
      <c r="W786" s="5">
        <f>IFERROR(__xludf.DUMMYFUNCTION("""COMPUTED_VALUE"""),0.0)</f>
        <v>0</v>
      </c>
      <c r="X786" s="5">
        <f>IFERROR(__xludf.DUMMYFUNCTION("""COMPUTED_VALUE"""),1.0)</f>
        <v>1</v>
      </c>
      <c r="Y786" s="5">
        <f>IFERROR(__xludf.DUMMYFUNCTION("""COMPUTED_VALUE"""),2.0)</f>
        <v>2</v>
      </c>
      <c r="Z786" s="5"/>
    </row>
    <row r="787">
      <c r="A787" s="5" t="str">
        <f>IFERROR(__xludf.DUMMYFUNCTION("""COMPUTED_VALUE"""),"ใบพายวัว-พันแร็ป-พิเศษ-(190)")</f>
        <v>ใบพายวัว-พันแร็ป-พิเศษ-(190)</v>
      </c>
      <c r="B787" s="5">
        <f>IFERROR(__xludf.DUMMYFUNCTION("""COMPUTED_VALUE"""),11509.0)</f>
        <v>11509</v>
      </c>
      <c r="C787" s="5" t="str">
        <f>IFERROR(__xludf.DUMMYFUNCTION("""COMPUTED_VALUE"""),"ใบพาย (เต็ม) โคขุน (197)")</f>
        <v>ใบพาย (เต็ม) โคขุน (197)</v>
      </c>
      <c r="D787" s="5" t="str">
        <f>IFERROR(__xludf.DUMMYFUNCTION("""COMPUTED_VALUE"""),"**ชั่งน้ำหนัก")</f>
        <v>**ชั่งน้ำหนัก</v>
      </c>
      <c r="E787" s="5" t="str">
        <f>IFERROR(__xludf.DUMMYFUNCTION("""COMPUTED_VALUE"""),"&lt;p&gt;X&lt;/p&gt;")</f>
        <v>&lt;p&gt;X&lt;/p&gt;</v>
      </c>
      <c r="F787" s="5" t="str">
        <f>IFERROR(__xludf.DUMMYFUNCTION("""COMPUTED_VALUE"""),"Y")</f>
        <v>Y</v>
      </c>
      <c r="G787" s="5"/>
      <c r="H787" s="5"/>
      <c r="I787" s="5"/>
      <c r="J787" s="5"/>
      <c r="K787" s="5"/>
      <c r="L787" s="5"/>
      <c r="M787" s="5">
        <f>IFERROR(__xludf.DUMMYFUNCTION("""COMPUTED_VALUE"""),185.3)</f>
        <v>185.3</v>
      </c>
      <c r="N787" s="5">
        <f>IFERROR(__xludf.DUMMYFUNCTION("""COMPUTED_VALUE"""),11509.0)</f>
        <v>11509</v>
      </c>
      <c r="O787" s="5"/>
      <c r="P787" s="5"/>
      <c r="Q787" s="5" t="str">
        <f>IFERROR(__xludf.DUMMYFUNCTION("""COMPUTED_VALUE"""),"Y")</f>
        <v>Y</v>
      </c>
      <c r="R787" s="5"/>
      <c r="S787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87" s="5">
        <f>IFERROR(__xludf.DUMMYFUNCTION("""COMPUTED_VALUE"""),185.0)</f>
        <v>185</v>
      </c>
      <c r="U787" s="5" t="str">
        <f>IFERROR(__xludf.DUMMYFUNCTION("""COMPUTED_VALUE"""),"Y")</f>
        <v>Y</v>
      </c>
      <c r="V787" s="5">
        <f>IFERROR(__xludf.DUMMYFUNCTION("""COMPUTED_VALUE"""),197.0)</f>
        <v>197</v>
      </c>
      <c r="W787" s="5">
        <f>IFERROR(__xludf.DUMMYFUNCTION("""COMPUTED_VALUE"""),39.005)</f>
        <v>39.005</v>
      </c>
      <c r="X787" s="5">
        <f>IFERROR(__xludf.DUMMYFUNCTION("""COMPUTED_VALUE"""),0.0)</f>
        <v>0</v>
      </c>
      <c r="Y787" s="5">
        <f>IFERROR(__xludf.DUMMYFUNCTION("""COMPUTED_VALUE"""),30.0)</f>
        <v>30</v>
      </c>
      <c r="Z787" s="5"/>
    </row>
    <row r="788">
      <c r="A788" s="5" t="str">
        <f>IFERROR(__xludf.DUMMYFUNCTION("""COMPUTED_VALUE"""),"ใบพาย")</f>
        <v>ใบพาย</v>
      </c>
      <c r="B788" s="5">
        <f>IFERROR(__xludf.DUMMYFUNCTION("""COMPUTED_VALUE"""),11186.0)</f>
        <v>11186</v>
      </c>
      <c r="C788" s="5" t="str">
        <f>IFERROR(__xludf.DUMMYFUNCTION("""COMPUTED_VALUE"""),"ใบพาย (ใบไม้)โคขุน 225")</f>
        <v>ใบพาย (ใบไม้)โคขุน 225</v>
      </c>
      <c r="D788" s="5" t="str">
        <f>IFERROR(__xludf.DUMMYFUNCTION("""COMPUTED_VALUE"""),"**ชั่งน้ำหนัก")</f>
        <v>**ชั่งน้ำหนัก</v>
      </c>
      <c r="E788" s="5" t="str">
        <f>IFERROR(__xludf.DUMMYFUNCTION("""COMPUTED_VALUE"""),"&lt;p&gt;S&lt;/p&gt;")</f>
        <v>&lt;p&gt;S&lt;/p&gt;</v>
      </c>
      <c r="F788" s="5" t="str">
        <f>IFERROR(__xludf.DUMMYFUNCTION("""COMPUTED_VALUE"""),"Y")</f>
        <v>Y</v>
      </c>
      <c r="G788" s="5"/>
      <c r="H788" s="5"/>
      <c r="I788" s="5"/>
      <c r="J788" s="5"/>
      <c r="K788" s="5"/>
      <c r="L788" s="5"/>
      <c r="M788" s="5">
        <f>IFERROR(__xludf.DUMMYFUNCTION("""COMPUTED_VALUE"""),214.69)</f>
        <v>214.69</v>
      </c>
      <c r="N788" s="5">
        <f>IFERROR(__xludf.DUMMYFUNCTION("""COMPUTED_VALUE"""),11186.0)</f>
        <v>11186</v>
      </c>
      <c r="O788" s="5"/>
      <c r="P788" s="5"/>
      <c r="Q788" s="5" t="str">
        <f>IFERROR(__xludf.DUMMYFUNCTION("""COMPUTED_VALUE"""),"Y")</f>
        <v>Y</v>
      </c>
      <c r="R788" s="5"/>
      <c r="S788" s="5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88" s="5">
        <f>IFERROR(__xludf.DUMMYFUNCTION("""COMPUTED_VALUE"""),215.0)</f>
        <v>215</v>
      </c>
      <c r="U788" s="5" t="str">
        <f>IFERROR(__xludf.DUMMYFUNCTION("""COMPUTED_VALUE"""),"Y")</f>
        <v>Y</v>
      </c>
      <c r="V788" s="5">
        <f>IFERROR(__xludf.DUMMYFUNCTION("""COMPUTED_VALUE"""),225.0)</f>
        <v>225</v>
      </c>
      <c r="W788" s="5">
        <f>IFERROR(__xludf.DUMMYFUNCTION("""COMPUTED_VALUE"""),47.7)</f>
        <v>47.7</v>
      </c>
      <c r="X788" s="5"/>
      <c r="Y788" s="5">
        <f>IFERROR(__xludf.DUMMYFUNCTION("""COMPUTED_VALUE"""),30.0)</f>
        <v>30</v>
      </c>
      <c r="Z788" s="5"/>
    </row>
    <row r="789">
      <c r="A789" s="5" t="str">
        <f>IFERROR(__xludf.DUMMYFUNCTION("""COMPUTED_VALUE"""),"ใบพายโคขุน-(ใบไม้)--(พิเศษ)-205")</f>
        <v>ใบพายโคขุน-(ใบไม้)--(พิเศษ)-205</v>
      </c>
      <c r="B789" s="5">
        <f>IFERROR(__xludf.DUMMYFUNCTION("""COMPUTED_VALUE"""),11588.0)</f>
        <v>11588</v>
      </c>
      <c r="C789" s="5" t="str">
        <f>IFERROR(__xludf.DUMMYFUNCTION("""COMPUTED_VALUE"""),"ใบพาย โคขุน (ใบไม้)  (พิเศษ) 225")</f>
        <v>ใบพาย โคขุน (ใบไม้)  (พิเศษ) 225</v>
      </c>
      <c r="D789" s="5" t="str">
        <f>IFERROR(__xludf.DUMMYFUNCTION("""COMPUTED_VALUE"""),"**ร้านค้า ราคาพิเศษ")</f>
        <v>**ร้านค้า ราคาพิเศษ</v>
      </c>
      <c r="E789" s="5" t="str">
        <f>IFERROR(__xludf.DUMMYFUNCTION("""COMPUTED_VALUE"""),"&lt;p&gt;X&lt;/p&gt;")</f>
        <v>&lt;p&gt;X&lt;/p&gt;</v>
      </c>
      <c r="F789" s="5" t="str">
        <f>IFERROR(__xludf.DUMMYFUNCTION("""COMPUTED_VALUE"""),"Y")</f>
        <v>Y</v>
      </c>
      <c r="G789" s="5"/>
      <c r="H789" s="5"/>
      <c r="I789" s="5"/>
      <c r="J789" s="5"/>
      <c r="K789" s="5"/>
      <c r="L789" s="5"/>
      <c r="M789" s="5"/>
      <c r="N789" s="5">
        <f>IFERROR(__xludf.DUMMYFUNCTION("""COMPUTED_VALUE"""),11588.0)</f>
        <v>11588</v>
      </c>
      <c r="O789" s="5">
        <f>IFERROR(__xludf.DUMMYFUNCTION("""COMPUTED_VALUE"""),11186.0)</f>
        <v>11186</v>
      </c>
      <c r="P789" s="5">
        <f>IFERROR(__xludf.DUMMYFUNCTION("""COMPUTED_VALUE"""),1.0)</f>
        <v>1</v>
      </c>
      <c r="Q789" s="5" t="str">
        <f>IFERROR(__xludf.DUMMYFUNCTION("""COMPUTED_VALUE"""),"N")</f>
        <v>N</v>
      </c>
      <c r="R789" s="5" t="str">
        <f>IFERROR(__xludf.DUMMYFUNCTION("""COMPUTED_VALUE"""),"N")</f>
        <v>N</v>
      </c>
      <c r="S789" s="5"/>
      <c r="T789" s="5"/>
      <c r="U789" s="5" t="str">
        <f>IFERROR(__xludf.DUMMYFUNCTION("""COMPUTED_VALUE"""),"Y")</f>
        <v>Y</v>
      </c>
      <c r="V789" s="5">
        <f>IFERROR(__xludf.DUMMYFUNCTION("""COMPUTED_VALUE"""),225.0)</f>
        <v>225</v>
      </c>
      <c r="W789" s="5"/>
      <c r="X789" s="5"/>
      <c r="Y789" s="5"/>
      <c r="Z789" s="5"/>
    </row>
    <row r="790">
      <c r="A790" s="5" t="str">
        <f>IFERROR(__xludf.DUMMYFUNCTION("""COMPUTED_VALUE"""),"ไก่ดาว-topsfood-ลัง-10kg(80)")</f>
        <v>ไก่ดาว-topsfood-ลัง-10kg(80)</v>
      </c>
      <c r="B790" s="5">
        <f>IFERROR(__xludf.DUMMYFUNCTION("""COMPUTED_VALUE"""),10795.0)</f>
        <v>10795</v>
      </c>
      <c r="C790" s="5" t="str">
        <f>IFERROR(__xludf.DUMMYFUNCTION("""COMPUTED_VALUE"""),"ไก่ดาว Topsfood ลัง 10Kg(680)")</f>
        <v>ไก่ดาว Topsfood ลัง 10Kg(680)</v>
      </c>
      <c r="D790" s="5" t="str">
        <f>IFERROR(__xludf.DUMMYFUNCTION("""COMPUTED_VALUE"""),"**ลัง มหาชัย")</f>
        <v>**ลัง มหาชัย</v>
      </c>
      <c r="E790" s="5" t="str">
        <f>IFERROR(__xludf.DUMMYFUNCTION("""COMPUTED_VALUE"""),"10")</f>
        <v>10</v>
      </c>
      <c r="F790" s="5" t="str">
        <f>IFERROR(__xludf.DUMMYFUNCTION("""COMPUTED_VALUE"""),"N")</f>
        <v>N</v>
      </c>
      <c r="G790" s="5"/>
      <c r="H790" s="5"/>
      <c r="I790" s="5"/>
      <c r="J790" s="5"/>
      <c r="K790" s="5"/>
      <c r="L790" s="5"/>
      <c r="M790" s="5">
        <f>IFERROR(__xludf.DUMMYFUNCTION("""COMPUTED_VALUE"""),624.75)</f>
        <v>624.75</v>
      </c>
      <c r="N790" s="5"/>
      <c r="O790" s="5"/>
      <c r="P790" s="5"/>
      <c r="Q790" s="5" t="str">
        <f>IFERROR(__xludf.DUMMYFUNCTION("""COMPUTED_VALUE"""),"Y")</f>
        <v>Y</v>
      </c>
      <c r="R790" s="5"/>
      <c r="S790" s="5" t="str">
        <f>IFERROR(__xludf.DUMMYFUNCTION("""COMPUTED_VALUE"""),"ขึ้นของมหาชัย")</f>
        <v>ขึ้นของมหาชัย</v>
      </c>
      <c r="T790" s="5">
        <f>IFERROR(__xludf.DUMMYFUNCTION("""COMPUTED_VALUE"""),610.0)</f>
        <v>610</v>
      </c>
      <c r="U790" s="5" t="str">
        <f>IFERROR(__xludf.DUMMYFUNCTION("""COMPUTED_VALUE"""),"Y")</f>
        <v>Y</v>
      </c>
      <c r="V790" s="5">
        <f>IFERROR(__xludf.DUMMYFUNCTION("""COMPUTED_VALUE"""),680.0)</f>
        <v>680</v>
      </c>
      <c r="W790" s="5">
        <f>IFERROR(__xludf.DUMMYFUNCTION("""COMPUTED_VALUE"""),0.0)</f>
        <v>0</v>
      </c>
      <c r="X790" s="5">
        <f>IFERROR(__xludf.DUMMYFUNCTION("""COMPUTED_VALUE"""),1.0)</f>
        <v>1</v>
      </c>
      <c r="Y790" s="5">
        <f>IFERROR(__xludf.DUMMYFUNCTION("""COMPUTED_VALUE"""),2.0)</f>
        <v>2</v>
      </c>
      <c r="Z790" s="5"/>
    </row>
    <row r="791">
      <c r="A791" s="5" t="str">
        <f>IFERROR(__xludf.DUMMYFUNCTION("""COMPUTED_VALUE"""),"ไก่ป๊อบ-ซัลวัลเล่1kg")</f>
        <v>ไก่ป๊อบ-ซัลวัลเล่1kg</v>
      </c>
      <c r="B791" s="5">
        <f>IFERROR(__xludf.DUMMYFUNCTION("""COMPUTED_VALUE"""),10060.0)</f>
        <v>10060</v>
      </c>
      <c r="C791" s="5" t="str">
        <f>IFERROR(__xludf.DUMMYFUNCTION("""COMPUTED_VALUE"""),"ไก่ป๊อบ ซัลวัลเล่1Kg")</f>
        <v>ไก่ป๊อบ ซัลวัลเล่1Kg</v>
      </c>
      <c r="D791" s="5"/>
      <c r="E791" s="5"/>
      <c r="F791" s="5" t="str">
        <f>IFERROR(__xludf.DUMMYFUNCTION("""COMPUTED_VALUE"""),"N")</f>
        <v>N</v>
      </c>
      <c r="G791" s="5"/>
      <c r="H791" s="5"/>
      <c r="I791" s="5"/>
      <c r="J791" s="5"/>
      <c r="K791" s="5"/>
      <c r="L791" s="5"/>
      <c r="M791" s="5"/>
      <c r="N791" s="5"/>
      <c r="O791" s="5">
        <f>IFERROR(__xludf.DUMMYFUNCTION("""COMPUTED_VALUE"""),10385.0)</f>
        <v>10385</v>
      </c>
      <c r="P791" s="5">
        <f>IFERROR(__xludf.DUMMYFUNCTION("""COMPUTED_VALUE"""),0.1)</f>
        <v>0.1</v>
      </c>
      <c r="Q791" s="5" t="str">
        <f>IFERROR(__xludf.DUMMYFUNCTION("""COMPUTED_VALUE"""),"N")</f>
        <v>N</v>
      </c>
      <c r="R791" s="5" t="str">
        <f>IFERROR(__xludf.DUMMYFUNCTION("""COMPUTED_VALUE"""),"N")</f>
        <v>N</v>
      </c>
      <c r="S791" s="5"/>
      <c r="T791" s="5"/>
      <c r="U791" s="5" t="str">
        <f>IFERROR(__xludf.DUMMYFUNCTION("""COMPUTED_VALUE"""),"Y")</f>
        <v>Y</v>
      </c>
      <c r="V791" s="5">
        <f>IFERROR(__xludf.DUMMYFUNCTION("""COMPUTED_VALUE"""),115.0)</f>
        <v>115</v>
      </c>
      <c r="W791" s="5"/>
      <c r="X791" s="5"/>
      <c r="Y791" s="5"/>
      <c r="Z791" s="5"/>
    </row>
    <row r="792">
      <c r="A792" s="5" t="str">
        <f>IFERROR(__xludf.DUMMYFUNCTION("""COMPUTED_VALUE"""),"ไก่ป๊อบ-topsfoods-1kg.")</f>
        <v>ไก่ป๊อบ-topsfoods-1kg.</v>
      </c>
      <c r="B792" s="5">
        <f>IFERROR(__xludf.DUMMYFUNCTION("""COMPUTED_VALUE"""),10434.0)</f>
        <v>10434</v>
      </c>
      <c r="C792" s="5" t="str">
        <f>IFERROR(__xludf.DUMMYFUNCTION("""COMPUTED_VALUE"""),"ไก่ป๊อป Topsfood 1Kg.")</f>
        <v>ไก่ป๊อป Topsfood 1Kg.</v>
      </c>
      <c r="D792" s="5"/>
      <c r="E792" s="5"/>
      <c r="F792" s="5" t="str">
        <f>IFERROR(__xludf.DUMMYFUNCTION("""COMPUTED_VALUE"""),"N")</f>
        <v>N</v>
      </c>
      <c r="G792" s="5"/>
      <c r="H792" s="5"/>
      <c r="I792" s="5"/>
      <c r="J792" s="5"/>
      <c r="K792" s="5"/>
      <c r="L792" s="5"/>
      <c r="M792" s="5"/>
      <c r="N792" s="5"/>
      <c r="O792" s="5">
        <f>IFERROR(__xludf.DUMMYFUNCTION("""COMPUTED_VALUE"""),10628.0)</f>
        <v>10628</v>
      </c>
      <c r="P792" s="5">
        <f>IFERROR(__xludf.DUMMYFUNCTION("""COMPUTED_VALUE"""),0.1)</f>
        <v>0.1</v>
      </c>
      <c r="Q792" s="5" t="str">
        <f>IFERROR(__xludf.DUMMYFUNCTION("""COMPUTED_VALUE"""),"N")</f>
        <v>N</v>
      </c>
      <c r="R792" s="5" t="str">
        <f>IFERROR(__xludf.DUMMYFUNCTION("""COMPUTED_VALUE"""),"N")</f>
        <v>N</v>
      </c>
      <c r="S792" s="5"/>
      <c r="T792" s="5"/>
      <c r="U792" s="5" t="str">
        <f>IFERROR(__xludf.DUMMYFUNCTION("""COMPUTED_VALUE"""),"Y")</f>
        <v>Y</v>
      </c>
      <c r="V792" s="5">
        <f>IFERROR(__xludf.DUMMYFUNCTION("""COMPUTED_VALUE"""),85.0)</f>
        <v>85</v>
      </c>
      <c r="W792" s="5"/>
      <c r="X792" s="5"/>
      <c r="Y792" s="5"/>
      <c r="Z792" s="5"/>
    </row>
    <row r="793">
      <c r="A793" s="5" t="str">
        <f>IFERROR(__xludf.DUMMYFUNCTION("""COMPUTED_VALUE"""),"ไก่ป๊อบ-topsfood-ลัง-10kg")</f>
        <v>ไก่ป๊อบ-topsfood-ลัง-10kg</v>
      </c>
      <c r="B793" s="5">
        <f>IFERROR(__xludf.DUMMYFUNCTION("""COMPUTED_VALUE"""),10628.0)</f>
        <v>10628</v>
      </c>
      <c r="C793" s="5" t="str">
        <f>IFERROR(__xludf.DUMMYFUNCTION("""COMPUTED_VALUE"""),"ไก่ป๊อป Topsfood ลัง10กก(80)")</f>
        <v>ไก่ป๊อป Topsfood ลัง10กก(80)</v>
      </c>
      <c r="D793" s="5" t="str">
        <f>IFERROR(__xludf.DUMMYFUNCTION("""COMPUTED_VALUE"""),"**ลัง มหาชัย")</f>
        <v>**ลัง มหาชัย</v>
      </c>
      <c r="E793" s="5" t="str">
        <f>IFERROR(__xludf.DUMMYFUNCTION("""COMPUTED_VALUE"""),"&lt;p&gt;10&lt;/p&gt;")</f>
        <v>&lt;p&gt;10&lt;/p&gt;</v>
      </c>
      <c r="F793" s="5" t="str">
        <f>IFERROR(__xludf.DUMMYFUNCTION("""COMPUTED_VALUE"""),"N")</f>
        <v>N</v>
      </c>
      <c r="G793" s="5"/>
      <c r="H793" s="5"/>
      <c r="I793" s="5"/>
      <c r="J793" s="5"/>
      <c r="K793" s="5"/>
      <c r="L793" s="5"/>
      <c r="M793" s="5">
        <f>IFERROR(__xludf.DUMMYFUNCTION("""COMPUTED_VALUE"""),706.09)</f>
        <v>706.09</v>
      </c>
      <c r="N793" s="5"/>
      <c r="O793" s="5"/>
      <c r="P793" s="5"/>
      <c r="Q793" s="5" t="str">
        <f>IFERROR(__xludf.DUMMYFUNCTION("""COMPUTED_VALUE"""),"Y")</f>
        <v>Y</v>
      </c>
      <c r="R793" s="5"/>
      <c r="S793" s="5" t="str">
        <f>IFERROR(__xludf.DUMMYFUNCTION("""COMPUTED_VALUE"""),"ขึ้นของมหาชัย")</f>
        <v>ขึ้นของมหาชัย</v>
      </c>
      <c r="T793" s="5">
        <f>IFERROR(__xludf.DUMMYFUNCTION("""COMPUTED_VALUE"""),700.0)</f>
        <v>700</v>
      </c>
      <c r="U793" s="5" t="str">
        <f>IFERROR(__xludf.DUMMYFUNCTION("""COMPUTED_VALUE"""),"Y")</f>
        <v>Y</v>
      </c>
      <c r="V793" s="5">
        <f>IFERROR(__xludf.DUMMYFUNCTION("""COMPUTED_VALUE"""),800.0)</f>
        <v>800</v>
      </c>
      <c r="W793" s="5">
        <f>IFERROR(__xludf.DUMMYFUNCTION("""COMPUTED_VALUE"""),3.0)</f>
        <v>3</v>
      </c>
      <c r="X793" s="5">
        <f>IFERROR(__xludf.DUMMYFUNCTION("""COMPUTED_VALUE"""),1.0)</f>
        <v>1</v>
      </c>
      <c r="Y793" s="5">
        <f>IFERROR(__xludf.DUMMYFUNCTION("""COMPUTED_VALUE"""),2.0)</f>
        <v>2</v>
      </c>
      <c r="Z793" s="5"/>
    </row>
    <row r="794">
      <c r="A794" s="5" t="str">
        <f>IFERROR(__xludf.DUMMYFUNCTION("""COMPUTED_VALUE"""),"10385")</f>
        <v>10385</v>
      </c>
      <c r="B794" s="5">
        <f>IFERROR(__xludf.DUMMYFUNCTION("""COMPUTED_VALUE"""),10385.0)</f>
        <v>10385</v>
      </c>
      <c r="C794" s="5" t="str">
        <f>IFERROR(__xludf.DUMMYFUNCTION("""COMPUTED_VALUE"""),"ไก่ป๊อป ซันเวลเล่  (ลัง)")</f>
        <v>ไก่ป๊อป ซันเวลเล่  (ลัง)</v>
      </c>
      <c r="D794" s="5" t="str">
        <f>IFERROR(__xludf.DUMMYFUNCTION("""COMPUTED_VALUE"""),"**ลัง ร้อยเอ็ด")</f>
        <v>**ลัง ร้อยเอ็ด</v>
      </c>
      <c r="E794" s="5" t="str">
        <f>IFERROR(__xludf.DUMMYFUNCTION("""COMPUTED_VALUE"""),"&lt;p&gt;S&lt;/p&gt;")</f>
        <v>&lt;p&gt;S&lt;/p&gt;</v>
      </c>
      <c r="F794" s="5" t="str">
        <f>IFERROR(__xludf.DUMMYFUNCTION("""COMPUTED_VALUE"""),"N")</f>
        <v>N</v>
      </c>
      <c r="G794" s="5"/>
      <c r="H794" s="5"/>
      <c r="I794" s="5"/>
      <c r="J794" s="5"/>
      <c r="K794" s="5"/>
      <c r="L794" s="5"/>
      <c r="M794" s="5">
        <f>IFERROR(__xludf.DUMMYFUNCTION("""COMPUTED_VALUE"""),1010.0)</f>
        <v>1010</v>
      </c>
      <c r="N794" s="5">
        <f>IFERROR(__xludf.DUMMYFUNCTION("""COMPUTED_VALUE"""),10385.0)</f>
        <v>10385</v>
      </c>
      <c r="O794" s="5"/>
      <c r="P794" s="5"/>
      <c r="Q794" s="5" t="str">
        <f>IFERROR(__xludf.DUMMYFUNCTION("""COMPUTED_VALUE"""),"Y")</f>
        <v>Y</v>
      </c>
      <c r="R794" s="5"/>
      <c r="S794" s="5"/>
      <c r="T794" s="5">
        <f>IFERROR(__xludf.DUMMYFUNCTION("""COMPUTED_VALUE"""),1010.0)</f>
        <v>1010</v>
      </c>
      <c r="U794" s="5" t="str">
        <f>IFERROR(__xludf.DUMMYFUNCTION("""COMPUTED_VALUE"""),"Y")</f>
        <v>Y</v>
      </c>
      <c r="V794" s="5">
        <f>IFERROR(__xludf.DUMMYFUNCTION("""COMPUTED_VALUE"""),1120.0)</f>
        <v>1120</v>
      </c>
      <c r="W794" s="5">
        <f>IFERROR(__xludf.DUMMYFUNCTION("""COMPUTED_VALUE"""),5.0)</f>
        <v>5</v>
      </c>
      <c r="X794" s="5"/>
      <c r="Y794" s="5"/>
      <c r="Z794" s="5"/>
    </row>
    <row r="795">
      <c r="A795" s="5" t="str">
        <f>IFERROR(__xludf.DUMMYFUNCTION("""COMPUTED_VALUE"""),"ไก่เสียบไม้--10*แพ็ค-(ลัง)")</f>
        <v>ไก่เสียบไม้--10*แพ็ค-(ลัง)</v>
      </c>
      <c r="B795" s="5">
        <f>IFERROR(__xludf.DUMMYFUNCTION("""COMPUTED_VALUE"""),10085.0)</f>
        <v>10085</v>
      </c>
      <c r="C795" s="5" t="str">
        <f>IFERROR(__xludf.DUMMYFUNCTION("""COMPUTED_VALUE"""),"ไก่เสียบไม้  10*แพ็ค (ลัง)")</f>
        <v>ไก่เสียบไม้  10*แพ็ค (ลัง)</v>
      </c>
      <c r="D795" s="5"/>
      <c r="E795" s="5"/>
      <c r="F795" s="5" t="str">
        <f>IFERROR(__xludf.DUMMYFUNCTION("""COMPUTED_VALUE"""),"N")</f>
        <v>N</v>
      </c>
      <c r="G795" s="5"/>
      <c r="H795" s="5"/>
      <c r="I795" s="5"/>
      <c r="J795" s="5"/>
      <c r="K795" s="5"/>
      <c r="L795" s="5"/>
      <c r="M795" s="5">
        <f>IFERROR(__xludf.DUMMYFUNCTION("""COMPUTED_VALUE"""),540.0)</f>
        <v>540</v>
      </c>
      <c r="N795" s="5"/>
      <c r="O795" s="5"/>
      <c r="P795" s="5"/>
      <c r="Q795" s="5" t="str">
        <f>IFERROR(__xludf.DUMMYFUNCTION("""COMPUTED_VALUE"""),"Y")</f>
        <v>Y</v>
      </c>
      <c r="R795" s="5"/>
      <c r="S795" s="5" t="str">
        <f>IFERROR(__xludf.DUMMYFUNCTION("""COMPUTED_VALUE"""),"กันเอง ชีสบอล")</f>
        <v>กันเอง ชีสบอล</v>
      </c>
      <c r="T795" s="5">
        <f>IFERROR(__xludf.DUMMYFUNCTION("""COMPUTED_VALUE"""),540.0)</f>
        <v>540</v>
      </c>
      <c r="U795" s="5" t="str">
        <f>IFERROR(__xludf.DUMMYFUNCTION("""COMPUTED_VALUE"""),"Y")</f>
        <v>Y</v>
      </c>
      <c r="V795" s="5">
        <f>IFERROR(__xludf.DUMMYFUNCTION("""COMPUTED_VALUE"""),590.0)</f>
        <v>590</v>
      </c>
      <c r="W795" s="5">
        <f>IFERROR(__xludf.DUMMYFUNCTION("""COMPUTED_VALUE"""),3.0)</f>
        <v>3</v>
      </c>
      <c r="X795" s="5"/>
      <c r="Y795" s="5"/>
      <c r="Z795" s="5"/>
    </row>
    <row r="796">
      <c r="A796" s="5" t="str">
        <f>IFERROR(__xludf.DUMMYFUNCTION("""COMPUTED_VALUE"""),"ไข่นกกระทา-500-กรัม")</f>
        <v>ไข่นกกระทา-500-กรัม</v>
      </c>
      <c r="B796" s="5">
        <f>IFERROR(__xludf.DUMMYFUNCTION("""COMPUTED_VALUE"""),11608.0)</f>
        <v>11608</v>
      </c>
      <c r="C796" s="5" t="str">
        <f>IFERROR(__xludf.DUMMYFUNCTION("""COMPUTED_VALUE"""),"ไข่นกกระทา  ถุง500กรัม(78)")</f>
        <v>ไข่นกกระทา  ถุง500กรัม(78)</v>
      </c>
      <c r="D796" s="5" t="str">
        <f>IFERROR(__xludf.DUMMYFUNCTION("""COMPUTED_VALUE"""),"**แช่น้ำ")</f>
        <v>**แช่น้ำ</v>
      </c>
      <c r="E796" s="5" t="str">
        <f>IFERROR(__xludf.DUMMYFUNCTION("""COMPUTED_VALUE"""),"&lt;p&gt;สั่ง ทรัพย์ไพศาล &amp;nbsp;พุธ เสาร์&lt;/p&gt;")</f>
        <v>&lt;p&gt;สั่ง ทรัพย์ไพศาล &amp;nbsp;พุธ เสาร์&lt;/p&gt;</v>
      </c>
      <c r="F796" s="5" t="str">
        <f>IFERROR(__xludf.DUMMYFUNCTION("""COMPUTED_VALUE"""),"N")</f>
        <v>N</v>
      </c>
      <c r="G796" s="5"/>
      <c r="H796" s="5"/>
      <c r="I796" s="5"/>
      <c r="J796" s="5"/>
      <c r="K796" s="5"/>
      <c r="L796" s="5"/>
      <c r="M796" s="5">
        <f>IFERROR(__xludf.DUMMYFUNCTION("""COMPUTED_VALUE"""),65.0)</f>
        <v>65</v>
      </c>
      <c r="N796" s="5">
        <f>IFERROR(__xludf.DUMMYFUNCTION("""COMPUTED_VALUE"""),11608.0)</f>
        <v>11608</v>
      </c>
      <c r="O796" s="5"/>
      <c r="P796" s="5"/>
      <c r="Q796" s="5" t="str">
        <f>IFERROR(__xludf.DUMMYFUNCTION("""COMPUTED_VALUE"""),"Y")</f>
        <v>Y</v>
      </c>
      <c r="R796" s="5"/>
      <c r="S796" s="5" t="str">
        <f>IFERROR(__xludf.DUMMYFUNCTION("""COMPUTED_VALUE"""),"ทรัพย์ไพศาล")</f>
        <v>ทรัพย์ไพศาล</v>
      </c>
      <c r="T796" s="5">
        <f>IFERROR(__xludf.DUMMYFUNCTION("""COMPUTED_VALUE"""),62.0)</f>
        <v>62</v>
      </c>
      <c r="U796" s="5" t="str">
        <f>IFERROR(__xludf.DUMMYFUNCTION("""COMPUTED_VALUE"""),"Y")</f>
        <v>Y</v>
      </c>
      <c r="V796" s="5">
        <f>IFERROR(__xludf.DUMMYFUNCTION("""COMPUTED_VALUE"""),78.0)</f>
        <v>78</v>
      </c>
      <c r="W796" s="5">
        <f>IFERROR(__xludf.DUMMYFUNCTION("""COMPUTED_VALUE"""),2.0)</f>
        <v>2</v>
      </c>
      <c r="X796" s="5">
        <f>IFERROR(__xludf.DUMMYFUNCTION("""COMPUTED_VALUE"""),18.0)</f>
        <v>18</v>
      </c>
      <c r="Y796" s="5">
        <f>IFERROR(__xludf.DUMMYFUNCTION("""COMPUTED_VALUE"""),29.0)</f>
        <v>29</v>
      </c>
      <c r="Z796" s="5"/>
    </row>
    <row r="797">
      <c r="A797" s="5" t="str">
        <f>IFERROR(__xludf.DUMMYFUNCTION("""COMPUTED_VALUE"""),"(s)-ไข่นกกระทา-ถุง-1กก")</f>
        <v>(s)-ไข่นกกระทา-ถุง-1กก</v>
      </c>
      <c r="B797" s="5">
        <f>IFERROR(__xludf.DUMMYFUNCTION("""COMPUTED_VALUE"""),31431.0)</f>
        <v>31431</v>
      </c>
      <c r="C797" s="5" t="str">
        <f>IFERROR(__xludf.DUMMYFUNCTION("""COMPUTED_VALUE"""),"ไข่นกกระทา 500 กรัม 10 ถุง(หิ้ว) - 78")</f>
        <v>ไข่นกกระทา 500 กรัม 10 ถุง(หิ้ว) - 78</v>
      </c>
      <c r="D797" s="5"/>
      <c r="E797" s="5" t="str">
        <f>IFERROR(__xludf.DUMMYFUNCTION("""COMPUTED_VALUE"""),"&lt;p&gt;S&lt;/p&gt;")</f>
        <v>&lt;p&gt;S&lt;/p&gt;</v>
      </c>
      <c r="F797" s="5" t="str">
        <f>IFERROR(__xludf.DUMMYFUNCTION("""COMPUTED_VALUE"""),"N")</f>
        <v>N</v>
      </c>
      <c r="G797" s="5"/>
      <c r="H797" s="5"/>
      <c r="I797" s="5"/>
      <c r="J797" s="5"/>
      <c r="K797" s="5"/>
      <c r="L797" s="5"/>
      <c r="M797" s="5"/>
      <c r="N797" s="5"/>
      <c r="O797" s="5">
        <f>IFERROR(__xludf.DUMMYFUNCTION("""COMPUTED_VALUE"""),11608.0)</f>
        <v>11608</v>
      </c>
      <c r="P797" s="5">
        <f>IFERROR(__xludf.DUMMYFUNCTION("""COMPUTED_VALUE"""),10.0)</f>
        <v>10</v>
      </c>
      <c r="Q797" s="5" t="str">
        <f>IFERROR(__xludf.DUMMYFUNCTION("""COMPUTED_VALUE"""),"N")</f>
        <v>N</v>
      </c>
      <c r="R797" s="5" t="str">
        <f>IFERROR(__xludf.DUMMYFUNCTION("""COMPUTED_VALUE"""),"N")</f>
        <v>N</v>
      </c>
      <c r="S797" s="5"/>
      <c r="T797" s="5"/>
      <c r="U797" s="5" t="str">
        <f>IFERROR(__xludf.DUMMYFUNCTION("""COMPUTED_VALUE"""),"Y")</f>
        <v>Y</v>
      </c>
      <c r="V797" s="5">
        <f>IFERROR(__xludf.DUMMYFUNCTION("""COMPUTED_VALUE"""),780.0)</f>
        <v>780</v>
      </c>
      <c r="W797" s="5"/>
      <c r="X797" s="5"/>
      <c r="Y797" s="5"/>
      <c r="Z797" s="5"/>
    </row>
    <row r="798">
      <c r="A798" s="5" t="str">
        <f>IFERROR(__xludf.DUMMYFUNCTION("""COMPUTED_VALUE"""),"ไข่อาเจน--ลัง-12-กก")</f>
        <v>ไข่อาเจน--ลัง-12-กก</v>
      </c>
      <c r="B798" s="5">
        <f>IFERROR(__xludf.DUMMYFUNCTION("""COMPUTED_VALUE"""),10183.0)</f>
        <v>10183</v>
      </c>
      <c r="C798" s="5" t="str">
        <f>IFERROR(__xludf.DUMMYFUNCTION("""COMPUTED_VALUE"""),"ไข่อาเจน A 1*10 (ลัง)-275")</f>
        <v>ไข่อาเจน A 1*10 (ลัง)-275</v>
      </c>
      <c r="D798" s="5" t="str">
        <f>IFERROR(__xludf.DUMMYFUNCTION("""COMPUTED_VALUE"""),"**ลัง มหาชัย")</f>
        <v>**ลัง มหาชัย</v>
      </c>
      <c r="E798" s="5" t="str">
        <f>IFERROR(__xludf.DUMMYFUNCTION("""COMPUTED_VALUE"""),"&lt;p&gt;10&lt;/p&gt;")</f>
        <v>&lt;p&gt;10&lt;/p&gt;</v>
      </c>
      <c r="F798" s="5" t="str">
        <f>IFERROR(__xludf.DUMMYFUNCTION("""COMPUTED_VALUE"""),"N")</f>
        <v>N</v>
      </c>
      <c r="G798" s="5"/>
      <c r="H798" s="5"/>
      <c r="I798" s="5"/>
      <c r="J798" s="5"/>
      <c r="K798" s="5"/>
      <c r="L798" s="5"/>
      <c r="M798" s="5">
        <f>IFERROR(__xludf.DUMMYFUNCTION("""COMPUTED_VALUE"""),2529.68)</f>
        <v>2529.68</v>
      </c>
      <c r="N798" s="5">
        <f>IFERROR(__xludf.DUMMYFUNCTION("""COMPUTED_VALUE"""),10183.0)</f>
        <v>10183</v>
      </c>
      <c r="O798" s="5"/>
      <c r="P798" s="5"/>
      <c r="Q798" s="5" t="str">
        <f>IFERROR(__xludf.DUMMYFUNCTION("""COMPUTED_VALUE"""),"Y")</f>
        <v>Y</v>
      </c>
      <c r="R798" s="5"/>
      <c r="S798" s="5" t="str">
        <f>IFERROR(__xludf.DUMMYFUNCTION("""COMPUTED_VALUE"""),"ขึ้นของมหาชัย")</f>
        <v>ขึ้นของมหาชัย</v>
      </c>
      <c r="T798" s="5">
        <f>IFERROR(__xludf.DUMMYFUNCTION("""COMPUTED_VALUE"""),2600.0)</f>
        <v>2600</v>
      </c>
      <c r="U798" s="5" t="str">
        <f>IFERROR(__xludf.DUMMYFUNCTION("""COMPUTED_VALUE"""),"Y")</f>
        <v>Y</v>
      </c>
      <c r="V798" s="5">
        <f>IFERROR(__xludf.DUMMYFUNCTION("""COMPUTED_VALUE"""),2750.0)</f>
        <v>2750</v>
      </c>
      <c r="W798" s="5">
        <f>IFERROR(__xludf.DUMMYFUNCTION("""COMPUTED_VALUE"""),2.6)</f>
        <v>2.6</v>
      </c>
      <c r="X798" s="5">
        <f>IFERROR(__xludf.DUMMYFUNCTION("""COMPUTED_VALUE"""),0.0)</f>
        <v>0</v>
      </c>
      <c r="Y798" s="5">
        <f>IFERROR(__xludf.DUMMYFUNCTION("""COMPUTED_VALUE"""),0.0)</f>
        <v>0</v>
      </c>
      <c r="Z798" s="5"/>
    </row>
    <row r="799">
      <c r="A799" s="5" t="str">
        <f>IFERROR(__xludf.DUMMYFUNCTION("""COMPUTED_VALUE"""),"ไข่อาเจน-a-แพ็ค-1-กก")</f>
        <v>ไข่อาเจน-a-แพ็ค-1-กก</v>
      </c>
      <c r="B799" s="5">
        <f>IFERROR(__xludf.DUMMYFUNCTION("""COMPUTED_VALUE"""),10191.0)</f>
        <v>10191</v>
      </c>
      <c r="C799" s="5" t="str">
        <f>IFERROR(__xludf.DUMMYFUNCTION("""COMPUTED_VALUE"""),"ไข่อาเจน A แพ็ค 1 กก-280")</f>
        <v>ไข่อาเจน A แพ็ค 1 กก-280</v>
      </c>
      <c r="D799" s="5"/>
      <c r="E799" s="5"/>
      <c r="F799" s="5" t="str">
        <f>IFERROR(__xludf.DUMMYFUNCTION("""COMPUTED_VALUE"""),"N")</f>
        <v>N</v>
      </c>
      <c r="G799" s="5"/>
      <c r="H799" s="5"/>
      <c r="I799" s="5"/>
      <c r="J799" s="5"/>
      <c r="K799" s="5"/>
      <c r="L799" s="5"/>
      <c r="M799" s="5"/>
      <c r="N799" s="5"/>
      <c r="O799" s="5">
        <f>IFERROR(__xludf.DUMMYFUNCTION("""COMPUTED_VALUE"""),10183.0)</f>
        <v>10183</v>
      </c>
      <c r="P799" s="5">
        <f>IFERROR(__xludf.DUMMYFUNCTION("""COMPUTED_VALUE"""),0.1)</f>
        <v>0.1</v>
      </c>
      <c r="Q799" s="5" t="str">
        <f>IFERROR(__xludf.DUMMYFUNCTION("""COMPUTED_VALUE"""),"N")</f>
        <v>N</v>
      </c>
      <c r="R799" s="5" t="str">
        <f>IFERROR(__xludf.DUMMYFUNCTION("""COMPUTED_VALUE"""),"N")</f>
        <v>N</v>
      </c>
      <c r="S799" s="5"/>
      <c r="T799" s="5"/>
      <c r="U799" s="5" t="str">
        <f>IFERROR(__xludf.DUMMYFUNCTION("""COMPUTED_VALUE"""),"Y")</f>
        <v>Y</v>
      </c>
      <c r="V799" s="5">
        <f>IFERROR(__xludf.DUMMYFUNCTION("""COMPUTED_VALUE"""),280.0)</f>
        <v>280</v>
      </c>
      <c r="W799" s="5"/>
      <c r="X799" s="5"/>
      <c r="Y799" s="5"/>
      <c r="Z799" s="5"/>
    </row>
    <row r="800">
      <c r="A800" s="5" t="str">
        <f>IFERROR(__xludf.DUMMYFUNCTION("""COMPUTED_VALUE"""),"ไข่อาเจน-a-แพ็ค-2-กก")</f>
        <v>ไข่อาเจน-a-แพ็ค-2-กก</v>
      </c>
      <c r="B800" s="5">
        <f>IFERROR(__xludf.DUMMYFUNCTION("""COMPUTED_VALUE"""),10083.0)</f>
        <v>10083</v>
      </c>
      <c r="C800" s="5" t="str">
        <f>IFERROR(__xludf.DUMMYFUNCTION("""COMPUTED_VALUE"""),"ไข่อาเจน A แพ็ค 2 กก-280")</f>
        <v>ไข่อาเจน A แพ็ค 2 กก-280</v>
      </c>
      <c r="D800" s="5"/>
      <c r="E800" s="5"/>
      <c r="F800" s="5" t="str">
        <f>IFERROR(__xludf.DUMMYFUNCTION("""COMPUTED_VALUE"""),"N")</f>
        <v>N</v>
      </c>
      <c r="G800" s="5"/>
      <c r="H800" s="5"/>
      <c r="I800" s="5"/>
      <c r="J800" s="5"/>
      <c r="K800" s="5"/>
      <c r="L800" s="5"/>
      <c r="M800" s="5"/>
      <c r="N800" s="5"/>
      <c r="O800" s="5">
        <f>IFERROR(__xludf.DUMMYFUNCTION("""COMPUTED_VALUE"""),10183.0)</f>
        <v>10183</v>
      </c>
      <c r="P800" s="5">
        <f>IFERROR(__xludf.DUMMYFUNCTION("""COMPUTED_VALUE"""),0.2)</f>
        <v>0.2</v>
      </c>
      <c r="Q800" s="5" t="str">
        <f>IFERROR(__xludf.DUMMYFUNCTION("""COMPUTED_VALUE"""),"N")</f>
        <v>N</v>
      </c>
      <c r="R800" s="5" t="str">
        <f>IFERROR(__xludf.DUMMYFUNCTION("""COMPUTED_VALUE"""),"N")</f>
        <v>N</v>
      </c>
      <c r="S800" s="5"/>
      <c r="T800" s="5"/>
      <c r="U800" s="5" t="str">
        <f>IFERROR(__xludf.DUMMYFUNCTION("""COMPUTED_VALUE"""),"N")</f>
        <v>N</v>
      </c>
      <c r="V800" s="5">
        <f>IFERROR(__xludf.DUMMYFUNCTION("""COMPUTED_VALUE"""),560.0)</f>
        <v>560</v>
      </c>
      <c r="W800" s="5"/>
      <c r="X800" s="5"/>
      <c r="Y800" s="5"/>
      <c r="Z800" s="5"/>
    </row>
    <row r="801">
      <c r="A801" s="5" t="str">
        <f>IFERROR(__xludf.DUMMYFUNCTION("""COMPUTED_VALUE"""),"ไข่แดง-ไข่เค็ม-(20แพ็ค)ลัง")</f>
        <v>ไข่แดง-ไข่เค็ม-(20แพ็ค)ลัง</v>
      </c>
      <c r="B801" s="5">
        <f>IFERROR(__xludf.DUMMYFUNCTION("""COMPUTED_VALUE"""),10918.0)</f>
        <v>10918</v>
      </c>
      <c r="C801" s="5" t="str">
        <f>IFERROR(__xludf.DUMMYFUNCTION("""COMPUTED_VALUE"""),"ไข่แดง ไข่เค็ม (20แพ็ค)ลัง")</f>
        <v>ไข่แดง ไข่เค็ม (20แพ็ค)ลัง</v>
      </c>
      <c r="D801" s="5"/>
      <c r="E801" s="5" t="str">
        <f>IFERROR(__xludf.DUMMYFUNCTION("""COMPUTED_VALUE"""),"&lt;p&gt;X&lt;/p&gt;")</f>
        <v>&lt;p&gt;X&lt;/p&gt;</v>
      </c>
      <c r="F801" s="5" t="str">
        <f>IFERROR(__xludf.DUMMYFUNCTION("""COMPUTED_VALUE"""),"N")</f>
        <v>N</v>
      </c>
      <c r="G801" s="5"/>
      <c r="H801" s="5"/>
      <c r="I801" s="5"/>
      <c r="J801" s="5"/>
      <c r="K801" s="5"/>
      <c r="L801" s="5"/>
      <c r="M801" s="5">
        <f>IFERROR(__xludf.DUMMYFUNCTION("""COMPUTED_VALUE"""),2600.0)</f>
        <v>2600</v>
      </c>
      <c r="N801" s="5">
        <f>IFERROR(__xludf.DUMMYFUNCTION("""COMPUTED_VALUE"""),10918.0)</f>
        <v>10918</v>
      </c>
      <c r="O801" s="5"/>
      <c r="P801" s="5"/>
      <c r="Q801" s="5" t="str">
        <f>IFERROR(__xludf.DUMMYFUNCTION("""COMPUTED_VALUE"""),"N")</f>
        <v>N</v>
      </c>
      <c r="R801" s="5"/>
      <c r="S801" s="5"/>
      <c r="T801" s="5"/>
      <c r="U801" s="5" t="str">
        <f>IFERROR(__xludf.DUMMYFUNCTION("""COMPUTED_VALUE"""),"N")</f>
        <v>N</v>
      </c>
      <c r="V801" s="5">
        <f>IFERROR(__xludf.DUMMYFUNCTION("""COMPUTED_VALUE"""),2700.0)</f>
        <v>2700</v>
      </c>
      <c r="W801" s="5"/>
      <c r="X801" s="5"/>
      <c r="Y801" s="5"/>
      <c r="Z801" s="5"/>
    </row>
    <row r="802">
      <c r="A802" s="5" t="str">
        <f>IFERROR(__xludf.DUMMYFUNCTION("""COMPUTED_VALUE"""),"ไข่หมึก-1-กก-1")</f>
        <v>ไข่หมึก-1-กก-1</v>
      </c>
      <c r="B802" s="5">
        <f>IFERROR(__xludf.DUMMYFUNCTION("""COMPUTED_VALUE"""),10170.0)</f>
        <v>10170</v>
      </c>
      <c r="C802" s="5" t="str">
        <f>IFERROR(__xludf.DUMMYFUNCTION("""COMPUTED_VALUE"""),"ไข่แท่ง 5ดาว 1 กก")</f>
        <v>ไข่แท่ง 5ดาว 1 กก</v>
      </c>
      <c r="D802" s="5" t="str">
        <f>IFERROR(__xludf.DUMMYFUNCTION("""COMPUTED_VALUE"""),"**ของหิ้ว มหาชัย")</f>
        <v>**ของหิ้ว มหาชัย</v>
      </c>
      <c r="E802" s="5" t="str">
        <f>IFERROR(__xludf.DUMMYFUNCTION("""COMPUTED_VALUE"""),"&lt;p&gt;1&lt;/p&gt;")</f>
        <v>&lt;p&gt;1&lt;/p&gt;</v>
      </c>
      <c r="F802" s="5" t="str">
        <f>IFERROR(__xludf.DUMMYFUNCTION("""COMPUTED_VALUE"""),"N")</f>
        <v>N</v>
      </c>
      <c r="G802" s="5"/>
      <c r="H802" s="5"/>
      <c r="I802" s="5"/>
      <c r="J802" s="5"/>
      <c r="K802" s="5"/>
      <c r="L802" s="5"/>
      <c r="M802" s="5">
        <f>IFERROR(__xludf.DUMMYFUNCTION("""COMPUTED_VALUE"""),94.13)</f>
        <v>94.13</v>
      </c>
      <c r="N802" s="5">
        <f>IFERROR(__xludf.DUMMYFUNCTION("""COMPUTED_VALUE"""),10170.0)</f>
        <v>10170</v>
      </c>
      <c r="O802" s="5"/>
      <c r="P802" s="5"/>
      <c r="Q802" s="5" t="str">
        <f>IFERROR(__xludf.DUMMYFUNCTION("""COMPUTED_VALUE"""),"Y")</f>
        <v>Y</v>
      </c>
      <c r="R802" s="5"/>
      <c r="S802" s="5" t="str">
        <f>IFERROR(__xludf.DUMMYFUNCTION("""COMPUTED_VALUE"""),"ขึ้นของมหาชัย")</f>
        <v>ขึ้นของมหาชัย</v>
      </c>
      <c r="T802" s="5">
        <f>IFERROR(__xludf.DUMMYFUNCTION("""COMPUTED_VALUE"""),90.0)</f>
        <v>90</v>
      </c>
      <c r="U802" s="5" t="str">
        <f>IFERROR(__xludf.DUMMYFUNCTION("""COMPUTED_VALUE"""),"Y")</f>
        <v>Y</v>
      </c>
      <c r="V802" s="5">
        <f>IFERROR(__xludf.DUMMYFUNCTION("""COMPUTED_VALUE"""),100.0)</f>
        <v>100</v>
      </c>
      <c r="W802" s="5">
        <f>IFERROR(__xludf.DUMMYFUNCTION("""COMPUTED_VALUE"""),151.0)</f>
        <v>151</v>
      </c>
      <c r="X802" s="5">
        <f>IFERROR(__xludf.DUMMYFUNCTION("""COMPUTED_VALUE"""),50.0)</f>
        <v>50</v>
      </c>
      <c r="Y802" s="5">
        <f>IFERROR(__xludf.DUMMYFUNCTION("""COMPUTED_VALUE"""),100.0)</f>
        <v>100</v>
      </c>
      <c r="Z802" s="5"/>
    </row>
    <row r="803">
      <c r="A803" s="5" t="str">
        <f>IFERROR(__xludf.DUMMYFUNCTION("""COMPUTED_VALUE"""),"ไข่แท่ง-5ดาว-10*1-กก-(หิ้ว)")</f>
        <v>ไข่แท่ง-5ดาว-10*1-กก-(หิ้ว)</v>
      </c>
      <c r="B803" s="5">
        <f>IFERROR(__xludf.DUMMYFUNCTION("""COMPUTED_VALUE"""),11396.0)</f>
        <v>11396</v>
      </c>
      <c r="C803" s="5" t="str">
        <f>IFERROR(__xludf.DUMMYFUNCTION("""COMPUTED_VALUE"""),"ไข่แท่ง 5ดาว 10*1 กก (หิ้ว)")</f>
        <v>ไข่แท่ง 5ดาว 10*1 กก (หิ้ว)</v>
      </c>
      <c r="D803" s="5"/>
      <c r="E803" s="5" t="str">
        <f>IFERROR(__xludf.DUMMYFUNCTION("""COMPUTED_VALUE"""),"&lt;p&gt;S&lt;/p&gt;")</f>
        <v>&lt;p&gt;S&lt;/p&gt;</v>
      </c>
      <c r="F803" s="5" t="str">
        <f>IFERROR(__xludf.DUMMYFUNCTION("""COMPUTED_VALUE"""),"N")</f>
        <v>N</v>
      </c>
      <c r="G803" s="5"/>
      <c r="H803" s="5"/>
      <c r="I803" s="5"/>
      <c r="J803" s="5"/>
      <c r="K803" s="5"/>
      <c r="L803" s="5"/>
      <c r="M803" s="5"/>
      <c r="N803" s="5">
        <f>IFERROR(__xludf.DUMMYFUNCTION("""COMPUTED_VALUE"""),11396.0)</f>
        <v>11396</v>
      </c>
      <c r="O803" s="5">
        <f>IFERROR(__xludf.DUMMYFUNCTION("""COMPUTED_VALUE"""),10170.0)</f>
        <v>10170</v>
      </c>
      <c r="P803" s="5">
        <f>IFERROR(__xludf.DUMMYFUNCTION("""COMPUTED_VALUE"""),10.0)</f>
        <v>10</v>
      </c>
      <c r="Q803" s="5" t="str">
        <f>IFERROR(__xludf.DUMMYFUNCTION("""COMPUTED_VALUE"""),"N")</f>
        <v>N</v>
      </c>
      <c r="R803" s="5" t="str">
        <f>IFERROR(__xludf.DUMMYFUNCTION("""COMPUTED_VALUE"""),"N")</f>
        <v>N</v>
      </c>
      <c r="S803" s="5"/>
      <c r="T803" s="5"/>
      <c r="U803" s="5" t="str">
        <f>IFERROR(__xludf.DUMMYFUNCTION("""COMPUTED_VALUE"""),"Y")</f>
        <v>Y</v>
      </c>
      <c r="V803" s="5">
        <f>IFERROR(__xludf.DUMMYFUNCTION("""COMPUTED_VALUE"""),1000.0)</f>
        <v>1000</v>
      </c>
      <c r="W803" s="5"/>
      <c r="X803" s="5"/>
      <c r="Y803" s="5"/>
      <c r="Z803" s="5"/>
    </row>
    <row r="804">
      <c r="A804" s="5" t="str">
        <f>IFERROR(__xludf.DUMMYFUNCTION("""COMPUTED_VALUE"""),"ไม้เสียบ--5*12")</f>
        <v>ไม้เสียบ--5*12</v>
      </c>
      <c r="B804" s="5">
        <f>IFERROR(__xludf.DUMMYFUNCTION("""COMPUTED_VALUE"""),10011.0)</f>
        <v>10011</v>
      </c>
      <c r="C804" s="5" t="str">
        <f>IFERROR(__xludf.DUMMYFUNCTION("""COMPUTED_VALUE"""),"ไม้เสียบ  5*12 (แพ็ค)")</f>
        <v>ไม้เสียบ  5*12 (แพ็ค)</v>
      </c>
      <c r="D804" s="5"/>
      <c r="E804" s="5"/>
      <c r="F804" s="5" t="str">
        <f>IFERROR(__xludf.DUMMYFUNCTION("""COMPUTED_VALUE"""),"N")</f>
        <v>N</v>
      </c>
      <c r="G804" s="5"/>
      <c r="H804" s="5"/>
      <c r="I804" s="5"/>
      <c r="J804" s="5"/>
      <c r="K804" s="5"/>
      <c r="L804" s="5"/>
      <c r="M804" s="5">
        <f>IFERROR(__xludf.DUMMYFUNCTION("""COMPUTED_VALUE"""),11.0)</f>
        <v>11</v>
      </c>
      <c r="N804" s="5"/>
      <c r="O804" s="5"/>
      <c r="P804" s="5"/>
      <c r="Q804" s="5" t="str">
        <f>IFERROR(__xludf.DUMMYFUNCTION("""COMPUTED_VALUE"""),"Y")</f>
        <v>Y</v>
      </c>
      <c r="R804" s="5"/>
      <c r="S804" s="5"/>
      <c r="T804" s="5">
        <f>IFERROR(__xludf.DUMMYFUNCTION("""COMPUTED_VALUE"""),9.5)</f>
        <v>9.5</v>
      </c>
      <c r="U804" s="5" t="str">
        <f>IFERROR(__xludf.DUMMYFUNCTION("""COMPUTED_VALUE"""),"Y")</f>
        <v>Y</v>
      </c>
      <c r="V804" s="5">
        <f>IFERROR(__xludf.DUMMYFUNCTION("""COMPUTED_VALUE"""),20.0)</f>
        <v>20</v>
      </c>
      <c r="W804" s="5">
        <f>IFERROR(__xludf.DUMMYFUNCTION("""COMPUTED_VALUE"""),0.0)</f>
        <v>0</v>
      </c>
      <c r="X804" s="5"/>
      <c r="Y804" s="5"/>
      <c r="Z804" s="5"/>
    </row>
    <row r="805">
      <c r="A805" s="5" t="str">
        <f>IFERROR(__xludf.DUMMYFUNCTION("""COMPUTED_VALUE"""),"ไม้เสียบ--5*12-ลัง")</f>
        <v>ไม้เสียบ--5*12-ลัง</v>
      </c>
      <c r="B805" s="5">
        <f>IFERROR(__xludf.DUMMYFUNCTION("""COMPUTED_VALUE"""),10839.0)</f>
        <v>10839</v>
      </c>
      <c r="C805" s="5" t="str">
        <f>IFERROR(__xludf.DUMMYFUNCTION("""COMPUTED_VALUE"""),"ไม้เสียบ  5*12(ลัง)")</f>
        <v>ไม้เสียบ  5*12(ลัง)</v>
      </c>
      <c r="D805" s="5"/>
      <c r="E805" s="5" t="str">
        <f>IFERROR(__xludf.DUMMYFUNCTION("""COMPUTED_VALUE"""),"&lt;p&gt;S&lt;/p&gt;")</f>
        <v>&lt;p&gt;S&lt;/p&gt;</v>
      </c>
      <c r="F805" s="5" t="str">
        <f>IFERROR(__xludf.DUMMYFUNCTION("""COMPUTED_VALUE"""),"N")</f>
        <v>N</v>
      </c>
      <c r="G805" s="5"/>
      <c r="H805" s="5"/>
      <c r="I805" s="5"/>
      <c r="J805" s="5"/>
      <c r="K805" s="5"/>
      <c r="L805" s="5"/>
      <c r="M805" s="5"/>
      <c r="N805" s="5">
        <f>IFERROR(__xludf.DUMMYFUNCTION("""COMPUTED_VALUE"""),10839.0)</f>
        <v>10839</v>
      </c>
      <c r="O805" s="5">
        <f>IFERROR(__xludf.DUMMYFUNCTION("""COMPUTED_VALUE"""),10011.0)</f>
        <v>10011</v>
      </c>
      <c r="P805" s="5">
        <f>IFERROR(__xludf.DUMMYFUNCTION("""COMPUTED_VALUE"""),20.0)</f>
        <v>20</v>
      </c>
      <c r="Q805" s="5" t="str">
        <f>IFERROR(__xludf.DUMMYFUNCTION("""COMPUTED_VALUE"""),"N")</f>
        <v>N</v>
      </c>
      <c r="R805" s="5" t="str">
        <f>IFERROR(__xludf.DUMMYFUNCTION("""COMPUTED_VALUE"""),"N")</f>
        <v>N</v>
      </c>
      <c r="S805" s="5"/>
      <c r="T805" s="5"/>
      <c r="U805" s="5" t="str">
        <f>IFERROR(__xludf.DUMMYFUNCTION("""COMPUTED_VALUE"""),"Y")</f>
        <v>Y</v>
      </c>
      <c r="V805" s="5">
        <f>IFERROR(__xludf.DUMMYFUNCTION("""COMPUTED_VALUE"""),220.0)</f>
        <v>220</v>
      </c>
      <c r="W805" s="5"/>
      <c r="X805" s="5"/>
      <c r="Y805" s="5"/>
      <c r="Z805" s="5"/>
    </row>
    <row r="806">
      <c r="A806" s="5" t="str">
        <f>IFERROR(__xludf.DUMMYFUNCTION("""COMPUTED_VALUE"""),"ไม้เสียบ-3*10")</f>
        <v>ไม้เสียบ-3*10</v>
      </c>
      <c r="B806" s="5">
        <f>IFERROR(__xludf.DUMMYFUNCTION("""COMPUTED_VALUE"""),10008.0)</f>
        <v>10008</v>
      </c>
      <c r="C806" s="5" t="str">
        <f>IFERROR(__xludf.DUMMYFUNCTION("""COMPUTED_VALUE"""),"ไม้เสียบ 3*10 (แพ็ค)")</f>
        <v>ไม้เสียบ 3*10 (แพ็ค)</v>
      </c>
      <c r="D806" s="5"/>
      <c r="E806" s="5"/>
      <c r="F806" s="5" t="str">
        <f>IFERROR(__xludf.DUMMYFUNCTION("""COMPUTED_VALUE"""),"N")</f>
        <v>N</v>
      </c>
      <c r="G806" s="5"/>
      <c r="H806" s="5"/>
      <c r="I806" s="5"/>
      <c r="J806" s="5"/>
      <c r="K806" s="5"/>
      <c r="L806" s="5"/>
      <c r="M806" s="5">
        <f>IFERROR(__xludf.DUMMYFUNCTION("""COMPUTED_VALUE"""),10.0)</f>
        <v>10</v>
      </c>
      <c r="N806" s="5"/>
      <c r="O806" s="5"/>
      <c r="P806" s="5"/>
      <c r="Q806" s="5" t="str">
        <f>IFERROR(__xludf.DUMMYFUNCTION("""COMPUTED_VALUE"""),"Y")</f>
        <v>Y</v>
      </c>
      <c r="R806" s="5"/>
      <c r="S806" s="5"/>
      <c r="T806" s="5">
        <f>IFERROR(__xludf.DUMMYFUNCTION("""COMPUTED_VALUE"""),9.5)</f>
        <v>9.5</v>
      </c>
      <c r="U806" s="5" t="str">
        <f>IFERROR(__xludf.DUMMYFUNCTION("""COMPUTED_VALUE"""),"Y")</f>
        <v>Y</v>
      </c>
      <c r="V806" s="5">
        <f>IFERROR(__xludf.DUMMYFUNCTION("""COMPUTED_VALUE"""),20.0)</f>
        <v>20</v>
      </c>
      <c r="W806" s="5">
        <f>IFERROR(__xludf.DUMMYFUNCTION("""COMPUTED_VALUE"""),0.0)</f>
        <v>0</v>
      </c>
      <c r="X806" s="5">
        <f>IFERROR(__xludf.DUMMYFUNCTION("""COMPUTED_VALUE"""),9.5)</f>
        <v>9.5</v>
      </c>
      <c r="Y806" s="5"/>
      <c r="Z806" s="5"/>
    </row>
    <row r="807">
      <c r="A807" s="5" t="str">
        <f>IFERROR(__xludf.DUMMYFUNCTION("""COMPUTED_VALUE"""),"ไม้เสียบ-3*10-ลัง")</f>
        <v>ไม้เสียบ-3*10-ลัง</v>
      </c>
      <c r="B807" s="5">
        <f>IFERROR(__xludf.DUMMYFUNCTION("""COMPUTED_VALUE"""),10573.0)</f>
        <v>10573</v>
      </c>
      <c r="C807" s="5" t="str">
        <f>IFERROR(__xludf.DUMMYFUNCTION("""COMPUTED_VALUE"""),"ไม้เสียบ 3*10(ลัง)")</f>
        <v>ไม้เสียบ 3*10(ลัง)</v>
      </c>
      <c r="D807" s="5"/>
      <c r="E807" s="5" t="str">
        <f>IFERROR(__xludf.DUMMYFUNCTION("""COMPUTED_VALUE"""),"&lt;p&gt;S&lt;/p&gt;")</f>
        <v>&lt;p&gt;S&lt;/p&gt;</v>
      </c>
      <c r="F807" s="5" t="str">
        <f>IFERROR(__xludf.DUMMYFUNCTION("""COMPUTED_VALUE"""),"N")</f>
        <v>N</v>
      </c>
      <c r="G807" s="5"/>
      <c r="H807" s="5"/>
      <c r="I807" s="5"/>
      <c r="J807" s="5"/>
      <c r="K807" s="5"/>
      <c r="L807" s="5"/>
      <c r="M807" s="5"/>
      <c r="N807" s="5">
        <f>IFERROR(__xludf.DUMMYFUNCTION("""COMPUTED_VALUE"""),10573.0)</f>
        <v>10573</v>
      </c>
      <c r="O807" s="5">
        <f>IFERROR(__xludf.DUMMYFUNCTION("""COMPUTED_VALUE"""),10008.0)</f>
        <v>10008</v>
      </c>
      <c r="P807" s="5">
        <f>IFERROR(__xludf.DUMMYFUNCTION("""COMPUTED_VALUE"""),20.0)</f>
        <v>20</v>
      </c>
      <c r="Q807" s="5" t="str">
        <f>IFERROR(__xludf.DUMMYFUNCTION("""COMPUTED_VALUE"""),"N")</f>
        <v>N</v>
      </c>
      <c r="R807" s="5" t="str">
        <f>IFERROR(__xludf.DUMMYFUNCTION("""COMPUTED_VALUE"""),"N")</f>
        <v>N</v>
      </c>
      <c r="S807" s="5"/>
      <c r="T807" s="5"/>
      <c r="U807" s="5" t="str">
        <f>IFERROR(__xludf.DUMMYFUNCTION("""COMPUTED_VALUE"""),"Y")</f>
        <v>Y</v>
      </c>
      <c r="V807" s="5">
        <f>IFERROR(__xludf.DUMMYFUNCTION("""COMPUTED_VALUE"""),220.0)</f>
        <v>220</v>
      </c>
      <c r="W807" s="5"/>
      <c r="X807" s="5"/>
      <c r="Y807" s="5"/>
      <c r="Z807" s="5"/>
    </row>
    <row r="808">
      <c r="A808" s="5" t="str">
        <f>IFERROR(__xludf.DUMMYFUNCTION("""COMPUTED_VALUE"""),"ไม้เสียบ-3*8--ลัง")</f>
        <v>ไม้เสียบ-3*8--ลัง</v>
      </c>
      <c r="B808" s="5">
        <f>IFERROR(__xludf.DUMMYFUNCTION("""COMPUTED_VALUE"""),10967.0)</f>
        <v>10967</v>
      </c>
      <c r="C808" s="5" t="str">
        <f>IFERROR(__xludf.DUMMYFUNCTION("""COMPUTED_VALUE"""),"ไม้เสียบ 3*8(ลัง)")</f>
        <v>ไม้เสียบ 3*8(ลัง)</v>
      </c>
      <c r="D808" s="5"/>
      <c r="E808" s="5" t="str">
        <f>IFERROR(__xludf.DUMMYFUNCTION("""COMPUTED_VALUE"""),"&lt;p&gt;S&lt;/p&gt;")</f>
        <v>&lt;p&gt;S&lt;/p&gt;</v>
      </c>
      <c r="F808" s="5" t="str">
        <f>IFERROR(__xludf.DUMMYFUNCTION("""COMPUTED_VALUE"""),"N")</f>
        <v>N</v>
      </c>
      <c r="G808" s="5"/>
      <c r="H808" s="5"/>
      <c r="I808" s="5"/>
      <c r="J808" s="5"/>
      <c r="K808" s="5"/>
      <c r="L808" s="5"/>
      <c r="M808" s="5"/>
      <c r="N808" s="5">
        <f>IFERROR(__xludf.DUMMYFUNCTION("""COMPUTED_VALUE"""),10967.0)</f>
        <v>10967</v>
      </c>
      <c r="O808" s="5">
        <f>IFERROR(__xludf.DUMMYFUNCTION("""COMPUTED_VALUE"""),10966.0)</f>
        <v>10966</v>
      </c>
      <c r="P808" s="5">
        <f>IFERROR(__xludf.DUMMYFUNCTION("""COMPUTED_VALUE"""),20.0)</f>
        <v>20</v>
      </c>
      <c r="Q808" s="5" t="str">
        <f>IFERROR(__xludf.DUMMYFUNCTION("""COMPUTED_VALUE"""),"N")</f>
        <v>N</v>
      </c>
      <c r="R808" s="5" t="str">
        <f>IFERROR(__xludf.DUMMYFUNCTION("""COMPUTED_VALUE"""),"N")</f>
        <v>N</v>
      </c>
      <c r="S808" s="5"/>
      <c r="T808" s="5"/>
      <c r="U808" s="5" t="str">
        <f>IFERROR(__xludf.DUMMYFUNCTION("""COMPUTED_VALUE"""),"Y")</f>
        <v>Y</v>
      </c>
      <c r="V808" s="5">
        <f>IFERROR(__xludf.DUMMYFUNCTION("""COMPUTED_VALUE"""),220.0)</f>
        <v>220</v>
      </c>
      <c r="W808" s="5"/>
      <c r="X808" s="5"/>
      <c r="Y808" s="5"/>
      <c r="Z808" s="5"/>
    </row>
    <row r="809">
      <c r="A809" s="5" t="str">
        <f>IFERROR(__xludf.DUMMYFUNCTION("""COMPUTED_VALUE"""),"ไม้เสียบ-เบอร์-9-ลัง")</f>
        <v>ไม้เสียบ-เบอร์-9-ลัง</v>
      </c>
      <c r="B809" s="5">
        <f>IFERROR(__xludf.DUMMYFUNCTION("""COMPUTED_VALUE"""),10432.0)</f>
        <v>10432</v>
      </c>
      <c r="C809" s="5" t="str">
        <f>IFERROR(__xludf.DUMMYFUNCTION("""COMPUTED_VALUE"""),"ไม้เสียบ เบอร์ 3*9(ลัง)")</f>
        <v>ไม้เสียบ เบอร์ 3*9(ลัง)</v>
      </c>
      <c r="D809" s="5"/>
      <c r="E809" s="5" t="str">
        <f>IFERROR(__xludf.DUMMYFUNCTION("""COMPUTED_VALUE"""),"&lt;p&gt;S&lt;/p&gt;")</f>
        <v>&lt;p&gt;S&lt;/p&gt;</v>
      </c>
      <c r="F809" s="5" t="str">
        <f>IFERROR(__xludf.DUMMYFUNCTION("""COMPUTED_VALUE"""),"N")</f>
        <v>N</v>
      </c>
      <c r="G809" s="5"/>
      <c r="H809" s="5"/>
      <c r="I809" s="5"/>
      <c r="J809" s="5"/>
      <c r="K809" s="5"/>
      <c r="L809" s="5"/>
      <c r="M809" s="5"/>
      <c r="N809" s="5">
        <f>IFERROR(__xludf.DUMMYFUNCTION("""COMPUTED_VALUE"""),10432.0)</f>
        <v>10432</v>
      </c>
      <c r="O809" s="5">
        <f>IFERROR(__xludf.DUMMYFUNCTION("""COMPUTED_VALUE"""),10136.0)</f>
        <v>10136</v>
      </c>
      <c r="P809" s="5">
        <f>IFERROR(__xludf.DUMMYFUNCTION("""COMPUTED_VALUE"""),20.0)</f>
        <v>20</v>
      </c>
      <c r="Q809" s="5" t="str">
        <f>IFERROR(__xludf.DUMMYFUNCTION("""COMPUTED_VALUE"""),"N")</f>
        <v>N</v>
      </c>
      <c r="R809" s="5" t="str">
        <f>IFERROR(__xludf.DUMMYFUNCTION("""COMPUTED_VALUE"""),"N")</f>
        <v>N</v>
      </c>
      <c r="S809" s="5"/>
      <c r="T809" s="5"/>
      <c r="U809" s="5" t="str">
        <f>IFERROR(__xludf.DUMMYFUNCTION("""COMPUTED_VALUE"""),"Y")</f>
        <v>Y</v>
      </c>
      <c r="V809" s="5">
        <f>IFERROR(__xludf.DUMMYFUNCTION("""COMPUTED_VALUE"""),220.0)</f>
        <v>220</v>
      </c>
      <c r="W809" s="5"/>
      <c r="X809" s="5"/>
      <c r="Y809" s="5"/>
      <c r="Z809" s="5"/>
    </row>
    <row r="810">
      <c r="A810" s="5" t="str">
        <f>IFERROR(__xludf.DUMMYFUNCTION("""COMPUTED_VALUE"""),"ไม้เสียบ-เบอร์-4*10-ลัง")</f>
        <v>ไม้เสียบ-เบอร์-4*10-ลัง</v>
      </c>
      <c r="B810" s="5">
        <f>IFERROR(__xludf.DUMMYFUNCTION("""COMPUTED_VALUE"""),10433.0)</f>
        <v>10433</v>
      </c>
      <c r="C810" s="5" t="str">
        <f>IFERROR(__xludf.DUMMYFUNCTION("""COMPUTED_VALUE"""),"ไม้เสียบ เบอร์ 4*10(ลัง)")</f>
        <v>ไม้เสียบ เบอร์ 4*10(ลัง)</v>
      </c>
      <c r="D810" s="5"/>
      <c r="E810" s="5" t="str">
        <f>IFERROR(__xludf.DUMMYFUNCTION("""COMPUTED_VALUE"""),"&lt;p&gt;S&lt;/p&gt;")</f>
        <v>&lt;p&gt;S&lt;/p&gt;</v>
      </c>
      <c r="F810" s="5" t="str">
        <f>IFERROR(__xludf.DUMMYFUNCTION("""COMPUTED_VALUE"""),"N")</f>
        <v>N</v>
      </c>
      <c r="G810" s="5"/>
      <c r="H810" s="5"/>
      <c r="I810" s="5"/>
      <c r="J810" s="5"/>
      <c r="K810" s="5"/>
      <c r="L810" s="5"/>
      <c r="M810" s="5"/>
      <c r="N810" s="5">
        <f>IFERROR(__xludf.DUMMYFUNCTION("""COMPUTED_VALUE"""),10433.0)</f>
        <v>10433</v>
      </c>
      <c r="O810" s="5">
        <f>IFERROR(__xludf.DUMMYFUNCTION("""COMPUTED_VALUE"""),10138.0)</f>
        <v>10138</v>
      </c>
      <c r="P810" s="5">
        <f>IFERROR(__xludf.DUMMYFUNCTION("""COMPUTED_VALUE"""),20.0)</f>
        <v>20</v>
      </c>
      <c r="Q810" s="5" t="str">
        <f>IFERROR(__xludf.DUMMYFUNCTION("""COMPUTED_VALUE"""),"N")</f>
        <v>N</v>
      </c>
      <c r="R810" s="5" t="str">
        <f>IFERROR(__xludf.DUMMYFUNCTION("""COMPUTED_VALUE"""),"N")</f>
        <v>N</v>
      </c>
      <c r="S810" s="5"/>
      <c r="T810" s="5"/>
      <c r="U810" s="5" t="str">
        <f>IFERROR(__xludf.DUMMYFUNCTION("""COMPUTED_VALUE"""),"Y")</f>
        <v>Y</v>
      </c>
      <c r="V810" s="5">
        <f>IFERROR(__xludf.DUMMYFUNCTION("""COMPUTED_VALUE"""),220.0)</f>
        <v>220</v>
      </c>
      <c r="W810" s="5"/>
      <c r="X810" s="5"/>
      <c r="Y810" s="5"/>
      <c r="Z810" s="5"/>
    </row>
    <row r="811">
      <c r="A811" s="5" t="str">
        <f>IFERROR(__xludf.DUMMYFUNCTION("""COMPUTED_VALUE"""),"ไม้เสียบ4*12(ลัง)")</f>
        <v>ไม้เสียบ4*12(ลัง)</v>
      </c>
      <c r="B811" s="5">
        <f>IFERROR(__xludf.DUMMYFUNCTION("""COMPUTED_VALUE"""),10561.0)</f>
        <v>10561</v>
      </c>
      <c r="C811" s="5" t="str">
        <f>IFERROR(__xludf.DUMMYFUNCTION("""COMPUTED_VALUE"""),"ไม้เสียบ4*12(ลัง)")</f>
        <v>ไม้เสียบ4*12(ลัง)</v>
      </c>
      <c r="D811" s="5"/>
      <c r="E811" s="5"/>
      <c r="F811" s="5" t="str">
        <f>IFERROR(__xludf.DUMMYFUNCTION("""COMPUTED_VALUE"""),"N")</f>
        <v>N</v>
      </c>
      <c r="G811" s="5"/>
      <c r="H811" s="5"/>
      <c r="I811" s="5"/>
      <c r="J811" s="5"/>
      <c r="K811" s="5"/>
      <c r="L811" s="5"/>
      <c r="M811" s="5"/>
      <c r="N811" s="5"/>
      <c r="O811" s="5">
        <f>IFERROR(__xludf.DUMMYFUNCTION("""COMPUTED_VALUE"""),10686.0)</f>
        <v>10686</v>
      </c>
      <c r="P811" s="5">
        <f>IFERROR(__xludf.DUMMYFUNCTION("""COMPUTED_VALUE"""),20.0)</f>
        <v>20</v>
      </c>
      <c r="Q811" s="5" t="str">
        <f>IFERROR(__xludf.DUMMYFUNCTION("""COMPUTED_VALUE"""),"N")</f>
        <v>N</v>
      </c>
      <c r="R811" s="5" t="str">
        <f>IFERROR(__xludf.DUMMYFUNCTION("""COMPUTED_VALUE"""),"N")</f>
        <v>N</v>
      </c>
      <c r="S811" s="5"/>
      <c r="T811" s="5"/>
      <c r="U811" s="5" t="str">
        <f>IFERROR(__xludf.DUMMYFUNCTION("""COMPUTED_VALUE"""),"Y")</f>
        <v>Y</v>
      </c>
      <c r="V811" s="5">
        <f>IFERROR(__xludf.DUMMYFUNCTION("""COMPUTED_VALUE"""),220.0)</f>
        <v>220</v>
      </c>
      <c r="W811" s="5"/>
      <c r="X811" s="5"/>
      <c r="Y811" s="5"/>
      <c r="Z811" s="5"/>
    </row>
    <row r="812">
      <c r="A812" s="5" t="str">
        <f>IFERROR(__xludf.DUMMYFUNCTION("""COMPUTED_VALUE"""),"ไส้กรอกแฟรงค์หนังกรอบ-10*500-กรัม-(หิ้ว)")</f>
        <v>ไส้กรอกแฟรงค์หนังกรอบ-10*500-กรัม-(หิ้ว)</v>
      </c>
      <c r="B812" s="5">
        <f>IFERROR(__xludf.DUMMYFUNCTION("""COMPUTED_VALUE"""),11621.0)</f>
        <v>11621</v>
      </c>
      <c r="C812" s="5" t="str">
        <f>IFERROR(__xludf.DUMMYFUNCTION("""COMPUTED_VALUE"""),"ไส้กรอกหนังกรอบ  500g 1*10(หิ้ว)-80")</f>
        <v>ไส้กรอกหนังกรอบ  500g 1*10(หิ้ว)-80</v>
      </c>
      <c r="D812" s="5"/>
      <c r="E812" s="5" t="str">
        <f>IFERROR(__xludf.DUMMYFUNCTION("""COMPUTED_VALUE"""),"&lt;p&gt;S&lt;/p&gt;")</f>
        <v>&lt;p&gt;S&lt;/p&gt;</v>
      </c>
      <c r="F812" s="5" t="str">
        <f>IFERROR(__xludf.DUMMYFUNCTION("""COMPUTED_VALUE"""),"N")</f>
        <v>N</v>
      </c>
      <c r="G812" s="5"/>
      <c r="H812" s="5"/>
      <c r="I812" s="5"/>
      <c r="J812" s="5"/>
      <c r="K812" s="5"/>
      <c r="L812" s="5"/>
      <c r="M812" s="5">
        <f>IFERROR(__xludf.DUMMYFUNCTION("""COMPUTED_VALUE"""),620.0)</f>
        <v>620</v>
      </c>
      <c r="N812" s="5">
        <f>IFERROR(__xludf.DUMMYFUNCTION("""COMPUTED_VALUE"""),11621.0)</f>
        <v>11621</v>
      </c>
      <c r="O812" s="5"/>
      <c r="P812" s="5"/>
      <c r="Q812" s="5" t="str">
        <f>IFERROR(__xludf.DUMMYFUNCTION("""COMPUTED_VALUE"""),"Y")</f>
        <v>Y</v>
      </c>
      <c r="R812" s="5"/>
      <c r="S812" s="5"/>
      <c r="T812" s="5">
        <f>IFERROR(__xludf.DUMMYFUNCTION("""COMPUTED_VALUE"""),620.0)</f>
        <v>620</v>
      </c>
      <c r="U812" s="5" t="str">
        <f>IFERROR(__xludf.DUMMYFUNCTION("""COMPUTED_VALUE"""),"Y")</f>
        <v>Y</v>
      </c>
      <c r="V812" s="5">
        <f>IFERROR(__xludf.DUMMYFUNCTION("""COMPUTED_VALUE"""),700.0)</f>
        <v>700</v>
      </c>
      <c r="W812" s="5">
        <f>IFERROR(__xludf.DUMMYFUNCTION("""COMPUTED_VALUE"""),-1.0)</f>
        <v>-1</v>
      </c>
      <c r="X812" s="5"/>
      <c r="Y812" s="5"/>
      <c r="Z812" s="5"/>
    </row>
    <row r="813">
      <c r="A813" s="5" t="str">
        <f>IFERROR(__xludf.DUMMYFUNCTION("""COMPUTED_VALUE"""),"ไส้กรอกอีกสาน-พวง500g--ust")</f>
        <v>ไส้กรอกอีกสาน-พวง500g--ust</v>
      </c>
      <c r="B813" s="5">
        <f>IFERROR(__xludf.DUMMYFUNCTION("""COMPUTED_VALUE"""),10386.0)</f>
        <v>10386</v>
      </c>
      <c r="C813" s="5" t="str">
        <f>IFERROR(__xludf.DUMMYFUNCTION("""COMPUTED_VALUE"""),"ไส้กรอกอีกสาน พวง500g  UST")</f>
        <v>ไส้กรอกอีกสาน พวง500g  UST</v>
      </c>
      <c r="D813" s="5"/>
      <c r="E813" s="5"/>
      <c r="F813" s="5" t="str">
        <f>IFERROR(__xludf.DUMMYFUNCTION("""COMPUTED_VALUE"""),"N")</f>
        <v>N</v>
      </c>
      <c r="G813" s="5"/>
      <c r="H813" s="5"/>
      <c r="I813" s="5"/>
      <c r="J813" s="5"/>
      <c r="K813" s="5"/>
      <c r="L813" s="5"/>
      <c r="M813" s="5">
        <f>IFERROR(__xludf.DUMMYFUNCTION("""COMPUTED_VALUE"""),45.0)</f>
        <v>45</v>
      </c>
      <c r="N813" s="5">
        <f>IFERROR(__xludf.DUMMYFUNCTION("""COMPUTED_VALUE"""),10386.0)</f>
        <v>10386</v>
      </c>
      <c r="O813" s="5"/>
      <c r="P813" s="5"/>
      <c r="Q813" s="5" t="str">
        <f>IFERROR(__xludf.DUMMYFUNCTION("""COMPUTED_VALUE"""),"N")</f>
        <v>N</v>
      </c>
      <c r="R813" s="5"/>
      <c r="S813" s="5"/>
      <c r="T813" s="5"/>
      <c r="U813" s="5" t="str">
        <f>IFERROR(__xludf.DUMMYFUNCTION("""COMPUTED_VALUE"""),"Y")</f>
        <v>Y</v>
      </c>
      <c r="V813" s="5">
        <f>IFERROR(__xludf.DUMMYFUNCTION("""COMPUTED_VALUE"""),55.0)</f>
        <v>55</v>
      </c>
      <c r="W813" s="5"/>
      <c r="X813" s="5"/>
      <c r="Y813" s="5"/>
      <c r="Z813" s="5"/>
    </row>
    <row r="814">
      <c r="A814" s="5" t="str">
        <f>IFERROR(__xludf.DUMMYFUNCTION("""COMPUTED_VALUE"""),"ไส้ตันกลาง-ถุง5kg.r100(60)")</f>
        <v>ไส้ตันกลาง-ถุง5kg.r100(60)</v>
      </c>
      <c r="B814" s="5">
        <f>IFERROR(__xludf.DUMMYFUNCTION("""COMPUTED_VALUE"""),10345.0)</f>
        <v>10345</v>
      </c>
      <c r="C814" s="5" t="str">
        <f>IFERROR(__xludf.DUMMYFUNCTION("""COMPUTED_VALUE"""),"ไส้ตันกลาง (พิเศษ)5kg140")</f>
        <v>ไส้ตันกลาง (พิเศษ)5kg140</v>
      </c>
      <c r="D814" s="5" t="str">
        <f>IFERROR(__xludf.DUMMYFUNCTION("""COMPUTED_VALUE"""),"**ร้านค้า ราคาพิเศษ")</f>
        <v>**ร้านค้า ราคาพิเศษ</v>
      </c>
      <c r="E814" s="5"/>
      <c r="F814" s="5" t="str">
        <f>IFERROR(__xludf.DUMMYFUNCTION("""COMPUTED_VALUE"""),"N")</f>
        <v>N</v>
      </c>
      <c r="G814" s="5"/>
      <c r="H814" s="5"/>
      <c r="I814" s="5"/>
      <c r="J814" s="5"/>
      <c r="K814" s="5"/>
      <c r="L814" s="5"/>
      <c r="M814" s="5"/>
      <c r="N814" s="5">
        <f>IFERROR(__xludf.DUMMYFUNCTION("""COMPUTED_VALUE"""),10345.0)</f>
        <v>10345</v>
      </c>
      <c r="O814" s="5">
        <f>IFERROR(__xludf.DUMMYFUNCTION("""COMPUTED_VALUE"""),10303.0)</f>
        <v>10303</v>
      </c>
      <c r="P814" s="5">
        <f>IFERROR(__xludf.DUMMYFUNCTION("""COMPUTED_VALUE"""),1.0)</f>
        <v>1</v>
      </c>
      <c r="Q814" s="5" t="str">
        <f>IFERROR(__xludf.DUMMYFUNCTION("""COMPUTED_VALUE"""),"N")</f>
        <v>N</v>
      </c>
      <c r="R814" s="5" t="str">
        <f>IFERROR(__xludf.DUMMYFUNCTION("""COMPUTED_VALUE"""),"N")</f>
        <v>N</v>
      </c>
      <c r="S814" s="5"/>
      <c r="T814" s="5"/>
      <c r="U814" s="5" t="str">
        <f>IFERROR(__xludf.DUMMYFUNCTION("""COMPUTED_VALUE"""),"Y")</f>
        <v>Y</v>
      </c>
      <c r="V814" s="5">
        <f>IFERROR(__xludf.DUMMYFUNCTION("""COMPUTED_VALUE"""),700.0)</f>
        <v>700</v>
      </c>
      <c r="W814" s="5"/>
      <c r="X814" s="5"/>
      <c r="Y814" s="5"/>
      <c r="Z814" s="5"/>
    </row>
    <row r="815">
      <c r="A815" s="5" t="str">
        <f>IFERROR(__xludf.DUMMYFUNCTION("""COMPUTED_VALUE"""),"ไส้ตันใหญ่-1")</f>
        <v>ไส้ตันใหญ่-1</v>
      </c>
      <c r="B815" s="5">
        <f>IFERROR(__xludf.DUMMYFUNCTION("""COMPUTED_VALUE"""),10303.0)</f>
        <v>10303</v>
      </c>
      <c r="C815" s="5" t="str">
        <f>IFERROR(__xludf.DUMMYFUNCTION("""COMPUTED_VALUE"""),"ไส้ตันกลาง 5 กก./ถุง - 145")</f>
        <v>ไส้ตันกลาง 5 กก./ถุง - 145</v>
      </c>
      <c r="D815" s="5" t="str">
        <f>IFERROR(__xludf.DUMMYFUNCTION("""COMPUTED_VALUE"""),"**แช่น้ำ")</f>
        <v>**แช่น้ำ</v>
      </c>
      <c r="E815" s="5" t="str">
        <f>IFERROR(__xludf.DUMMYFUNCTION("""COMPUTED_VALUE"""),"&lt;p&gt;A&lt;/p&gt;")</f>
        <v>&lt;p&gt;A&lt;/p&gt;</v>
      </c>
      <c r="F815" s="5" t="str">
        <f>IFERROR(__xludf.DUMMYFUNCTION("""COMPUTED_VALUE"""),"N")</f>
        <v>N</v>
      </c>
      <c r="G815" s="5"/>
      <c r="H815" s="5"/>
      <c r="I815" s="5"/>
      <c r="J815" s="5"/>
      <c r="K815" s="5"/>
      <c r="L815" s="5"/>
      <c r="M815" s="5">
        <f>IFERROR(__xludf.DUMMYFUNCTION("""COMPUTED_VALUE"""),675.0)</f>
        <v>675</v>
      </c>
      <c r="N815" s="5">
        <f>IFERROR(__xludf.DUMMYFUNCTION("""COMPUTED_VALUE"""),10303.0)</f>
        <v>10303</v>
      </c>
      <c r="O815" s="5"/>
      <c r="P815" s="5"/>
      <c r="Q815" s="5" t="str">
        <f>IFERROR(__xludf.DUMMYFUNCTION("""COMPUTED_VALUE"""),"Y")</f>
        <v>Y</v>
      </c>
      <c r="R815" s="5"/>
      <c r="S815" s="5" t="str">
        <f>IFERROR(__xludf.DUMMYFUNCTION("""COMPUTED_VALUE"""),"ขายำ เจริญชัย (ยโส)")</f>
        <v>ขายำ เจริญชัย (ยโส)</v>
      </c>
      <c r="T815" s="5">
        <f>IFERROR(__xludf.DUMMYFUNCTION("""COMPUTED_VALUE"""),675.0)</f>
        <v>675</v>
      </c>
      <c r="U815" s="5" t="str">
        <f>IFERROR(__xludf.DUMMYFUNCTION("""COMPUTED_VALUE"""),"Y")</f>
        <v>Y</v>
      </c>
      <c r="V815" s="5">
        <f>IFERROR(__xludf.DUMMYFUNCTION("""COMPUTED_VALUE"""),725.0)</f>
        <v>725</v>
      </c>
      <c r="W815" s="5">
        <f>IFERROR(__xludf.DUMMYFUNCTION("""COMPUTED_VALUE"""),3.0)</f>
        <v>3</v>
      </c>
      <c r="X815" s="5">
        <f>IFERROR(__xludf.DUMMYFUNCTION("""COMPUTED_VALUE"""),9.0)</f>
        <v>9</v>
      </c>
      <c r="Y815" s="5">
        <f>IFERROR(__xludf.DUMMYFUNCTION("""COMPUTED_VALUE"""),14.0)</f>
        <v>14</v>
      </c>
      <c r="Z815" s="5"/>
    </row>
    <row r="816">
      <c r="A816" s="5" t="str">
        <f>IFERROR(__xludf.DUMMYFUNCTION("""COMPUTED_VALUE"""),"ไส้ตันใหญ่-5kg--r100")</f>
        <v>ไส้ตันใหญ่-5kg--r100</v>
      </c>
      <c r="B816" s="5">
        <f>IFERROR(__xludf.DUMMYFUNCTION("""COMPUTED_VALUE"""),11397.0)</f>
        <v>11397</v>
      </c>
      <c r="C816" s="5" t="str">
        <f>IFERROR(__xludf.DUMMYFUNCTION("""COMPUTED_VALUE"""),"ไส้ตันกลาง 5Kg  R100(140)")</f>
        <v>ไส้ตันกลาง 5Kg  R100(140)</v>
      </c>
      <c r="D816" s="5" t="str">
        <f>IFERROR(__xludf.DUMMYFUNCTION("""COMPUTED_VALUE"""),"**ร้านค้า ราคาพิเศษ")</f>
        <v>**ร้านค้า ราคาพิเศษ</v>
      </c>
      <c r="E816" s="5" t="str">
        <f>IFERROR(__xludf.DUMMYFUNCTION("""COMPUTED_VALUE"""),"&lt;p&gt;เอ็กซ์&lt;/p&gt;")</f>
        <v>&lt;p&gt;เอ็กซ์&lt;/p&gt;</v>
      </c>
      <c r="F816" s="5" t="str">
        <f>IFERROR(__xludf.DUMMYFUNCTION("""COMPUTED_VALUE"""),"N")</f>
        <v>N</v>
      </c>
      <c r="G816" s="5"/>
      <c r="H816" s="5"/>
      <c r="I816" s="5"/>
      <c r="J816" s="5"/>
      <c r="K816" s="5"/>
      <c r="L816" s="5"/>
      <c r="M816" s="5"/>
      <c r="N816" s="5">
        <f>IFERROR(__xludf.DUMMYFUNCTION("""COMPUTED_VALUE"""),11397.0)</f>
        <v>11397</v>
      </c>
      <c r="O816" s="5">
        <f>IFERROR(__xludf.DUMMYFUNCTION("""COMPUTED_VALUE"""),10303.0)</f>
        <v>10303</v>
      </c>
      <c r="P816" s="5">
        <f>IFERROR(__xludf.DUMMYFUNCTION("""COMPUTED_VALUE"""),1.0)</f>
        <v>1</v>
      </c>
      <c r="Q816" s="5" t="str">
        <f>IFERROR(__xludf.DUMMYFUNCTION("""COMPUTED_VALUE"""),"N")</f>
        <v>N</v>
      </c>
      <c r="R816" s="5" t="str">
        <f>IFERROR(__xludf.DUMMYFUNCTION("""COMPUTED_VALUE"""),"N")</f>
        <v>N</v>
      </c>
      <c r="S816" s="5"/>
      <c r="T816" s="5"/>
      <c r="U816" s="5" t="str">
        <f>IFERROR(__xludf.DUMMYFUNCTION("""COMPUTED_VALUE"""),"N")</f>
        <v>N</v>
      </c>
      <c r="V816" s="5">
        <f>IFERROR(__xludf.DUMMYFUNCTION("""COMPUTED_VALUE"""),700.0)</f>
        <v>700</v>
      </c>
      <c r="W816" s="5"/>
      <c r="X816" s="5"/>
      <c r="Y816" s="5"/>
      <c r="Z816" s="5"/>
    </row>
    <row r="817">
      <c r="A817" s="5" t="str">
        <f>IFERROR(__xludf.DUMMYFUNCTION("""COMPUTED_VALUE"""),"ไส้ตันเล็ก-1")</f>
        <v>ไส้ตันเล็ก-1</v>
      </c>
      <c r="B817" s="5">
        <f>IFERROR(__xludf.DUMMYFUNCTION("""COMPUTED_VALUE"""),10302.0)</f>
        <v>10302</v>
      </c>
      <c r="C817" s="5" t="str">
        <f>IFERROR(__xludf.DUMMYFUNCTION("""COMPUTED_VALUE"""),"ไส้ตันเล็ก 5 กก./ถุง - 118")</f>
        <v>ไส้ตันเล็ก 5 กก./ถุง - 118</v>
      </c>
      <c r="D817" s="5" t="str">
        <f>IFERROR(__xludf.DUMMYFUNCTION("""COMPUTED_VALUE"""),"**แช่น้ำ")</f>
        <v>**แช่น้ำ</v>
      </c>
      <c r="E817" s="5" t="str">
        <f>IFERROR(__xludf.DUMMYFUNCTION("""COMPUTED_VALUE"""),"&lt;p&gt;A&lt;/p&gt;")</f>
        <v>&lt;p&gt;A&lt;/p&gt;</v>
      </c>
      <c r="F817" s="5" t="str">
        <f>IFERROR(__xludf.DUMMYFUNCTION("""COMPUTED_VALUE"""),"N")</f>
        <v>N</v>
      </c>
      <c r="G817" s="5"/>
      <c r="H817" s="5"/>
      <c r="I817" s="5"/>
      <c r="J817" s="5"/>
      <c r="K817" s="5"/>
      <c r="L817" s="5"/>
      <c r="M817" s="5">
        <f>IFERROR(__xludf.DUMMYFUNCTION("""COMPUTED_VALUE"""),540.0)</f>
        <v>540</v>
      </c>
      <c r="N817" s="5">
        <f>IFERROR(__xludf.DUMMYFUNCTION("""COMPUTED_VALUE"""),10302.0)</f>
        <v>10302</v>
      </c>
      <c r="O817" s="5"/>
      <c r="P817" s="5"/>
      <c r="Q817" s="5" t="str">
        <f>IFERROR(__xludf.DUMMYFUNCTION("""COMPUTED_VALUE"""),"Y")</f>
        <v>Y</v>
      </c>
      <c r="R817" s="5"/>
      <c r="S817" s="5" t="str">
        <f>IFERROR(__xludf.DUMMYFUNCTION("""COMPUTED_VALUE"""),"เจริญชัย ไส้ตัน")</f>
        <v>เจริญชัย ไส้ตัน</v>
      </c>
      <c r="T817" s="5">
        <f>IFERROR(__xludf.DUMMYFUNCTION("""COMPUTED_VALUE"""),540.0)</f>
        <v>540</v>
      </c>
      <c r="U817" s="5" t="str">
        <f>IFERROR(__xludf.DUMMYFUNCTION("""COMPUTED_VALUE"""),"Y")</f>
        <v>Y</v>
      </c>
      <c r="V817" s="5">
        <f>IFERROR(__xludf.DUMMYFUNCTION("""COMPUTED_VALUE"""),590.0)</f>
        <v>590</v>
      </c>
      <c r="W817" s="5">
        <f>IFERROR(__xludf.DUMMYFUNCTION("""COMPUTED_VALUE"""),21.0)</f>
        <v>21</v>
      </c>
      <c r="X817" s="5">
        <f>IFERROR(__xludf.DUMMYFUNCTION("""COMPUTED_VALUE"""),7.0)</f>
        <v>7</v>
      </c>
      <c r="Y817" s="5">
        <f>IFERROR(__xludf.DUMMYFUNCTION("""COMPUTED_VALUE"""),11.0)</f>
        <v>11</v>
      </c>
      <c r="Z817" s="5"/>
    </row>
    <row r="818">
      <c r="A818" s="5" t="str">
        <f>IFERROR(__xludf.DUMMYFUNCTION("""COMPUTED_VALUE"""),"ไส้ตันเล็ก-5kg-r100-(123)")</f>
        <v>ไส้ตันเล็ก-5kg-r100-(123)</v>
      </c>
      <c r="B818" s="5">
        <f>IFERROR(__xludf.DUMMYFUNCTION("""COMPUTED_VALUE"""),10420.0)</f>
        <v>10420</v>
      </c>
      <c r="C818" s="5" t="str">
        <f>IFERROR(__xludf.DUMMYFUNCTION("""COMPUTED_VALUE"""),"ไส้ตันเล็ก 5Kg R100 (115)")</f>
        <v>ไส้ตันเล็ก 5Kg R100 (115)</v>
      </c>
      <c r="D818" s="5" t="str">
        <f>IFERROR(__xludf.DUMMYFUNCTION("""COMPUTED_VALUE"""),"**ร้านค้า ราคาพิเศษ")</f>
        <v>**ร้านค้า ราคาพิเศษ</v>
      </c>
      <c r="E818" s="5" t="str">
        <f>IFERROR(__xludf.DUMMYFUNCTION("""COMPUTED_VALUE"""),"&lt;p&gt;X&lt;/p&gt;")</f>
        <v>&lt;p&gt;X&lt;/p&gt;</v>
      </c>
      <c r="F818" s="5" t="str">
        <f>IFERROR(__xludf.DUMMYFUNCTION("""COMPUTED_VALUE"""),"N")</f>
        <v>N</v>
      </c>
      <c r="G818" s="5"/>
      <c r="H818" s="5"/>
      <c r="I818" s="5"/>
      <c r="J818" s="5"/>
      <c r="K818" s="5"/>
      <c r="L818" s="5"/>
      <c r="M818" s="5"/>
      <c r="N818" s="5">
        <f>IFERROR(__xludf.DUMMYFUNCTION("""COMPUTED_VALUE"""),10420.0)</f>
        <v>10420</v>
      </c>
      <c r="O818" s="5">
        <f>IFERROR(__xludf.DUMMYFUNCTION("""COMPUTED_VALUE"""),10302.0)</f>
        <v>10302</v>
      </c>
      <c r="P818" s="5">
        <f>IFERROR(__xludf.DUMMYFUNCTION("""COMPUTED_VALUE"""),1.0)</f>
        <v>1</v>
      </c>
      <c r="Q818" s="5" t="str">
        <f>IFERROR(__xludf.DUMMYFUNCTION("""COMPUTED_VALUE"""),"N")</f>
        <v>N</v>
      </c>
      <c r="R818" s="5" t="str">
        <f>IFERROR(__xludf.DUMMYFUNCTION("""COMPUTED_VALUE"""),"N")</f>
        <v>N</v>
      </c>
      <c r="S818" s="5"/>
      <c r="T818" s="5"/>
      <c r="U818" s="5" t="str">
        <f>IFERROR(__xludf.DUMMYFUNCTION("""COMPUTED_VALUE"""),"Y")</f>
        <v>Y</v>
      </c>
      <c r="V818" s="5">
        <f>IFERROR(__xludf.DUMMYFUNCTION("""COMPUTED_VALUE"""),575.0)</f>
        <v>575</v>
      </c>
      <c r="W818" s="5"/>
      <c r="X818" s="5"/>
      <c r="Y818" s="5"/>
      <c r="Z818" s="5"/>
    </row>
    <row r="819">
      <c r="A819" s="5" t="str">
        <f>IFERROR(__xludf.DUMMYFUNCTION("""COMPUTED_VALUE"""),"ไหล่หมูแท่ง-เบทาโกร-(ชั่ง)-(100)")</f>
        <v>ไหล่หมูแท่ง-เบทาโกร-(ชั่ง)-(100)</v>
      </c>
      <c r="B819" s="5">
        <f>IFERROR(__xludf.DUMMYFUNCTION("""COMPUTED_VALUE"""),11511.0)</f>
        <v>11511</v>
      </c>
      <c r="C819" s="5" t="str">
        <f>IFERROR(__xludf.DUMMYFUNCTION("""COMPUTED_VALUE"""),"ไหล่หมูแท่ง เบ (ชั่ง) (93)")</f>
        <v>ไหล่หมูแท่ง เบ (ชั่ง) (93)</v>
      </c>
      <c r="D819" s="5" t="str">
        <f>IFERROR(__xludf.DUMMYFUNCTION("""COMPUTED_VALUE"""),"**ชั่งน้ำหนัก")</f>
        <v>**ชั่งน้ำหนัก</v>
      </c>
      <c r="E819" s="5" t="str">
        <f>IFERROR(__xludf.DUMMYFUNCTION("""COMPUTED_VALUE"""),"&lt;p&gt;S&lt;/p&gt;")</f>
        <v>&lt;p&gt;S&lt;/p&gt;</v>
      </c>
      <c r="F819" s="5" t="str">
        <f>IFERROR(__xludf.DUMMYFUNCTION("""COMPUTED_VALUE"""),"Y")</f>
        <v>Y</v>
      </c>
      <c r="G819" s="5"/>
      <c r="H819" s="5"/>
      <c r="I819" s="5"/>
      <c r="J819" s="5"/>
      <c r="K819" s="5"/>
      <c r="L819" s="5"/>
      <c r="M819" s="5">
        <f>IFERROR(__xludf.DUMMYFUNCTION("""COMPUTED_VALUE"""),85.0)</f>
        <v>85</v>
      </c>
      <c r="N819" s="5">
        <f>IFERROR(__xludf.DUMMYFUNCTION("""COMPUTED_VALUE"""),11511.0)</f>
        <v>11511</v>
      </c>
      <c r="O819" s="5"/>
      <c r="P819" s="5"/>
      <c r="Q819" s="5" t="str">
        <f>IFERROR(__xludf.DUMMYFUNCTION("""COMPUTED_VALUE"""),"Y")</f>
        <v>Y</v>
      </c>
      <c r="R819" s="5"/>
      <c r="S819" s="5" t="str">
        <f>IFERROR(__xludf.DUMMYFUNCTION("""COMPUTED_VALUE"""),"เบทาโกร")</f>
        <v>เบทาโกร</v>
      </c>
      <c r="T819" s="5">
        <f>IFERROR(__xludf.DUMMYFUNCTION("""COMPUTED_VALUE"""),85.0)</f>
        <v>85</v>
      </c>
      <c r="U819" s="5" t="str">
        <f>IFERROR(__xludf.DUMMYFUNCTION("""COMPUTED_VALUE"""),"Y")</f>
        <v>Y</v>
      </c>
      <c r="V819" s="5">
        <f>IFERROR(__xludf.DUMMYFUNCTION("""COMPUTED_VALUE"""),93.0)</f>
        <v>93</v>
      </c>
      <c r="W819" s="5">
        <f>IFERROR(__xludf.DUMMYFUNCTION("""COMPUTED_VALUE"""),0.0)</f>
        <v>0</v>
      </c>
      <c r="X819" s="5">
        <f>IFERROR(__xludf.DUMMYFUNCTION("""COMPUTED_VALUE"""),10.0)</f>
        <v>10</v>
      </c>
      <c r="Y819" s="5">
        <f>IFERROR(__xludf.DUMMYFUNCTION("""COMPUTED_VALUE"""),50.0)</f>
        <v>50</v>
      </c>
      <c r="Z819" s="5"/>
    </row>
    <row r="852">
      <c r="A852" s="71"/>
      <c r="B852" s="71"/>
      <c r="C852" s="71"/>
      <c r="D852" s="71"/>
      <c r="E852" s="71"/>
      <c r="F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</row>
    <row r="853">
      <c r="A853" s="71"/>
      <c r="B853" s="71"/>
      <c r="C853" s="71"/>
      <c r="D853" s="71"/>
      <c r="E853" s="71"/>
      <c r="F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</row>
    <row r="854">
      <c r="A854" s="71"/>
      <c r="B854" s="71"/>
      <c r="C854" s="71"/>
      <c r="D854" s="71"/>
      <c r="E854" s="71"/>
      <c r="F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</row>
    <row r="855">
      <c r="A855" s="71"/>
      <c r="B855" s="71"/>
      <c r="C855" s="71"/>
      <c r="D855" s="71"/>
      <c r="E855" s="71"/>
      <c r="F855" s="71"/>
      <c r="M855" s="71"/>
      <c r="N855" s="71"/>
      <c r="Q855" s="71"/>
      <c r="S855" s="71"/>
      <c r="T855" s="71"/>
      <c r="U855" s="71"/>
      <c r="V855" s="71"/>
      <c r="W855" s="71"/>
      <c r="X855" s="71"/>
      <c r="Y855" s="71"/>
    </row>
    <row r="856">
      <c r="A856" s="71"/>
      <c r="B856" s="71"/>
      <c r="C856" s="71"/>
      <c r="D856" s="71"/>
      <c r="E856" s="71"/>
      <c r="F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</row>
    <row r="857">
      <c r="A857" s="71"/>
      <c r="B857" s="71"/>
      <c r="C857" s="71"/>
      <c r="D857" s="71"/>
      <c r="E857" s="71"/>
      <c r="F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</row>
    <row r="858">
      <c r="A858" s="71"/>
      <c r="B858" s="71"/>
      <c r="C858" s="71"/>
      <c r="D858" s="71"/>
      <c r="E858" s="71"/>
      <c r="F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</row>
    <row r="859">
      <c r="A859" s="71"/>
      <c r="B859" s="71"/>
      <c r="C859" s="71"/>
      <c r="D859" s="71"/>
      <c r="E859" s="71"/>
      <c r="F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</row>
    <row r="860">
      <c r="A860" s="71"/>
      <c r="B860" s="71"/>
      <c r="C860" s="71"/>
      <c r="D860" s="71"/>
      <c r="E860" s="71"/>
      <c r="F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</row>
    <row r="861">
      <c r="A861" s="71"/>
      <c r="B861" s="71"/>
      <c r="C861" s="71"/>
      <c r="D861" s="71"/>
      <c r="E861" s="71"/>
      <c r="F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</row>
    <row r="862">
      <c r="A862" s="71"/>
      <c r="B862" s="71"/>
      <c r="C862" s="71"/>
      <c r="D862" s="71"/>
      <c r="E862" s="71"/>
      <c r="F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</row>
    <row r="863">
      <c r="A863" s="71"/>
      <c r="B863" s="71"/>
      <c r="C863" s="71"/>
      <c r="D863" s="71"/>
      <c r="E863" s="71"/>
      <c r="F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</row>
    <row r="864">
      <c r="A864" s="71"/>
      <c r="B864" s="71"/>
      <c r="C864" s="71"/>
      <c r="D864" s="71"/>
      <c r="E864" s="71"/>
      <c r="F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</row>
    <row r="865">
      <c r="A865" s="71"/>
      <c r="B865" s="71"/>
      <c r="C865" s="71"/>
      <c r="D865" s="71"/>
      <c r="E865" s="71"/>
      <c r="F865" s="71"/>
      <c r="M865" s="71"/>
      <c r="N865" s="71"/>
      <c r="Q865" s="71"/>
      <c r="S865" s="71"/>
      <c r="T865" s="71"/>
      <c r="U865" s="71"/>
      <c r="V865" s="71"/>
      <c r="W865" s="71"/>
      <c r="X865" s="71"/>
      <c r="Y865" s="71"/>
    </row>
    <row r="866">
      <c r="A866" s="71"/>
      <c r="B866" s="71"/>
      <c r="C866" s="71"/>
      <c r="D866" s="71"/>
      <c r="E866" s="71"/>
      <c r="F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</row>
    <row r="867">
      <c r="A867" s="71"/>
      <c r="B867" s="71"/>
      <c r="C867" s="71"/>
      <c r="D867" s="71"/>
      <c r="E867" s="71"/>
      <c r="F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</row>
    <row r="868">
      <c r="A868" s="71"/>
      <c r="B868" s="71"/>
      <c r="C868" s="71"/>
      <c r="D868" s="71"/>
      <c r="E868" s="71"/>
      <c r="F868" s="71"/>
      <c r="M868" s="71"/>
      <c r="N868" s="71"/>
      <c r="O868" s="71"/>
      <c r="P868" s="71"/>
      <c r="Q868" s="71"/>
      <c r="R868" s="71"/>
      <c r="T868" s="71"/>
      <c r="U868" s="71"/>
      <c r="V868" s="71"/>
      <c r="W868" s="71"/>
      <c r="X868" s="71"/>
      <c r="Y868" s="71"/>
    </row>
    <row r="869">
      <c r="A869" s="71"/>
      <c r="B869" s="71"/>
      <c r="C869" s="71"/>
      <c r="D869" s="71"/>
      <c r="E869" s="71"/>
      <c r="F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</row>
    <row r="870">
      <c r="A870" s="71"/>
      <c r="B870" s="71"/>
      <c r="C870" s="71"/>
      <c r="D870" s="71"/>
      <c r="E870" s="71"/>
      <c r="F870" s="71"/>
      <c r="M870" s="71"/>
      <c r="N870" s="71"/>
      <c r="O870" s="71"/>
      <c r="P870" s="71"/>
      <c r="Q870" s="71"/>
      <c r="R870" s="71"/>
      <c r="T870" s="71"/>
      <c r="U870" s="71"/>
      <c r="V870" s="71"/>
      <c r="W870" s="71"/>
      <c r="X870" s="71"/>
      <c r="Y870" s="71"/>
    </row>
    <row r="871">
      <c r="A871" s="71"/>
      <c r="B871" s="71"/>
      <c r="C871" s="71"/>
      <c r="D871" s="71"/>
      <c r="E871" s="71"/>
      <c r="F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</row>
    <row r="872">
      <c r="A872" s="71"/>
      <c r="B872" s="71"/>
      <c r="C872" s="71"/>
      <c r="D872" s="71"/>
      <c r="E872" s="71"/>
      <c r="F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</row>
    <row r="873">
      <c r="A873" s="71"/>
      <c r="B873" s="71"/>
      <c r="C873" s="71"/>
      <c r="D873" s="71"/>
      <c r="E873" s="71"/>
      <c r="F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</row>
    <row r="874">
      <c r="A874" s="71"/>
      <c r="B874" s="71"/>
      <c r="C874" s="71"/>
      <c r="D874" s="71"/>
      <c r="E874" s="71"/>
      <c r="F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</row>
    <row r="875">
      <c r="A875" s="71"/>
      <c r="B875" s="71"/>
      <c r="C875" s="71"/>
      <c r="D875" s="71"/>
      <c r="E875" s="71"/>
      <c r="F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</row>
    <row r="876">
      <c r="A876" s="71"/>
      <c r="B876" s="71"/>
      <c r="C876" s="71"/>
      <c r="D876" s="71"/>
      <c r="E876" s="71"/>
      <c r="F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</row>
    <row r="877">
      <c r="A877" s="71"/>
      <c r="B877" s="71"/>
      <c r="C877" s="71"/>
      <c r="D877" s="71"/>
      <c r="E877" s="71"/>
      <c r="F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</row>
    <row r="878">
      <c r="A878" s="71"/>
      <c r="B878" s="71"/>
      <c r="C878" s="71"/>
      <c r="D878" s="71"/>
      <c r="E878" s="71"/>
      <c r="F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</row>
    <row r="879">
      <c r="A879" s="71"/>
      <c r="B879" s="71"/>
      <c r="C879" s="71"/>
      <c r="D879" s="71"/>
      <c r="E879" s="71"/>
      <c r="F879" s="71"/>
      <c r="M879" s="71"/>
      <c r="N879" s="71"/>
      <c r="Q879" s="71"/>
      <c r="S879" s="71"/>
      <c r="T879" s="71"/>
      <c r="U879" s="71"/>
      <c r="V879" s="71"/>
      <c r="W879" s="71"/>
      <c r="X879" s="71"/>
      <c r="Y879" s="71"/>
    </row>
    <row r="880">
      <c r="A880" s="71"/>
      <c r="B880" s="71"/>
      <c r="C880" s="71"/>
      <c r="D880" s="71"/>
      <c r="E880" s="71"/>
      <c r="F880" s="71"/>
      <c r="M880" s="71"/>
      <c r="N880" s="71"/>
      <c r="O880" s="71"/>
      <c r="P880" s="71"/>
      <c r="Q880" s="71"/>
      <c r="R880" s="71"/>
      <c r="T880" s="71"/>
      <c r="U880" s="71"/>
      <c r="V880" s="71"/>
      <c r="W880" s="71"/>
      <c r="X880" s="71"/>
    </row>
    <row r="881">
      <c r="A881" s="71"/>
      <c r="B881" s="71"/>
      <c r="C881" s="71"/>
      <c r="D881" s="71"/>
      <c r="E881" s="71"/>
      <c r="F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</row>
    <row r="882">
      <c r="A882" s="71"/>
      <c r="B882" s="71"/>
      <c r="C882" s="71"/>
      <c r="D882" s="71"/>
      <c r="E882" s="71"/>
      <c r="F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</row>
    <row r="883">
      <c r="A883" s="71"/>
      <c r="B883" s="71"/>
      <c r="C883" s="71"/>
      <c r="D883" s="71"/>
      <c r="E883" s="71"/>
      <c r="F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</row>
    <row r="884">
      <c r="A884" s="71"/>
      <c r="B884" s="71"/>
      <c r="C884" s="71"/>
      <c r="D884" s="71"/>
      <c r="E884" s="71"/>
      <c r="F884" s="71"/>
      <c r="M884" s="71"/>
      <c r="N884" s="71"/>
      <c r="Q884" s="71"/>
      <c r="S884" s="71"/>
      <c r="T884" s="71"/>
      <c r="U884" s="71"/>
      <c r="V884" s="71"/>
      <c r="W884" s="71"/>
      <c r="X884" s="71"/>
      <c r="Y884" s="71"/>
    </row>
    <row r="885">
      <c r="A885" s="71"/>
      <c r="B885" s="71"/>
      <c r="C885" s="71"/>
      <c r="D885" s="71"/>
      <c r="E885" s="71"/>
      <c r="F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</row>
    <row r="886">
      <c r="A886" s="71"/>
      <c r="B886" s="71"/>
      <c r="C886" s="71"/>
      <c r="D886" s="71"/>
      <c r="E886" s="71"/>
      <c r="F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</row>
    <row r="887">
      <c r="A887" s="71"/>
      <c r="B887" s="71"/>
      <c r="C887" s="71"/>
      <c r="D887" s="71"/>
      <c r="E887" s="71"/>
      <c r="F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</row>
    <row r="888">
      <c r="A888" s="71"/>
      <c r="B888" s="71"/>
      <c r="C888" s="71"/>
      <c r="D888" s="71"/>
      <c r="E888" s="71"/>
      <c r="F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</row>
    <row r="889">
      <c r="A889" s="71"/>
      <c r="B889" s="71"/>
      <c r="C889" s="71"/>
      <c r="D889" s="71"/>
      <c r="E889" s="71"/>
      <c r="F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</row>
    <row r="890">
      <c r="A890" s="71"/>
      <c r="B890" s="71"/>
      <c r="C890" s="71"/>
      <c r="D890" s="71"/>
      <c r="E890" s="71"/>
      <c r="F890" s="71"/>
      <c r="M890" s="71"/>
      <c r="N890" s="71"/>
      <c r="O890" s="71"/>
      <c r="P890" s="71"/>
      <c r="Q890" s="71"/>
      <c r="R890" s="71"/>
      <c r="T890" s="71"/>
      <c r="U890" s="71"/>
      <c r="V890" s="71"/>
      <c r="W890" s="71"/>
      <c r="X890" s="71"/>
      <c r="Y890" s="71"/>
    </row>
    <row r="891">
      <c r="A891" s="71"/>
      <c r="B891" s="71"/>
      <c r="C891" s="71"/>
      <c r="D891" s="71"/>
      <c r="E891" s="71"/>
      <c r="F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</row>
    <row r="892">
      <c r="A892" s="71"/>
      <c r="B892" s="71"/>
      <c r="C892" s="71"/>
      <c r="D892" s="71"/>
      <c r="E892" s="71"/>
      <c r="F892" s="71"/>
      <c r="M892" s="71"/>
      <c r="N892" s="71"/>
      <c r="O892" s="71"/>
      <c r="P892" s="71"/>
      <c r="Q892" s="71"/>
      <c r="R892" s="71"/>
      <c r="T892" s="71"/>
      <c r="U892" s="71"/>
      <c r="V892" s="71"/>
      <c r="W892" s="71"/>
    </row>
    <row r="893">
      <c r="A893" s="71"/>
      <c r="B893" s="71"/>
      <c r="C893" s="71"/>
      <c r="D893" s="71"/>
      <c r="E893" s="71"/>
      <c r="F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</row>
    <row r="894">
      <c r="A894" s="71"/>
      <c r="B894" s="71"/>
      <c r="C894" s="71"/>
      <c r="D894" s="71"/>
      <c r="E894" s="71"/>
      <c r="F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</row>
    <row r="895">
      <c r="A895" s="71"/>
      <c r="B895" s="71"/>
      <c r="C895" s="71"/>
      <c r="D895" s="71"/>
      <c r="E895" s="71"/>
      <c r="F895" s="71"/>
      <c r="M895" s="71"/>
      <c r="N895" s="71"/>
      <c r="Q895" s="71"/>
      <c r="S895" s="71"/>
      <c r="T895" s="71"/>
      <c r="U895" s="71"/>
      <c r="V895" s="71"/>
      <c r="W895" s="71"/>
      <c r="X895" s="71"/>
      <c r="Y895" s="71"/>
    </row>
    <row r="896">
      <c r="A896" s="71"/>
      <c r="B896" s="71"/>
      <c r="C896" s="71"/>
      <c r="E896" s="71"/>
      <c r="F896" s="71"/>
      <c r="M896" s="71"/>
      <c r="N896" s="71"/>
      <c r="O896" s="71"/>
      <c r="P896" s="71"/>
      <c r="Q896" s="71"/>
      <c r="R896" s="71"/>
      <c r="T896" s="71"/>
      <c r="U896" s="71"/>
      <c r="V896" s="71"/>
      <c r="W896" s="71"/>
    </row>
    <row r="897">
      <c r="A897" s="71"/>
      <c r="B897" s="71"/>
      <c r="C897" s="71"/>
      <c r="D897" s="71"/>
      <c r="E897" s="71"/>
      <c r="F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</row>
    <row r="898">
      <c r="A898" s="71"/>
      <c r="B898" s="71"/>
      <c r="C898" s="71"/>
      <c r="D898" s="71"/>
      <c r="E898" s="71"/>
      <c r="F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</row>
    <row r="899">
      <c r="A899" s="71"/>
      <c r="B899" s="71"/>
      <c r="C899" s="71"/>
      <c r="D899" s="71"/>
      <c r="E899" s="71"/>
      <c r="F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</row>
    <row r="900">
      <c r="A900" s="71"/>
      <c r="B900" s="71"/>
      <c r="C900" s="71"/>
      <c r="D900" s="71"/>
      <c r="E900" s="71"/>
      <c r="F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</row>
    <row r="901">
      <c r="A901" s="71"/>
      <c r="B901" s="71"/>
      <c r="C901" s="71"/>
      <c r="D901" s="71"/>
      <c r="E901" s="71"/>
      <c r="F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</row>
    <row r="902">
      <c r="A902" s="71"/>
      <c r="B902" s="71"/>
      <c r="C902" s="71"/>
      <c r="D902" s="71"/>
      <c r="E902" s="71"/>
      <c r="F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</row>
    <row r="903">
      <c r="A903" s="71"/>
      <c r="B903" s="71"/>
      <c r="C903" s="71"/>
      <c r="D903" s="71"/>
      <c r="E903" s="71"/>
      <c r="F903" s="71"/>
      <c r="M903" s="71"/>
      <c r="N903" s="71"/>
      <c r="Q903" s="71"/>
      <c r="S903" s="71"/>
      <c r="T903" s="71"/>
      <c r="U903" s="71"/>
      <c r="V903" s="71"/>
      <c r="W903" s="71"/>
      <c r="X903" s="71"/>
      <c r="Y903" s="71"/>
    </row>
    <row r="904">
      <c r="A904" s="71"/>
      <c r="B904" s="71"/>
      <c r="C904" s="71"/>
      <c r="D904" s="71"/>
      <c r="E904" s="71"/>
      <c r="F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</row>
    <row r="905">
      <c r="A905" s="71"/>
      <c r="B905" s="71"/>
      <c r="C905" s="71"/>
      <c r="D905" s="71"/>
      <c r="E905" s="71"/>
      <c r="F905" s="71"/>
      <c r="M905" s="71"/>
      <c r="N905" s="71"/>
      <c r="Q905" s="71"/>
      <c r="S905" s="71"/>
      <c r="T905" s="71"/>
      <c r="U905" s="71"/>
      <c r="V905" s="71"/>
      <c r="W905" s="71"/>
      <c r="X905" s="71"/>
      <c r="Y905" s="71"/>
    </row>
    <row r="906">
      <c r="A906" s="71"/>
      <c r="B906" s="71"/>
      <c r="C906" s="71"/>
      <c r="D906" s="71"/>
      <c r="E906" s="71"/>
      <c r="F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</row>
    <row r="907">
      <c r="A907" s="71"/>
      <c r="B907" s="71"/>
      <c r="C907" s="71"/>
      <c r="D907" s="71"/>
      <c r="E907" s="71"/>
      <c r="F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</row>
    <row r="908">
      <c r="A908" s="71"/>
      <c r="B908" s="71"/>
      <c r="C908" s="71"/>
      <c r="D908" s="71"/>
      <c r="E908" s="71"/>
      <c r="F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</row>
    <row r="909">
      <c r="A909" s="71"/>
      <c r="B909" s="71"/>
      <c r="C909" s="71"/>
      <c r="D909" s="71"/>
      <c r="E909" s="71"/>
      <c r="F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</row>
    <row r="910">
      <c r="A910" s="71"/>
      <c r="B910" s="71"/>
      <c r="C910" s="71"/>
      <c r="D910" s="71"/>
      <c r="E910" s="71"/>
      <c r="F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</row>
    <row r="911">
      <c r="A911" s="71"/>
      <c r="B911" s="71"/>
      <c r="C911" s="71"/>
      <c r="D911" s="71"/>
      <c r="E911" s="71"/>
      <c r="F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</row>
    <row r="912">
      <c r="A912" s="71"/>
      <c r="B912" s="71"/>
      <c r="C912" s="71"/>
      <c r="D912" s="71"/>
      <c r="E912" s="71"/>
      <c r="F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</row>
    <row r="913">
      <c r="A913" s="71"/>
      <c r="B913" s="71"/>
      <c r="C913" s="71"/>
      <c r="D913" s="71"/>
      <c r="E913" s="71"/>
      <c r="F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</row>
    <row r="914">
      <c r="A914" s="71"/>
      <c r="B914" s="71"/>
      <c r="C914" s="71"/>
      <c r="D914" s="71"/>
      <c r="E914" s="71"/>
      <c r="F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</row>
    <row r="915">
      <c r="A915" s="71"/>
      <c r="B915" s="71"/>
      <c r="C915" s="71"/>
      <c r="D915" s="71"/>
      <c r="E915" s="71"/>
      <c r="F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</row>
    <row r="916">
      <c r="A916" s="71"/>
      <c r="B916" s="71"/>
      <c r="C916" s="71"/>
      <c r="D916" s="71"/>
      <c r="E916" s="71"/>
      <c r="F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</row>
    <row r="917">
      <c r="A917" s="71"/>
      <c r="B917" s="71"/>
      <c r="C917" s="71"/>
      <c r="D917" s="71"/>
      <c r="E917" s="71"/>
      <c r="F917" s="71"/>
      <c r="N917" s="71"/>
      <c r="O917" s="71"/>
      <c r="P917" s="71"/>
      <c r="Q917" s="71"/>
      <c r="R917" s="71"/>
      <c r="U917" s="71"/>
      <c r="V917" s="71"/>
    </row>
    <row r="918">
      <c r="A918" s="71"/>
      <c r="B918" s="71"/>
      <c r="C918" s="71"/>
      <c r="D918" s="71"/>
      <c r="E918" s="71"/>
      <c r="F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</row>
    <row r="919">
      <c r="A919" s="71"/>
      <c r="B919" s="71"/>
      <c r="C919" s="71"/>
      <c r="D919" s="71"/>
      <c r="E919" s="71"/>
      <c r="F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Y919" s="71"/>
    </row>
    <row r="920">
      <c r="A920" s="71"/>
      <c r="B920" s="71"/>
      <c r="C920" s="71"/>
      <c r="D920" s="71"/>
      <c r="E920" s="71"/>
      <c r="F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</row>
    <row r="921">
      <c r="A921" s="71"/>
      <c r="B921" s="71"/>
      <c r="C921" s="71"/>
      <c r="D921" s="71"/>
      <c r="E921" s="71"/>
      <c r="F921" s="71"/>
      <c r="M921" s="71"/>
      <c r="N921" s="71"/>
      <c r="O921" s="71"/>
      <c r="P921" s="71"/>
      <c r="Q921" s="71"/>
      <c r="R921" s="71"/>
      <c r="U921" s="71"/>
      <c r="V921" s="71"/>
    </row>
    <row r="922">
      <c r="A922" s="71"/>
      <c r="B922" s="71"/>
      <c r="C922" s="71"/>
      <c r="D922" s="71"/>
      <c r="E922" s="71"/>
      <c r="F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</row>
    <row r="923">
      <c r="A923" s="71"/>
      <c r="B923" s="71"/>
      <c r="C923" s="71"/>
      <c r="D923" s="71"/>
      <c r="E923" s="71"/>
      <c r="F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Y923" s="71"/>
    </row>
    <row r="924">
      <c r="A924" s="71"/>
      <c r="B924" s="71"/>
      <c r="C924" s="71"/>
      <c r="D924" s="71"/>
      <c r="E924" s="71"/>
      <c r="F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Y924" s="71"/>
    </row>
    <row r="925">
      <c r="A925" s="71"/>
      <c r="B925" s="71"/>
      <c r="C925" s="71"/>
      <c r="D925" s="71"/>
      <c r="E925" s="71"/>
      <c r="F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</row>
    <row r="926">
      <c r="A926" s="71"/>
      <c r="B926" s="71"/>
      <c r="C926" s="71"/>
      <c r="D926" s="71"/>
      <c r="E926" s="71"/>
      <c r="F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</row>
    <row r="927">
      <c r="A927" s="71"/>
      <c r="B927" s="71"/>
      <c r="C927" s="71"/>
      <c r="D927" s="71"/>
      <c r="E927" s="71"/>
      <c r="F927" s="71"/>
      <c r="M927" s="71"/>
      <c r="N927" s="71"/>
      <c r="O927" s="71"/>
      <c r="P927" s="71"/>
      <c r="Q927" s="71"/>
      <c r="R927" s="71"/>
      <c r="T927" s="71"/>
      <c r="U927" s="71"/>
      <c r="V927" s="71"/>
      <c r="W927" s="71"/>
      <c r="X927" s="71"/>
    </row>
    <row r="928">
      <c r="A928" s="71"/>
      <c r="B928" s="71"/>
      <c r="C928" s="71"/>
      <c r="D928" s="71"/>
      <c r="E928" s="71"/>
      <c r="F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</row>
    <row r="929">
      <c r="A929" s="71"/>
      <c r="B929" s="71"/>
      <c r="C929" s="71"/>
      <c r="D929" s="71"/>
      <c r="E929" s="71"/>
      <c r="F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</row>
    <row r="930">
      <c r="A930" s="71"/>
      <c r="B930" s="71"/>
      <c r="C930" s="71"/>
      <c r="D930" s="71"/>
      <c r="E930" s="71"/>
      <c r="F930" s="71"/>
      <c r="M930" s="71"/>
      <c r="N930" s="71"/>
      <c r="O930" s="71"/>
      <c r="P930" s="71"/>
      <c r="Q930" s="71"/>
      <c r="R930" s="71"/>
      <c r="T930" s="71"/>
      <c r="U930" s="71"/>
      <c r="V930" s="71"/>
      <c r="W930" s="71"/>
    </row>
    <row r="931">
      <c r="A931" s="71"/>
      <c r="B931" s="71"/>
      <c r="C931" s="71"/>
      <c r="D931" s="71"/>
      <c r="E931" s="71"/>
      <c r="F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</row>
    <row r="932">
      <c r="A932" s="71"/>
      <c r="B932" s="71"/>
      <c r="C932" s="71"/>
      <c r="D932" s="71"/>
      <c r="E932" s="71"/>
      <c r="F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</row>
    <row r="933">
      <c r="A933" s="71"/>
      <c r="B933" s="71"/>
      <c r="C933" s="71"/>
      <c r="D933" s="71"/>
      <c r="E933" s="71"/>
      <c r="F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</row>
    <row r="934">
      <c r="A934" s="71"/>
      <c r="B934" s="71"/>
      <c r="C934" s="71"/>
      <c r="D934" s="71"/>
      <c r="E934" s="71"/>
      <c r="F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</row>
    <row r="935">
      <c r="A935" s="71"/>
      <c r="B935" s="71"/>
      <c r="C935" s="71"/>
      <c r="D935" s="71"/>
      <c r="E935" s="71"/>
      <c r="F935" s="71"/>
      <c r="N935" s="71"/>
      <c r="O935" s="71"/>
      <c r="P935" s="71"/>
      <c r="Q935" s="71"/>
      <c r="R935" s="71"/>
      <c r="U935" s="71"/>
      <c r="V935" s="71"/>
    </row>
    <row r="936">
      <c r="A936" s="71"/>
      <c r="B936" s="71"/>
      <c r="C936" s="71"/>
      <c r="D936" s="71"/>
      <c r="E936" s="71"/>
      <c r="F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</row>
    <row r="937">
      <c r="A937" s="71"/>
      <c r="B937" s="71"/>
      <c r="C937" s="71"/>
      <c r="D937" s="71"/>
      <c r="E937" s="71"/>
      <c r="F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</row>
    <row r="938">
      <c r="A938" s="71"/>
      <c r="B938" s="71"/>
      <c r="C938" s="71"/>
      <c r="D938" s="71"/>
      <c r="E938" s="71"/>
      <c r="F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</row>
    <row r="939">
      <c r="A939" s="71"/>
      <c r="B939" s="71"/>
      <c r="C939" s="71"/>
      <c r="D939" s="71"/>
      <c r="E939" s="71"/>
      <c r="F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</row>
    <row r="940">
      <c r="A940" s="71"/>
      <c r="B940" s="71"/>
      <c r="C940" s="71"/>
      <c r="D940" s="71"/>
      <c r="E940" s="71"/>
      <c r="F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</row>
    <row r="941">
      <c r="A941" s="71"/>
      <c r="B941" s="71"/>
      <c r="C941" s="71"/>
      <c r="D941" s="71"/>
      <c r="E941" s="71"/>
      <c r="F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</row>
    <row r="942">
      <c r="A942" s="71"/>
      <c r="B942" s="71"/>
      <c r="C942" s="71"/>
      <c r="D942" s="71"/>
      <c r="E942" s="71"/>
      <c r="F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</row>
    <row r="943">
      <c r="A943" s="71"/>
      <c r="B943" s="71"/>
      <c r="C943" s="71"/>
      <c r="D943" s="71"/>
      <c r="E943" s="71"/>
      <c r="F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</row>
    <row r="944">
      <c r="A944" s="71"/>
      <c r="B944" s="71"/>
      <c r="C944" s="71"/>
      <c r="D944" s="71"/>
      <c r="E944" s="71"/>
      <c r="F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</row>
    <row r="945">
      <c r="A945" s="71"/>
      <c r="B945" s="71"/>
      <c r="C945" s="71"/>
      <c r="D945" s="71"/>
      <c r="E945" s="71"/>
      <c r="F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</row>
    <row r="946">
      <c r="A946" s="71"/>
      <c r="B946" s="71"/>
      <c r="C946" s="71"/>
      <c r="D946" s="71"/>
      <c r="E946" s="71"/>
      <c r="F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</row>
    <row r="947">
      <c r="A947" s="71"/>
      <c r="B947" s="71"/>
      <c r="C947" s="71"/>
      <c r="D947" s="71"/>
      <c r="E947" s="71"/>
      <c r="F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</row>
    <row r="948">
      <c r="A948" s="71"/>
      <c r="B948" s="71"/>
      <c r="C948" s="71"/>
      <c r="D948" s="71"/>
      <c r="E948" s="71"/>
      <c r="F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</row>
    <row r="949">
      <c r="A949" s="71"/>
      <c r="B949" s="71"/>
      <c r="C949" s="71"/>
      <c r="D949" s="71"/>
      <c r="E949" s="71"/>
      <c r="F949" s="71"/>
      <c r="N949" s="71"/>
      <c r="O949" s="71"/>
      <c r="P949" s="71"/>
      <c r="Q949" s="71"/>
      <c r="R949" s="71"/>
      <c r="U949" s="71"/>
      <c r="V949" s="71"/>
    </row>
    <row r="950">
      <c r="A950" s="71"/>
      <c r="B950" s="71"/>
      <c r="C950" s="71"/>
      <c r="D950" s="71"/>
      <c r="E950" s="71"/>
      <c r="F950" s="71"/>
      <c r="N950" s="71"/>
      <c r="O950" s="71"/>
      <c r="P950" s="71"/>
      <c r="Q950" s="71"/>
      <c r="R950" s="71"/>
      <c r="U950" s="71"/>
      <c r="V950" s="71"/>
    </row>
    <row r="951">
      <c r="A951" s="71"/>
      <c r="B951" s="71"/>
      <c r="C951" s="71"/>
      <c r="D951" s="71"/>
      <c r="E951" s="71"/>
      <c r="F951" s="71"/>
      <c r="M951" s="71"/>
      <c r="N951" s="71"/>
      <c r="O951" s="71"/>
      <c r="P951" s="71"/>
      <c r="Q951" s="71"/>
      <c r="R951" s="71"/>
      <c r="U951" s="71"/>
      <c r="V951" s="71"/>
    </row>
    <row r="952">
      <c r="A952" s="71"/>
      <c r="B952" s="71"/>
      <c r="C952" s="71"/>
      <c r="D952" s="71"/>
      <c r="E952" s="71"/>
      <c r="F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</row>
    <row r="953">
      <c r="A953" s="71"/>
      <c r="B953" s="71"/>
      <c r="C953" s="71"/>
      <c r="D953" s="71"/>
      <c r="E953" s="71"/>
      <c r="F953" s="71"/>
      <c r="N953" s="71"/>
      <c r="O953" s="71"/>
      <c r="P953" s="71"/>
      <c r="Q953" s="71"/>
      <c r="R953" s="71"/>
      <c r="U953" s="71"/>
      <c r="V953" s="71"/>
    </row>
    <row r="954">
      <c r="A954" s="71"/>
      <c r="B954" s="71"/>
      <c r="C954" s="71"/>
      <c r="D954" s="71"/>
      <c r="E954" s="71"/>
      <c r="F954" s="71"/>
      <c r="M954" s="71"/>
      <c r="N954" s="71"/>
      <c r="O954" s="71"/>
      <c r="P954" s="71"/>
      <c r="Q954" s="71"/>
      <c r="R954" s="71"/>
      <c r="U954" s="71"/>
      <c r="V954" s="71"/>
    </row>
    <row r="955">
      <c r="A955" s="71"/>
      <c r="B955" s="71"/>
      <c r="C955" s="71"/>
      <c r="D955" s="71"/>
      <c r="E955" s="71"/>
      <c r="F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</row>
    <row r="956">
      <c r="A956" s="71"/>
      <c r="B956" s="71"/>
      <c r="C956" s="71"/>
      <c r="D956" s="71"/>
      <c r="E956" s="71"/>
      <c r="F956" s="71"/>
      <c r="M956" s="71"/>
      <c r="N956" s="71"/>
      <c r="O956" s="71"/>
      <c r="P956" s="71"/>
      <c r="Q956" s="71"/>
      <c r="R956" s="71"/>
      <c r="U956" s="71"/>
      <c r="V956" s="71"/>
    </row>
    <row r="957">
      <c r="A957" s="71"/>
      <c r="B957" s="71"/>
      <c r="C957" s="71"/>
      <c r="D957" s="71"/>
      <c r="E957" s="71"/>
      <c r="F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</row>
    <row r="958">
      <c r="A958" s="71"/>
      <c r="B958" s="71"/>
      <c r="C958" s="71"/>
      <c r="D958" s="71"/>
      <c r="E958" s="71"/>
      <c r="F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</row>
    <row r="959">
      <c r="A959" s="71"/>
      <c r="B959" s="71"/>
      <c r="C959" s="71"/>
      <c r="D959" s="71"/>
      <c r="E959" s="71"/>
      <c r="F959" s="71"/>
      <c r="M959" s="71"/>
      <c r="N959" s="71"/>
      <c r="O959" s="71"/>
      <c r="P959" s="71"/>
      <c r="Q959" s="71"/>
      <c r="R959" s="71"/>
      <c r="U959" s="71"/>
      <c r="V959" s="71"/>
    </row>
    <row r="960">
      <c r="A960" s="71"/>
      <c r="B960" s="71"/>
      <c r="C960" s="71"/>
      <c r="D960" s="71"/>
      <c r="E960" s="71"/>
      <c r="F960" s="71"/>
      <c r="M960" s="71"/>
      <c r="N960" s="71"/>
      <c r="O960" s="71"/>
      <c r="P960" s="71"/>
      <c r="Q960" s="71"/>
      <c r="R960" s="71"/>
      <c r="T960" s="71"/>
      <c r="U960" s="71"/>
      <c r="V960" s="71"/>
      <c r="W960" s="71"/>
    </row>
    <row r="961">
      <c r="A961" s="71"/>
      <c r="B961" s="71"/>
      <c r="C961" s="71"/>
      <c r="D961" s="71"/>
      <c r="E961" s="71"/>
      <c r="F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</row>
    <row r="962">
      <c r="A962" s="71"/>
      <c r="B962" s="71"/>
      <c r="C962" s="71"/>
      <c r="D962" s="71"/>
      <c r="E962" s="71"/>
      <c r="F962" s="71"/>
      <c r="M962" s="71"/>
      <c r="N962" s="71"/>
      <c r="O962" s="71"/>
      <c r="P962" s="71"/>
      <c r="Q962" s="71"/>
      <c r="R962" s="71"/>
      <c r="U962" s="71"/>
      <c r="V962" s="71"/>
    </row>
    <row r="963">
      <c r="A963" s="71"/>
      <c r="B963" s="71"/>
      <c r="C963" s="71"/>
      <c r="D963" s="71"/>
      <c r="E963" s="71"/>
      <c r="F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</row>
    <row r="964">
      <c r="A964" s="71"/>
      <c r="B964" s="71"/>
      <c r="C964" s="71"/>
      <c r="D964" s="71"/>
      <c r="E964" s="71"/>
      <c r="F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</row>
    <row r="965">
      <c r="A965" s="71"/>
      <c r="B965" s="71"/>
      <c r="C965" s="71"/>
      <c r="D965" s="71"/>
      <c r="E965" s="71"/>
      <c r="F965" s="71"/>
      <c r="N965" s="71"/>
      <c r="O965" s="71"/>
      <c r="P965" s="71"/>
      <c r="Q965" s="71"/>
      <c r="R965" s="71"/>
      <c r="U965" s="71"/>
      <c r="V965" s="71"/>
    </row>
    <row r="966">
      <c r="A966" s="71"/>
      <c r="B966" s="71"/>
      <c r="C966" s="71"/>
      <c r="D966" s="71"/>
      <c r="E966" s="71"/>
      <c r="F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</row>
    <row r="967">
      <c r="A967" s="71"/>
      <c r="B967" s="71"/>
      <c r="C967" s="71"/>
      <c r="D967" s="71"/>
      <c r="E967" s="71"/>
      <c r="F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</row>
    <row r="968">
      <c r="A968" s="71"/>
      <c r="B968" s="71"/>
      <c r="C968" s="71"/>
      <c r="D968" s="71"/>
      <c r="F968" s="71"/>
      <c r="N968" s="71"/>
      <c r="O968" s="71"/>
      <c r="P968" s="71"/>
      <c r="Q968" s="71"/>
      <c r="R968" s="71"/>
      <c r="U968" s="71"/>
      <c r="V968" s="71"/>
    </row>
    <row r="969">
      <c r="A969" s="71"/>
      <c r="B969" s="71"/>
      <c r="C969" s="71"/>
      <c r="D969" s="71"/>
      <c r="E969" s="71"/>
      <c r="F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</row>
    <row r="970">
      <c r="A970" s="71"/>
      <c r="B970" s="71"/>
      <c r="C970" s="71"/>
      <c r="D970" s="71"/>
      <c r="E970" s="71"/>
      <c r="F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</row>
    <row r="971">
      <c r="A971" s="71"/>
      <c r="B971" s="71"/>
      <c r="C971" s="71"/>
      <c r="D971" s="71"/>
      <c r="E971" s="71"/>
      <c r="F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</row>
    <row r="972">
      <c r="A972" s="71"/>
      <c r="B972" s="71"/>
      <c r="C972" s="71"/>
      <c r="D972" s="71"/>
      <c r="E972" s="71"/>
      <c r="F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</row>
    <row r="973">
      <c r="A973" s="71"/>
      <c r="B973" s="71"/>
      <c r="C973" s="71"/>
      <c r="D973" s="71"/>
      <c r="E973" s="71"/>
      <c r="F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</row>
    <row r="974">
      <c r="A974" s="71"/>
      <c r="B974" s="71"/>
      <c r="C974" s="71"/>
      <c r="D974" s="71"/>
      <c r="F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</row>
    <row r="975">
      <c r="A975" s="71"/>
      <c r="B975" s="71"/>
      <c r="C975" s="71"/>
      <c r="D975" s="71"/>
      <c r="E975" s="71"/>
      <c r="F975" s="71"/>
      <c r="N975" s="71"/>
      <c r="O975" s="71"/>
      <c r="P975" s="71"/>
      <c r="Q975" s="71"/>
      <c r="R975" s="71"/>
      <c r="U975" s="71"/>
      <c r="V975" s="71"/>
    </row>
    <row r="976">
      <c r="A976" s="71"/>
      <c r="B976" s="71"/>
      <c r="C976" s="71"/>
      <c r="D976" s="71"/>
      <c r="E976" s="71"/>
      <c r="F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</row>
    <row r="977">
      <c r="A977" s="71"/>
      <c r="B977" s="71"/>
      <c r="C977" s="71"/>
      <c r="D977" s="71"/>
      <c r="E977" s="71"/>
      <c r="F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</row>
    <row r="978">
      <c r="A978" s="71"/>
      <c r="B978" s="71"/>
      <c r="C978" s="71"/>
      <c r="D978" s="71"/>
      <c r="E978" s="71"/>
      <c r="F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</row>
    <row r="979">
      <c r="A979" s="71"/>
      <c r="B979" s="71"/>
      <c r="C979" s="71"/>
      <c r="D979" s="71"/>
      <c r="E979" s="71"/>
      <c r="F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</row>
    <row r="980">
      <c r="A980" s="71"/>
      <c r="B980" s="71"/>
      <c r="C980" s="71"/>
      <c r="D980" s="71"/>
      <c r="E980" s="71"/>
      <c r="F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</row>
    <row r="981">
      <c r="A981" s="71"/>
      <c r="B981" s="71"/>
      <c r="C981" s="71"/>
      <c r="D981" s="71"/>
      <c r="E981" s="71"/>
      <c r="F981" s="71"/>
      <c r="M981" s="71"/>
      <c r="N981" s="71"/>
      <c r="O981" s="71"/>
      <c r="P981" s="71"/>
      <c r="Q981" s="71"/>
      <c r="R981" s="71"/>
      <c r="T981" s="71"/>
      <c r="U981" s="71"/>
      <c r="V981" s="71"/>
      <c r="W981" s="71"/>
    </row>
    <row r="982">
      <c r="A982" s="71"/>
      <c r="B982" s="71"/>
      <c r="C982" s="71"/>
      <c r="D982" s="71"/>
      <c r="E982" s="71"/>
      <c r="F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</row>
    <row r="983">
      <c r="A983" s="71"/>
      <c r="B983" s="71"/>
      <c r="C983" s="71"/>
      <c r="D983" s="71"/>
      <c r="E983" s="71"/>
      <c r="F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</row>
    <row r="984">
      <c r="A984" s="71"/>
      <c r="B984" s="71"/>
      <c r="C984" s="71"/>
      <c r="D984" s="71"/>
      <c r="E984" s="71"/>
      <c r="F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</row>
    <row r="985">
      <c r="A985" s="71"/>
      <c r="B985" s="71"/>
      <c r="C985" s="71"/>
      <c r="D985" s="71"/>
      <c r="E985" s="71"/>
      <c r="F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</row>
    <row r="986">
      <c r="A986" s="71"/>
      <c r="B986" s="71"/>
      <c r="C986" s="71"/>
      <c r="D986" s="71"/>
      <c r="E986" s="71"/>
      <c r="F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</row>
    <row r="987">
      <c r="A987" s="71"/>
      <c r="B987" s="71"/>
      <c r="C987" s="71"/>
      <c r="D987" s="71"/>
      <c r="E987" s="71"/>
      <c r="F987" s="71"/>
      <c r="N987" s="71"/>
      <c r="O987" s="71"/>
      <c r="P987" s="71"/>
      <c r="Q987" s="71"/>
      <c r="R987" s="71"/>
      <c r="U987" s="71"/>
      <c r="V987" s="71"/>
    </row>
    <row r="988">
      <c r="A988" s="71"/>
      <c r="B988" s="71"/>
      <c r="C988" s="71"/>
      <c r="D988" s="71"/>
      <c r="E988" s="71"/>
      <c r="F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</row>
    <row r="989">
      <c r="A989" s="71"/>
      <c r="B989" s="71"/>
      <c r="C989" s="71"/>
      <c r="D989" s="71"/>
      <c r="E989" s="71"/>
      <c r="F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</row>
    <row r="990">
      <c r="A990" s="71"/>
      <c r="B990" s="71"/>
      <c r="C990" s="71"/>
      <c r="D990" s="71"/>
      <c r="E990" s="71"/>
      <c r="F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</row>
    <row r="991">
      <c r="A991" s="71"/>
      <c r="B991" s="71"/>
      <c r="C991" s="71"/>
      <c r="D991" s="71"/>
      <c r="E991" s="71"/>
      <c r="F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</row>
    <row r="992">
      <c r="A992" s="71"/>
      <c r="B992" s="71"/>
      <c r="C992" s="71"/>
      <c r="D992" s="71"/>
      <c r="E992" s="71"/>
      <c r="F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</row>
    <row r="993">
      <c r="A993" s="71"/>
      <c r="B993" s="71"/>
      <c r="C993" s="71"/>
      <c r="D993" s="71"/>
      <c r="E993" s="71"/>
      <c r="F993" s="71"/>
      <c r="M993" s="71"/>
      <c r="N993" s="71"/>
      <c r="O993" s="71"/>
      <c r="P993" s="71"/>
      <c r="Q993" s="71"/>
      <c r="R993" s="71"/>
      <c r="T993" s="71"/>
      <c r="U993" s="71"/>
      <c r="V993" s="71"/>
      <c r="W993" s="71"/>
      <c r="X993" s="71"/>
    </row>
    <row r="994">
      <c r="A994" s="71"/>
      <c r="B994" s="71"/>
      <c r="C994" s="71"/>
      <c r="D994" s="71"/>
      <c r="E994" s="71"/>
      <c r="F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</row>
    <row r="995">
      <c r="A995" s="71"/>
      <c r="B995" s="71"/>
      <c r="C995" s="71"/>
      <c r="D995" s="71"/>
      <c r="E995" s="71"/>
      <c r="F995" s="71"/>
      <c r="N995" s="71"/>
      <c r="O995" s="71"/>
      <c r="P995" s="71"/>
      <c r="Q995" s="71"/>
      <c r="R995" s="71"/>
      <c r="U995" s="71"/>
      <c r="V995" s="71"/>
    </row>
    <row r="996">
      <c r="A996" s="71"/>
      <c r="B996" s="71"/>
      <c r="C996" s="71"/>
      <c r="D996" s="71"/>
      <c r="E996" s="71"/>
      <c r="F996" s="71"/>
      <c r="M996" s="71"/>
      <c r="N996" s="71"/>
      <c r="Q996" s="71"/>
      <c r="S996" s="71"/>
      <c r="T996" s="71"/>
      <c r="U996" s="71"/>
      <c r="V996" s="71"/>
      <c r="W996" s="71"/>
      <c r="X996" s="71"/>
      <c r="Y996" s="71"/>
    </row>
    <row r="997">
      <c r="A997" s="71"/>
      <c r="B997" s="71"/>
      <c r="C997" s="71"/>
      <c r="D997" s="71"/>
      <c r="E997" s="71"/>
      <c r="F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</row>
    <row r="998">
      <c r="A998" s="71"/>
      <c r="B998" s="71"/>
      <c r="C998" s="71"/>
      <c r="D998" s="71"/>
      <c r="E998" s="71"/>
      <c r="F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</row>
    <row r="999">
      <c r="A999" s="71"/>
      <c r="B999" s="71"/>
      <c r="C999" s="71"/>
      <c r="D999" s="71"/>
      <c r="E999" s="71"/>
      <c r="F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</row>
    <row r="1000">
      <c r="A1000" s="71"/>
      <c r="B1000" s="71"/>
      <c r="C1000" s="71"/>
      <c r="D1000" s="71"/>
      <c r="E1000" s="71"/>
      <c r="F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</row>
    <row r="1001">
      <c r="A1001" s="71"/>
      <c r="B1001" s="71"/>
      <c r="C1001" s="71"/>
      <c r="D1001" s="71"/>
      <c r="E1001" s="71"/>
      <c r="F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</row>
    <row r="1002">
      <c r="A1002" s="71"/>
      <c r="B1002" s="71"/>
      <c r="C1002" s="71"/>
      <c r="D1002" s="71"/>
      <c r="E1002" s="71"/>
      <c r="F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</row>
    <row r="1003">
      <c r="A1003" s="71"/>
      <c r="B1003" s="71"/>
      <c r="C1003" s="71"/>
      <c r="D1003" s="71"/>
      <c r="E1003" s="71"/>
      <c r="F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</row>
    <row r="1004">
      <c r="A1004" s="71"/>
      <c r="B1004" s="71"/>
      <c r="C1004" s="71"/>
      <c r="D1004" s="71"/>
      <c r="E1004" s="71"/>
      <c r="F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</row>
    <row r="1005">
      <c r="A1005" s="71"/>
      <c r="B1005" s="71"/>
      <c r="C1005" s="71"/>
      <c r="D1005" s="71"/>
      <c r="E1005" s="71"/>
      <c r="F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</row>
    <row r="1006">
      <c r="A1006" s="71"/>
      <c r="B1006" s="71"/>
      <c r="C1006" s="71"/>
      <c r="D1006" s="71"/>
      <c r="E1006" s="71"/>
      <c r="F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</row>
    <row r="1007">
      <c r="A1007" s="71"/>
      <c r="B1007" s="71"/>
      <c r="C1007" s="71"/>
      <c r="D1007" s="71"/>
      <c r="E1007" s="71"/>
      <c r="F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</row>
    <row r="1008">
      <c r="A1008" s="71"/>
      <c r="B1008" s="71"/>
      <c r="C1008" s="71"/>
      <c r="D1008" s="71"/>
      <c r="E1008" s="71"/>
      <c r="F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</row>
    <row r="1009">
      <c r="A1009" s="71"/>
      <c r="B1009" s="71"/>
      <c r="C1009" s="71"/>
      <c r="D1009" s="71"/>
      <c r="E1009" s="71"/>
      <c r="F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</row>
    <row r="1010">
      <c r="A1010" s="71"/>
      <c r="B1010" s="71"/>
      <c r="C1010" s="71"/>
      <c r="D1010" s="71"/>
      <c r="E1010" s="71"/>
      <c r="F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</row>
    <row r="1011">
      <c r="A1011" s="71"/>
      <c r="B1011" s="71"/>
      <c r="C1011" s="71"/>
      <c r="D1011" s="71"/>
      <c r="E1011" s="71"/>
      <c r="F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</row>
    <row r="1012">
      <c r="A1012" s="71"/>
      <c r="B1012" s="71"/>
      <c r="C1012" s="71"/>
      <c r="D1012" s="71"/>
      <c r="E1012" s="71"/>
      <c r="F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</row>
    <row r="1013">
      <c r="A1013" s="71"/>
      <c r="B1013" s="71"/>
      <c r="C1013" s="71"/>
      <c r="D1013" s="71"/>
      <c r="E1013" s="71"/>
      <c r="F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</row>
    <row r="1014">
      <c r="A1014" s="71"/>
      <c r="B1014" s="71"/>
      <c r="C1014" s="71"/>
      <c r="D1014" s="71"/>
      <c r="E1014" s="71"/>
      <c r="F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</row>
    <row r="1015">
      <c r="A1015" s="71"/>
      <c r="B1015" s="71"/>
      <c r="C1015" s="71"/>
      <c r="D1015" s="71"/>
      <c r="E1015" s="71"/>
      <c r="F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</row>
    <row r="1016">
      <c r="A1016" s="71"/>
      <c r="B1016" s="71"/>
      <c r="C1016" s="71"/>
      <c r="D1016" s="71"/>
      <c r="E1016" s="71"/>
      <c r="F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</row>
    <row r="1017">
      <c r="A1017" s="71"/>
      <c r="B1017" s="71"/>
      <c r="C1017" s="71"/>
      <c r="D1017" s="71"/>
      <c r="E1017" s="71"/>
      <c r="F1017" s="71"/>
      <c r="M1017" s="71"/>
      <c r="N1017" s="71"/>
      <c r="Q1017" s="71"/>
      <c r="S1017" s="71"/>
      <c r="T1017" s="71"/>
      <c r="U1017" s="71"/>
      <c r="V1017" s="71"/>
      <c r="W1017" s="71"/>
      <c r="X1017" s="71"/>
      <c r="Y1017" s="71"/>
    </row>
    <row r="1018">
      <c r="A1018" s="71"/>
      <c r="B1018" s="71"/>
      <c r="C1018" s="71"/>
      <c r="D1018" s="71"/>
      <c r="E1018" s="71"/>
      <c r="F1018" s="71"/>
      <c r="M1018" s="71"/>
      <c r="N1018" s="71"/>
      <c r="O1018" s="71"/>
      <c r="P1018" s="71"/>
      <c r="Q1018" s="71"/>
      <c r="R1018" s="71"/>
      <c r="T1018" s="71"/>
      <c r="U1018" s="71"/>
      <c r="V1018" s="71"/>
      <c r="W1018" s="71"/>
    </row>
    <row r="1019">
      <c r="A1019" s="71"/>
      <c r="B1019" s="71"/>
      <c r="C1019" s="71"/>
      <c r="D1019" s="71"/>
      <c r="E1019" s="71"/>
      <c r="F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</row>
    <row r="1020">
      <c r="A1020" s="71"/>
      <c r="B1020" s="71"/>
      <c r="C1020" s="71"/>
      <c r="D1020" s="71"/>
      <c r="E1020" s="71"/>
      <c r="F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</row>
    <row r="1021">
      <c r="A1021" s="71"/>
      <c r="B1021" s="71"/>
      <c r="C1021" s="71"/>
      <c r="D1021" s="71"/>
      <c r="E1021" s="71"/>
      <c r="F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</row>
    <row r="1022">
      <c r="A1022" s="71"/>
      <c r="B1022" s="71"/>
      <c r="C1022" s="71"/>
      <c r="D1022" s="71"/>
      <c r="E1022" s="71"/>
      <c r="F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</row>
    <row r="1023">
      <c r="A1023" s="71"/>
      <c r="B1023" s="71"/>
      <c r="C1023" s="71"/>
      <c r="D1023" s="71"/>
      <c r="E1023" s="71"/>
      <c r="F1023" s="71"/>
      <c r="M1023" s="71"/>
      <c r="N1023" s="71"/>
      <c r="O1023" s="71"/>
      <c r="P1023" s="71"/>
      <c r="Q1023" s="71"/>
      <c r="R1023" s="71"/>
      <c r="T1023" s="71"/>
      <c r="U1023" s="71"/>
      <c r="V1023" s="71"/>
      <c r="W1023" s="71"/>
      <c r="X1023" s="71"/>
    </row>
    <row r="1024">
      <c r="A1024" s="71"/>
      <c r="B1024" s="71"/>
      <c r="C1024" s="71"/>
      <c r="D1024" s="71"/>
      <c r="E1024" s="71"/>
      <c r="F1024" s="71"/>
      <c r="M1024" s="71"/>
      <c r="N1024" s="71"/>
      <c r="Q1024" s="71"/>
      <c r="S1024" s="71"/>
      <c r="T1024" s="71"/>
      <c r="U1024" s="71"/>
      <c r="V1024" s="71"/>
      <c r="W1024" s="71"/>
      <c r="X1024" s="71"/>
      <c r="Y1024" s="71"/>
    </row>
    <row r="1025">
      <c r="A1025" s="71"/>
      <c r="B1025" s="71"/>
      <c r="C1025" s="71"/>
      <c r="D1025" s="71"/>
      <c r="E1025" s="71"/>
      <c r="F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</row>
    <row r="1026">
      <c r="A1026" s="71"/>
      <c r="B1026" s="71"/>
      <c r="C1026" s="71"/>
      <c r="D1026" s="71"/>
      <c r="E1026" s="71"/>
      <c r="F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</row>
    <row r="1027">
      <c r="A1027" s="71"/>
      <c r="B1027" s="71"/>
      <c r="C1027" s="71"/>
      <c r="D1027" s="71"/>
      <c r="E1027" s="71"/>
      <c r="F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</row>
    <row r="1028">
      <c r="A1028" s="71"/>
      <c r="B1028" s="71"/>
      <c r="C1028" s="71"/>
      <c r="D1028" s="71"/>
      <c r="E1028" s="71"/>
      <c r="F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</row>
    <row r="1029">
      <c r="A1029" s="71"/>
      <c r="B1029" s="71"/>
      <c r="C1029" s="71"/>
      <c r="D1029" s="71"/>
      <c r="E1029" s="71"/>
      <c r="F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</row>
    <row r="1030">
      <c r="A1030" s="71"/>
      <c r="B1030" s="71"/>
      <c r="C1030" s="71"/>
      <c r="D1030" s="71"/>
      <c r="E1030" s="71"/>
      <c r="F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Y1030" s="71"/>
    </row>
    <row r="1031">
      <c r="A1031" s="71"/>
      <c r="B1031" s="71"/>
      <c r="C1031" s="71"/>
      <c r="D1031" s="71"/>
      <c r="E1031" s="71"/>
      <c r="F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</row>
    <row r="1032">
      <c r="A1032" s="71"/>
      <c r="B1032" s="71"/>
      <c r="C1032" s="71"/>
      <c r="D1032" s="71"/>
      <c r="E1032" s="71"/>
      <c r="F1032" s="71"/>
      <c r="M1032" s="71"/>
      <c r="N1032" s="71"/>
      <c r="O1032" s="71"/>
      <c r="P1032" s="71"/>
      <c r="Q1032" s="71"/>
      <c r="R1032" s="71"/>
      <c r="T1032" s="71"/>
      <c r="U1032" s="71"/>
      <c r="V1032" s="71"/>
      <c r="W1032" s="71"/>
      <c r="X1032" s="71"/>
    </row>
    <row r="1033">
      <c r="A1033" s="71"/>
      <c r="B1033" s="71"/>
      <c r="C1033" s="71"/>
      <c r="E1033" s="71"/>
      <c r="F1033" s="71"/>
      <c r="M1033" s="71"/>
      <c r="N1033" s="71"/>
      <c r="O1033" s="71"/>
      <c r="P1033" s="71"/>
      <c r="Q1033" s="71"/>
      <c r="R1033" s="71"/>
      <c r="T1033" s="71"/>
      <c r="U1033" s="71"/>
      <c r="V1033" s="71"/>
      <c r="W1033" s="71"/>
      <c r="X1033" s="71"/>
    </row>
    <row r="1034">
      <c r="A1034" s="71"/>
      <c r="B1034" s="71"/>
      <c r="C1034" s="71"/>
      <c r="D1034" s="71"/>
      <c r="E1034" s="71"/>
      <c r="F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</row>
    <row r="1035">
      <c r="A1035" s="71"/>
      <c r="B1035" s="71"/>
      <c r="C1035" s="71"/>
      <c r="D1035" s="71"/>
      <c r="E1035" s="71"/>
      <c r="F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</row>
    <row r="1036">
      <c r="A1036" s="71"/>
      <c r="B1036" s="71"/>
      <c r="C1036" s="71"/>
      <c r="D1036" s="71"/>
      <c r="E1036" s="71"/>
      <c r="F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</row>
    <row r="1037">
      <c r="A1037" s="71"/>
      <c r="B1037" s="71"/>
      <c r="C1037" s="71"/>
      <c r="D1037" s="71"/>
      <c r="E1037" s="71"/>
      <c r="F1037" s="71"/>
      <c r="M1037" s="71"/>
      <c r="N1037" s="71"/>
      <c r="O1037" s="71"/>
      <c r="P1037" s="71"/>
      <c r="Q1037" s="71"/>
      <c r="R1037" s="71"/>
      <c r="T1037" s="71"/>
      <c r="U1037" s="71"/>
      <c r="V1037" s="71"/>
      <c r="W1037" s="71"/>
      <c r="X1037" s="71"/>
    </row>
    <row r="1038">
      <c r="A1038" s="71"/>
      <c r="B1038" s="71"/>
      <c r="C1038" s="71"/>
      <c r="D1038" s="71"/>
      <c r="E1038" s="71"/>
      <c r="F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</row>
    <row r="1039">
      <c r="A1039" s="71"/>
      <c r="B1039" s="71"/>
      <c r="C1039" s="71"/>
      <c r="D1039" s="71"/>
      <c r="E1039" s="71"/>
      <c r="F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</row>
    <row r="1040">
      <c r="A1040" s="71"/>
      <c r="B1040" s="71"/>
      <c r="C1040" s="71"/>
      <c r="D1040" s="71"/>
      <c r="E1040" s="71"/>
      <c r="F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</row>
    <row r="1041">
      <c r="A1041" s="71"/>
      <c r="B1041" s="71"/>
      <c r="C1041" s="71"/>
      <c r="D1041" s="71"/>
      <c r="E1041" s="71"/>
      <c r="F1041" s="71"/>
      <c r="M1041" s="71"/>
      <c r="N1041" s="71"/>
      <c r="O1041" s="71"/>
      <c r="P1041" s="71"/>
      <c r="Q1041" s="71"/>
      <c r="R1041" s="71"/>
      <c r="T1041" s="71"/>
      <c r="U1041" s="71"/>
      <c r="V1041" s="71"/>
      <c r="W1041" s="71"/>
    </row>
    <row r="1042">
      <c r="A1042" s="71"/>
      <c r="B1042" s="71"/>
      <c r="C1042" s="71"/>
      <c r="D1042" s="71"/>
      <c r="E1042" s="71"/>
      <c r="F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</row>
    <row r="1043">
      <c r="A1043" s="71"/>
      <c r="B1043" s="71"/>
      <c r="C1043" s="71"/>
      <c r="D1043" s="71"/>
      <c r="E1043" s="71"/>
      <c r="F1043" s="71"/>
      <c r="M1043" s="71"/>
      <c r="N1043" s="71"/>
      <c r="O1043" s="71"/>
      <c r="P1043" s="71"/>
      <c r="Q1043" s="71"/>
      <c r="R1043" s="71"/>
      <c r="U1043" s="71"/>
      <c r="V1043" s="71"/>
    </row>
    <row r="1044">
      <c r="A1044" s="71"/>
      <c r="B1044" s="71"/>
      <c r="C1044" s="71"/>
      <c r="D1044" s="71"/>
      <c r="E1044" s="71"/>
      <c r="F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</row>
    <row r="1045">
      <c r="A1045" s="71"/>
      <c r="B1045" s="71"/>
      <c r="C1045" s="71"/>
      <c r="D1045" s="71"/>
      <c r="E1045" s="71"/>
      <c r="F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</row>
    <row r="1046">
      <c r="A1046" s="71"/>
      <c r="B1046" s="71"/>
      <c r="C1046" s="71"/>
      <c r="D1046" s="71"/>
      <c r="E1046" s="71"/>
      <c r="F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</row>
    <row r="1047">
      <c r="A1047" s="71"/>
      <c r="B1047" s="71"/>
      <c r="C1047" s="71"/>
      <c r="D1047" s="71"/>
      <c r="E1047" s="71"/>
      <c r="F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</row>
    <row r="1048">
      <c r="A1048" s="71"/>
      <c r="B1048" s="71"/>
      <c r="C1048" s="71"/>
      <c r="D1048" s="71"/>
      <c r="E1048" s="71"/>
      <c r="F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</row>
    <row r="1049">
      <c r="A1049" s="71"/>
      <c r="B1049" s="71"/>
      <c r="C1049" s="71"/>
      <c r="D1049" s="71"/>
      <c r="E1049" s="71"/>
      <c r="F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</row>
    <row r="1050">
      <c r="A1050" s="71"/>
      <c r="B1050" s="71"/>
      <c r="C1050" s="71"/>
      <c r="D1050" s="71"/>
      <c r="E1050" s="71"/>
      <c r="F1050" s="71"/>
      <c r="M1050" s="71"/>
      <c r="N1050" s="71"/>
      <c r="Q1050" s="71"/>
      <c r="S1050" s="71"/>
      <c r="T1050" s="71"/>
      <c r="U1050" s="71"/>
      <c r="V1050" s="71"/>
      <c r="W1050" s="71"/>
      <c r="X1050" s="71"/>
      <c r="Y1050" s="71"/>
    </row>
    <row r="1051">
      <c r="A1051" s="71"/>
      <c r="B1051" s="71"/>
      <c r="C1051" s="71"/>
      <c r="E1051" s="71"/>
      <c r="F1051" s="71"/>
      <c r="M1051" s="71"/>
      <c r="N1051" s="71"/>
      <c r="O1051" s="71"/>
      <c r="P1051" s="71"/>
      <c r="Q1051" s="71"/>
      <c r="R1051" s="71"/>
      <c r="T1051" s="71"/>
      <c r="U1051" s="71"/>
      <c r="V1051" s="71"/>
      <c r="W1051" s="71"/>
      <c r="X1051" s="71"/>
    </row>
    <row r="1052">
      <c r="A1052" s="71"/>
      <c r="B1052" s="71"/>
      <c r="C1052" s="71"/>
      <c r="E1052" s="71"/>
      <c r="F1052" s="71"/>
      <c r="M1052" s="71"/>
      <c r="N1052" s="71"/>
      <c r="O1052" s="71"/>
      <c r="P1052" s="71"/>
      <c r="Q1052" s="71"/>
      <c r="R1052" s="71"/>
      <c r="T1052" s="71"/>
      <c r="U1052" s="71"/>
      <c r="V1052" s="71"/>
      <c r="W1052" s="71"/>
      <c r="X1052" s="71"/>
    </row>
    <row r="1053">
      <c r="A1053" s="71"/>
      <c r="B1053" s="71"/>
      <c r="C1053" s="71"/>
      <c r="D1053" s="71"/>
      <c r="E1053" s="71"/>
      <c r="F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</row>
    <row r="1054">
      <c r="A1054" s="71"/>
      <c r="B1054" s="71"/>
      <c r="C1054" s="71"/>
      <c r="D1054" s="71"/>
      <c r="E1054" s="71"/>
      <c r="F1054" s="71"/>
      <c r="M1054" s="71"/>
      <c r="N1054" s="71"/>
      <c r="Q1054" s="71"/>
      <c r="S1054" s="71"/>
      <c r="T1054" s="71"/>
      <c r="U1054" s="71"/>
      <c r="V1054" s="71"/>
      <c r="W1054" s="71"/>
      <c r="X1054" s="71"/>
      <c r="Y1054" s="71"/>
    </row>
    <row r="1055">
      <c r="A1055" s="71"/>
      <c r="B1055" s="71"/>
      <c r="C1055" s="71"/>
      <c r="D1055" s="71"/>
      <c r="E1055" s="71"/>
      <c r="F1055" s="71"/>
      <c r="M1055" s="71"/>
      <c r="N1055" s="71"/>
      <c r="Q1055" s="71"/>
      <c r="S1055" s="71"/>
      <c r="T1055" s="71"/>
      <c r="U1055" s="71"/>
      <c r="V1055" s="71"/>
      <c r="W1055" s="71"/>
      <c r="X1055" s="71"/>
      <c r="Y1055" s="71"/>
    </row>
    <row r="1056">
      <c r="A1056" s="71"/>
      <c r="B1056" s="71"/>
      <c r="C1056" s="71"/>
      <c r="E1056" s="71"/>
      <c r="F1056" s="71"/>
      <c r="N1056" s="71"/>
      <c r="O1056" s="71"/>
      <c r="P1056" s="71"/>
      <c r="Q1056" s="71"/>
      <c r="R1056" s="71"/>
      <c r="U1056" s="71"/>
      <c r="V1056" s="71"/>
    </row>
    <row r="1057">
      <c r="A1057" s="71"/>
      <c r="B1057" s="71"/>
      <c r="C1057" s="71"/>
      <c r="D1057" s="71"/>
      <c r="E1057" s="71"/>
      <c r="F1057" s="71"/>
      <c r="M1057" s="71"/>
      <c r="N1057" s="71"/>
      <c r="Q1057" s="71"/>
      <c r="S1057" s="71"/>
      <c r="T1057" s="71"/>
      <c r="U1057" s="71"/>
      <c r="V1057" s="71"/>
      <c r="W1057" s="71"/>
      <c r="X1057" s="71"/>
      <c r="Y1057" s="71"/>
    </row>
    <row r="1058">
      <c r="A1058" s="71"/>
      <c r="B1058" s="71"/>
      <c r="C1058" s="71"/>
      <c r="D1058" s="71"/>
      <c r="E1058" s="71"/>
      <c r="F1058" s="71"/>
      <c r="M1058" s="71"/>
      <c r="N1058" s="71"/>
      <c r="Q1058" s="71"/>
      <c r="S1058" s="71"/>
      <c r="T1058" s="71"/>
      <c r="U1058" s="71"/>
      <c r="V1058" s="71"/>
      <c r="W1058" s="71"/>
      <c r="X1058" s="71"/>
    </row>
    <row r="1059">
      <c r="A1059" s="71"/>
      <c r="B1059" s="71"/>
      <c r="C1059" s="71"/>
      <c r="D1059" s="71"/>
      <c r="E1059" s="71"/>
      <c r="F1059" s="71"/>
      <c r="N1059" s="71"/>
      <c r="O1059" s="71"/>
      <c r="P1059" s="71"/>
      <c r="Q1059" s="71"/>
      <c r="R1059" s="71"/>
      <c r="U1059" s="71"/>
      <c r="V1059" s="71"/>
    </row>
    <row r="1060">
      <c r="A1060" s="71"/>
      <c r="B1060" s="71"/>
      <c r="C1060" s="71"/>
      <c r="D1060" s="71"/>
      <c r="E1060" s="71"/>
      <c r="F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</row>
    <row r="1061">
      <c r="A1061" s="71"/>
      <c r="B1061" s="71"/>
      <c r="C1061" s="71"/>
      <c r="D1061" s="71"/>
      <c r="E1061" s="71"/>
      <c r="F1061" s="71"/>
      <c r="M1061" s="71"/>
      <c r="N1061" s="71"/>
      <c r="Q1061" s="71"/>
      <c r="S1061" s="71"/>
      <c r="T1061" s="71"/>
      <c r="U1061" s="71"/>
      <c r="V1061" s="71"/>
      <c r="W1061" s="71"/>
      <c r="X1061" s="71"/>
      <c r="Y1061" s="71"/>
    </row>
    <row r="1062">
      <c r="A1062" s="71"/>
      <c r="B1062" s="71"/>
      <c r="C1062" s="71"/>
      <c r="D1062" s="71"/>
      <c r="E1062" s="71"/>
      <c r="F1062" s="71"/>
      <c r="M1062" s="71"/>
      <c r="N1062" s="71"/>
      <c r="Q1062" s="71"/>
      <c r="S1062" s="71"/>
      <c r="T1062" s="71"/>
      <c r="U1062" s="71"/>
      <c r="V1062" s="71"/>
      <c r="W1062" s="71"/>
      <c r="X1062" s="71"/>
      <c r="Y1062" s="71"/>
    </row>
    <row r="1063">
      <c r="A1063" s="71"/>
      <c r="B1063" s="71"/>
      <c r="C1063" s="71"/>
      <c r="D1063" s="71"/>
      <c r="E1063" s="71"/>
      <c r="F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</row>
    <row r="1064">
      <c r="A1064" s="71"/>
      <c r="B1064" s="71"/>
      <c r="C1064" s="71"/>
      <c r="E1064" s="71"/>
      <c r="F1064" s="71"/>
      <c r="M1064" s="71"/>
      <c r="N1064" s="71"/>
      <c r="Q1064" s="71"/>
      <c r="S1064" s="71"/>
      <c r="T1064" s="71"/>
      <c r="U1064" s="71"/>
      <c r="V1064" s="71"/>
      <c r="W1064" s="71"/>
      <c r="X1064" s="71"/>
      <c r="Y1064" s="71"/>
    </row>
    <row r="1065">
      <c r="A1065" s="71"/>
      <c r="B1065" s="71"/>
      <c r="C1065" s="71"/>
      <c r="D1065" s="71"/>
      <c r="E1065" s="71"/>
      <c r="F1065" s="71"/>
      <c r="M1065" s="71"/>
      <c r="N1065" s="71"/>
      <c r="Q1065" s="71"/>
      <c r="S1065" s="71"/>
      <c r="T1065" s="71"/>
      <c r="U1065" s="71"/>
      <c r="V1065" s="71"/>
      <c r="W1065" s="71"/>
      <c r="X1065" s="71"/>
    </row>
    <row r="1066">
      <c r="A1066" s="71"/>
      <c r="B1066" s="71"/>
      <c r="C1066" s="71"/>
      <c r="D1066" s="71"/>
      <c r="E1066" s="71"/>
      <c r="F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</row>
    <row r="1067">
      <c r="A1067" s="71"/>
      <c r="B1067" s="71"/>
      <c r="C1067" s="71"/>
      <c r="D1067" s="71"/>
      <c r="E1067" s="71"/>
      <c r="F1067" s="71"/>
      <c r="M1067" s="71"/>
      <c r="N1067" s="71"/>
      <c r="Q1067" s="71"/>
      <c r="S1067" s="71"/>
      <c r="T1067" s="71"/>
      <c r="U1067" s="71"/>
      <c r="V1067" s="71"/>
      <c r="W1067" s="71"/>
      <c r="X1067" s="71"/>
      <c r="Y1067" s="71"/>
    </row>
    <row r="1068">
      <c r="A1068" s="71"/>
      <c r="B1068" s="71"/>
      <c r="C1068" s="71"/>
      <c r="D1068" s="71"/>
      <c r="E1068" s="71"/>
      <c r="F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</row>
    <row r="1069">
      <c r="A1069" s="71"/>
      <c r="B1069" s="71"/>
      <c r="C1069" s="71"/>
      <c r="D1069" s="71"/>
      <c r="E1069" s="71"/>
      <c r="F1069" s="71"/>
      <c r="M1069" s="71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</row>
    <row r="1070">
      <c r="A1070" s="71"/>
      <c r="B1070" s="71"/>
      <c r="C1070" s="71"/>
      <c r="D1070" s="71"/>
      <c r="F1070" s="71"/>
      <c r="M1070" s="71"/>
      <c r="O1070" s="71"/>
      <c r="P1070" s="71"/>
      <c r="Q1070" s="71"/>
      <c r="R1070" s="71"/>
      <c r="S1070" s="71"/>
      <c r="T1070" s="71"/>
      <c r="U1070" s="71"/>
      <c r="V1070" s="71"/>
      <c r="W1070" s="71"/>
    </row>
    <row r="1071">
      <c r="A1071" s="71"/>
      <c r="B1071" s="71"/>
      <c r="C1071" s="71"/>
      <c r="D1071" s="71"/>
      <c r="E1071" s="71"/>
      <c r="F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</row>
    <row r="1072">
      <c r="A1072" s="71"/>
      <c r="B1072" s="71"/>
      <c r="C1072" s="71"/>
      <c r="D1072" s="71"/>
      <c r="E1072" s="71"/>
      <c r="F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</row>
    <row r="1073">
      <c r="A1073" s="71"/>
      <c r="B1073" s="71"/>
      <c r="C1073" s="71"/>
      <c r="D1073" s="71"/>
      <c r="E1073" s="71"/>
      <c r="F1073" s="71"/>
      <c r="M1073" s="71"/>
      <c r="N1073" s="71"/>
      <c r="Q1073" s="71"/>
      <c r="S1073" s="71"/>
      <c r="T1073" s="71"/>
      <c r="U1073" s="71"/>
      <c r="V1073" s="71"/>
      <c r="W1073" s="71"/>
      <c r="X1073" s="71"/>
      <c r="Y1073" s="71"/>
    </row>
    <row r="1074">
      <c r="A1074" s="71"/>
      <c r="B1074" s="71"/>
      <c r="C1074" s="71"/>
      <c r="D1074" s="71"/>
      <c r="E1074" s="71"/>
      <c r="F1074" s="71"/>
      <c r="M1074" s="71"/>
      <c r="N1074" s="71"/>
      <c r="Q1074" s="71"/>
      <c r="S1074" s="71"/>
      <c r="T1074" s="71"/>
      <c r="U1074" s="71"/>
      <c r="V1074" s="71"/>
      <c r="W1074" s="71"/>
      <c r="X1074" s="71"/>
      <c r="Y1074" s="71"/>
    </row>
    <row r="1075">
      <c r="A1075" s="71"/>
      <c r="B1075" s="71"/>
      <c r="C1075" s="71"/>
      <c r="D1075" s="71"/>
      <c r="E1075" s="71"/>
      <c r="F1075" s="71"/>
      <c r="M1075" s="71"/>
      <c r="N1075" s="71"/>
      <c r="O1075" s="71"/>
      <c r="P1075" s="71"/>
      <c r="Q1075" s="71"/>
      <c r="R1075" s="71"/>
      <c r="T1075" s="71"/>
      <c r="U1075" s="71"/>
      <c r="V1075" s="71"/>
      <c r="W1075" s="71"/>
      <c r="X1075" s="71"/>
    </row>
    <row r="1076">
      <c r="A1076" s="71"/>
      <c r="B1076" s="71"/>
      <c r="C1076" s="71"/>
      <c r="D1076" s="71"/>
      <c r="E1076" s="71"/>
      <c r="F1076" s="71"/>
      <c r="M1076" s="71"/>
      <c r="N1076" s="71"/>
      <c r="Q1076" s="71"/>
      <c r="S1076" s="71"/>
      <c r="T1076" s="71"/>
      <c r="U1076" s="71"/>
      <c r="V1076" s="71"/>
      <c r="W1076" s="71"/>
      <c r="X1076" s="71"/>
      <c r="Y1076" s="71"/>
    </row>
    <row r="1077">
      <c r="A1077" s="71"/>
      <c r="B1077" s="71"/>
      <c r="C1077" s="71"/>
      <c r="D1077" s="71"/>
      <c r="E1077" s="71"/>
      <c r="F1077" s="71"/>
      <c r="M1077" s="71"/>
      <c r="N1077" s="71"/>
      <c r="Q1077" s="71"/>
      <c r="S1077" s="71"/>
      <c r="T1077" s="71"/>
      <c r="U1077" s="71"/>
      <c r="V1077" s="71"/>
      <c r="W1077" s="71"/>
      <c r="X1077" s="71"/>
      <c r="Y1077" s="71"/>
    </row>
    <row r="1078">
      <c r="A1078" s="71"/>
      <c r="B1078" s="71"/>
      <c r="C1078" s="71"/>
      <c r="D1078" s="71"/>
      <c r="E1078" s="71"/>
      <c r="F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</row>
    <row r="1079">
      <c r="A1079" s="71"/>
      <c r="B1079" s="71"/>
      <c r="C1079" s="71"/>
      <c r="E1079" s="71"/>
      <c r="F1079" s="71"/>
      <c r="M1079" s="71"/>
      <c r="N1079" s="71"/>
      <c r="O1079" s="71"/>
      <c r="P1079" s="71"/>
      <c r="Q1079" s="71"/>
      <c r="R1079" s="71"/>
      <c r="S1079" s="71"/>
      <c r="T1079" s="71"/>
      <c r="U1079" s="71"/>
      <c r="V1079" s="71"/>
      <c r="W1079" s="71"/>
      <c r="X1079" s="71"/>
      <c r="Y1079" s="71"/>
    </row>
    <row r="1080">
      <c r="A1080" s="71"/>
      <c r="B1080" s="71"/>
      <c r="C1080" s="71"/>
      <c r="D1080" s="71"/>
      <c r="E1080" s="71"/>
      <c r="F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</row>
    <row r="1081">
      <c r="A1081" s="71"/>
      <c r="B1081" s="71"/>
      <c r="C1081" s="71"/>
      <c r="D1081" s="71"/>
      <c r="E1081" s="71"/>
      <c r="F1081" s="71"/>
      <c r="N1081" s="71"/>
      <c r="O1081" s="71"/>
      <c r="P1081" s="71"/>
      <c r="Q1081" s="71"/>
      <c r="R1081" s="71"/>
      <c r="U1081" s="71"/>
      <c r="V1081" s="71"/>
    </row>
    <row r="1082">
      <c r="A1082" s="71"/>
      <c r="B1082" s="71"/>
      <c r="C1082" s="71"/>
      <c r="D1082" s="71"/>
      <c r="E1082" s="71"/>
      <c r="F1082" s="71"/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Y1082" s="71"/>
    </row>
    <row r="1083">
      <c r="A1083" s="71"/>
      <c r="B1083" s="71"/>
      <c r="C1083" s="71"/>
      <c r="D1083" s="71"/>
      <c r="E1083" s="71"/>
      <c r="F1083" s="71"/>
      <c r="M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</row>
    <row r="1084">
      <c r="A1084" s="71"/>
      <c r="B1084" s="71"/>
      <c r="C1084" s="71"/>
      <c r="D1084" s="71"/>
      <c r="E1084" s="71"/>
      <c r="F1084" s="71"/>
      <c r="M1084" s="71"/>
      <c r="N1084" s="71"/>
      <c r="Q1084" s="71"/>
      <c r="S1084" s="71"/>
      <c r="T1084" s="71"/>
      <c r="U1084" s="71"/>
      <c r="V1084" s="71"/>
      <c r="W1084" s="71"/>
      <c r="X1084" s="71"/>
      <c r="Y1084" s="71"/>
    </row>
    <row r="1085">
      <c r="A1085" s="71"/>
      <c r="B1085" s="71"/>
      <c r="C1085" s="71"/>
      <c r="D1085" s="71"/>
      <c r="E1085" s="71"/>
      <c r="F1085" s="71"/>
      <c r="M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</row>
    <row r="1086">
      <c r="A1086" s="71"/>
      <c r="B1086" s="71"/>
      <c r="C1086" s="71"/>
      <c r="D1086" s="71"/>
      <c r="E1086" s="71"/>
      <c r="F1086" s="71"/>
      <c r="M1086" s="71"/>
      <c r="Q1086" s="71"/>
      <c r="S1086" s="71"/>
      <c r="T1086" s="71"/>
      <c r="U1086" s="71"/>
      <c r="V1086" s="71"/>
      <c r="W1086" s="71"/>
      <c r="X1086" s="71"/>
      <c r="Y1086" s="71"/>
    </row>
    <row r="1087">
      <c r="A1087" s="71"/>
      <c r="B1087" s="71"/>
      <c r="C1087" s="71"/>
      <c r="D1087" s="71"/>
      <c r="E1087" s="71"/>
      <c r="F1087" s="71"/>
      <c r="M1087" s="71"/>
      <c r="N1087" s="71"/>
      <c r="O1087" s="71"/>
      <c r="P1087" s="71"/>
      <c r="Q1087" s="71"/>
      <c r="R1087" s="71"/>
      <c r="T1087" s="71"/>
      <c r="U1087" s="71"/>
      <c r="V1087" s="71"/>
      <c r="W1087" s="71"/>
    </row>
    <row r="1088">
      <c r="A1088" s="71"/>
      <c r="B1088" s="71"/>
      <c r="C1088" s="71"/>
      <c r="D1088" s="71"/>
      <c r="E1088" s="71"/>
      <c r="F1088" s="71"/>
      <c r="M1088" s="71"/>
      <c r="N1088" s="71"/>
      <c r="O1088" s="71"/>
      <c r="P1088" s="71"/>
      <c r="Q1088" s="71"/>
      <c r="R1088" s="71"/>
      <c r="T1088" s="71"/>
      <c r="U1088" s="71"/>
      <c r="V1088" s="71"/>
      <c r="W1088" s="71"/>
    </row>
    <row r="1089">
      <c r="A1089" s="71"/>
      <c r="B1089" s="71"/>
      <c r="C1089" s="71"/>
      <c r="E1089" s="71"/>
      <c r="F1089" s="71"/>
      <c r="M1089" s="71"/>
      <c r="N1089" s="71"/>
      <c r="O1089" s="71"/>
      <c r="P1089" s="71"/>
      <c r="Q1089" s="71"/>
      <c r="R1089" s="71"/>
      <c r="S1089" s="71"/>
      <c r="T1089" s="71"/>
      <c r="U1089" s="71"/>
      <c r="V1089" s="71"/>
      <c r="W1089" s="71"/>
      <c r="X1089" s="71"/>
      <c r="Y1089" s="71"/>
    </row>
    <row r="1090">
      <c r="A1090" s="71"/>
      <c r="B1090" s="71"/>
      <c r="C1090" s="71"/>
      <c r="D1090" s="71"/>
      <c r="E1090" s="71"/>
      <c r="F1090" s="71"/>
      <c r="M1090" s="71"/>
      <c r="N1090" s="71"/>
      <c r="Q1090" s="71"/>
      <c r="S1090" s="71"/>
      <c r="T1090" s="71"/>
      <c r="U1090" s="71"/>
      <c r="V1090" s="71"/>
      <c r="W1090" s="71"/>
    </row>
    <row r="1091">
      <c r="A1091" s="71"/>
      <c r="B1091" s="71"/>
      <c r="C1091" s="71"/>
      <c r="D1091" s="71"/>
      <c r="F1091" s="71"/>
      <c r="M1091" s="71"/>
      <c r="O1091" s="71"/>
      <c r="P1091" s="71"/>
      <c r="Q1091" s="71"/>
      <c r="R1091" s="71"/>
      <c r="S1091" s="71"/>
      <c r="T1091" s="71"/>
      <c r="U1091" s="71"/>
      <c r="V1091" s="71"/>
      <c r="W1091" s="71"/>
    </row>
    <row r="1092">
      <c r="A1092" s="71"/>
      <c r="B1092" s="71"/>
      <c r="C1092" s="71"/>
      <c r="D1092" s="71"/>
      <c r="E1092" s="71"/>
      <c r="F1092" s="71"/>
      <c r="M1092" s="71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Y1092" s="71"/>
    </row>
    <row r="1093">
      <c r="A1093" s="71"/>
      <c r="B1093" s="71"/>
      <c r="C1093" s="71"/>
      <c r="D1093" s="71"/>
      <c r="E1093" s="71"/>
      <c r="F1093" s="71"/>
      <c r="M1093" s="71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</row>
    <row r="1094">
      <c r="A1094" s="71"/>
      <c r="B1094" s="71"/>
      <c r="C1094" s="71"/>
      <c r="D1094" s="71"/>
      <c r="E1094" s="71"/>
      <c r="F1094" s="71"/>
      <c r="M1094" s="71"/>
      <c r="N1094" s="71"/>
      <c r="Q1094" s="71"/>
      <c r="S1094" s="71"/>
      <c r="T1094" s="71"/>
      <c r="U1094" s="71"/>
      <c r="V1094" s="71"/>
      <c r="W1094" s="71"/>
      <c r="X1094" s="71"/>
      <c r="Y1094" s="71"/>
    </row>
    <row r="1095">
      <c r="A1095" s="71"/>
      <c r="B1095" s="71"/>
      <c r="C1095" s="71"/>
      <c r="D1095" s="71"/>
      <c r="E1095" s="71"/>
      <c r="F1095" s="71"/>
      <c r="M1095" s="71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</row>
    <row r="1096">
      <c r="A1096" s="71"/>
      <c r="B1096" s="71"/>
      <c r="C1096" s="71"/>
      <c r="D1096" s="71"/>
      <c r="F1096" s="71"/>
      <c r="O1096" s="71"/>
      <c r="P1096" s="71"/>
      <c r="Q1096" s="71"/>
      <c r="R1096" s="71"/>
      <c r="U1096" s="71"/>
      <c r="V1096" s="71"/>
    </row>
    <row r="1097">
      <c r="A1097" s="71"/>
      <c r="B1097" s="71"/>
      <c r="C1097" s="71"/>
      <c r="D1097" s="71"/>
      <c r="E1097" s="71"/>
      <c r="F1097" s="71"/>
      <c r="M1097" s="71"/>
      <c r="N1097" s="71"/>
      <c r="Q1097" s="71"/>
      <c r="S1097" s="71"/>
      <c r="T1097" s="71"/>
      <c r="U1097" s="71"/>
      <c r="V1097" s="71"/>
      <c r="W1097" s="71"/>
      <c r="X1097" s="71"/>
      <c r="Y1097" s="71"/>
    </row>
    <row r="1098">
      <c r="A1098" s="71"/>
      <c r="B1098" s="71"/>
      <c r="C1098" s="71"/>
      <c r="D1098" s="71"/>
      <c r="E1098" s="71"/>
      <c r="F1098" s="71"/>
      <c r="M1098" s="71"/>
      <c r="N1098" s="71"/>
      <c r="Q1098" s="71"/>
      <c r="S1098" s="71"/>
      <c r="T1098" s="71"/>
      <c r="U1098" s="71"/>
      <c r="V1098" s="71"/>
      <c r="W1098" s="71"/>
      <c r="Y1098" s="71"/>
    </row>
    <row r="1099">
      <c r="A1099" s="71"/>
      <c r="B1099" s="71"/>
      <c r="C1099" s="71"/>
      <c r="D1099" s="71"/>
      <c r="E1099" s="71"/>
      <c r="F1099" s="71"/>
      <c r="M1099" s="71"/>
      <c r="N1099" s="71"/>
      <c r="O1099" s="71"/>
      <c r="P1099" s="71"/>
      <c r="Q1099" s="71"/>
      <c r="R1099" s="71"/>
      <c r="S1099" s="71"/>
      <c r="T1099" s="71"/>
      <c r="U1099" s="71"/>
      <c r="V1099" s="71"/>
      <c r="W1099" s="71"/>
      <c r="X1099" s="71"/>
      <c r="Y1099" s="71"/>
    </row>
    <row r="1100">
      <c r="A1100" s="71"/>
      <c r="B1100" s="71"/>
      <c r="C1100" s="71"/>
      <c r="D1100" s="71"/>
      <c r="E1100" s="71"/>
      <c r="F1100" s="71"/>
      <c r="M1100" s="71"/>
      <c r="N1100" s="71"/>
      <c r="Q1100" s="71"/>
      <c r="S1100" s="71"/>
      <c r="T1100" s="71"/>
      <c r="U1100" s="71"/>
      <c r="V1100" s="71"/>
      <c r="W1100" s="71"/>
    </row>
    <row r="1101">
      <c r="A1101" s="71"/>
      <c r="B1101" s="71"/>
      <c r="C1101" s="71"/>
      <c r="D1101" s="71"/>
      <c r="E1101" s="71"/>
      <c r="F1101" s="71"/>
      <c r="M1101" s="71"/>
      <c r="O1101" s="71"/>
      <c r="P1101" s="71"/>
      <c r="Q1101" s="71"/>
      <c r="R1101" s="71"/>
      <c r="S1101" s="71"/>
      <c r="T1101" s="71"/>
      <c r="U1101" s="71"/>
      <c r="V1101" s="71"/>
      <c r="W1101" s="71"/>
      <c r="X1101" s="71"/>
      <c r="Y1101" s="71"/>
    </row>
    <row r="1102">
      <c r="A1102" s="71"/>
      <c r="B1102" s="71"/>
      <c r="C1102" s="71"/>
      <c r="D1102" s="71"/>
      <c r="F1102" s="71"/>
      <c r="M1102" s="71"/>
      <c r="Q1102" s="71"/>
      <c r="S1102" s="71"/>
      <c r="T1102" s="71"/>
      <c r="U1102" s="71"/>
      <c r="V1102" s="71"/>
      <c r="W1102" s="71"/>
    </row>
    <row r="1103">
      <c r="A1103" s="71"/>
      <c r="B1103" s="71"/>
      <c r="C1103" s="71"/>
      <c r="D1103" s="71"/>
      <c r="E1103" s="71"/>
      <c r="F1103" s="71"/>
      <c r="M1103" s="71"/>
      <c r="N1103" s="71"/>
      <c r="Q1103" s="71"/>
      <c r="S1103" s="71"/>
      <c r="T1103" s="71"/>
      <c r="U1103" s="71"/>
      <c r="V1103" s="71"/>
      <c r="W1103" s="71"/>
      <c r="X1103" s="71"/>
      <c r="Y1103" s="71"/>
    </row>
    <row r="1104">
      <c r="A1104" s="71"/>
      <c r="B1104" s="71"/>
      <c r="C1104" s="71"/>
      <c r="D1104" s="71"/>
      <c r="E1104" s="71"/>
      <c r="F1104" s="71"/>
      <c r="M1104" s="71"/>
      <c r="N1104" s="71"/>
      <c r="Q1104" s="71"/>
      <c r="S1104" s="71"/>
      <c r="T1104" s="71"/>
      <c r="U1104" s="71"/>
      <c r="V1104" s="71"/>
      <c r="W1104" s="71"/>
      <c r="X1104" s="71"/>
      <c r="Y1104" s="71"/>
    </row>
    <row r="1105">
      <c r="A1105" s="71"/>
      <c r="B1105" s="71"/>
      <c r="C1105" s="71"/>
      <c r="D1105" s="71"/>
      <c r="F1105" s="71"/>
      <c r="M1105" s="71"/>
      <c r="N1105" s="71"/>
      <c r="O1105" s="71"/>
      <c r="P1105" s="71"/>
      <c r="Q1105" s="71"/>
      <c r="R1105" s="71"/>
      <c r="T1105" s="71"/>
      <c r="U1105" s="71"/>
      <c r="V1105" s="71"/>
      <c r="W1105" s="71"/>
    </row>
    <row r="1106">
      <c r="A1106" s="71"/>
      <c r="B1106" s="71"/>
      <c r="C1106" s="71"/>
      <c r="D1106" s="71"/>
      <c r="E1106" s="71"/>
      <c r="F1106" s="71"/>
      <c r="N1106" s="71"/>
      <c r="O1106" s="71"/>
      <c r="P1106" s="71"/>
      <c r="Q1106" s="71"/>
      <c r="R1106" s="71"/>
      <c r="U1106" s="71"/>
      <c r="V1106" s="71"/>
    </row>
    <row r="1107">
      <c r="A1107" s="71"/>
      <c r="B1107" s="71"/>
      <c r="C1107" s="71"/>
      <c r="D1107" s="71"/>
      <c r="E1107" s="71"/>
      <c r="F1107" s="71"/>
      <c r="M1107" s="71"/>
      <c r="N1107" s="71"/>
      <c r="Q1107" s="71"/>
      <c r="S1107" s="71"/>
      <c r="T1107" s="71"/>
      <c r="U1107" s="71"/>
      <c r="V1107" s="71"/>
      <c r="W1107" s="71"/>
      <c r="X1107" s="71"/>
      <c r="Y1107" s="71"/>
    </row>
    <row r="1108">
      <c r="A1108" s="71"/>
      <c r="B1108" s="71"/>
      <c r="C1108" s="71"/>
      <c r="D1108" s="71"/>
      <c r="E1108" s="71"/>
      <c r="F1108" s="71"/>
      <c r="M1108" s="71"/>
      <c r="N1108" s="71"/>
      <c r="O1108" s="71"/>
      <c r="P1108" s="71"/>
      <c r="Q1108" s="71"/>
      <c r="R1108" s="71"/>
      <c r="S1108" s="71"/>
      <c r="T1108" s="71"/>
      <c r="U1108" s="71"/>
      <c r="V1108" s="71"/>
      <c r="W1108" s="71"/>
      <c r="Y1108" s="71"/>
    </row>
    <row r="1109">
      <c r="A1109" s="71"/>
      <c r="B1109" s="71"/>
      <c r="C1109" s="71"/>
      <c r="D1109" s="71"/>
      <c r="E1109" s="71"/>
      <c r="F1109" s="71"/>
      <c r="M1109" s="71"/>
      <c r="N1109" s="71"/>
      <c r="Q1109" s="71"/>
      <c r="S1109" s="71"/>
      <c r="T1109" s="71"/>
      <c r="U1109" s="71"/>
      <c r="V1109" s="71"/>
      <c r="W1109" s="71"/>
      <c r="X1109" s="71"/>
      <c r="Y1109" s="71"/>
    </row>
    <row r="1110">
      <c r="A1110" s="71"/>
      <c r="B1110" s="71"/>
      <c r="C1110" s="71"/>
      <c r="D1110" s="71"/>
      <c r="E1110" s="71"/>
      <c r="F1110" s="71"/>
      <c r="M1110" s="71"/>
      <c r="N1110" s="71"/>
      <c r="Q1110" s="71"/>
      <c r="S1110" s="71"/>
      <c r="T1110" s="71"/>
      <c r="U1110" s="71"/>
      <c r="V1110" s="71"/>
      <c r="W1110" s="71"/>
    </row>
    <row r="1111">
      <c r="A1111" s="71"/>
      <c r="B1111" s="71"/>
      <c r="C1111" s="71"/>
      <c r="D1111" s="71"/>
      <c r="E1111" s="71"/>
      <c r="F1111" s="71"/>
      <c r="M1111" s="71"/>
      <c r="O1111" s="71"/>
      <c r="P1111" s="71"/>
      <c r="Q1111" s="71"/>
      <c r="R1111" s="71"/>
      <c r="S1111" s="71"/>
      <c r="T1111" s="71"/>
      <c r="U1111" s="71"/>
      <c r="V1111" s="71"/>
      <c r="W1111" s="71"/>
      <c r="X1111" s="71"/>
      <c r="Y1111" s="71"/>
    </row>
    <row r="1112">
      <c r="A1112" s="71"/>
      <c r="B1112" s="71"/>
      <c r="C1112" s="71"/>
      <c r="D1112" s="71"/>
      <c r="F1112" s="71"/>
      <c r="M1112" s="71"/>
      <c r="O1112" s="71"/>
      <c r="P1112" s="71"/>
      <c r="Q1112" s="71"/>
      <c r="R1112" s="71"/>
      <c r="T1112" s="71"/>
      <c r="U1112" s="71"/>
      <c r="V1112" s="71"/>
      <c r="W1112" s="71"/>
    </row>
    <row r="1113">
      <c r="A1113" s="71"/>
      <c r="B1113" s="71"/>
      <c r="C1113" s="71"/>
      <c r="D1113" s="71"/>
      <c r="E1113" s="71"/>
      <c r="F1113" s="71"/>
      <c r="M1113" s="71"/>
      <c r="N1113" s="71"/>
      <c r="Q1113" s="71"/>
      <c r="S1113" s="71"/>
      <c r="T1113" s="71"/>
      <c r="U1113" s="71"/>
      <c r="V1113" s="71"/>
      <c r="W1113" s="71"/>
      <c r="X1113" s="71"/>
      <c r="Y1113" s="71"/>
    </row>
    <row r="1114">
      <c r="A1114" s="71"/>
      <c r="B1114" s="71"/>
      <c r="C1114" s="71"/>
      <c r="D1114" s="71"/>
      <c r="E1114" s="71"/>
      <c r="F1114" s="71"/>
      <c r="M1114" s="71"/>
      <c r="N1114" s="71"/>
      <c r="O1114" s="71"/>
      <c r="P1114" s="71"/>
      <c r="Q1114" s="71"/>
      <c r="R1114" s="71"/>
      <c r="S1114" s="71"/>
      <c r="T1114" s="71"/>
      <c r="U1114" s="71"/>
      <c r="V1114" s="71"/>
      <c r="W1114" s="71"/>
      <c r="X1114" s="71"/>
      <c r="Y1114" s="71"/>
    </row>
    <row r="1115">
      <c r="A1115" s="71"/>
      <c r="B1115" s="71"/>
      <c r="C1115" s="71"/>
      <c r="D1115" s="71"/>
      <c r="E1115" s="71"/>
      <c r="F1115" s="71"/>
      <c r="M1115" s="71"/>
      <c r="N1115" s="71"/>
      <c r="Q1115" s="71"/>
      <c r="S1115" s="71"/>
      <c r="T1115" s="71"/>
      <c r="U1115" s="71"/>
      <c r="V1115" s="71"/>
      <c r="W1115" s="71"/>
      <c r="X1115" s="71"/>
      <c r="Y1115" s="71"/>
    </row>
    <row r="1116">
      <c r="A1116" s="71"/>
      <c r="B1116" s="71"/>
      <c r="C1116" s="71"/>
      <c r="D1116" s="71"/>
      <c r="E1116" s="71"/>
      <c r="F1116" s="71"/>
      <c r="M1116" s="71"/>
      <c r="N1116" s="71"/>
      <c r="O1116" s="71"/>
      <c r="P1116" s="71"/>
      <c r="Q1116" s="71"/>
      <c r="R1116" s="71"/>
      <c r="S1116" s="71"/>
      <c r="T1116" s="71"/>
      <c r="U1116" s="71"/>
      <c r="V1116" s="71"/>
      <c r="W1116" s="71"/>
    </row>
    <row r="1117">
      <c r="A1117" s="71"/>
      <c r="B1117" s="71"/>
      <c r="C1117" s="71"/>
      <c r="D1117" s="71"/>
      <c r="E1117" s="71"/>
      <c r="F1117" s="71"/>
      <c r="M1117" s="71"/>
      <c r="N1117" s="71"/>
      <c r="O1117" s="71"/>
      <c r="P1117" s="71"/>
      <c r="Q1117" s="71"/>
      <c r="R1117" s="71"/>
      <c r="S1117" s="71"/>
      <c r="T1117" s="71"/>
      <c r="U1117" s="71"/>
      <c r="V1117" s="71"/>
      <c r="W1117" s="71"/>
      <c r="X1117" s="71"/>
      <c r="Y1117" s="71"/>
    </row>
    <row r="1118">
      <c r="A1118" s="71"/>
      <c r="B1118" s="71"/>
      <c r="C1118" s="71"/>
      <c r="D1118" s="71"/>
      <c r="E1118" s="71"/>
      <c r="F1118" s="71"/>
      <c r="M1118" s="71"/>
      <c r="N1118" s="71"/>
      <c r="O1118" s="71"/>
      <c r="P1118" s="71"/>
      <c r="Q1118" s="71"/>
      <c r="R1118" s="71"/>
      <c r="S1118" s="71"/>
      <c r="T1118" s="71"/>
      <c r="U1118" s="71"/>
      <c r="V1118" s="71"/>
      <c r="W1118" s="71"/>
    </row>
    <row r="1119">
      <c r="A1119" s="71"/>
      <c r="B1119" s="71"/>
      <c r="C1119" s="71"/>
      <c r="D1119" s="71"/>
      <c r="E1119" s="71"/>
      <c r="F1119" s="71"/>
      <c r="M1119" s="71"/>
      <c r="N1119" s="71"/>
      <c r="O1119" s="71"/>
      <c r="P1119" s="71"/>
      <c r="Q1119" s="71"/>
      <c r="R1119" s="71"/>
      <c r="S1119" s="71"/>
      <c r="T1119" s="71"/>
      <c r="U1119" s="71"/>
      <c r="V1119" s="71"/>
      <c r="W1119" s="71"/>
      <c r="X1119" s="71"/>
      <c r="Y1119" s="71"/>
    </row>
    <row r="1120">
      <c r="A1120" s="71"/>
      <c r="B1120" s="71"/>
      <c r="C1120" s="71"/>
      <c r="D1120" s="71"/>
      <c r="E1120" s="71"/>
      <c r="F1120" s="71"/>
      <c r="M1120" s="71"/>
      <c r="N1120" s="71"/>
      <c r="Q1120" s="71"/>
      <c r="S1120" s="71"/>
      <c r="T1120" s="71"/>
      <c r="U1120" s="71"/>
      <c r="V1120" s="71"/>
      <c r="W1120" s="71"/>
      <c r="X1120" s="71"/>
      <c r="Y1120" s="71"/>
    </row>
    <row r="1121">
      <c r="A1121" s="71"/>
      <c r="B1121" s="71"/>
      <c r="C1121" s="71"/>
      <c r="F1121" s="71"/>
      <c r="O1121" s="71"/>
      <c r="P1121" s="71"/>
      <c r="Q1121" s="71"/>
      <c r="R1121" s="71"/>
      <c r="U1121" s="71"/>
      <c r="V1121" s="71"/>
    </row>
    <row r="1122">
      <c r="A1122" s="71"/>
      <c r="B1122" s="71"/>
      <c r="C1122" s="71"/>
      <c r="D1122" s="71"/>
      <c r="E1122" s="71"/>
      <c r="F1122" s="71"/>
      <c r="M1122" s="71"/>
      <c r="N1122" s="71"/>
      <c r="O1122" s="71"/>
      <c r="P1122" s="71"/>
      <c r="Q1122" s="71"/>
      <c r="R1122" s="71"/>
      <c r="S1122" s="71"/>
      <c r="T1122" s="71"/>
      <c r="U1122" s="71"/>
      <c r="V1122" s="71"/>
      <c r="W1122" s="71"/>
      <c r="X1122" s="71"/>
      <c r="Y1122" s="71"/>
    </row>
    <row r="1123">
      <c r="A1123" s="71"/>
      <c r="B1123" s="71"/>
      <c r="C1123" s="71"/>
      <c r="D1123" s="71"/>
      <c r="E1123" s="71"/>
      <c r="F1123" s="71"/>
      <c r="M1123" s="71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</row>
    <row r="1124">
      <c r="A1124" s="71"/>
      <c r="B1124" s="71"/>
      <c r="C1124" s="71"/>
      <c r="D1124" s="71"/>
      <c r="E1124" s="71"/>
      <c r="F1124" s="71"/>
      <c r="M1124" s="71"/>
      <c r="N1124" s="71"/>
      <c r="Q1124" s="71"/>
      <c r="S1124" s="71"/>
      <c r="T1124" s="71"/>
      <c r="U1124" s="71"/>
      <c r="V1124" s="71"/>
      <c r="W1124" s="71"/>
      <c r="X1124" s="71"/>
      <c r="Y1124" s="71"/>
    </row>
    <row r="1125">
      <c r="A1125" s="71"/>
      <c r="B1125" s="71"/>
      <c r="C1125" s="71"/>
      <c r="D1125" s="71"/>
      <c r="E1125" s="71"/>
      <c r="F1125" s="71"/>
      <c r="N1125" s="71"/>
      <c r="O1125" s="71"/>
      <c r="P1125" s="71"/>
      <c r="Q1125" s="71"/>
      <c r="R1125" s="71"/>
      <c r="U1125" s="71"/>
      <c r="V1125" s="71"/>
    </row>
    <row r="1126">
      <c r="A1126" s="71"/>
      <c r="B1126" s="71"/>
      <c r="C1126" s="71"/>
      <c r="D1126" s="71"/>
      <c r="E1126" s="71"/>
      <c r="F1126" s="71"/>
      <c r="M1126" s="71"/>
      <c r="N1126" s="71"/>
      <c r="Q1126" s="71"/>
      <c r="S1126" s="71"/>
      <c r="T1126" s="71"/>
      <c r="U1126" s="71"/>
      <c r="V1126" s="71"/>
      <c r="W1126" s="71"/>
    </row>
    <row r="1127">
      <c r="A1127" s="71"/>
      <c r="B1127" s="71"/>
      <c r="C1127" s="71"/>
      <c r="D1127" s="71"/>
      <c r="E1127" s="71"/>
      <c r="F1127" s="71"/>
      <c r="N1127" s="71"/>
      <c r="O1127" s="71"/>
      <c r="P1127" s="71"/>
      <c r="Q1127" s="71"/>
      <c r="R1127" s="71"/>
      <c r="U1127" s="71"/>
      <c r="V1127" s="71"/>
    </row>
    <row r="1128">
      <c r="A1128" s="71"/>
      <c r="B1128" s="71"/>
      <c r="C1128" s="71"/>
      <c r="D1128" s="71"/>
      <c r="E1128" s="71"/>
      <c r="F1128" s="71"/>
      <c r="M1128" s="71"/>
      <c r="N1128" s="71"/>
      <c r="Q1128" s="71"/>
      <c r="S1128" s="71"/>
      <c r="T1128" s="71"/>
      <c r="U1128" s="71"/>
      <c r="V1128" s="71"/>
      <c r="W1128" s="71"/>
      <c r="X1128" s="71"/>
      <c r="Y1128" s="71"/>
    </row>
    <row r="1129">
      <c r="A1129" s="71"/>
      <c r="B1129" s="71"/>
      <c r="C1129" s="71"/>
      <c r="D1129" s="71"/>
      <c r="E1129" s="71"/>
      <c r="F1129" s="71"/>
      <c r="M1129" s="71"/>
      <c r="N1129" s="71"/>
      <c r="Q1129" s="71"/>
      <c r="S1129" s="71"/>
      <c r="T1129" s="71"/>
      <c r="U1129" s="71"/>
      <c r="V1129" s="71"/>
      <c r="W1129" s="71"/>
      <c r="X1129" s="71"/>
      <c r="Y1129" s="71"/>
    </row>
    <row r="1130">
      <c r="A1130" s="71"/>
      <c r="B1130" s="71"/>
      <c r="C1130" s="71"/>
      <c r="E1130" s="71"/>
      <c r="F1130" s="71"/>
      <c r="M1130" s="71"/>
      <c r="N1130" s="71"/>
      <c r="O1130" s="71"/>
      <c r="P1130" s="71"/>
      <c r="Q1130" s="71"/>
      <c r="R1130" s="71"/>
      <c r="T1130" s="71"/>
      <c r="U1130" s="71"/>
      <c r="V1130" s="71"/>
      <c r="W1130" s="71"/>
      <c r="X1130" s="71"/>
    </row>
    <row r="1131">
      <c r="A1131" s="71"/>
      <c r="B1131" s="71"/>
      <c r="C1131" s="71"/>
      <c r="F1131" s="71"/>
      <c r="M1131" s="71"/>
      <c r="N1131" s="71"/>
      <c r="O1131" s="71"/>
      <c r="P1131" s="71"/>
      <c r="Q1131" s="71"/>
      <c r="R1131" s="71"/>
      <c r="T1131" s="71"/>
      <c r="U1131" s="71"/>
      <c r="V1131" s="71"/>
      <c r="W1131" s="71"/>
    </row>
    <row r="1132">
      <c r="A1132" s="71"/>
      <c r="B1132" s="71"/>
      <c r="C1132" s="71"/>
      <c r="D1132" s="71"/>
      <c r="E1132" s="71"/>
      <c r="F1132" s="71"/>
      <c r="M1132" s="71"/>
      <c r="N1132" s="71"/>
      <c r="O1132" s="71"/>
      <c r="P1132" s="71"/>
      <c r="Q1132" s="71"/>
      <c r="R1132" s="71"/>
      <c r="S1132" s="71"/>
      <c r="T1132" s="71"/>
      <c r="U1132" s="71"/>
      <c r="V1132" s="71"/>
      <c r="W1132" s="71"/>
      <c r="X1132" s="71"/>
      <c r="Y1132" s="71"/>
    </row>
    <row r="1133">
      <c r="A1133" s="71"/>
      <c r="B1133" s="71"/>
      <c r="C1133" s="71"/>
      <c r="D1133" s="71"/>
      <c r="E1133" s="71"/>
      <c r="F1133" s="71"/>
      <c r="M1133" s="71"/>
      <c r="N1133" s="71"/>
      <c r="O1133" s="71"/>
      <c r="P1133" s="71"/>
      <c r="Q1133" s="71"/>
      <c r="R1133" s="71"/>
      <c r="S1133" s="71"/>
      <c r="T1133" s="71"/>
      <c r="U1133" s="71"/>
      <c r="V1133" s="71"/>
      <c r="W1133" s="71"/>
      <c r="X1133" s="71"/>
      <c r="Y1133" s="71"/>
    </row>
    <row r="1134">
      <c r="A1134" s="71"/>
      <c r="B1134" s="71"/>
      <c r="C1134" s="71"/>
      <c r="D1134" s="71"/>
      <c r="E1134" s="71"/>
      <c r="F1134" s="71"/>
      <c r="M1134" s="71"/>
      <c r="N1134" s="71"/>
      <c r="O1134" s="71"/>
      <c r="P1134" s="71"/>
      <c r="Q1134" s="71"/>
      <c r="R1134" s="71"/>
      <c r="T1134" s="71"/>
      <c r="U1134" s="71"/>
      <c r="V1134" s="71"/>
      <c r="W1134" s="71"/>
      <c r="X1134" s="71"/>
    </row>
    <row r="1135">
      <c r="A1135" s="71"/>
      <c r="B1135" s="71"/>
      <c r="C1135" s="71"/>
      <c r="D1135" s="71"/>
      <c r="E1135" s="71"/>
      <c r="F1135" s="71"/>
      <c r="N1135" s="71"/>
      <c r="O1135" s="71"/>
      <c r="P1135" s="71"/>
      <c r="Q1135" s="71"/>
      <c r="R1135" s="71"/>
      <c r="U1135" s="71"/>
      <c r="V1135" s="71"/>
    </row>
    <row r="1136">
      <c r="A1136" s="71"/>
      <c r="B1136" s="71"/>
      <c r="C1136" s="71"/>
      <c r="D1136" s="71"/>
      <c r="E1136" s="71"/>
      <c r="F1136" s="71"/>
      <c r="M1136" s="71"/>
      <c r="N1136" s="71"/>
      <c r="Q1136" s="71"/>
      <c r="S1136" s="71"/>
      <c r="T1136" s="71"/>
      <c r="U1136" s="71"/>
      <c r="V1136" s="71"/>
      <c r="W1136" s="71"/>
      <c r="X1136" s="71"/>
      <c r="Y1136" s="71"/>
    </row>
    <row r="1137">
      <c r="A1137" s="71"/>
      <c r="B1137" s="71"/>
      <c r="C1137" s="71"/>
      <c r="D1137" s="71"/>
      <c r="E1137" s="71"/>
      <c r="F1137" s="71"/>
      <c r="N1137" s="71"/>
      <c r="O1137" s="71"/>
      <c r="P1137" s="71"/>
      <c r="Q1137" s="71"/>
      <c r="R1137" s="71"/>
      <c r="U1137" s="71"/>
      <c r="V1137" s="71"/>
    </row>
    <row r="1138">
      <c r="A1138" s="71"/>
      <c r="B1138" s="71"/>
      <c r="C1138" s="71"/>
      <c r="D1138" s="71"/>
      <c r="E1138" s="71"/>
      <c r="F1138" s="71"/>
      <c r="M1138" s="71"/>
      <c r="N1138" s="71"/>
      <c r="Q1138" s="71"/>
      <c r="S1138" s="71"/>
      <c r="T1138" s="71"/>
      <c r="U1138" s="71"/>
      <c r="V1138" s="71"/>
      <c r="W1138" s="71"/>
      <c r="X1138" s="71"/>
      <c r="Y1138" s="71"/>
    </row>
    <row r="1139">
      <c r="A1139" s="71"/>
      <c r="B1139" s="71"/>
      <c r="C1139" s="71"/>
      <c r="D1139" s="71"/>
      <c r="E1139" s="71"/>
      <c r="F1139" s="71"/>
      <c r="M1139" s="71"/>
      <c r="N1139" s="71"/>
      <c r="O1139" s="71"/>
      <c r="P1139" s="71"/>
      <c r="Q1139" s="71"/>
      <c r="R1139" s="71"/>
      <c r="T1139" s="71"/>
      <c r="U1139" s="71"/>
      <c r="V1139" s="71"/>
      <c r="W1139" s="71"/>
      <c r="X1139" s="71"/>
    </row>
    <row r="1140">
      <c r="A1140" s="71"/>
      <c r="B1140" s="71"/>
      <c r="C1140" s="71"/>
      <c r="D1140" s="71"/>
      <c r="E1140" s="71"/>
      <c r="F1140" s="71"/>
      <c r="M1140" s="71"/>
      <c r="N1140" s="71"/>
      <c r="Q1140" s="71"/>
      <c r="S1140" s="71"/>
      <c r="T1140" s="71"/>
      <c r="U1140" s="71"/>
      <c r="V1140" s="71"/>
      <c r="W1140" s="71"/>
      <c r="X1140" s="71"/>
      <c r="Y1140" s="71"/>
    </row>
    <row r="1141">
      <c r="A1141" s="71"/>
      <c r="B1141" s="71"/>
      <c r="C1141" s="71"/>
      <c r="F1141" s="71"/>
      <c r="M1141" s="71"/>
      <c r="N1141" s="71"/>
      <c r="O1141" s="71"/>
      <c r="P1141" s="71"/>
      <c r="Q1141" s="71"/>
      <c r="R1141" s="71"/>
      <c r="T1141" s="71"/>
      <c r="U1141" s="71"/>
      <c r="V1141" s="71"/>
      <c r="W1141" s="71"/>
    </row>
    <row r="1142">
      <c r="A1142" s="71"/>
      <c r="B1142" s="71"/>
      <c r="C1142" s="71"/>
      <c r="D1142" s="71"/>
      <c r="E1142" s="71"/>
      <c r="F1142" s="71"/>
      <c r="M1142" s="71"/>
      <c r="N1142" s="71"/>
      <c r="O1142" s="71"/>
      <c r="P1142" s="71"/>
      <c r="Q1142" s="71"/>
      <c r="R1142" s="71"/>
      <c r="S1142" s="71"/>
      <c r="T1142" s="71"/>
      <c r="U1142" s="71"/>
      <c r="V1142" s="71"/>
      <c r="W1142" s="71"/>
    </row>
    <row r="1143">
      <c r="A1143" s="71"/>
      <c r="B1143" s="71"/>
      <c r="C1143" s="71"/>
      <c r="D1143" s="71"/>
      <c r="E1143" s="71"/>
      <c r="F1143" s="71"/>
      <c r="M1143" s="71"/>
      <c r="N1143" s="71"/>
      <c r="O1143" s="71"/>
      <c r="P1143" s="71"/>
      <c r="Q1143" s="71"/>
      <c r="R1143" s="71"/>
      <c r="S1143" s="71"/>
      <c r="T1143" s="71"/>
      <c r="U1143" s="71"/>
      <c r="V1143" s="71"/>
      <c r="W1143" s="71"/>
      <c r="X1143" s="71"/>
      <c r="Y1143" s="71"/>
    </row>
    <row r="1144">
      <c r="A1144" s="71"/>
      <c r="B1144" s="71"/>
      <c r="C1144" s="71"/>
      <c r="D1144" s="71"/>
      <c r="E1144" s="71"/>
      <c r="F1144" s="71"/>
      <c r="M1144" s="71"/>
      <c r="N1144" s="71"/>
      <c r="O1144" s="71"/>
      <c r="P1144" s="71"/>
      <c r="Q1144" s="71"/>
      <c r="R1144" s="71"/>
      <c r="S1144" s="71"/>
      <c r="T1144" s="71"/>
      <c r="U1144" s="71"/>
      <c r="V1144" s="71"/>
      <c r="W1144" s="71"/>
      <c r="X1144" s="71"/>
      <c r="Y1144" s="71"/>
    </row>
    <row r="1145">
      <c r="A1145" s="71"/>
      <c r="B1145" s="71"/>
      <c r="C1145" s="71"/>
      <c r="D1145" s="71"/>
      <c r="E1145" s="71"/>
      <c r="F1145" s="71"/>
      <c r="N1145" s="71"/>
      <c r="O1145" s="71"/>
      <c r="P1145" s="71"/>
      <c r="Q1145" s="71"/>
      <c r="R1145" s="71"/>
      <c r="U1145" s="71"/>
      <c r="V1145" s="71"/>
    </row>
    <row r="1146">
      <c r="A1146" s="71"/>
      <c r="B1146" s="71"/>
      <c r="C1146" s="71"/>
      <c r="D1146" s="71"/>
      <c r="E1146" s="71"/>
      <c r="F1146" s="71"/>
      <c r="M1146" s="71"/>
      <c r="N1146" s="71"/>
      <c r="O1146" s="71"/>
      <c r="P1146" s="71"/>
      <c r="Q1146" s="71"/>
      <c r="R1146" s="71"/>
      <c r="S1146" s="71"/>
      <c r="T1146" s="71"/>
      <c r="U1146" s="71"/>
      <c r="V1146" s="71"/>
      <c r="W1146" s="71"/>
      <c r="X1146" s="71"/>
      <c r="Y1146" s="71"/>
    </row>
    <row r="1147">
      <c r="A1147" s="71"/>
      <c r="B1147" s="71"/>
      <c r="C1147" s="71"/>
      <c r="D1147" s="71"/>
      <c r="E1147" s="71"/>
      <c r="F1147" s="71"/>
      <c r="M1147" s="71"/>
      <c r="N1147" s="71"/>
      <c r="O1147" s="71"/>
      <c r="P1147" s="71"/>
      <c r="Q1147" s="71"/>
      <c r="R1147" s="71"/>
      <c r="S1147" s="71"/>
      <c r="T1147" s="71"/>
      <c r="U1147" s="71"/>
      <c r="V1147" s="71"/>
      <c r="W1147" s="71"/>
      <c r="X1147" s="71"/>
      <c r="Y1147" s="71"/>
    </row>
    <row r="1148">
      <c r="A1148" s="71"/>
      <c r="B1148" s="71"/>
      <c r="C1148" s="71"/>
      <c r="E1148" s="71"/>
      <c r="F1148" s="71"/>
      <c r="M1148" s="71"/>
      <c r="N1148" s="71"/>
      <c r="O1148" s="71"/>
      <c r="P1148" s="71"/>
      <c r="Q1148" s="71"/>
      <c r="R1148" s="71"/>
      <c r="S1148" s="71"/>
      <c r="T1148" s="71"/>
      <c r="U1148" s="71"/>
      <c r="V1148" s="71"/>
      <c r="W1148" s="71"/>
      <c r="X1148" s="71"/>
      <c r="Y1148" s="71"/>
    </row>
    <row r="1149">
      <c r="A1149" s="71"/>
      <c r="B1149" s="71"/>
      <c r="C1149" s="71"/>
      <c r="D1149" s="71"/>
      <c r="E1149" s="71"/>
      <c r="F1149" s="71"/>
      <c r="M1149" s="71"/>
      <c r="N1149" s="71"/>
      <c r="O1149" s="71"/>
      <c r="P1149" s="71"/>
      <c r="Q1149" s="71"/>
      <c r="R1149" s="71"/>
      <c r="S1149" s="71"/>
      <c r="T1149" s="71"/>
      <c r="U1149" s="71"/>
      <c r="V1149" s="71"/>
      <c r="W1149" s="71"/>
      <c r="X1149" s="71"/>
      <c r="Y1149" s="71"/>
    </row>
    <row r="1150">
      <c r="A1150" s="71"/>
      <c r="B1150" s="71"/>
      <c r="C1150" s="71"/>
      <c r="D1150" s="71"/>
      <c r="E1150" s="71"/>
      <c r="F1150" s="71"/>
      <c r="M1150" s="71"/>
      <c r="N1150" s="71"/>
      <c r="O1150" s="71"/>
      <c r="P1150" s="71"/>
      <c r="Q1150" s="71"/>
      <c r="R1150" s="71"/>
      <c r="S1150" s="71"/>
      <c r="T1150" s="71"/>
      <c r="U1150" s="71"/>
      <c r="V1150" s="71"/>
      <c r="W1150" s="71"/>
      <c r="X1150" s="71"/>
      <c r="Y1150" s="71"/>
    </row>
    <row r="1151">
      <c r="A1151" s="71"/>
      <c r="B1151" s="71"/>
      <c r="C1151" s="71"/>
      <c r="E1151" s="71"/>
      <c r="F1151" s="71"/>
      <c r="N1151" s="71"/>
      <c r="O1151" s="71"/>
      <c r="P1151" s="71"/>
      <c r="Q1151" s="71"/>
      <c r="R1151" s="71"/>
      <c r="U1151" s="71"/>
      <c r="V1151" s="71"/>
    </row>
    <row r="1152">
      <c r="A1152" s="71"/>
      <c r="B1152" s="71"/>
      <c r="C1152" s="71"/>
      <c r="D1152" s="71"/>
      <c r="E1152" s="71"/>
      <c r="F1152" s="71"/>
      <c r="M1152" s="71"/>
      <c r="N1152" s="71"/>
      <c r="Q1152" s="71"/>
      <c r="S1152" s="71"/>
      <c r="T1152" s="71"/>
      <c r="U1152" s="71"/>
      <c r="V1152" s="71"/>
      <c r="W1152" s="71"/>
      <c r="X1152" s="71"/>
      <c r="Y1152" s="71"/>
    </row>
    <row r="1153">
      <c r="A1153" s="71"/>
      <c r="B1153" s="71"/>
      <c r="C1153" s="71"/>
      <c r="D1153" s="71"/>
      <c r="E1153" s="71"/>
      <c r="F1153" s="71"/>
      <c r="M1153" s="71"/>
      <c r="N1153" s="71"/>
      <c r="O1153" s="71"/>
      <c r="P1153" s="71"/>
      <c r="Q1153" s="71"/>
      <c r="R1153" s="71"/>
      <c r="S1153" s="71"/>
      <c r="T1153" s="71"/>
      <c r="U1153" s="71"/>
      <c r="V1153" s="71"/>
      <c r="W1153" s="71"/>
      <c r="X1153" s="71"/>
      <c r="Y1153" s="71"/>
    </row>
    <row r="1154">
      <c r="A1154" s="71"/>
      <c r="B1154" s="71"/>
      <c r="C1154" s="71"/>
      <c r="D1154" s="71"/>
      <c r="E1154" s="71"/>
      <c r="F1154" s="71"/>
      <c r="N1154" s="71"/>
      <c r="O1154" s="71"/>
      <c r="P1154" s="71"/>
      <c r="Q1154" s="71"/>
      <c r="R1154" s="71"/>
      <c r="U1154" s="71"/>
      <c r="V1154" s="71"/>
    </row>
    <row r="1155">
      <c r="A1155" s="71"/>
      <c r="B1155" s="71"/>
      <c r="C1155" s="71"/>
      <c r="D1155" s="71"/>
      <c r="E1155" s="71"/>
      <c r="F1155" s="71"/>
      <c r="M1155" s="71"/>
      <c r="N1155" s="71"/>
      <c r="O1155" s="71"/>
      <c r="P1155" s="71"/>
      <c r="Q1155" s="71"/>
      <c r="R1155" s="71"/>
      <c r="S1155" s="71"/>
      <c r="T1155" s="71"/>
      <c r="U1155" s="71"/>
      <c r="V1155" s="71"/>
      <c r="W1155" s="71"/>
      <c r="X1155" s="71"/>
      <c r="Y1155" s="71"/>
    </row>
    <row r="1156">
      <c r="A1156" s="71"/>
      <c r="B1156" s="71"/>
      <c r="C1156" s="71"/>
      <c r="E1156" s="71"/>
      <c r="F1156" s="71"/>
      <c r="M1156" s="71"/>
      <c r="N1156" s="71"/>
      <c r="O1156" s="71"/>
      <c r="P1156" s="71"/>
      <c r="Q1156" s="71"/>
      <c r="R1156" s="71"/>
      <c r="S1156" s="71"/>
      <c r="T1156" s="71"/>
      <c r="U1156" s="71"/>
      <c r="V1156" s="71"/>
      <c r="W1156" s="71"/>
      <c r="X1156" s="71"/>
      <c r="Y1156" s="71"/>
    </row>
    <row r="1157">
      <c r="A1157" s="71"/>
      <c r="B1157" s="71"/>
      <c r="C1157" s="71"/>
      <c r="D1157" s="71"/>
      <c r="E1157" s="71"/>
      <c r="F1157" s="71"/>
      <c r="N1157" s="71"/>
      <c r="O1157" s="71"/>
      <c r="P1157" s="71"/>
      <c r="Q1157" s="71"/>
      <c r="R1157" s="71"/>
      <c r="U1157" s="71"/>
      <c r="V1157" s="71"/>
    </row>
    <row r="1158">
      <c r="A1158" s="71"/>
      <c r="B1158" s="71"/>
      <c r="C1158" s="71"/>
      <c r="D1158" s="71"/>
      <c r="E1158" s="71"/>
      <c r="F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71"/>
      <c r="W1158" s="71"/>
      <c r="X1158" s="71"/>
      <c r="Y1158" s="71"/>
    </row>
    <row r="1159">
      <c r="A1159" s="71"/>
      <c r="B1159" s="71"/>
      <c r="C1159" s="71"/>
      <c r="D1159" s="71"/>
      <c r="E1159" s="71"/>
      <c r="F1159" s="71"/>
      <c r="M1159" s="71"/>
      <c r="N1159" s="71"/>
      <c r="Q1159" s="71"/>
      <c r="S1159" s="71"/>
      <c r="T1159" s="71"/>
      <c r="U1159" s="71"/>
      <c r="V1159" s="71"/>
      <c r="W1159" s="71"/>
      <c r="X1159" s="71"/>
      <c r="Y1159" s="71"/>
    </row>
    <row r="1160">
      <c r="A1160" s="71"/>
      <c r="B1160" s="71"/>
      <c r="C1160" s="71"/>
      <c r="D1160" s="71"/>
      <c r="E1160" s="71"/>
      <c r="F1160" s="71"/>
      <c r="N1160" s="71"/>
      <c r="O1160" s="71"/>
      <c r="P1160" s="71"/>
      <c r="Q1160" s="71"/>
      <c r="R1160" s="71"/>
      <c r="U1160" s="71"/>
      <c r="V1160" s="71"/>
    </row>
    <row r="1161">
      <c r="A1161" s="71"/>
      <c r="B1161" s="71"/>
      <c r="C1161" s="71"/>
      <c r="D1161" s="71"/>
      <c r="E1161" s="71"/>
      <c r="F1161" s="71"/>
      <c r="M1161" s="71"/>
      <c r="N1161" s="71"/>
      <c r="O1161" s="71"/>
      <c r="P1161" s="71"/>
      <c r="Q1161" s="71"/>
      <c r="R1161" s="71"/>
      <c r="S1161" s="71"/>
      <c r="T1161" s="71"/>
      <c r="U1161" s="71"/>
      <c r="V1161" s="71"/>
      <c r="W1161" s="71"/>
      <c r="X1161" s="71"/>
      <c r="Y1161" s="71"/>
    </row>
    <row r="1162">
      <c r="A1162" s="71"/>
      <c r="B1162" s="71"/>
      <c r="C1162" s="71"/>
      <c r="D1162" s="71"/>
      <c r="E1162" s="71"/>
      <c r="F1162" s="71"/>
      <c r="M1162" s="71"/>
      <c r="N1162" s="71"/>
      <c r="O1162" s="71"/>
      <c r="P1162" s="71"/>
      <c r="Q1162" s="71"/>
      <c r="R1162" s="71"/>
      <c r="T1162" s="71"/>
      <c r="U1162" s="71"/>
      <c r="V1162" s="71"/>
      <c r="W1162" s="71"/>
      <c r="X1162" s="71"/>
    </row>
    <row r="1163">
      <c r="A1163" s="71"/>
      <c r="B1163" s="71"/>
      <c r="C1163" s="71"/>
      <c r="E1163" s="71"/>
      <c r="F1163" s="71"/>
      <c r="M1163" s="71"/>
      <c r="N1163" s="71"/>
      <c r="O1163" s="71"/>
      <c r="P1163" s="71"/>
      <c r="Q1163" s="71"/>
      <c r="R1163" s="71"/>
      <c r="S1163" s="71"/>
      <c r="T1163" s="71"/>
      <c r="U1163" s="71"/>
      <c r="V1163" s="71"/>
      <c r="W1163" s="71"/>
    </row>
    <row r="1164">
      <c r="A1164" s="71"/>
      <c r="B1164" s="71"/>
      <c r="C1164" s="71"/>
      <c r="D1164" s="71"/>
      <c r="E1164" s="71"/>
      <c r="F1164" s="71"/>
      <c r="N1164" s="71"/>
      <c r="O1164" s="71"/>
      <c r="P1164" s="71"/>
      <c r="Q1164" s="71"/>
      <c r="R1164" s="71"/>
      <c r="U1164" s="71"/>
      <c r="V1164" s="71"/>
    </row>
    <row r="1165">
      <c r="A1165" s="71"/>
      <c r="B1165" s="71"/>
      <c r="C1165" s="71"/>
      <c r="D1165" s="71"/>
      <c r="E1165" s="71"/>
      <c r="F1165" s="71"/>
      <c r="M1165" s="71"/>
      <c r="N1165" s="71"/>
      <c r="Q1165" s="71"/>
      <c r="S1165" s="71"/>
      <c r="T1165" s="71"/>
      <c r="U1165" s="71"/>
      <c r="V1165" s="71"/>
      <c r="W1165" s="71"/>
      <c r="X1165" s="71"/>
      <c r="Y1165" s="71"/>
    </row>
    <row r="1166">
      <c r="A1166" s="71"/>
      <c r="B1166" s="71"/>
      <c r="C1166" s="71"/>
      <c r="D1166" s="71"/>
      <c r="E1166" s="71"/>
      <c r="F1166" s="71"/>
      <c r="M1166" s="71"/>
      <c r="N1166" s="71"/>
      <c r="O1166" s="71"/>
      <c r="P1166" s="71"/>
      <c r="Q1166" s="71"/>
      <c r="R1166" s="71"/>
      <c r="T1166" s="71"/>
      <c r="U1166" s="71"/>
      <c r="V1166" s="71"/>
      <c r="W1166" s="71"/>
      <c r="X1166" s="71"/>
    </row>
    <row r="1167">
      <c r="A1167" s="71"/>
      <c r="B1167" s="71"/>
      <c r="C1167" s="71"/>
      <c r="E1167" s="71"/>
      <c r="F1167" s="71"/>
      <c r="M1167" s="71"/>
      <c r="N1167" s="71"/>
      <c r="O1167" s="71"/>
      <c r="P1167" s="71"/>
      <c r="Q1167" s="71"/>
      <c r="R1167" s="71"/>
      <c r="T1167" s="71"/>
      <c r="U1167" s="71"/>
      <c r="V1167" s="71"/>
      <c r="W1167" s="71"/>
    </row>
    <row r="1168">
      <c r="A1168" s="71"/>
      <c r="B1168" s="71"/>
      <c r="C1168" s="71"/>
      <c r="D1168" s="71"/>
      <c r="E1168" s="71"/>
      <c r="F1168" s="71"/>
      <c r="M1168" s="71"/>
      <c r="N1168" s="71"/>
      <c r="Q1168" s="71"/>
      <c r="S1168" s="71"/>
      <c r="T1168" s="71"/>
      <c r="U1168" s="71"/>
      <c r="V1168" s="71"/>
      <c r="W1168" s="71"/>
      <c r="X1168" s="71"/>
      <c r="Y1168" s="71"/>
    </row>
    <row r="1169">
      <c r="A1169" s="71"/>
      <c r="B1169" s="71"/>
      <c r="C1169" s="71"/>
      <c r="E1169" s="71"/>
      <c r="F1169" s="71"/>
      <c r="M1169" s="71"/>
      <c r="N1169" s="71"/>
      <c r="Q1169" s="71"/>
      <c r="T1169" s="71"/>
      <c r="U1169" s="71"/>
      <c r="V1169" s="71"/>
      <c r="W1169" s="71"/>
      <c r="X1169" s="71"/>
    </row>
    <row r="1170">
      <c r="A1170" s="71"/>
      <c r="B1170" s="71"/>
      <c r="C1170" s="71"/>
      <c r="E1170" s="71"/>
      <c r="F1170" s="71"/>
      <c r="N1170" s="71"/>
      <c r="O1170" s="71"/>
      <c r="P1170" s="71"/>
      <c r="Q1170" s="71"/>
      <c r="R1170" s="71"/>
      <c r="U1170" s="71"/>
      <c r="V1170" s="71"/>
    </row>
    <row r="1171">
      <c r="A1171" s="71"/>
      <c r="B1171" s="71"/>
      <c r="C1171" s="71"/>
      <c r="D1171" s="71"/>
      <c r="E1171" s="71"/>
      <c r="F1171" s="71"/>
      <c r="M1171" s="71"/>
      <c r="N1171" s="71"/>
      <c r="O1171" s="71"/>
      <c r="P1171" s="71"/>
      <c r="Q1171" s="71"/>
      <c r="R1171" s="71"/>
      <c r="S1171" s="71"/>
      <c r="T1171" s="71"/>
      <c r="U1171" s="71"/>
      <c r="V1171" s="71"/>
      <c r="W1171" s="71"/>
      <c r="X1171" s="71"/>
      <c r="Y1171" s="71"/>
    </row>
    <row r="1172">
      <c r="A1172" s="71"/>
      <c r="B1172" s="71"/>
      <c r="C1172" s="71"/>
      <c r="D1172" s="71"/>
      <c r="E1172" s="71"/>
      <c r="F1172" s="71"/>
      <c r="M1172" s="71"/>
      <c r="N1172" s="71"/>
      <c r="Q1172" s="71"/>
      <c r="S1172" s="71"/>
      <c r="T1172" s="71"/>
      <c r="U1172" s="71"/>
      <c r="V1172" s="71"/>
      <c r="W1172" s="71"/>
      <c r="X1172" s="71"/>
      <c r="Y1172" s="71"/>
    </row>
    <row r="1173">
      <c r="A1173" s="71"/>
      <c r="B1173" s="71"/>
      <c r="C1173" s="71"/>
      <c r="F1173" s="71"/>
      <c r="M1173" s="71"/>
      <c r="N1173" s="71"/>
      <c r="O1173" s="71"/>
      <c r="P1173" s="71"/>
      <c r="Q1173" s="71"/>
      <c r="R1173" s="71"/>
      <c r="S1173" s="71"/>
      <c r="T1173" s="71"/>
      <c r="U1173" s="71"/>
      <c r="V1173" s="71"/>
      <c r="W1173" s="71"/>
    </row>
    <row r="1174">
      <c r="A1174" s="71"/>
      <c r="B1174" s="71"/>
      <c r="C1174" s="71"/>
      <c r="D1174" s="71"/>
      <c r="F1174" s="71"/>
      <c r="M1174" s="71"/>
      <c r="N1174" s="71"/>
      <c r="O1174" s="71"/>
      <c r="P1174" s="71"/>
      <c r="Q1174" s="71"/>
      <c r="R1174" s="71"/>
      <c r="S1174" s="71"/>
      <c r="T1174" s="71"/>
      <c r="U1174" s="71"/>
      <c r="V1174" s="71"/>
      <c r="W1174" s="71"/>
    </row>
    <row r="1175">
      <c r="A1175" s="71"/>
      <c r="B1175" s="71"/>
      <c r="C1175" s="71"/>
      <c r="D1175" s="71"/>
      <c r="E1175" s="71"/>
      <c r="F1175" s="71"/>
      <c r="M1175" s="71"/>
      <c r="N1175" s="71"/>
      <c r="O1175" s="71"/>
      <c r="P1175" s="71"/>
      <c r="Q1175" s="71"/>
      <c r="R1175" s="71"/>
      <c r="T1175" s="71"/>
      <c r="U1175" s="71"/>
      <c r="V1175" s="71"/>
      <c r="W1175" s="71"/>
    </row>
    <row r="1176">
      <c r="A1176" s="71"/>
      <c r="B1176" s="71"/>
      <c r="C1176" s="71"/>
      <c r="E1176" s="71"/>
      <c r="F1176" s="71"/>
      <c r="M1176" s="71"/>
      <c r="N1176" s="71"/>
      <c r="Q1176" s="71"/>
      <c r="T1176" s="71"/>
      <c r="U1176" s="71"/>
      <c r="V1176" s="71"/>
      <c r="W1176" s="71"/>
      <c r="X1176" s="71"/>
      <c r="Y1176" s="71"/>
    </row>
    <row r="1177">
      <c r="A1177" s="71"/>
      <c r="B1177" s="71"/>
      <c r="C1177" s="71"/>
      <c r="D1177" s="71"/>
      <c r="F1177" s="71"/>
      <c r="M1177" s="71"/>
      <c r="N1177" s="71"/>
      <c r="Q1177" s="71"/>
      <c r="S1177" s="71"/>
      <c r="T1177" s="71"/>
      <c r="U1177" s="71"/>
      <c r="V1177" s="71"/>
      <c r="W1177" s="71"/>
      <c r="X1177" s="71"/>
    </row>
    <row r="1178">
      <c r="A1178" s="71"/>
      <c r="B1178" s="71"/>
      <c r="C1178" s="71"/>
      <c r="F1178" s="71"/>
      <c r="M1178" s="71"/>
      <c r="O1178" s="71"/>
      <c r="P1178" s="71"/>
      <c r="Q1178" s="71"/>
      <c r="R1178" s="71"/>
      <c r="T1178" s="71"/>
      <c r="U1178" s="71"/>
      <c r="V1178" s="71"/>
      <c r="W1178" s="71"/>
    </row>
    <row r="1179">
      <c r="A1179" s="71"/>
      <c r="B1179" s="71"/>
      <c r="C1179" s="71"/>
      <c r="D1179" s="71"/>
      <c r="F1179" s="71"/>
      <c r="M1179" s="71"/>
      <c r="O1179" s="71"/>
      <c r="P1179" s="71"/>
      <c r="Q1179" s="71"/>
      <c r="R1179" s="71"/>
      <c r="T1179" s="71"/>
      <c r="U1179" s="71"/>
      <c r="V1179" s="71"/>
      <c r="W1179" s="71"/>
    </row>
    <row r="1180">
      <c r="A1180" s="71"/>
      <c r="B1180" s="71"/>
      <c r="C1180" s="71"/>
      <c r="E1180" s="71"/>
      <c r="F1180" s="71"/>
      <c r="M1180" s="71"/>
      <c r="N1180" s="71"/>
      <c r="O1180" s="71"/>
      <c r="P1180" s="71"/>
      <c r="Q1180" s="71"/>
      <c r="R1180" s="71"/>
      <c r="T1180" s="71"/>
      <c r="U1180" s="71"/>
      <c r="V1180" s="71"/>
      <c r="W1180" s="71"/>
      <c r="X1180" s="71"/>
    </row>
    <row r="1181">
      <c r="A1181" s="71"/>
      <c r="B1181" s="71"/>
      <c r="C1181" s="71"/>
      <c r="D1181" s="71"/>
      <c r="E1181" s="71"/>
      <c r="F1181" s="71"/>
      <c r="M1181" s="71"/>
      <c r="N1181" s="71"/>
      <c r="O1181" s="71"/>
      <c r="P1181" s="71"/>
      <c r="Q1181" s="71"/>
      <c r="R1181" s="71"/>
      <c r="S1181" s="71"/>
      <c r="T1181" s="71"/>
      <c r="U1181" s="71"/>
      <c r="V1181" s="71"/>
      <c r="W1181" s="71"/>
      <c r="X1181" s="71"/>
      <c r="Y1181" s="71"/>
    </row>
    <row r="1182">
      <c r="A1182" s="71"/>
      <c r="B1182" s="71"/>
      <c r="C1182" s="71"/>
      <c r="D1182" s="71"/>
      <c r="E1182" s="71"/>
      <c r="F1182" s="71"/>
      <c r="M1182" s="71"/>
      <c r="N1182" s="71"/>
      <c r="Q1182" s="71"/>
      <c r="S1182" s="71"/>
      <c r="T1182" s="71"/>
      <c r="U1182" s="71"/>
      <c r="V1182" s="71"/>
      <c r="W1182" s="71"/>
      <c r="X1182" s="71"/>
      <c r="Y1182" s="71"/>
    </row>
    <row r="1183">
      <c r="A1183" s="71"/>
      <c r="B1183" s="71"/>
      <c r="C1183" s="71"/>
      <c r="D1183" s="71"/>
      <c r="E1183" s="71"/>
      <c r="F1183" s="71"/>
      <c r="M1183" s="71"/>
      <c r="N1183" s="71"/>
      <c r="Q1183" s="71"/>
      <c r="S1183" s="71"/>
      <c r="T1183" s="71"/>
      <c r="U1183" s="71"/>
      <c r="V1183" s="71"/>
      <c r="W1183" s="71"/>
      <c r="X1183" s="71"/>
    </row>
    <row r="1184">
      <c r="A1184" s="71"/>
      <c r="B1184" s="71"/>
      <c r="C1184" s="71"/>
      <c r="D1184" s="71"/>
      <c r="E1184" s="71"/>
      <c r="F1184" s="71"/>
      <c r="M1184" s="71"/>
      <c r="N1184" s="71"/>
      <c r="O1184" s="71"/>
      <c r="P1184" s="71"/>
      <c r="Q1184" s="71"/>
      <c r="R1184" s="71"/>
      <c r="T1184" s="71"/>
      <c r="U1184" s="71"/>
      <c r="V1184" s="71"/>
      <c r="W1184" s="71"/>
      <c r="X1184" s="71"/>
    </row>
    <row r="1185">
      <c r="A1185" s="71"/>
      <c r="B1185" s="71"/>
      <c r="C1185" s="71"/>
      <c r="D1185" s="71"/>
      <c r="E1185" s="71"/>
      <c r="F1185" s="71"/>
      <c r="M1185" s="71"/>
      <c r="N1185" s="71"/>
      <c r="O1185" s="71"/>
      <c r="P1185" s="71"/>
      <c r="Q1185" s="71"/>
      <c r="R1185" s="71"/>
      <c r="T1185" s="71"/>
      <c r="U1185" s="71"/>
      <c r="V1185" s="71"/>
      <c r="W1185" s="71"/>
      <c r="X1185" s="71"/>
      <c r="Y1185" s="71"/>
    </row>
    <row r="1186">
      <c r="A1186" s="71"/>
      <c r="B1186" s="71"/>
      <c r="C1186" s="71"/>
      <c r="D1186" s="71"/>
      <c r="F1186" s="71"/>
      <c r="M1186" s="71"/>
      <c r="O1186" s="71"/>
      <c r="P1186" s="71"/>
      <c r="Q1186" s="71"/>
      <c r="R1186" s="71"/>
      <c r="S1186" s="71"/>
      <c r="T1186" s="71"/>
      <c r="U1186" s="71"/>
      <c r="V1186" s="71"/>
      <c r="W1186" s="71"/>
      <c r="X1186" s="71"/>
    </row>
    <row r="1187">
      <c r="A1187" s="71"/>
      <c r="B1187" s="71"/>
      <c r="C1187" s="71"/>
      <c r="D1187" s="71"/>
      <c r="E1187" s="71"/>
      <c r="F1187" s="71"/>
      <c r="M1187" s="71"/>
      <c r="N1187" s="71"/>
      <c r="O1187" s="71"/>
      <c r="P1187" s="71"/>
      <c r="Q1187" s="71"/>
      <c r="R1187" s="71"/>
      <c r="T1187" s="71"/>
      <c r="U1187" s="71"/>
      <c r="V1187" s="71"/>
      <c r="W1187" s="71"/>
    </row>
    <row r="1188">
      <c r="A1188" s="71"/>
      <c r="B1188" s="71"/>
      <c r="C1188" s="71"/>
      <c r="D1188" s="71"/>
      <c r="E1188" s="71"/>
      <c r="F1188" s="71"/>
      <c r="M1188" s="71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</row>
    <row r="1189">
      <c r="A1189" s="71"/>
      <c r="B1189" s="71"/>
      <c r="C1189" s="71"/>
      <c r="E1189" s="71"/>
      <c r="F1189" s="71"/>
      <c r="M1189" s="71"/>
      <c r="N1189" s="71"/>
      <c r="O1189" s="71"/>
      <c r="P1189" s="71"/>
      <c r="Q1189" s="71"/>
      <c r="R1189" s="71"/>
      <c r="T1189" s="71"/>
      <c r="U1189" s="71"/>
      <c r="V1189" s="71"/>
      <c r="W1189" s="71"/>
      <c r="X1189" s="71"/>
    </row>
    <row r="1190">
      <c r="A1190" s="71"/>
      <c r="B1190" s="71"/>
      <c r="C1190" s="71"/>
      <c r="D1190" s="71"/>
      <c r="E1190" s="71"/>
      <c r="F1190" s="71"/>
      <c r="M1190" s="71"/>
      <c r="O1190" s="71"/>
      <c r="P1190" s="71"/>
      <c r="Q1190" s="71"/>
      <c r="R1190" s="71"/>
      <c r="S1190" s="71"/>
      <c r="T1190" s="71"/>
      <c r="U1190" s="71"/>
      <c r="V1190" s="71"/>
      <c r="W1190" s="71"/>
      <c r="X1190" s="71"/>
      <c r="Y1190" s="71"/>
    </row>
    <row r="1191">
      <c r="A1191" s="71"/>
      <c r="B1191" s="71"/>
      <c r="C1191" s="71"/>
      <c r="D1191" s="71"/>
      <c r="E1191" s="71"/>
      <c r="F1191" s="71"/>
      <c r="M1191" s="71"/>
      <c r="N1191" s="71"/>
      <c r="Q1191" s="71"/>
      <c r="S1191" s="71"/>
      <c r="T1191" s="71"/>
      <c r="U1191" s="71"/>
      <c r="V1191" s="71"/>
      <c r="W1191" s="71"/>
      <c r="X1191" s="71"/>
      <c r="Y1191" s="71"/>
    </row>
    <row r="1192">
      <c r="A1192" s="71"/>
      <c r="B1192" s="71"/>
      <c r="C1192" s="71"/>
      <c r="D1192" s="71"/>
      <c r="E1192" s="71"/>
      <c r="F1192" s="71"/>
      <c r="M1192" s="71"/>
      <c r="N1192" s="71"/>
      <c r="O1192" s="71"/>
      <c r="P1192" s="71"/>
      <c r="Q1192" s="71"/>
      <c r="R1192" s="71"/>
      <c r="S1192" s="71"/>
      <c r="T1192" s="71"/>
      <c r="U1192" s="71"/>
      <c r="V1192" s="71"/>
      <c r="W1192" s="71"/>
      <c r="X1192" s="71"/>
    </row>
    <row r="1193">
      <c r="A1193" s="71"/>
      <c r="B1193" s="71"/>
      <c r="C1193" s="71"/>
      <c r="D1193" s="71"/>
      <c r="E1193" s="71"/>
      <c r="F1193" s="71"/>
      <c r="M1193" s="71"/>
      <c r="N1193" s="71"/>
      <c r="O1193" s="71"/>
      <c r="P1193" s="71"/>
      <c r="Q1193" s="71"/>
      <c r="R1193" s="71"/>
      <c r="T1193" s="71"/>
      <c r="U1193" s="71"/>
      <c r="V1193" s="71"/>
      <c r="W1193" s="71"/>
      <c r="X1193" s="71"/>
    </row>
    <row r="1194">
      <c r="A1194" s="71"/>
      <c r="B1194" s="71"/>
      <c r="C1194" s="71"/>
      <c r="D1194" s="71"/>
      <c r="E1194" s="71"/>
      <c r="F1194" s="71"/>
      <c r="N1194" s="71"/>
      <c r="O1194" s="71"/>
      <c r="P1194" s="71"/>
      <c r="Q1194" s="71"/>
      <c r="R1194" s="71"/>
      <c r="U1194" s="71"/>
      <c r="V1194" s="71"/>
    </row>
    <row r="1195">
      <c r="A1195" s="71"/>
      <c r="B1195" s="71"/>
      <c r="C1195" s="71"/>
      <c r="D1195" s="71"/>
      <c r="F1195" s="71"/>
      <c r="O1195" s="71"/>
      <c r="P1195" s="71"/>
      <c r="Q1195" s="71"/>
      <c r="R1195" s="71"/>
      <c r="U1195" s="71"/>
      <c r="V1195" s="71"/>
    </row>
    <row r="1196">
      <c r="A1196" s="71"/>
      <c r="B1196" s="71"/>
      <c r="C1196" s="71"/>
      <c r="E1196" s="71"/>
      <c r="F1196" s="71"/>
      <c r="M1196" s="71"/>
      <c r="N1196" s="71"/>
      <c r="Q1196" s="71"/>
      <c r="T1196" s="71"/>
      <c r="U1196" s="71"/>
      <c r="V1196" s="71"/>
      <c r="W1196" s="71"/>
      <c r="X1196" s="71"/>
    </row>
    <row r="1197">
      <c r="A1197" s="71"/>
      <c r="B1197" s="71"/>
      <c r="C1197" s="71"/>
      <c r="D1197" s="71"/>
      <c r="F1197" s="71"/>
      <c r="O1197" s="71"/>
      <c r="P1197" s="71"/>
      <c r="Q1197" s="71"/>
      <c r="R1197" s="71"/>
      <c r="U1197" s="71"/>
      <c r="V1197" s="71"/>
    </row>
    <row r="1198">
      <c r="A1198" s="71"/>
      <c r="B1198" s="71"/>
      <c r="C1198" s="71"/>
      <c r="D1198" s="71"/>
      <c r="E1198" s="71"/>
      <c r="F1198" s="71"/>
      <c r="M1198" s="71"/>
      <c r="N1198" s="71"/>
      <c r="Q1198" s="71"/>
      <c r="S1198" s="71"/>
      <c r="T1198" s="71"/>
      <c r="U1198" s="71"/>
      <c r="V1198" s="71"/>
      <c r="W1198" s="71"/>
      <c r="X1198" s="71"/>
      <c r="Y1198" s="71"/>
    </row>
    <row r="1199">
      <c r="A1199" s="71"/>
      <c r="B1199" s="71"/>
      <c r="C1199" s="71"/>
      <c r="D1199" s="71"/>
      <c r="E1199" s="71"/>
      <c r="F1199" s="71"/>
      <c r="M1199" s="71"/>
      <c r="N1199" s="71"/>
      <c r="Q1199" s="71"/>
      <c r="S1199" s="71"/>
      <c r="T1199" s="71"/>
      <c r="U1199" s="71"/>
      <c r="V1199" s="71"/>
      <c r="W1199" s="71"/>
      <c r="X1199" s="71"/>
      <c r="Y1199" s="71"/>
    </row>
    <row r="1200">
      <c r="A1200" s="71"/>
      <c r="B1200" s="71"/>
      <c r="C1200" s="71"/>
      <c r="D1200" s="71"/>
      <c r="F1200" s="71"/>
      <c r="O1200" s="71"/>
      <c r="P1200" s="71"/>
      <c r="Q1200" s="71"/>
      <c r="R1200" s="71"/>
      <c r="U1200" s="71"/>
      <c r="V1200" s="71"/>
    </row>
    <row r="1201">
      <c r="A1201" s="71"/>
      <c r="B1201" s="71"/>
      <c r="C1201" s="71"/>
      <c r="D1201" s="71"/>
      <c r="F1201" s="71"/>
      <c r="O1201" s="71"/>
      <c r="P1201" s="71"/>
      <c r="Q1201" s="71"/>
      <c r="R1201" s="71"/>
      <c r="U1201" s="71"/>
      <c r="V1201" s="71"/>
    </row>
    <row r="1202">
      <c r="A1202" s="71"/>
      <c r="B1202" s="71"/>
      <c r="C1202" s="71"/>
      <c r="D1202" s="71"/>
      <c r="E1202" s="71"/>
      <c r="F1202" s="71"/>
      <c r="N1202" s="71"/>
      <c r="O1202" s="71"/>
      <c r="P1202" s="71"/>
      <c r="Q1202" s="71"/>
      <c r="R1202" s="71"/>
      <c r="U1202" s="71"/>
      <c r="V1202" s="71"/>
    </row>
    <row r="1203">
      <c r="A1203" s="71"/>
      <c r="B1203" s="71"/>
      <c r="C1203" s="71"/>
      <c r="D1203" s="71"/>
      <c r="E1203" s="71"/>
      <c r="F1203" s="71"/>
      <c r="M1203" s="71"/>
      <c r="N1203" s="71"/>
      <c r="Q1203" s="71"/>
      <c r="S1203" s="71"/>
      <c r="T1203" s="71"/>
      <c r="U1203" s="71"/>
      <c r="V1203" s="71"/>
      <c r="W1203" s="71"/>
      <c r="X1203" s="71"/>
      <c r="Y1203" s="71"/>
    </row>
    <row r="1204">
      <c r="A1204" s="71"/>
      <c r="B1204" s="71"/>
      <c r="C1204" s="71"/>
      <c r="D1204" s="71"/>
      <c r="E1204" s="71"/>
      <c r="F1204" s="71"/>
      <c r="M1204" s="71"/>
      <c r="N1204" s="71"/>
      <c r="O1204" s="71"/>
      <c r="P1204" s="71"/>
      <c r="Q1204" s="71"/>
      <c r="R1204" s="71"/>
      <c r="S1204" s="71"/>
      <c r="T1204" s="71"/>
      <c r="U1204" s="71"/>
      <c r="V1204" s="71"/>
      <c r="W1204" s="71"/>
      <c r="X1204" s="71"/>
      <c r="Y1204" s="71"/>
    </row>
    <row r="1205">
      <c r="A1205" s="71"/>
      <c r="B1205" s="71"/>
      <c r="C1205" s="71"/>
      <c r="D1205" s="71"/>
      <c r="E1205" s="71"/>
      <c r="F1205" s="71"/>
      <c r="M1205" s="71"/>
      <c r="N1205" s="71"/>
      <c r="Q1205" s="71"/>
      <c r="S1205" s="71"/>
      <c r="T1205" s="71"/>
      <c r="U1205" s="71"/>
      <c r="V1205" s="71"/>
      <c r="W1205" s="71"/>
      <c r="X1205" s="71"/>
    </row>
    <row r="1206">
      <c r="A1206" s="71"/>
      <c r="B1206" s="71"/>
      <c r="C1206" s="71"/>
      <c r="D1206" s="71"/>
      <c r="E1206" s="71"/>
      <c r="F1206" s="71"/>
      <c r="M1206" s="71"/>
      <c r="N1206" s="71"/>
      <c r="O1206" s="71"/>
      <c r="P1206" s="71"/>
      <c r="Q1206" s="71"/>
      <c r="R1206" s="71"/>
      <c r="T1206" s="71"/>
      <c r="U1206" s="71"/>
      <c r="V1206" s="71"/>
      <c r="W1206" s="71"/>
    </row>
    <row r="1207">
      <c r="A1207" s="71"/>
      <c r="B1207" s="71"/>
      <c r="C1207" s="71"/>
      <c r="E1207" s="71"/>
      <c r="F1207" s="71"/>
      <c r="M1207" s="71"/>
      <c r="N1207" s="71"/>
      <c r="Q1207" s="71"/>
      <c r="T1207" s="71"/>
      <c r="U1207" s="71"/>
      <c r="V1207" s="71"/>
      <c r="W1207" s="71"/>
    </row>
    <row r="1208">
      <c r="A1208" s="71"/>
      <c r="B1208" s="71"/>
      <c r="C1208" s="71"/>
      <c r="D1208" s="71"/>
      <c r="E1208" s="71"/>
      <c r="F1208" s="71"/>
      <c r="M1208" s="71"/>
      <c r="N1208" s="71"/>
      <c r="O1208" s="71"/>
      <c r="P1208" s="71"/>
      <c r="Q1208" s="71"/>
      <c r="R1208" s="71"/>
      <c r="T1208" s="71"/>
      <c r="U1208" s="71"/>
      <c r="V1208" s="71"/>
      <c r="W1208" s="71"/>
      <c r="X1208" s="71"/>
    </row>
    <row r="1209">
      <c r="A1209" s="71"/>
      <c r="B1209" s="71"/>
      <c r="C1209" s="71"/>
      <c r="D1209" s="71"/>
      <c r="F1209" s="71"/>
      <c r="O1209" s="71"/>
      <c r="P1209" s="71"/>
      <c r="Q1209" s="71"/>
      <c r="R1209" s="71"/>
      <c r="U1209" s="71"/>
      <c r="V1209" s="71"/>
    </row>
    <row r="1210">
      <c r="A1210" s="71"/>
      <c r="B1210" s="71"/>
      <c r="C1210" s="71"/>
      <c r="D1210" s="71"/>
      <c r="F1210" s="71"/>
      <c r="M1210" s="71"/>
      <c r="O1210" s="71"/>
      <c r="P1210" s="71"/>
      <c r="Q1210" s="71"/>
      <c r="R1210" s="71"/>
      <c r="S1210" s="71"/>
      <c r="T1210" s="71"/>
      <c r="U1210" s="71"/>
      <c r="V1210" s="71"/>
      <c r="W1210" s="71"/>
    </row>
    <row r="1211">
      <c r="A1211" s="71"/>
      <c r="B1211" s="71"/>
      <c r="C1211" s="71"/>
      <c r="D1211" s="71"/>
      <c r="E1211" s="71"/>
      <c r="F1211" s="71"/>
      <c r="N1211" s="71"/>
      <c r="O1211" s="71"/>
      <c r="P1211" s="71"/>
      <c r="Q1211" s="71"/>
      <c r="R1211" s="71"/>
      <c r="U1211" s="71"/>
      <c r="V1211" s="71"/>
    </row>
    <row r="1212">
      <c r="A1212" s="71"/>
      <c r="B1212" s="71"/>
      <c r="C1212" s="71"/>
      <c r="D1212" s="71"/>
      <c r="E1212" s="71"/>
      <c r="F1212" s="71"/>
      <c r="M1212" s="71"/>
      <c r="N1212" s="71"/>
      <c r="Q1212" s="71"/>
      <c r="S1212" s="71"/>
      <c r="T1212" s="71"/>
      <c r="U1212" s="71"/>
      <c r="V1212" s="71"/>
      <c r="W1212" s="71"/>
      <c r="X1212" s="71"/>
      <c r="Y1212" s="71"/>
    </row>
    <row r="1213">
      <c r="A1213" s="71"/>
      <c r="B1213" s="71"/>
      <c r="C1213" s="71"/>
      <c r="D1213" s="71"/>
      <c r="E1213" s="71"/>
      <c r="F1213" s="71"/>
      <c r="M1213" s="71"/>
      <c r="N1213" s="71"/>
      <c r="Q1213" s="71"/>
      <c r="S1213" s="71"/>
      <c r="T1213" s="71"/>
      <c r="U1213" s="71"/>
      <c r="V1213" s="71"/>
      <c r="W1213" s="71"/>
      <c r="X1213" s="71"/>
      <c r="Y1213" s="71"/>
    </row>
    <row r="1214">
      <c r="A1214" s="71"/>
      <c r="B1214" s="71"/>
      <c r="C1214" s="71"/>
      <c r="D1214" s="71"/>
      <c r="E1214" s="71"/>
      <c r="F1214" s="71"/>
      <c r="M1214" s="71"/>
      <c r="N1214" s="71"/>
      <c r="Q1214" s="71"/>
      <c r="S1214" s="71"/>
      <c r="T1214" s="71"/>
      <c r="U1214" s="71"/>
      <c r="V1214" s="71"/>
      <c r="W1214" s="71"/>
      <c r="X1214" s="71"/>
      <c r="Y1214" s="71"/>
    </row>
    <row r="1215">
      <c r="A1215" s="71"/>
      <c r="B1215" s="71"/>
      <c r="C1215" s="71"/>
      <c r="D1215" s="71"/>
      <c r="E1215" s="71"/>
      <c r="F1215" s="71"/>
      <c r="M1215" s="71"/>
      <c r="N1215" s="71"/>
      <c r="Q1215" s="71"/>
      <c r="S1215" s="71"/>
      <c r="T1215" s="71"/>
      <c r="U1215" s="71"/>
      <c r="V1215" s="71"/>
      <c r="W1215" s="71"/>
      <c r="X1215" s="71"/>
      <c r="Y1215" s="71"/>
    </row>
    <row r="1216">
      <c r="A1216" s="71"/>
      <c r="B1216" s="71"/>
      <c r="C1216" s="71"/>
      <c r="D1216" s="71"/>
      <c r="E1216" s="71"/>
      <c r="F1216" s="71"/>
      <c r="M1216" s="71"/>
      <c r="N1216" s="71"/>
      <c r="Q1216" s="71"/>
      <c r="S1216" s="71"/>
      <c r="T1216" s="71"/>
      <c r="U1216" s="71"/>
      <c r="V1216" s="71"/>
      <c r="W1216" s="71"/>
      <c r="X1216" s="71"/>
      <c r="Y1216" s="71"/>
    </row>
    <row r="1217">
      <c r="A1217" s="71"/>
      <c r="B1217" s="71"/>
      <c r="C1217" s="71"/>
      <c r="D1217" s="71"/>
      <c r="E1217" s="71"/>
      <c r="F1217" s="71"/>
      <c r="M1217" s="71"/>
      <c r="N1217" s="71"/>
      <c r="O1217" s="71"/>
      <c r="P1217" s="71"/>
      <c r="Q1217" s="71"/>
      <c r="R1217" s="71"/>
      <c r="S1217" s="71"/>
      <c r="T1217" s="71"/>
      <c r="U1217" s="71"/>
      <c r="V1217" s="71"/>
      <c r="W1217" s="71"/>
    </row>
    <row r="1218">
      <c r="A1218" s="71"/>
      <c r="B1218" s="71"/>
      <c r="C1218" s="71"/>
      <c r="D1218" s="71"/>
      <c r="F1218" s="71"/>
      <c r="O1218" s="71"/>
      <c r="P1218" s="71"/>
      <c r="Q1218" s="71"/>
      <c r="R1218" s="71"/>
      <c r="U1218" s="71"/>
      <c r="V1218" s="71"/>
    </row>
    <row r="1219">
      <c r="A1219" s="71"/>
      <c r="B1219" s="71"/>
      <c r="C1219" s="71"/>
      <c r="D1219" s="71"/>
      <c r="E1219" s="71"/>
      <c r="F1219" s="71"/>
      <c r="M1219" s="71"/>
      <c r="N1219" s="71"/>
      <c r="Q1219" s="71"/>
      <c r="S1219" s="71"/>
      <c r="T1219" s="71"/>
      <c r="U1219" s="71"/>
      <c r="V1219" s="71"/>
      <c r="W1219" s="71"/>
      <c r="X1219" s="71"/>
      <c r="Y1219" s="71"/>
    </row>
    <row r="1220">
      <c r="A1220" s="71"/>
      <c r="B1220" s="71"/>
      <c r="C1220" s="71"/>
      <c r="E1220" s="71"/>
      <c r="F1220" s="71"/>
      <c r="M1220" s="71"/>
      <c r="N1220" s="71"/>
      <c r="O1220" s="71"/>
      <c r="P1220" s="71"/>
      <c r="Q1220" s="71"/>
      <c r="R1220" s="71"/>
      <c r="T1220" s="71"/>
      <c r="U1220" s="71"/>
      <c r="V1220" s="71"/>
      <c r="W1220" s="71"/>
      <c r="X1220" s="71"/>
    </row>
    <row r="1221">
      <c r="A1221" s="71"/>
      <c r="B1221" s="71"/>
      <c r="C1221" s="71"/>
      <c r="D1221" s="71"/>
      <c r="E1221" s="71"/>
      <c r="F1221" s="71"/>
      <c r="M1221" s="71"/>
      <c r="N1221" s="71"/>
      <c r="Q1221" s="71"/>
      <c r="S1221" s="71"/>
      <c r="T1221" s="71"/>
      <c r="U1221" s="71"/>
      <c r="V1221" s="71"/>
      <c r="W1221" s="71"/>
      <c r="X1221" s="71"/>
      <c r="Y1221" s="71"/>
    </row>
    <row r="1222">
      <c r="A1222" s="71"/>
      <c r="B1222" s="71"/>
      <c r="C1222" s="71"/>
      <c r="D1222" s="71"/>
      <c r="E1222" s="71"/>
      <c r="F1222" s="71"/>
      <c r="M1222" s="71"/>
      <c r="N1222" s="71"/>
      <c r="O1222" s="71"/>
      <c r="P1222" s="71"/>
      <c r="Q1222" s="71"/>
      <c r="R1222" s="71"/>
      <c r="S1222" s="71"/>
      <c r="T1222" s="71"/>
      <c r="U1222" s="71"/>
      <c r="V1222" s="71"/>
      <c r="W1222" s="71"/>
      <c r="X1222" s="71"/>
    </row>
    <row r="1223">
      <c r="A1223" s="71"/>
      <c r="B1223" s="71"/>
      <c r="C1223" s="71"/>
      <c r="D1223" s="71"/>
      <c r="E1223" s="71"/>
      <c r="F1223" s="71"/>
      <c r="M1223" s="71"/>
      <c r="N1223" s="71"/>
      <c r="Q1223" s="71"/>
      <c r="S1223" s="71"/>
      <c r="T1223" s="71"/>
      <c r="U1223" s="71"/>
      <c r="V1223" s="71"/>
      <c r="W1223" s="71"/>
      <c r="X1223" s="71"/>
      <c r="Y1223" s="71"/>
    </row>
    <row r="1224">
      <c r="A1224" s="71"/>
      <c r="B1224" s="71"/>
      <c r="C1224" s="71"/>
      <c r="D1224" s="71"/>
      <c r="E1224" s="71"/>
      <c r="F1224" s="71"/>
      <c r="M1224" s="71"/>
      <c r="N1224" s="71"/>
      <c r="Q1224" s="71"/>
      <c r="S1224" s="71"/>
      <c r="T1224" s="71"/>
      <c r="U1224" s="71"/>
      <c r="V1224" s="71"/>
      <c r="W1224" s="71"/>
      <c r="X1224" s="71"/>
      <c r="Y1224" s="71"/>
    </row>
    <row r="1225">
      <c r="A1225" s="71"/>
      <c r="B1225" s="71"/>
      <c r="C1225" s="71"/>
      <c r="D1225" s="71"/>
      <c r="E1225" s="71"/>
      <c r="F1225" s="71"/>
      <c r="M1225" s="71"/>
      <c r="N1225" s="71"/>
      <c r="Q1225" s="71"/>
      <c r="S1225" s="71"/>
      <c r="T1225" s="71"/>
      <c r="U1225" s="71"/>
      <c r="V1225" s="71"/>
      <c r="W1225" s="71"/>
      <c r="X1225" s="71"/>
      <c r="Y1225" s="71"/>
    </row>
    <row r="1226">
      <c r="A1226" s="71"/>
      <c r="B1226" s="71"/>
      <c r="C1226" s="71"/>
      <c r="E1226" s="71"/>
      <c r="F1226" s="71"/>
      <c r="M1226" s="71"/>
      <c r="N1226" s="71"/>
      <c r="Q1226" s="71"/>
      <c r="S1226" s="71"/>
      <c r="T1226" s="71"/>
      <c r="U1226" s="71"/>
      <c r="V1226" s="71"/>
      <c r="W1226" s="71"/>
    </row>
    <row r="1227">
      <c r="A1227" s="71"/>
      <c r="B1227" s="71"/>
      <c r="C1227" s="71"/>
      <c r="D1227" s="71"/>
      <c r="F1227" s="71"/>
      <c r="O1227" s="71"/>
      <c r="P1227" s="71"/>
      <c r="Q1227" s="71"/>
      <c r="R1227" s="71"/>
      <c r="U1227" s="71"/>
      <c r="V1227" s="71"/>
    </row>
    <row r="1228">
      <c r="A1228" s="71"/>
      <c r="B1228" s="71"/>
      <c r="C1228" s="71"/>
      <c r="D1228" s="71"/>
      <c r="E1228" s="71"/>
      <c r="F1228" s="71"/>
      <c r="M1228" s="71"/>
      <c r="N1228" s="71"/>
      <c r="Q1228" s="71"/>
      <c r="S1228" s="71"/>
      <c r="T1228" s="71"/>
      <c r="U1228" s="71"/>
      <c r="V1228" s="71"/>
      <c r="W1228" s="71"/>
      <c r="X1228" s="71"/>
      <c r="Y1228" s="71"/>
    </row>
    <row r="1229">
      <c r="A1229" s="71"/>
      <c r="B1229" s="71"/>
      <c r="C1229" s="71"/>
      <c r="E1229" s="71"/>
      <c r="F1229" s="71"/>
      <c r="M1229" s="71"/>
      <c r="N1229" s="71"/>
      <c r="Q1229" s="71"/>
      <c r="S1229" s="71"/>
      <c r="T1229" s="71"/>
      <c r="U1229" s="71"/>
      <c r="V1229" s="71"/>
      <c r="W1229" s="71"/>
      <c r="X1229" s="71"/>
    </row>
    <row r="1230">
      <c r="A1230" s="71"/>
      <c r="B1230" s="71"/>
      <c r="C1230" s="71"/>
      <c r="D1230" s="71"/>
      <c r="E1230" s="71"/>
      <c r="F1230" s="71"/>
      <c r="M1230" s="71"/>
      <c r="N1230" s="71"/>
      <c r="O1230" s="71"/>
      <c r="P1230" s="71"/>
      <c r="Q1230" s="71"/>
      <c r="R1230" s="71"/>
      <c r="S1230" s="71"/>
      <c r="T1230" s="71"/>
      <c r="U1230" s="71"/>
      <c r="V1230" s="71"/>
      <c r="W1230" s="71"/>
      <c r="X1230" s="71"/>
    </row>
    <row r="1231">
      <c r="A1231" s="71"/>
      <c r="B1231" s="71"/>
      <c r="C1231" s="71"/>
      <c r="D1231" s="71"/>
      <c r="F1231" s="71"/>
      <c r="O1231" s="71"/>
      <c r="P1231" s="71"/>
      <c r="Q1231" s="71"/>
      <c r="R1231" s="71"/>
      <c r="U1231" s="71"/>
      <c r="V1231" s="71"/>
    </row>
    <row r="1232">
      <c r="A1232" s="71"/>
      <c r="B1232" s="71"/>
      <c r="C1232" s="71"/>
      <c r="E1232" s="71"/>
      <c r="F1232" s="71"/>
      <c r="M1232" s="71"/>
      <c r="N1232" s="71"/>
      <c r="Q1232" s="71"/>
      <c r="T1232" s="71"/>
      <c r="U1232" s="71"/>
      <c r="V1232" s="71"/>
      <c r="W1232" s="71"/>
      <c r="X1232" s="71"/>
    </row>
    <row r="1233">
      <c r="A1233" s="71"/>
      <c r="B1233" s="71"/>
      <c r="C1233" s="71"/>
      <c r="D1233" s="71"/>
      <c r="E1233" s="71"/>
      <c r="F1233" s="71"/>
      <c r="M1233" s="71"/>
      <c r="N1233" s="71"/>
      <c r="Q1233" s="71"/>
      <c r="S1233" s="71"/>
      <c r="T1233" s="71"/>
      <c r="U1233" s="71"/>
      <c r="V1233" s="71"/>
      <c r="W1233" s="71"/>
      <c r="X1233" s="71"/>
      <c r="Y1233" s="71"/>
    </row>
    <row r="1234">
      <c r="A1234" s="71"/>
      <c r="B1234" s="71"/>
      <c r="C1234" s="71"/>
      <c r="D1234" s="71"/>
      <c r="E1234" s="71"/>
      <c r="F1234" s="71"/>
      <c r="M1234" s="71"/>
      <c r="N1234" s="71"/>
      <c r="O1234" s="71"/>
      <c r="P1234" s="71"/>
      <c r="Q1234" s="71"/>
      <c r="R1234" s="71"/>
      <c r="S1234" s="71"/>
      <c r="T1234" s="71"/>
      <c r="U1234" s="71"/>
      <c r="V1234" s="71"/>
      <c r="W1234" s="71"/>
    </row>
    <row r="1235">
      <c r="A1235" s="71"/>
      <c r="B1235" s="71"/>
      <c r="C1235" s="71"/>
      <c r="D1235" s="71"/>
      <c r="E1235" s="71"/>
      <c r="F1235" s="71"/>
      <c r="M1235" s="71"/>
      <c r="N1235" s="71"/>
      <c r="Q1235" s="71"/>
      <c r="S1235" s="71"/>
      <c r="T1235" s="71"/>
      <c r="U1235" s="71"/>
      <c r="V1235" s="71"/>
      <c r="W1235" s="71"/>
      <c r="X1235" s="71"/>
      <c r="Y1235" s="71"/>
    </row>
    <row r="1236">
      <c r="A1236" s="71"/>
      <c r="B1236" s="71"/>
      <c r="C1236" s="71"/>
      <c r="D1236" s="71"/>
      <c r="E1236" s="71"/>
      <c r="F1236" s="71"/>
      <c r="N1236" s="71"/>
      <c r="O1236" s="71"/>
      <c r="P1236" s="71"/>
      <c r="Q1236" s="71"/>
      <c r="R1236" s="71"/>
      <c r="U1236" s="71"/>
      <c r="V1236" s="71"/>
    </row>
    <row r="1237">
      <c r="A1237" s="71"/>
      <c r="B1237" s="71"/>
      <c r="C1237" s="71"/>
      <c r="D1237" s="71"/>
      <c r="E1237" s="71"/>
      <c r="F1237" s="71"/>
      <c r="M1237" s="71"/>
      <c r="N1237" s="71"/>
      <c r="O1237" s="71"/>
      <c r="P1237" s="71"/>
      <c r="Q1237" s="71"/>
      <c r="R1237" s="71"/>
      <c r="S1237" s="71"/>
      <c r="T1237" s="71"/>
      <c r="U1237" s="71"/>
      <c r="V1237" s="71"/>
      <c r="W1237" s="71"/>
      <c r="X1237" s="71"/>
      <c r="Y1237" s="71"/>
    </row>
    <row r="1238">
      <c r="A1238" s="71"/>
      <c r="B1238" s="71"/>
      <c r="C1238" s="71"/>
      <c r="D1238" s="71"/>
      <c r="E1238" s="71"/>
      <c r="F1238" s="71"/>
      <c r="M1238" s="71"/>
      <c r="N1238" s="71"/>
      <c r="Q1238" s="71"/>
      <c r="S1238" s="71"/>
      <c r="T1238" s="71"/>
      <c r="U1238" s="71"/>
      <c r="V1238" s="71"/>
      <c r="W1238" s="71"/>
      <c r="X1238" s="71"/>
      <c r="Y1238" s="71"/>
    </row>
    <row r="1239">
      <c r="A1239" s="71"/>
      <c r="B1239" s="71"/>
      <c r="C1239" s="71"/>
      <c r="D1239" s="71"/>
      <c r="F1239" s="71"/>
      <c r="O1239" s="71"/>
      <c r="P1239" s="71"/>
      <c r="Q1239" s="71"/>
      <c r="R1239" s="71"/>
      <c r="U1239" s="71"/>
      <c r="V1239" s="71"/>
    </row>
    <row r="1240">
      <c r="A1240" s="71"/>
      <c r="B1240" s="71"/>
      <c r="C1240" s="71"/>
      <c r="D1240" s="71"/>
      <c r="E1240" s="71"/>
      <c r="F1240" s="71"/>
      <c r="M1240" s="71"/>
      <c r="N1240" s="71"/>
      <c r="O1240" s="71"/>
      <c r="P1240" s="71"/>
      <c r="Q1240" s="71"/>
      <c r="R1240" s="71"/>
      <c r="S1240" s="71"/>
      <c r="T1240" s="71"/>
      <c r="U1240" s="71"/>
      <c r="V1240" s="71"/>
      <c r="W1240" s="71"/>
    </row>
    <row r="1241">
      <c r="A1241" s="71"/>
      <c r="B1241" s="71"/>
      <c r="C1241" s="71"/>
      <c r="D1241" s="71"/>
      <c r="E1241" s="71"/>
      <c r="F1241" s="71"/>
      <c r="M1241" s="71"/>
      <c r="N1241" s="71"/>
      <c r="Q1241" s="71"/>
      <c r="T1241" s="71"/>
      <c r="U1241" s="71"/>
      <c r="V1241" s="71"/>
      <c r="W1241" s="71"/>
      <c r="X1241" s="71"/>
    </row>
    <row r="1242">
      <c r="A1242" s="71"/>
      <c r="B1242" s="71"/>
      <c r="C1242" s="71"/>
      <c r="E1242" s="71"/>
      <c r="F1242" s="71"/>
      <c r="M1242" s="71"/>
      <c r="N1242" s="71"/>
      <c r="Q1242" s="71"/>
      <c r="T1242" s="71"/>
      <c r="U1242" s="71"/>
      <c r="V1242" s="71"/>
      <c r="W1242" s="71"/>
    </row>
    <row r="1243">
      <c r="A1243" s="71"/>
      <c r="B1243" s="71"/>
      <c r="C1243" s="71"/>
      <c r="D1243" s="71"/>
      <c r="E1243" s="71"/>
      <c r="F1243" s="71"/>
      <c r="M1243" s="71"/>
      <c r="N1243" s="71"/>
      <c r="O1243" s="71"/>
      <c r="P1243" s="71"/>
      <c r="Q1243" s="71"/>
      <c r="R1243" s="71"/>
      <c r="S1243" s="71"/>
      <c r="T1243" s="71"/>
      <c r="U1243" s="71"/>
      <c r="V1243" s="71"/>
      <c r="W1243" s="71"/>
      <c r="X1243" s="71"/>
      <c r="Y1243" s="71"/>
    </row>
    <row r="1244">
      <c r="A1244" s="71"/>
      <c r="B1244" s="71"/>
      <c r="C1244" s="71"/>
      <c r="D1244" s="71"/>
      <c r="E1244" s="71"/>
      <c r="F1244" s="71"/>
      <c r="M1244" s="71"/>
      <c r="N1244" s="71"/>
      <c r="O1244" s="71"/>
      <c r="P1244" s="71"/>
      <c r="Q1244" s="71"/>
      <c r="R1244" s="71"/>
      <c r="S1244" s="71"/>
      <c r="T1244" s="71"/>
      <c r="U1244" s="71"/>
      <c r="V1244" s="71"/>
      <c r="W1244" s="71"/>
      <c r="X1244" s="71"/>
      <c r="Y1244" s="71"/>
    </row>
    <row r="1245">
      <c r="A1245" s="71"/>
      <c r="B1245" s="71"/>
      <c r="C1245" s="71"/>
      <c r="E1245" s="71"/>
      <c r="F1245" s="71"/>
      <c r="M1245" s="71"/>
      <c r="N1245" s="71"/>
      <c r="O1245" s="71"/>
      <c r="P1245" s="71"/>
      <c r="Q1245" s="71"/>
      <c r="R1245" s="71"/>
      <c r="T1245" s="71"/>
      <c r="U1245" s="71"/>
      <c r="V1245" s="71"/>
      <c r="W1245" s="71"/>
      <c r="X1245" s="71"/>
    </row>
    <row r="1246">
      <c r="A1246" s="71"/>
      <c r="B1246" s="71"/>
      <c r="C1246" s="71"/>
      <c r="D1246" s="71"/>
      <c r="F1246" s="71"/>
      <c r="M1246" s="71"/>
      <c r="O1246" s="71"/>
      <c r="P1246" s="71"/>
      <c r="Q1246" s="71"/>
      <c r="R1246" s="71"/>
      <c r="S1246" s="71"/>
      <c r="T1246" s="71"/>
      <c r="U1246" s="71"/>
      <c r="V1246" s="71"/>
      <c r="W1246" s="71"/>
    </row>
    <row r="1247">
      <c r="A1247" s="71"/>
      <c r="B1247" s="71"/>
      <c r="C1247" s="71"/>
      <c r="D1247" s="71"/>
      <c r="E1247" s="71"/>
      <c r="F1247" s="71"/>
      <c r="M1247" s="71"/>
      <c r="N1247" s="71"/>
      <c r="Q1247" s="71"/>
      <c r="S1247" s="71"/>
      <c r="T1247" s="71"/>
      <c r="U1247" s="71"/>
      <c r="V1247" s="71"/>
      <c r="W1247" s="71"/>
      <c r="X1247" s="71"/>
      <c r="Y1247" s="71"/>
    </row>
    <row r="1248">
      <c r="A1248" s="71"/>
      <c r="B1248" s="71"/>
      <c r="C1248" s="71"/>
      <c r="D1248" s="71"/>
      <c r="F1248" s="71"/>
      <c r="M1248" s="71"/>
      <c r="O1248" s="71"/>
      <c r="P1248" s="71"/>
      <c r="Q1248" s="71"/>
      <c r="R1248" s="71"/>
      <c r="S1248" s="71"/>
      <c r="T1248" s="71"/>
      <c r="U1248" s="71"/>
      <c r="V1248" s="71"/>
      <c r="W1248" s="71"/>
    </row>
    <row r="1249">
      <c r="A1249" s="71"/>
      <c r="B1249" s="71"/>
      <c r="C1249" s="71"/>
      <c r="D1249" s="71"/>
      <c r="E1249" s="71"/>
      <c r="F1249" s="71"/>
      <c r="M1249" s="71"/>
      <c r="N1249" s="71"/>
      <c r="Q1249" s="71"/>
      <c r="S1249" s="71"/>
      <c r="T1249" s="71"/>
      <c r="U1249" s="71"/>
      <c r="V1249" s="71"/>
      <c r="W1249" s="71"/>
      <c r="X1249" s="71"/>
    </row>
    <row r="1250">
      <c r="A1250" s="71"/>
      <c r="B1250" s="71"/>
      <c r="C1250" s="71"/>
      <c r="D1250" s="71"/>
      <c r="E1250" s="71"/>
      <c r="F1250" s="71"/>
      <c r="M1250" s="71"/>
      <c r="N1250" s="71"/>
      <c r="Q1250" s="71"/>
      <c r="S1250" s="71"/>
      <c r="T1250" s="71"/>
      <c r="U1250" s="71"/>
      <c r="V1250" s="71"/>
      <c r="W1250" s="71"/>
      <c r="X1250" s="71"/>
      <c r="Y1250" s="71"/>
    </row>
    <row r="1251">
      <c r="A1251" s="71"/>
      <c r="B1251" s="71"/>
      <c r="C1251" s="71"/>
      <c r="D1251" s="71"/>
      <c r="E1251" s="71"/>
      <c r="F1251" s="71"/>
      <c r="M1251" s="71"/>
      <c r="N1251" s="71"/>
      <c r="Q1251" s="71"/>
      <c r="T1251" s="71"/>
      <c r="U1251" s="71"/>
      <c r="V1251" s="71"/>
      <c r="W1251" s="71"/>
      <c r="X1251" s="71"/>
    </row>
    <row r="1252">
      <c r="A1252" s="71"/>
      <c r="B1252" s="71"/>
      <c r="C1252" s="71"/>
      <c r="D1252" s="71"/>
      <c r="E1252" s="71"/>
      <c r="F1252" s="71"/>
      <c r="M1252" s="71"/>
      <c r="N1252" s="71"/>
      <c r="O1252" s="71"/>
      <c r="P1252" s="71"/>
      <c r="Q1252" s="71"/>
      <c r="R1252" s="71"/>
      <c r="S1252" s="71"/>
      <c r="T1252" s="71"/>
      <c r="U1252" s="71"/>
      <c r="V1252" s="71"/>
      <c r="W1252" s="71"/>
      <c r="X1252" s="71"/>
      <c r="Y1252" s="71"/>
    </row>
    <row r="1253">
      <c r="A1253" s="71"/>
      <c r="B1253" s="71"/>
      <c r="C1253" s="71"/>
      <c r="E1253" s="71"/>
      <c r="F1253" s="71"/>
      <c r="N1253" s="71"/>
      <c r="O1253" s="71"/>
      <c r="P1253" s="71"/>
      <c r="Q1253" s="71"/>
      <c r="R1253" s="71"/>
      <c r="U1253" s="71"/>
      <c r="V1253" s="71"/>
    </row>
    <row r="1254">
      <c r="A1254" s="71"/>
      <c r="B1254" s="71"/>
      <c r="C1254" s="71"/>
      <c r="E1254" s="71"/>
      <c r="F1254" s="71"/>
      <c r="M1254" s="71"/>
      <c r="N1254" s="71"/>
      <c r="Q1254" s="71"/>
      <c r="S1254" s="71"/>
      <c r="T1254" s="71"/>
      <c r="U1254" s="71"/>
      <c r="V1254" s="71"/>
      <c r="W1254" s="71"/>
      <c r="X1254" s="71"/>
    </row>
    <row r="1255">
      <c r="A1255" s="71"/>
      <c r="B1255" s="71"/>
      <c r="C1255" s="71"/>
      <c r="D1255" s="71"/>
      <c r="E1255" s="71"/>
      <c r="F1255" s="71"/>
      <c r="M1255" s="71"/>
      <c r="N1255" s="71"/>
      <c r="Q1255" s="71"/>
      <c r="S1255" s="71"/>
      <c r="T1255" s="71"/>
      <c r="U1255" s="71"/>
      <c r="V1255" s="71"/>
      <c r="W1255" s="71"/>
      <c r="X1255" s="71"/>
      <c r="Y1255" s="71"/>
    </row>
    <row r="1256">
      <c r="A1256" s="71"/>
      <c r="B1256" s="71"/>
      <c r="C1256" s="71"/>
      <c r="E1256" s="71"/>
      <c r="F1256" s="71"/>
      <c r="M1256" s="71"/>
      <c r="N1256" s="71"/>
      <c r="Q1256" s="71"/>
      <c r="S1256" s="71"/>
      <c r="T1256" s="71"/>
      <c r="U1256" s="71"/>
      <c r="V1256" s="71"/>
      <c r="W1256" s="71"/>
    </row>
    <row r="1257">
      <c r="A1257" s="71"/>
      <c r="B1257" s="71"/>
      <c r="C1257" s="71"/>
      <c r="D1257" s="71"/>
      <c r="F1257" s="71"/>
      <c r="M1257" s="71"/>
      <c r="O1257" s="71"/>
      <c r="P1257" s="71"/>
      <c r="Q1257" s="71"/>
      <c r="R1257" s="71"/>
      <c r="S1257" s="71"/>
      <c r="T1257" s="71"/>
      <c r="U1257" s="71"/>
      <c r="V1257" s="71"/>
      <c r="W1257" s="71"/>
    </row>
    <row r="1258">
      <c r="A1258" s="71"/>
      <c r="B1258" s="71"/>
      <c r="C1258" s="71"/>
      <c r="E1258" s="71"/>
      <c r="F1258" s="71"/>
      <c r="M1258" s="71"/>
      <c r="N1258" s="71"/>
      <c r="Q1258" s="71"/>
      <c r="S1258" s="71"/>
      <c r="T1258" s="71"/>
      <c r="U1258" s="71"/>
      <c r="V1258" s="71"/>
      <c r="W1258" s="71"/>
      <c r="X1258" s="71"/>
    </row>
    <row r="1259">
      <c r="A1259" s="71"/>
      <c r="B1259" s="71"/>
      <c r="C1259" s="71"/>
      <c r="D1259" s="71"/>
      <c r="E1259" s="71"/>
      <c r="F1259" s="71"/>
      <c r="M1259" s="71"/>
      <c r="N1259" s="71"/>
      <c r="O1259" s="71"/>
      <c r="P1259" s="71"/>
      <c r="Q1259" s="71"/>
      <c r="R1259" s="71"/>
      <c r="S1259" s="71"/>
      <c r="T1259" s="71"/>
      <c r="U1259" s="71"/>
      <c r="V1259" s="71"/>
      <c r="W1259" s="71"/>
      <c r="X1259" s="71"/>
      <c r="Y1259" s="71"/>
    </row>
    <row r="1260">
      <c r="A1260" s="71"/>
      <c r="B1260" s="71"/>
      <c r="C1260" s="71"/>
      <c r="D1260" s="71"/>
      <c r="E1260" s="71"/>
      <c r="F1260" s="71"/>
      <c r="M1260" s="71"/>
      <c r="N1260" s="71"/>
      <c r="Q1260" s="71"/>
      <c r="T1260" s="71"/>
      <c r="U1260" s="71"/>
      <c r="V1260" s="71"/>
      <c r="W1260" s="71"/>
      <c r="X1260" s="71"/>
    </row>
    <row r="1261">
      <c r="A1261" s="71"/>
      <c r="B1261" s="71"/>
      <c r="C1261" s="71"/>
      <c r="E1261" s="71"/>
      <c r="F1261" s="71"/>
      <c r="M1261" s="71"/>
      <c r="N1261" s="71"/>
      <c r="O1261" s="71"/>
      <c r="P1261" s="71"/>
      <c r="Q1261" s="71"/>
      <c r="R1261" s="71"/>
      <c r="T1261" s="71"/>
      <c r="U1261" s="71"/>
      <c r="V1261" s="71"/>
      <c r="W1261" s="71"/>
    </row>
    <row r="1262">
      <c r="A1262" s="71"/>
      <c r="B1262" s="71"/>
      <c r="C1262" s="71"/>
      <c r="D1262" s="71"/>
      <c r="E1262" s="71"/>
      <c r="F1262" s="71"/>
      <c r="M1262" s="71"/>
      <c r="N1262" s="71"/>
      <c r="O1262" s="71"/>
      <c r="P1262" s="71"/>
      <c r="Q1262" s="71"/>
      <c r="R1262" s="71"/>
      <c r="S1262" s="71"/>
      <c r="T1262" s="71"/>
      <c r="U1262" s="71"/>
      <c r="V1262" s="71"/>
      <c r="W1262" s="71"/>
      <c r="X1262" s="71"/>
      <c r="Y1262" s="71"/>
    </row>
    <row r="1263">
      <c r="A1263" s="71"/>
      <c r="B1263" s="71"/>
      <c r="C1263" s="71"/>
      <c r="D1263" s="71"/>
      <c r="E1263" s="71"/>
      <c r="F1263" s="71"/>
      <c r="M1263" s="71"/>
      <c r="N1263" s="71"/>
      <c r="Q1263" s="71"/>
      <c r="S1263" s="71"/>
      <c r="T1263" s="71"/>
      <c r="U1263" s="71"/>
      <c r="V1263" s="71"/>
      <c r="W1263" s="71"/>
      <c r="X1263" s="71"/>
      <c r="Y1263" s="71"/>
    </row>
    <row r="1264">
      <c r="A1264" s="71"/>
      <c r="B1264" s="71"/>
      <c r="C1264" s="71"/>
      <c r="D1264" s="71"/>
      <c r="E1264" s="71"/>
      <c r="F1264" s="71"/>
      <c r="M1264" s="71"/>
      <c r="N1264" s="71"/>
      <c r="O1264" s="71"/>
      <c r="P1264" s="71"/>
      <c r="Q1264" s="71"/>
      <c r="R1264" s="71"/>
      <c r="S1264" s="71"/>
      <c r="T1264" s="71"/>
      <c r="U1264" s="71"/>
      <c r="V1264" s="71"/>
      <c r="W1264" s="71"/>
      <c r="X1264" s="71"/>
      <c r="Y1264" s="71"/>
    </row>
    <row r="1265">
      <c r="A1265" s="71"/>
      <c r="B1265" s="71"/>
      <c r="C1265" s="71"/>
      <c r="D1265" s="71"/>
      <c r="E1265" s="71"/>
      <c r="F1265" s="71"/>
      <c r="M1265" s="71"/>
      <c r="N1265" s="71"/>
      <c r="Q1265" s="71"/>
      <c r="S1265" s="71"/>
      <c r="T1265" s="71"/>
      <c r="U1265" s="71"/>
      <c r="V1265" s="71"/>
      <c r="W1265" s="71"/>
      <c r="X1265" s="71"/>
      <c r="Y1265" s="71"/>
    </row>
    <row r="1266">
      <c r="A1266" s="71"/>
      <c r="B1266" s="71"/>
      <c r="C1266" s="71"/>
      <c r="E1266" s="71"/>
      <c r="F1266" s="71"/>
      <c r="M1266" s="71"/>
      <c r="N1266" s="71"/>
      <c r="O1266" s="71"/>
      <c r="P1266" s="71"/>
      <c r="Q1266" s="71"/>
      <c r="R1266" s="71"/>
      <c r="T1266" s="71"/>
      <c r="U1266" s="71"/>
      <c r="V1266" s="71"/>
      <c r="W1266" s="71"/>
      <c r="X1266" s="71"/>
    </row>
    <row r="1267">
      <c r="A1267" s="71"/>
      <c r="B1267" s="71"/>
      <c r="C1267" s="71"/>
      <c r="E1267" s="71"/>
      <c r="F1267" s="71"/>
      <c r="M1267" s="71"/>
      <c r="N1267" s="71"/>
      <c r="Q1267" s="71"/>
      <c r="T1267" s="71"/>
      <c r="U1267" s="71"/>
      <c r="V1267" s="71"/>
      <c r="W1267" s="71"/>
    </row>
    <row r="1268">
      <c r="A1268" s="71"/>
      <c r="B1268" s="71"/>
      <c r="C1268" s="71"/>
      <c r="E1268" s="71"/>
      <c r="F1268" s="71"/>
      <c r="N1268" s="71"/>
      <c r="O1268" s="71"/>
      <c r="P1268" s="71"/>
      <c r="Q1268" s="71"/>
      <c r="R1268" s="71"/>
      <c r="U1268" s="71"/>
      <c r="V1268" s="71"/>
    </row>
    <row r="1269">
      <c r="A1269" s="71"/>
      <c r="B1269" s="71"/>
      <c r="C1269" s="71"/>
      <c r="D1269" s="71"/>
      <c r="E1269" s="71"/>
      <c r="F1269" s="71"/>
      <c r="M1269" s="71"/>
      <c r="N1269" s="71"/>
      <c r="Q1269" s="71"/>
      <c r="S1269" s="71"/>
      <c r="T1269" s="71"/>
      <c r="U1269" s="71"/>
      <c r="V1269" s="71"/>
      <c r="W1269" s="71"/>
      <c r="X1269" s="71"/>
      <c r="Y1269" s="71"/>
    </row>
    <row r="1270">
      <c r="A1270" s="71"/>
      <c r="B1270" s="71"/>
      <c r="C1270" s="71"/>
      <c r="D1270" s="71"/>
      <c r="E1270" s="71"/>
      <c r="F1270" s="71"/>
      <c r="M1270" s="71"/>
      <c r="N1270" s="71"/>
      <c r="Q1270" s="71"/>
      <c r="S1270" s="71"/>
      <c r="T1270" s="71"/>
      <c r="U1270" s="71"/>
      <c r="V1270" s="71"/>
      <c r="W1270" s="71"/>
      <c r="X1270" s="71"/>
      <c r="Y1270" s="71"/>
    </row>
    <row r="1271">
      <c r="A1271" s="71"/>
      <c r="B1271" s="71"/>
      <c r="C1271" s="71"/>
      <c r="D1271" s="71"/>
      <c r="E1271" s="71"/>
      <c r="F1271" s="71"/>
      <c r="M1271" s="71"/>
      <c r="N1271" s="71"/>
      <c r="Q1271" s="71"/>
      <c r="S1271" s="71"/>
      <c r="T1271" s="71"/>
      <c r="U1271" s="71"/>
      <c r="V1271" s="71"/>
      <c r="W1271" s="71"/>
      <c r="X1271" s="71"/>
      <c r="Y1271" s="71"/>
    </row>
    <row r="1272">
      <c r="A1272" s="71"/>
      <c r="B1272" s="71"/>
      <c r="C1272" s="71"/>
      <c r="D1272" s="71"/>
      <c r="F1272" s="71"/>
      <c r="M1272" s="71"/>
      <c r="O1272" s="71"/>
      <c r="P1272" s="71"/>
      <c r="Q1272" s="71"/>
      <c r="R1272" s="71"/>
      <c r="T1272" s="71"/>
      <c r="U1272" s="71"/>
      <c r="V1272" s="71"/>
      <c r="W1272" s="71"/>
    </row>
    <row r="1273">
      <c r="A1273" s="71"/>
      <c r="B1273" s="71"/>
      <c r="C1273" s="71"/>
      <c r="D1273" s="71"/>
      <c r="E1273" s="71"/>
      <c r="F1273" s="71"/>
      <c r="M1273" s="71"/>
      <c r="Q1273" s="71"/>
      <c r="S1273" s="71"/>
      <c r="T1273" s="71"/>
      <c r="U1273" s="71"/>
      <c r="V1273" s="71"/>
      <c r="W1273" s="71"/>
      <c r="X1273" s="71"/>
      <c r="Y1273" s="71"/>
    </row>
    <row r="1274">
      <c r="A1274" s="71"/>
      <c r="B1274" s="71"/>
      <c r="C1274" s="71"/>
      <c r="D1274" s="71"/>
      <c r="E1274" s="71"/>
      <c r="F1274" s="71"/>
      <c r="M1274" s="71"/>
      <c r="N1274" s="71"/>
      <c r="Q1274" s="71"/>
      <c r="S1274" s="71"/>
      <c r="T1274" s="71"/>
      <c r="U1274" s="71"/>
      <c r="V1274" s="71"/>
      <c r="W1274" s="71"/>
      <c r="X1274" s="71"/>
      <c r="Y1274" s="71"/>
    </row>
    <row r="1275">
      <c r="A1275" s="71"/>
      <c r="B1275" s="71"/>
      <c r="C1275" s="71"/>
      <c r="D1275" s="71"/>
      <c r="E1275" s="71"/>
      <c r="F1275" s="71"/>
      <c r="M1275" s="71"/>
      <c r="N1275" s="71"/>
      <c r="Q1275" s="71"/>
      <c r="S1275" s="71"/>
      <c r="T1275" s="71"/>
      <c r="U1275" s="71"/>
      <c r="V1275" s="71"/>
      <c r="W1275" s="71"/>
      <c r="X1275" s="71"/>
      <c r="Y1275" s="71"/>
    </row>
    <row r="1276">
      <c r="A1276" s="71"/>
      <c r="B1276" s="71"/>
      <c r="C1276" s="71"/>
      <c r="D1276" s="71"/>
      <c r="E1276" s="71"/>
      <c r="F1276" s="71"/>
      <c r="M1276" s="71"/>
      <c r="N1276" s="71"/>
      <c r="Q1276" s="71"/>
      <c r="S1276" s="71"/>
      <c r="T1276" s="71"/>
      <c r="U1276" s="71"/>
      <c r="V1276" s="71"/>
      <c r="W1276" s="71"/>
      <c r="X1276" s="71"/>
      <c r="Y1276" s="71"/>
    </row>
    <row r="1277">
      <c r="A1277" s="71"/>
      <c r="B1277" s="71"/>
      <c r="C1277" s="71"/>
      <c r="D1277" s="71"/>
      <c r="E1277" s="71"/>
      <c r="F1277" s="71"/>
      <c r="M1277" s="71"/>
      <c r="N1277" s="71"/>
      <c r="O1277" s="71"/>
      <c r="P1277" s="71"/>
      <c r="Q1277" s="71"/>
      <c r="R1277" s="71"/>
      <c r="S1277" s="71"/>
      <c r="T1277" s="71"/>
      <c r="U1277" s="71"/>
      <c r="V1277" s="71"/>
      <c r="W1277" s="71"/>
      <c r="X1277" s="71"/>
      <c r="Y1277" s="71"/>
    </row>
    <row r="1278">
      <c r="A1278" s="71"/>
      <c r="B1278" s="71"/>
      <c r="C1278" s="71"/>
      <c r="D1278" s="71"/>
      <c r="E1278" s="71"/>
      <c r="F1278" s="71"/>
      <c r="M1278" s="71"/>
      <c r="N1278" s="71"/>
      <c r="Q1278" s="71"/>
      <c r="S1278" s="71"/>
      <c r="T1278" s="71"/>
      <c r="U1278" s="71"/>
      <c r="V1278" s="71"/>
      <c r="W1278" s="71"/>
      <c r="X1278" s="71"/>
      <c r="Y1278" s="71"/>
    </row>
    <row r="1279">
      <c r="A1279" s="71"/>
      <c r="B1279" s="71"/>
      <c r="C1279" s="71"/>
      <c r="D1279" s="71"/>
      <c r="E1279" s="71"/>
      <c r="F1279" s="71"/>
      <c r="M1279" s="71"/>
      <c r="N1279" s="71"/>
      <c r="Q1279" s="71"/>
      <c r="S1279" s="71"/>
      <c r="T1279" s="71"/>
      <c r="U1279" s="71"/>
      <c r="V1279" s="71"/>
      <c r="W1279" s="71"/>
      <c r="X1279" s="71"/>
      <c r="Y1279" s="71"/>
    </row>
    <row r="1280">
      <c r="A1280" s="71"/>
      <c r="B1280" s="71"/>
      <c r="C1280" s="71"/>
      <c r="D1280" s="71"/>
      <c r="E1280" s="71"/>
      <c r="F1280" s="71"/>
      <c r="M1280" s="71"/>
      <c r="N1280" s="71"/>
      <c r="Q1280" s="71"/>
      <c r="S1280" s="71"/>
      <c r="T1280" s="71"/>
      <c r="U1280" s="71"/>
      <c r="V1280" s="71"/>
      <c r="W1280" s="71"/>
      <c r="X1280" s="71"/>
      <c r="Y1280" s="71"/>
    </row>
    <row r="1281">
      <c r="A1281" s="71"/>
      <c r="B1281" s="71"/>
      <c r="C1281" s="71"/>
      <c r="D1281" s="71"/>
      <c r="E1281" s="71"/>
      <c r="F1281" s="71"/>
      <c r="M1281" s="71"/>
      <c r="N1281" s="71"/>
      <c r="O1281" s="71"/>
      <c r="P1281" s="71"/>
      <c r="Q1281" s="71"/>
      <c r="R1281" s="71"/>
      <c r="S1281" s="71"/>
      <c r="T1281" s="71"/>
      <c r="U1281" s="71"/>
      <c r="V1281" s="71"/>
      <c r="W1281" s="71"/>
      <c r="X1281" s="71"/>
      <c r="Y1281" s="71"/>
    </row>
    <row r="1282">
      <c r="A1282" s="71"/>
      <c r="B1282" s="71"/>
      <c r="C1282" s="71"/>
      <c r="D1282" s="71"/>
      <c r="E1282" s="71"/>
      <c r="F1282" s="71"/>
      <c r="M1282" s="71"/>
      <c r="N1282" s="71"/>
      <c r="Q1282" s="71"/>
      <c r="T1282" s="71"/>
      <c r="U1282" s="71"/>
      <c r="V1282" s="71"/>
      <c r="W1282" s="71"/>
      <c r="X1282" s="71"/>
    </row>
    <row r="1283">
      <c r="A1283" s="71"/>
      <c r="B1283" s="71"/>
      <c r="C1283" s="71"/>
      <c r="D1283" s="71"/>
      <c r="E1283" s="71"/>
      <c r="F1283" s="71"/>
      <c r="M1283" s="71"/>
      <c r="N1283" s="71"/>
      <c r="O1283" s="71"/>
      <c r="P1283" s="71"/>
      <c r="Q1283" s="71"/>
      <c r="R1283" s="71"/>
      <c r="S1283" s="71"/>
      <c r="T1283" s="71"/>
      <c r="U1283" s="71"/>
      <c r="V1283" s="71"/>
      <c r="W1283" s="71"/>
    </row>
    <row r="1284">
      <c r="A1284" s="71"/>
      <c r="B1284" s="71"/>
      <c r="C1284" s="71"/>
      <c r="D1284" s="71"/>
      <c r="E1284" s="71"/>
      <c r="F1284" s="71"/>
      <c r="M1284" s="71"/>
      <c r="N1284" s="71"/>
      <c r="O1284" s="71"/>
      <c r="P1284" s="71"/>
      <c r="Q1284" s="71"/>
      <c r="R1284" s="71"/>
      <c r="S1284" s="71"/>
      <c r="T1284" s="71"/>
      <c r="U1284" s="71"/>
      <c r="V1284" s="71"/>
      <c r="W1284" s="71"/>
      <c r="X1284" s="71"/>
      <c r="Y1284" s="71"/>
    </row>
    <row r="1285">
      <c r="A1285" s="71"/>
      <c r="B1285" s="71"/>
      <c r="C1285" s="71"/>
      <c r="D1285" s="71"/>
      <c r="E1285" s="71"/>
      <c r="F1285" s="71"/>
      <c r="M1285" s="71"/>
      <c r="N1285" s="71"/>
      <c r="Q1285" s="71"/>
      <c r="S1285" s="71"/>
      <c r="T1285" s="71"/>
      <c r="U1285" s="71"/>
      <c r="V1285" s="71"/>
      <c r="W1285" s="71"/>
      <c r="X1285" s="71"/>
      <c r="Y1285" s="71"/>
    </row>
    <row r="1286">
      <c r="A1286" s="71"/>
      <c r="B1286" s="71"/>
      <c r="C1286" s="71"/>
      <c r="D1286" s="71"/>
      <c r="E1286" s="71"/>
      <c r="F1286" s="71"/>
      <c r="M1286" s="71"/>
      <c r="N1286" s="71"/>
      <c r="Q1286" s="71"/>
      <c r="S1286" s="71"/>
      <c r="T1286" s="71"/>
      <c r="U1286" s="71"/>
      <c r="V1286" s="71"/>
      <c r="W1286" s="71"/>
      <c r="X1286" s="71"/>
      <c r="Y1286" s="71"/>
    </row>
    <row r="1287">
      <c r="A1287" s="71"/>
      <c r="B1287" s="71"/>
      <c r="C1287" s="71"/>
      <c r="D1287" s="71"/>
      <c r="E1287" s="71"/>
      <c r="F1287" s="71"/>
      <c r="M1287" s="71"/>
      <c r="N1287" s="71"/>
      <c r="Q1287" s="71"/>
      <c r="S1287" s="71"/>
      <c r="T1287" s="71"/>
      <c r="U1287" s="71"/>
      <c r="V1287" s="71"/>
      <c r="W1287" s="71"/>
      <c r="X1287" s="71"/>
      <c r="Y1287" s="71"/>
    </row>
    <row r="1288">
      <c r="A1288" s="71"/>
      <c r="B1288" s="71"/>
      <c r="C1288" s="71"/>
      <c r="F1288" s="71"/>
      <c r="M1288" s="71"/>
      <c r="O1288" s="71"/>
      <c r="P1288" s="71"/>
      <c r="Q1288" s="71"/>
      <c r="R1288" s="71"/>
      <c r="T1288" s="71"/>
      <c r="U1288" s="71"/>
      <c r="V1288" s="71"/>
      <c r="W1288" s="71"/>
      <c r="X1288" s="71"/>
    </row>
    <row r="1289">
      <c r="A1289" s="71"/>
      <c r="B1289" s="71"/>
      <c r="C1289" s="71"/>
      <c r="D1289" s="71"/>
      <c r="E1289" s="71"/>
      <c r="F1289" s="71"/>
      <c r="M1289" s="71"/>
      <c r="N1289" s="71"/>
      <c r="Q1289" s="71"/>
      <c r="S1289" s="71"/>
      <c r="T1289" s="71"/>
      <c r="U1289" s="71"/>
      <c r="V1289" s="71"/>
      <c r="W1289" s="71"/>
      <c r="X1289" s="71"/>
      <c r="Y1289" s="71"/>
    </row>
    <row r="1290">
      <c r="A1290" s="71"/>
      <c r="B1290" s="71"/>
      <c r="C1290" s="71"/>
      <c r="D1290" s="71"/>
      <c r="E1290" s="71"/>
      <c r="F1290" s="71"/>
      <c r="M1290" s="71"/>
      <c r="O1290" s="71"/>
      <c r="P1290" s="71"/>
      <c r="Q1290" s="71"/>
      <c r="R1290" s="71"/>
      <c r="T1290" s="71"/>
      <c r="U1290" s="71"/>
      <c r="V1290" s="71"/>
      <c r="W1290" s="71"/>
      <c r="X1290" s="71"/>
      <c r="Y1290" s="71"/>
    </row>
    <row r="1291">
      <c r="A1291" s="71"/>
      <c r="B1291" s="71"/>
      <c r="C1291" s="71"/>
      <c r="E1291" s="71"/>
      <c r="F1291" s="71"/>
      <c r="M1291" s="71"/>
      <c r="N1291" s="71"/>
      <c r="O1291" s="71"/>
      <c r="P1291" s="71"/>
      <c r="Q1291" s="71"/>
      <c r="R1291" s="71"/>
      <c r="T1291" s="71"/>
      <c r="U1291" s="71"/>
      <c r="V1291" s="71"/>
      <c r="W1291" s="71"/>
      <c r="X1291" s="71"/>
    </row>
    <row r="1292">
      <c r="A1292" s="71"/>
      <c r="B1292" s="71"/>
      <c r="C1292" s="71"/>
      <c r="E1292" s="71"/>
      <c r="F1292" s="71"/>
      <c r="N1292" s="71"/>
      <c r="O1292" s="71"/>
      <c r="P1292" s="71"/>
      <c r="Q1292" s="71"/>
      <c r="R1292" s="71"/>
      <c r="U1292" s="71"/>
      <c r="V1292" s="71"/>
    </row>
    <row r="1293">
      <c r="A1293" s="71"/>
      <c r="B1293" s="71"/>
      <c r="C1293" s="71"/>
      <c r="D1293" s="71"/>
      <c r="E1293" s="71"/>
      <c r="F1293" s="71"/>
      <c r="M1293" s="71"/>
      <c r="N1293" s="71"/>
      <c r="O1293" s="71"/>
      <c r="P1293" s="71"/>
      <c r="Q1293" s="71"/>
      <c r="R1293" s="71"/>
      <c r="T1293" s="71"/>
      <c r="U1293" s="71"/>
      <c r="V1293" s="71"/>
      <c r="W1293" s="71"/>
      <c r="X1293" s="71"/>
    </row>
    <row r="1294">
      <c r="A1294" s="71"/>
      <c r="B1294" s="71"/>
      <c r="C1294" s="71"/>
      <c r="D1294" s="71"/>
      <c r="E1294" s="71"/>
      <c r="F1294" s="71"/>
      <c r="M1294" s="71"/>
      <c r="N1294" s="71"/>
      <c r="O1294" s="71"/>
      <c r="P1294" s="71"/>
      <c r="Q1294" s="71"/>
      <c r="R1294" s="71"/>
      <c r="T1294" s="71"/>
      <c r="U1294" s="71"/>
      <c r="V1294" s="71"/>
      <c r="W1294" s="71"/>
      <c r="X1294" s="71"/>
      <c r="Y1294" s="71"/>
    </row>
    <row r="1295">
      <c r="A1295" s="71"/>
      <c r="B1295" s="71"/>
      <c r="C1295" s="71"/>
      <c r="D1295" s="71"/>
      <c r="E1295" s="71"/>
      <c r="F1295" s="71"/>
      <c r="M1295" s="71"/>
      <c r="N1295" s="71"/>
      <c r="O1295" s="71"/>
      <c r="P1295" s="71"/>
      <c r="Q1295" s="71"/>
      <c r="R1295" s="71"/>
      <c r="S1295" s="71"/>
      <c r="T1295" s="71"/>
      <c r="U1295" s="71"/>
      <c r="V1295" s="71"/>
      <c r="W1295" s="71"/>
      <c r="X1295" s="71"/>
      <c r="Y1295" s="71"/>
    </row>
    <row r="1296">
      <c r="A1296" s="71"/>
      <c r="B1296" s="71"/>
      <c r="C1296" s="71"/>
      <c r="D1296" s="71"/>
      <c r="E1296" s="71"/>
      <c r="F1296" s="71"/>
      <c r="M1296" s="71"/>
      <c r="N1296" s="71"/>
      <c r="Q1296" s="71"/>
      <c r="S1296" s="71"/>
      <c r="T1296" s="71"/>
      <c r="U1296" s="71"/>
      <c r="V1296" s="71"/>
      <c r="W1296" s="71"/>
      <c r="X1296" s="71"/>
      <c r="Y1296" s="71"/>
    </row>
    <row r="1297">
      <c r="A1297" s="71"/>
      <c r="B1297" s="71"/>
      <c r="C1297" s="71"/>
      <c r="E1297" s="71"/>
      <c r="F1297" s="71"/>
      <c r="N1297" s="71"/>
      <c r="O1297" s="71"/>
      <c r="P1297" s="71"/>
      <c r="Q1297" s="71"/>
      <c r="R1297" s="71"/>
      <c r="U1297" s="71"/>
      <c r="V1297" s="71"/>
    </row>
    <row r="1298">
      <c r="A1298" s="71"/>
      <c r="B1298" s="71"/>
      <c r="C1298" s="71"/>
      <c r="D1298" s="71"/>
      <c r="E1298" s="71"/>
      <c r="F1298" s="71"/>
      <c r="M1298" s="71"/>
      <c r="N1298" s="71"/>
      <c r="Q1298" s="71"/>
      <c r="S1298" s="71"/>
      <c r="T1298" s="71"/>
      <c r="U1298" s="71"/>
      <c r="V1298" s="71"/>
      <c r="W1298" s="71"/>
      <c r="X1298" s="71"/>
      <c r="Y1298" s="71"/>
    </row>
    <row r="1299">
      <c r="A1299" s="71"/>
      <c r="B1299" s="71"/>
      <c r="C1299" s="71"/>
      <c r="D1299" s="71"/>
      <c r="E1299" s="71"/>
      <c r="F1299" s="71"/>
      <c r="M1299" s="71"/>
      <c r="N1299" s="71"/>
      <c r="Q1299" s="71"/>
      <c r="S1299" s="71"/>
      <c r="T1299" s="71"/>
      <c r="U1299" s="71"/>
      <c r="V1299" s="71"/>
      <c r="W1299" s="71"/>
      <c r="X1299" s="71"/>
      <c r="Y1299" s="71"/>
    </row>
    <row r="1300">
      <c r="A1300" s="71"/>
      <c r="B1300" s="71"/>
      <c r="C1300" s="71"/>
      <c r="E1300" s="71"/>
      <c r="F1300" s="71"/>
      <c r="N1300" s="71"/>
      <c r="O1300" s="71"/>
      <c r="P1300" s="71"/>
      <c r="Q1300" s="71"/>
      <c r="R1300" s="71"/>
      <c r="U1300" s="71"/>
      <c r="V1300" s="71"/>
    </row>
    <row r="1301">
      <c r="A1301" s="71"/>
      <c r="B1301" s="71"/>
      <c r="C1301" s="71"/>
      <c r="E1301" s="71"/>
      <c r="F1301" s="71"/>
      <c r="M1301" s="71"/>
      <c r="N1301" s="71"/>
      <c r="O1301" s="71"/>
      <c r="P1301" s="71"/>
      <c r="Q1301" s="71"/>
      <c r="R1301" s="71"/>
      <c r="T1301" s="71"/>
      <c r="U1301" s="71"/>
      <c r="V1301" s="71"/>
      <c r="W1301" s="71"/>
      <c r="X1301" s="71"/>
    </row>
    <row r="1302">
      <c r="A1302" s="71"/>
      <c r="B1302" s="71"/>
      <c r="C1302" s="71"/>
      <c r="D1302" s="71"/>
      <c r="E1302" s="71"/>
      <c r="F1302" s="71"/>
      <c r="M1302" s="71"/>
      <c r="N1302" s="71"/>
      <c r="Q1302" s="71"/>
      <c r="T1302" s="71"/>
      <c r="U1302" s="71"/>
      <c r="V1302" s="71"/>
      <c r="W1302" s="71"/>
      <c r="X1302" s="71"/>
    </row>
    <row r="1303">
      <c r="A1303" s="71"/>
      <c r="B1303" s="71"/>
      <c r="C1303" s="71"/>
      <c r="D1303" s="71"/>
      <c r="F1303" s="71"/>
      <c r="M1303" s="71"/>
      <c r="N1303" s="71"/>
      <c r="O1303" s="71"/>
      <c r="P1303" s="71"/>
      <c r="Q1303" s="71"/>
      <c r="R1303" s="71"/>
      <c r="T1303" s="71"/>
      <c r="U1303" s="71"/>
      <c r="V1303" s="71"/>
      <c r="W1303" s="71"/>
      <c r="X1303" s="71"/>
    </row>
    <row r="1304">
      <c r="A1304" s="71"/>
      <c r="B1304" s="71"/>
      <c r="C1304" s="71"/>
      <c r="D1304" s="71"/>
      <c r="E1304" s="71"/>
      <c r="F1304" s="71"/>
      <c r="M1304" s="71"/>
      <c r="N1304" s="71"/>
      <c r="O1304" s="71"/>
      <c r="P1304" s="71"/>
      <c r="Q1304" s="71"/>
      <c r="R1304" s="71"/>
      <c r="S1304" s="71"/>
      <c r="T1304" s="71"/>
      <c r="U1304" s="71"/>
      <c r="V1304" s="71"/>
      <c r="W1304" s="71"/>
      <c r="X1304" s="71"/>
      <c r="Y1304" s="71"/>
    </row>
    <row r="1305">
      <c r="A1305" s="71"/>
      <c r="B1305" s="71"/>
      <c r="C1305" s="71"/>
      <c r="D1305" s="71"/>
      <c r="E1305" s="71"/>
      <c r="F1305" s="71"/>
      <c r="M1305" s="71"/>
      <c r="N1305" s="71"/>
      <c r="O1305" s="71"/>
      <c r="P1305" s="71"/>
      <c r="Q1305" s="71"/>
      <c r="R1305" s="71"/>
      <c r="S1305" s="71"/>
      <c r="T1305" s="71"/>
      <c r="U1305" s="71"/>
      <c r="V1305" s="71"/>
      <c r="W1305" s="71"/>
      <c r="X1305" s="71"/>
      <c r="Y1305" s="71"/>
    </row>
    <row r="1306">
      <c r="A1306" s="71"/>
      <c r="B1306" s="71"/>
      <c r="C1306" s="71"/>
      <c r="D1306" s="71"/>
      <c r="E1306" s="71"/>
      <c r="F1306" s="71"/>
      <c r="M1306" s="71"/>
      <c r="N1306" s="71"/>
      <c r="O1306" s="71"/>
      <c r="P1306" s="71"/>
      <c r="Q1306" s="71"/>
      <c r="R1306" s="71"/>
      <c r="S1306" s="71"/>
      <c r="T1306" s="71"/>
      <c r="U1306" s="71"/>
      <c r="V1306" s="71"/>
      <c r="W1306" s="71"/>
      <c r="X1306" s="71"/>
      <c r="Y1306" s="71"/>
    </row>
    <row r="1307">
      <c r="A1307" s="71"/>
      <c r="B1307" s="71"/>
      <c r="C1307" s="71"/>
      <c r="D1307" s="71"/>
      <c r="E1307" s="71"/>
      <c r="F1307" s="71"/>
      <c r="M1307" s="71"/>
      <c r="O1307" s="71"/>
      <c r="P1307" s="71"/>
      <c r="Q1307" s="71"/>
      <c r="R1307" s="71"/>
      <c r="S1307" s="71"/>
      <c r="T1307" s="71"/>
      <c r="U1307" s="71"/>
      <c r="V1307" s="71"/>
      <c r="W1307" s="71"/>
      <c r="X1307" s="71"/>
      <c r="Y1307" s="71"/>
    </row>
    <row r="1308">
      <c r="A1308" s="71"/>
      <c r="B1308" s="71"/>
      <c r="C1308" s="71"/>
      <c r="D1308" s="71"/>
      <c r="E1308" s="71"/>
      <c r="F1308" s="71"/>
      <c r="M1308" s="71"/>
      <c r="N1308" s="71"/>
      <c r="Q1308" s="71"/>
      <c r="S1308" s="71"/>
      <c r="T1308" s="71"/>
      <c r="U1308" s="71"/>
      <c r="V1308" s="71"/>
      <c r="W1308" s="71"/>
      <c r="X1308" s="71"/>
      <c r="Y1308" s="71"/>
    </row>
    <row r="1309">
      <c r="A1309" s="71"/>
      <c r="B1309" s="71"/>
      <c r="C1309" s="71"/>
      <c r="E1309" s="71"/>
      <c r="F1309" s="71"/>
      <c r="M1309" s="71"/>
      <c r="N1309" s="71"/>
      <c r="O1309" s="71"/>
      <c r="P1309" s="71"/>
      <c r="Q1309" s="71"/>
      <c r="R1309" s="71"/>
      <c r="T1309" s="71"/>
      <c r="U1309" s="71"/>
      <c r="V1309" s="71"/>
      <c r="W1309" s="71"/>
    </row>
    <row r="1310">
      <c r="A1310" s="71"/>
      <c r="B1310" s="71"/>
      <c r="C1310" s="71"/>
      <c r="D1310" s="71"/>
      <c r="E1310" s="71"/>
      <c r="F1310" s="71"/>
      <c r="M1310" s="71"/>
      <c r="N1310" s="71"/>
      <c r="Q1310" s="71"/>
      <c r="T1310" s="71"/>
      <c r="U1310" s="71"/>
      <c r="V1310" s="71"/>
      <c r="W1310" s="71"/>
      <c r="X1310" s="71"/>
      <c r="Y1310" s="71"/>
    </row>
    <row r="1311">
      <c r="A1311" s="71"/>
      <c r="B1311" s="71"/>
      <c r="C1311" s="71"/>
      <c r="D1311" s="71"/>
      <c r="F1311" s="71"/>
      <c r="M1311" s="71"/>
      <c r="N1311" s="71"/>
      <c r="O1311" s="71"/>
      <c r="P1311" s="71"/>
      <c r="Q1311" s="71"/>
      <c r="R1311" s="71"/>
      <c r="T1311" s="71"/>
      <c r="U1311" s="71"/>
      <c r="V1311" s="71"/>
      <c r="W1311" s="71"/>
    </row>
    <row r="1312">
      <c r="A1312" s="71"/>
      <c r="B1312" s="71"/>
      <c r="C1312" s="71"/>
      <c r="D1312" s="71"/>
      <c r="E1312" s="71"/>
      <c r="F1312" s="71"/>
      <c r="M1312" s="71"/>
      <c r="N1312" s="71"/>
      <c r="O1312" s="71"/>
      <c r="P1312" s="71"/>
      <c r="Q1312" s="71"/>
      <c r="R1312" s="71"/>
      <c r="T1312" s="71"/>
      <c r="U1312" s="71"/>
      <c r="V1312" s="71"/>
      <c r="W1312" s="71"/>
      <c r="X1312" s="71"/>
    </row>
    <row r="1313">
      <c r="A1313" s="71"/>
      <c r="B1313" s="71"/>
      <c r="C1313" s="71"/>
      <c r="D1313" s="71"/>
      <c r="E1313" s="71"/>
      <c r="F1313" s="71"/>
      <c r="M1313" s="71"/>
      <c r="N1313" s="71"/>
      <c r="Q1313" s="71"/>
      <c r="S1313" s="71"/>
      <c r="T1313" s="71"/>
      <c r="U1313" s="71"/>
      <c r="V1313" s="71"/>
      <c r="W1313" s="71"/>
      <c r="X1313" s="71"/>
      <c r="Y1313" s="71"/>
    </row>
    <row r="1314">
      <c r="A1314" s="71"/>
      <c r="B1314" s="71"/>
      <c r="C1314" s="71"/>
      <c r="E1314" s="71"/>
      <c r="F1314" s="71"/>
      <c r="M1314" s="71"/>
      <c r="N1314" s="71"/>
      <c r="O1314" s="71"/>
      <c r="P1314" s="71"/>
      <c r="Q1314" s="71"/>
      <c r="R1314" s="71"/>
      <c r="U1314" s="71"/>
      <c r="V1314" s="71"/>
    </row>
    <row r="1315">
      <c r="A1315" s="71"/>
      <c r="B1315" s="71"/>
      <c r="C1315" s="71"/>
      <c r="D1315" s="71"/>
      <c r="F1315" s="71"/>
      <c r="M1315" s="71"/>
      <c r="N1315" s="71"/>
      <c r="Q1315" s="71"/>
      <c r="T1315" s="71"/>
      <c r="U1315" s="71"/>
      <c r="V1315" s="71"/>
      <c r="W1315" s="71"/>
    </row>
    <row r="1316">
      <c r="A1316" s="71"/>
      <c r="B1316" s="71"/>
      <c r="C1316" s="71"/>
      <c r="D1316" s="71"/>
      <c r="E1316" s="71"/>
      <c r="F1316" s="71"/>
      <c r="M1316" s="71"/>
      <c r="N1316" s="71"/>
      <c r="O1316" s="71"/>
      <c r="P1316" s="71"/>
      <c r="Q1316" s="71"/>
      <c r="R1316" s="71"/>
      <c r="S1316" s="71"/>
      <c r="T1316" s="71"/>
      <c r="U1316" s="71"/>
      <c r="V1316" s="71"/>
      <c r="W1316" s="71"/>
      <c r="X1316" s="71"/>
      <c r="Y1316" s="71"/>
    </row>
    <row r="1317">
      <c r="A1317" s="71"/>
      <c r="B1317" s="71"/>
      <c r="C1317" s="71"/>
      <c r="D1317" s="71"/>
      <c r="E1317" s="71"/>
      <c r="F1317" s="71"/>
      <c r="M1317" s="71"/>
      <c r="N1317" s="71"/>
      <c r="Q1317" s="71"/>
      <c r="T1317" s="71"/>
      <c r="U1317" s="71"/>
      <c r="V1317" s="71"/>
      <c r="W1317" s="71"/>
      <c r="X1317" s="71"/>
      <c r="Y1317" s="71"/>
    </row>
    <row r="1318">
      <c r="A1318" s="71"/>
      <c r="B1318" s="71"/>
      <c r="C1318" s="71"/>
      <c r="D1318" s="71"/>
      <c r="F1318" s="71"/>
      <c r="M1318" s="71"/>
      <c r="O1318" s="71"/>
      <c r="P1318" s="71"/>
      <c r="Q1318" s="71"/>
      <c r="R1318" s="71"/>
      <c r="S1318" s="71"/>
      <c r="T1318" s="71"/>
      <c r="U1318" s="71"/>
      <c r="V1318" s="71"/>
      <c r="W1318" s="71"/>
    </row>
    <row r="1319">
      <c r="A1319" s="71"/>
      <c r="B1319" s="71"/>
      <c r="C1319" s="71"/>
      <c r="D1319" s="71"/>
      <c r="E1319" s="71"/>
      <c r="F1319" s="71"/>
      <c r="M1319" s="71"/>
      <c r="Q1319" s="71"/>
      <c r="S1319" s="71"/>
      <c r="T1319" s="71"/>
      <c r="U1319" s="71"/>
      <c r="V1319" s="71"/>
      <c r="W1319" s="71"/>
      <c r="X1319" s="71"/>
      <c r="Y1319" s="71"/>
    </row>
    <row r="1320">
      <c r="A1320" s="71"/>
      <c r="B1320" s="71"/>
      <c r="C1320" s="71"/>
      <c r="F1320" s="71"/>
      <c r="M1320" s="71"/>
      <c r="O1320" s="71"/>
      <c r="P1320" s="71"/>
      <c r="Q1320" s="71"/>
      <c r="R1320" s="71"/>
      <c r="U1320" s="71"/>
      <c r="V1320" s="71"/>
    </row>
    <row r="1321">
      <c r="A1321" s="71"/>
      <c r="B1321" s="71"/>
      <c r="C1321" s="71"/>
      <c r="D1321" s="71"/>
      <c r="E1321" s="71"/>
      <c r="F1321" s="71"/>
      <c r="M1321" s="71"/>
      <c r="N1321" s="71"/>
      <c r="O1321" s="71"/>
      <c r="P1321" s="71"/>
      <c r="Q1321" s="71"/>
      <c r="R1321" s="71"/>
      <c r="S1321" s="71"/>
      <c r="T1321" s="71"/>
      <c r="U1321" s="71"/>
      <c r="V1321" s="71"/>
      <c r="W1321" s="71"/>
      <c r="X1321" s="71"/>
    </row>
    <row r="1322">
      <c r="A1322" s="71"/>
      <c r="B1322" s="71"/>
      <c r="C1322" s="71"/>
      <c r="D1322" s="71"/>
      <c r="E1322" s="71"/>
      <c r="F1322" s="71"/>
      <c r="M1322" s="71"/>
      <c r="N1322" s="71"/>
      <c r="O1322" s="71"/>
      <c r="P1322" s="71"/>
      <c r="Q1322" s="71"/>
      <c r="R1322" s="71"/>
      <c r="T1322" s="71"/>
      <c r="U1322" s="71"/>
      <c r="V1322" s="71"/>
      <c r="W1322" s="71"/>
    </row>
    <row r="1323">
      <c r="A1323" s="71"/>
      <c r="B1323" s="71"/>
      <c r="C1323" s="71"/>
      <c r="F1323" s="71"/>
      <c r="M1323" s="71"/>
      <c r="N1323" s="71"/>
      <c r="Q1323" s="71"/>
      <c r="U1323" s="71"/>
      <c r="V1323" s="71"/>
      <c r="W1323" s="71"/>
    </row>
    <row r="1324">
      <c r="A1324" s="71"/>
      <c r="B1324" s="71"/>
      <c r="C1324" s="71"/>
      <c r="D1324" s="71"/>
      <c r="E1324" s="71"/>
      <c r="F1324" s="71"/>
      <c r="M1324" s="71"/>
      <c r="N1324" s="71"/>
      <c r="O1324" s="71"/>
      <c r="P1324" s="71"/>
      <c r="Q1324" s="71"/>
      <c r="R1324" s="71"/>
      <c r="T1324" s="71"/>
      <c r="U1324" s="71"/>
      <c r="V1324" s="71"/>
      <c r="W1324" s="71"/>
    </row>
    <row r="1325">
      <c r="A1325" s="71"/>
      <c r="B1325" s="71"/>
      <c r="C1325" s="71"/>
      <c r="D1325" s="71"/>
      <c r="E1325" s="71"/>
      <c r="F1325" s="71"/>
      <c r="M1325" s="71"/>
      <c r="N1325" s="71"/>
      <c r="O1325" s="71"/>
      <c r="P1325" s="71"/>
      <c r="Q1325" s="71"/>
      <c r="R1325" s="71"/>
      <c r="S1325" s="71"/>
      <c r="T1325" s="71"/>
      <c r="U1325" s="71"/>
      <c r="V1325" s="71"/>
      <c r="W1325" s="71"/>
      <c r="X1325" s="71"/>
      <c r="Y1325" s="71"/>
    </row>
    <row r="1326">
      <c r="A1326" s="71"/>
      <c r="B1326" s="71"/>
      <c r="C1326" s="71"/>
      <c r="D1326" s="71"/>
      <c r="E1326" s="71"/>
      <c r="F1326" s="71"/>
      <c r="M1326" s="71"/>
      <c r="N1326" s="71"/>
      <c r="Q1326" s="71"/>
      <c r="S1326" s="71"/>
      <c r="T1326" s="71"/>
      <c r="U1326" s="71"/>
      <c r="V1326" s="71"/>
      <c r="W1326" s="71"/>
      <c r="X1326" s="71"/>
    </row>
    <row r="1327">
      <c r="A1327" s="71"/>
      <c r="B1327" s="71"/>
      <c r="C1327" s="71"/>
      <c r="D1327" s="71"/>
      <c r="E1327" s="71"/>
      <c r="F1327" s="71"/>
      <c r="M1327" s="71"/>
      <c r="N1327" s="71"/>
      <c r="O1327" s="71"/>
      <c r="P1327" s="71"/>
      <c r="Q1327" s="71"/>
      <c r="R1327" s="71"/>
      <c r="S1327" s="71"/>
      <c r="T1327" s="71"/>
      <c r="U1327" s="71"/>
      <c r="V1327" s="71"/>
      <c r="W1327" s="71"/>
    </row>
    <row r="1328">
      <c r="A1328" s="71"/>
      <c r="B1328" s="71"/>
      <c r="C1328" s="71"/>
      <c r="D1328" s="71"/>
      <c r="E1328" s="71"/>
      <c r="F1328" s="71"/>
      <c r="M1328" s="71"/>
      <c r="N1328" s="71"/>
      <c r="Q1328" s="71"/>
      <c r="S1328" s="71"/>
      <c r="T1328" s="71"/>
      <c r="U1328" s="71"/>
      <c r="V1328" s="71"/>
      <c r="W1328" s="71"/>
    </row>
    <row r="1329">
      <c r="A1329" s="71"/>
      <c r="B1329" s="71"/>
      <c r="C1329" s="71"/>
      <c r="E1329" s="71"/>
      <c r="F1329" s="71"/>
      <c r="M1329" s="71"/>
      <c r="N1329" s="71"/>
      <c r="O1329" s="71"/>
      <c r="P1329" s="71"/>
      <c r="Q1329" s="71"/>
      <c r="R1329" s="71"/>
      <c r="U1329" s="71"/>
      <c r="V1329" s="71"/>
    </row>
    <row r="1330">
      <c r="A1330" s="71"/>
      <c r="B1330" s="71"/>
      <c r="C1330" s="71"/>
      <c r="D1330" s="71"/>
      <c r="E1330" s="71"/>
      <c r="F1330" s="71"/>
      <c r="M1330" s="71"/>
      <c r="N1330" s="71"/>
      <c r="Q1330" s="71"/>
      <c r="S1330" s="71"/>
      <c r="T1330" s="71"/>
      <c r="U1330" s="71"/>
      <c r="V1330" s="71"/>
      <c r="W1330" s="71"/>
      <c r="X1330" s="71"/>
    </row>
    <row r="1331">
      <c r="A1331" s="71"/>
      <c r="B1331" s="71"/>
      <c r="C1331" s="71"/>
      <c r="E1331" s="71"/>
      <c r="F1331" s="71"/>
      <c r="M1331" s="71"/>
      <c r="N1331" s="71"/>
      <c r="O1331" s="71"/>
      <c r="P1331" s="71"/>
      <c r="Q1331" s="71"/>
      <c r="R1331" s="71"/>
      <c r="U1331" s="71"/>
      <c r="V1331" s="71"/>
    </row>
    <row r="1332">
      <c r="A1332" s="71"/>
      <c r="B1332" s="71"/>
      <c r="C1332" s="71"/>
      <c r="E1332" s="71"/>
      <c r="F1332" s="71"/>
      <c r="M1332" s="71"/>
      <c r="N1332" s="71"/>
      <c r="O1332" s="71"/>
      <c r="P1332" s="71"/>
      <c r="Q1332" s="71"/>
      <c r="R1332" s="71"/>
      <c r="U1332" s="71"/>
      <c r="V1332" s="71"/>
      <c r="W1332" s="71"/>
    </row>
    <row r="1333">
      <c r="A1333" s="71"/>
      <c r="B1333" s="71"/>
      <c r="C1333" s="71"/>
      <c r="D1333" s="71"/>
      <c r="E1333" s="71"/>
      <c r="F1333" s="71"/>
      <c r="M1333" s="71"/>
      <c r="N1333" s="71"/>
      <c r="Q1333" s="71"/>
      <c r="S1333" s="71"/>
      <c r="T1333" s="71"/>
      <c r="U1333" s="71"/>
      <c r="V1333" s="71"/>
      <c r="W1333" s="71"/>
      <c r="X1333" s="71"/>
      <c r="Y1333" s="71"/>
    </row>
    <row r="1334">
      <c r="A1334" s="71"/>
      <c r="B1334" s="71"/>
      <c r="C1334" s="71"/>
      <c r="D1334" s="71"/>
      <c r="E1334" s="71"/>
      <c r="F1334" s="71"/>
      <c r="M1334" s="71"/>
      <c r="N1334" s="71"/>
      <c r="O1334" s="71"/>
      <c r="P1334" s="71"/>
      <c r="Q1334" s="71"/>
      <c r="R1334" s="71"/>
      <c r="S1334" s="71"/>
      <c r="T1334" s="71"/>
      <c r="U1334" s="71"/>
      <c r="V1334" s="71"/>
      <c r="W1334" s="71"/>
      <c r="X1334" s="71"/>
      <c r="Y1334" s="71"/>
    </row>
    <row r="1335">
      <c r="A1335" s="71"/>
      <c r="B1335" s="71"/>
      <c r="C1335" s="71"/>
      <c r="D1335" s="71"/>
      <c r="E1335" s="71"/>
      <c r="F1335" s="71"/>
      <c r="M1335" s="71"/>
      <c r="N1335" s="71"/>
      <c r="O1335" s="71"/>
      <c r="P1335" s="71"/>
      <c r="Q1335" s="71"/>
      <c r="R1335" s="71"/>
      <c r="S1335" s="71"/>
      <c r="T1335" s="71"/>
      <c r="U1335" s="71"/>
      <c r="V1335" s="71"/>
      <c r="W1335" s="71"/>
    </row>
    <row r="1336">
      <c r="A1336" s="71"/>
      <c r="B1336" s="71"/>
      <c r="C1336" s="71"/>
      <c r="D1336" s="71"/>
      <c r="E1336" s="71"/>
      <c r="F1336" s="71"/>
      <c r="M1336" s="71"/>
      <c r="N1336" s="71"/>
      <c r="O1336" s="71"/>
      <c r="P1336" s="71"/>
      <c r="Q1336" s="71"/>
      <c r="R1336" s="71"/>
      <c r="T1336" s="71"/>
      <c r="U1336" s="71"/>
      <c r="V1336" s="71"/>
      <c r="W1336" s="71"/>
    </row>
    <row r="1337">
      <c r="A1337" s="71"/>
      <c r="B1337" s="71"/>
      <c r="C1337" s="71"/>
      <c r="D1337" s="71"/>
      <c r="E1337" s="71"/>
      <c r="F1337" s="71"/>
      <c r="M1337" s="71"/>
      <c r="N1337" s="71"/>
      <c r="O1337" s="71"/>
      <c r="P1337" s="71"/>
      <c r="Q1337" s="71"/>
      <c r="R1337" s="71"/>
      <c r="S1337" s="71"/>
      <c r="T1337" s="71"/>
      <c r="U1337" s="71"/>
      <c r="V1337" s="71"/>
      <c r="W1337" s="71"/>
    </row>
    <row r="1338">
      <c r="A1338" s="71"/>
      <c r="B1338" s="71"/>
      <c r="C1338" s="71"/>
      <c r="D1338" s="71"/>
      <c r="E1338" s="71"/>
      <c r="F1338" s="71"/>
      <c r="M1338" s="71"/>
      <c r="N1338" s="71"/>
      <c r="O1338" s="71"/>
      <c r="P1338" s="71"/>
      <c r="Q1338" s="71"/>
      <c r="R1338" s="71"/>
      <c r="S1338" s="71"/>
      <c r="T1338" s="71"/>
      <c r="U1338" s="71"/>
      <c r="V1338" s="71"/>
      <c r="W1338" s="71"/>
      <c r="X1338" s="71"/>
      <c r="Y1338" s="71"/>
    </row>
    <row r="1339">
      <c r="A1339" s="71"/>
      <c r="B1339" s="71"/>
      <c r="C1339" s="71"/>
      <c r="D1339" s="71"/>
      <c r="E1339" s="71"/>
      <c r="F1339" s="71"/>
      <c r="M1339" s="71"/>
      <c r="N1339" s="71"/>
      <c r="O1339" s="71"/>
      <c r="P1339" s="71"/>
      <c r="Q1339" s="71"/>
      <c r="R1339" s="71"/>
      <c r="T1339" s="71"/>
      <c r="U1339" s="71"/>
      <c r="V1339" s="71"/>
      <c r="W1339" s="71"/>
    </row>
    <row r="1340">
      <c r="A1340" s="71"/>
      <c r="B1340" s="71"/>
      <c r="C1340" s="71"/>
      <c r="E1340" s="71"/>
      <c r="F1340" s="71"/>
      <c r="M1340" s="71"/>
      <c r="N1340" s="71"/>
      <c r="O1340" s="71"/>
      <c r="P1340" s="71"/>
      <c r="Q1340" s="71"/>
      <c r="R1340" s="71"/>
      <c r="U1340" s="71"/>
      <c r="V1340" s="71"/>
    </row>
    <row r="1341">
      <c r="A1341" s="71"/>
      <c r="B1341" s="71"/>
      <c r="C1341" s="71"/>
      <c r="E1341" s="71"/>
      <c r="F1341" s="71"/>
      <c r="N1341" s="71"/>
      <c r="O1341" s="71"/>
      <c r="P1341" s="71"/>
      <c r="Q1341" s="71"/>
      <c r="R1341" s="71"/>
      <c r="U1341" s="71"/>
      <c r="V1341" s="71"/>
    </row>
    <row r="1342">
      <c r="A1342" s="71"/>
      <c r="B1342" s="71"/>
      <c r="C1342" s="71"/>
      <c r="D1342" s="71"/>
      <c r="E1342" s="71"/>
      <c r="F1342" s="71"/>
      <c r="M1342" s="71"/>
      <c r="N1342" s="71"/>
      <c r="Q1342" s="71"/>
      <c r="S1342" s="71"/>
      <c r="T1342" s="71"/>
      <c r="U1342" s="71"/>
      <c r="V1342" s="71"/>
      <c r="W1342" s="71"/>
      <c r="X1342" s="71"/>
      <c r="Y1342" s="71"/>
    </row>
    <row r="1343">
      <c r="A1343" s="71"/>
      <c r="B1343" s="71"/>
      <c r="C1343" s="71"/>
      <c r="D1343" s="71"/>
      <c r="E1343" s="71"/>
      <c r="F1343" s="71"/>
      <c r="M1343" s="71"/>
      <c r="N1343" s="71"/>
      <c r="Q1343" s="71"/>
      <c r="S1343" s="71"/>
      <c r="T1343" s="71"/>
      <c r="U1343" s="71"/>
      <c r="V1343" s="71"/>
      <c r="W1343" s="71"/>
      <c r="X1343" s="71"/>
      <c r="Y1343" s="71"/>
    </row>
    <row r="1344">
      <c r="A1344" s="71"/>
      <c r="B1344" s="71"/>
      <c r="C1344" s="71"/>
      <c r="E1344" s="71"/>
      <c r="F1344" s="71"/>
      <c r="M1344" s="71"/>
      <c r="N1344" s="71"/>
      <c r="O1344" s="71"/>
      <c r="P1344" s="71"/>
      <c r="Q1344" s="71"/>
      <c r="R1344" s="71"/>
      <c r="U1344" s="71"/>
      <c r="V1344" s="71"/>
    </row>
    <row r="1345">
      <c r="A1345" s="71"/>
      <c r="B1345" s="71"/>
      <c r="C1345" s="71"/>
      <c r="D1345" s="71"/>
      <c r="E1345" s="71"/>
      <c r="F1345" s="71"/>
      <c r="M1345" s="71"/>
      <c r="N1345" s="71"/>
      <c r="Q1345" s="71"/>
      <c r="T1345" s="71"/>
      <c r="U1345" s="71"/>
      <c r="V1345" s="71"/>
      <c r="W1345" s="71"/>
    </row>
    <row r="1346">
      <c r="A1346" s="71"/>
      <c r="B1346" s="71"/>
      <c r="C1346" s="71"/>
      <c r="E1346" s="71"/>
      <c r="F1346" s="71"/>
      <c r="M1346" s="71"/>
      <c r="N1346" s="71"/>
      <c r="O1346" s="71"/>
      <c r="P1346" s="71"/>
      <c r="Q1346" s="71"/>
      <c r="R1346" s="71"/>
      <c r="T1346" s="71"/>
      <c r="U1346" s="71"/>
      <c r="V1346" s="71"/>
      <c r="W1346" s="71"/>
      <c r="X1346" s="71"/>
    </row>
    <row r="1347">
      <c r="A1347" s="71"/>
      <c r="B1347" s="71"/>
      <c r="C1347" s="71"/>
      <c r="D1347" s="71"/>
      <c r="E1347" s="71"/>
      <c r="F1347" s="71"/>
      <c r="M1347" s="71"/>
      <c r="N1347" s="71"/>
      <c r="O1347" s="71"/>
      <c r="P1347" s="71"/>
      <c r="Q1347" s="71"/>
      <c r="R1347" s="71"/>
      <c r="S1347" s="71"/>
      <c r="T1347" s="71"/>
      <c r="U1347" s="71"/>
      <c r="V1347" s="71"/>
      <c r="W1347" s="71"/>
      <c r="X1347" s="71"/>
      <c r="Y1347" s="71"/>
    </row>
    <row r="1348">
      <c r="A1348" s="71"/>
      <c r="B1348" s="71"/>
      <c r="C1348" s="71"/>
      <c r="E1348" s="71"/>
      <c r="F1348" s="71"/>
      <c r="N1348" s="71"/>
      <c r="O1348" s="71"/>
      <c r="P1348" s="71"/>
      <c r="Q1348" s="71"/>
      <c r="R1348" s="71"/>
      <c r="U1348" s="71"/>
      <c r="V1348" s="71"/>
    </row>
    <row r="1349">
      <c r="A1349" s="71"/>
      <c r="B1349" s="71"/>
      <c r="C1349" s="71"/>
      <c r="E1349" s="71"/>
      <c r="F1349" s="71"/>
      <c r="M1349" s="71"/>
      <c r="N1349" s="71"/>
      <c r="O1349" s="71"/>
      <c r="P1349" s="71"/>
      <c r="Q1349" s="71"/>
      <c r="R1349" s="71"/>
      <c r="T1349" s="71"/>
      <c r="U1349" s="71"/>
      <c r="V1349" s="71"/>
      <c r="W1349" s="71"/>
      <c r="X1349" s="71"/>
    </row>
    <row r="1350">
      <c r="A1350" s="71"/>
      <c r="B1350" s="71"/>
      <c r="C1350" s="71"/>
      <c r="E1350" s="71"/>
      <c r="F1350" s="71"/>
      <c r="M1350" s="71"/>
      <c r="N1350" s="71"/>
      <c r="O1350" s="71"/>
      <c r="P1350" s="71"/>
      <c r="Q1350" s="71"/>
      <c r="R1350" s="71"/>
      <c r="T1350" s="71"/>
      <c r="U1350" s="71"/>
      <c r="V1350" s="71"/>
      <c r="W1350" s="71"/>
      <c r="X1350" s="71"/>
    </row>
    <row r="1351">
      <c r="A1351" s="71"/>
      <c r="B1351" s="71"/>
      <c r="C1351" s="71"/>
      <c r="D1351" s="71"/>
      <c r="E1351" s="71"/>
      <c r="F1351" s="71"/>
      <c r="M1351" s="71"/>
      <c r="N1351" s="71"/>
      <c r="Q1351" s="71"/>
      <c r="S1351" s="71"/>
      <c r="T1351" s="71"/>
      <c r="U1351" s="71"/>
      <c r="V1351" s="71"/>
      <c r="W1351" s="71"/>
      <c r="Y1351" s="71"/>
    </row>
    <row r="1352">
      <c r="A1352" s="71"/>
      <c r="B1352" s="71"/>
      <c r="C1352" s="71"/>
      <c r="D1352" s="71"/>
      <c r="E1352" s="71"/>
      <c r="F1352" s="71"/>
      <c r="M1352" s="71"/>
      <c r="N1352" s="71"/>
      <c r="Q1352" s="71"/>
      <c r="S1352" s="71"/>
      <c r="T1352" s="71"/>
      <c r="U1352" s="71"/>
      <c r="V1352" s="71"/>
      <c r="W1352" s="71"/>
      <c r="Y1352" s="71"/>
    </row>
    <row r="1353">
      <c r="A1353" s="71"/>
      <c r="B1353" s="71"/>
      <c r="C1353" s="71"/>
      <c r="D1353" s="71"/>
      <c r="E1353" s="71"/>
      <c r="F1353" s="71"/>
      <c r="M1353" s="71"/>
      <c r="N1353" s="71"/>
      <c r="Q1353" s="71"/>
      <c r="T1353" s="71"/>
      <c r="U1353" s="71"/>
      <c r="V1353" s="71"/>
      <c r="W1353" s="71"/>
    </row>
    <row r="1354">
      <c r="A1354" s="71"/>
      <c r="B1354" s="71"/>
      <c r="C1354" s="71"/>
      <c r="D1354" s="71"/>
      <c r="E1354" s="71"/>
      <c r="F1354" s="71"/>
      <c r="M1354" s="71"/>
      <c r="N1354" s="71"/>
      <c r="Q1354" s="71"/>
      <c r="T1354" s="71"/>
      <c r="U1354" s="71"/>
      <c r="V1354" s="71"/>
      <c r="W1354" s="71"/>
    </row>
    <row r="1355">
      <c r="A1355" s="71"/>
      <c r="B1355" s="71"/>
      <c r="C1355" s="71"/>
      <c r="D1355" s="71"/>
      <c r="E1355" s="71"/>
      <c r="F1355" s="71"/>
      <c r="M1355" s="71"/>
      <c r="N1355" s="71"/>
      <c r="Q1355" s="71"/>
      <c r="S1355" s="71"/>
      <c r="T1355" s="71"/>
      <c r="U1355" s="71"/>
      <c r="V1355" s="71"/>
      <c r="W1355" s="71"/>
      <c r="X1355" s="71"/>
      <c r="Y1355" s="71"/>
    </row>
    <row r="1356">
      <c r="A1356" s="71"/>
      <c r="B1356" s="71"/>
      <c r="C1356" s="71"/>
      <c r="E1356" s="71"/>
      <c r="F1356" s="71"/>
      <c r="M1356" s="71"/>
      <c r="N1356" s="71"/>
      <c r="O1356" s="71"/>
      <c r="P1356" s="71"/>
      <c r="Q1356" s="71"/>
      <c r="R1356" s="71"/>
      <c r="T1356" s="71"/>
      <c r="U1356" s="71"/>
      <c r="V1356" s="71"/>
      <c r="W1356" s="71"/>
    </row>
    <row r="1357">
      <c r="A1357" s="71"/>
      <c r="B1357" s="71"/>
      <c r="C1357" s="71"/>
      <c r="E1357" s="71"/>
      <c r="F1357" s="71"/>
      <c r="N1357" s="71"/>
      <c r="O1357" s="71"/>
      <c r="P1357" s="71"/>
      <c r="Q1357" s="71"/>
      <c r="R1357" s="71"/>
      <c r="U1357" s="71"/>
      <c r="V1357" s="71"/>
    </row>
    <row r="1358">
      <c r="A1358" s="71"/>
      <c r="B1358" s="71"/>
      <c r="C1358" s="71"/>
      <c r="D1358" s="71"/>
      <c r="E1358" s="71"/>
      <c r="F1358" s="71"/>
      <c r="M1358" s="71"/>
      <c r="N1358" s="71"/>
      <c r="Q1358" s="71"/>
      <c r="T1358" s="71"/>
      <c r="U1358" s="71"/>
      <c r="V1358" s="71"/>
      <c r="W1358" s="71"/>
      <c r="X1358" s="71"/>
    </row>
    <row r="1359">
      <c r="A1359" s="71"/>
      <c r="B1359" s="71"/>
      <c r="C1359" s="71"/>
      <c r="D1359" s="71"/>
      <c r="E1359" s="71"/>
      <c r="F1359" s="71"/>
      <c r="M1359" s="71"/>
      <c r="N1359" s="71"/>
      <c r="Q1359" s="71"/>
      <c r="T1359" s="71"/>
      <c r="U1359" s="71"/>
      <c r="V1359" s="71"/>
      <c r="W1359" s="71"/>
      <c r="X1359" s="71"/>
    </row>
    <row r="1360">
      <c r="A1360" s="71"/>
      <c r="B1360" s="71"/>
      <c r="C1360" s="71"/>
      <c r="D1360" s="71"/>
      <c r="E1360" s="71"/>
      <c r="F1360" s="71"/>
      <c r="M1360" s="71"/>
      <c r="N1360" s="71"/>
      <c r="Q1360" s="71"/>
      <c r="S1360" s="71"/>
      <c r="T1360" s="71"/>
      <c r="U1360" s="71"/>
      <c r="V1360" s="71"/>
      <c r="W1360" s="71"/>
      <c r="X1360" s="71"/>
      <c r="Y1360" s="71"/>
    </row>
    <row r="1361">
      <c r="A1361" s="71"/>
      <c r="B1361" s="71"/>
      <c r="C1361" s="71"/>
      <c r="D1361" s="71"/>
      <c r="E1361" s="71"/>
      <c r="F1361" s="71"/>
      <c r="M1361" s="71"/>
      <c r="N1361" s="71"/>
      <c r="O1361" s="71"/>
      <c r="P1361" s="71"/>
      <c r="Q1361" s="71"/>
      <c r="R1361" s="71"/>
      <c r="S1361" s="71"/>
      <c r="T1361" s="71"/>
      <c r="U1361" s="71"/>
      <c r="V1361" s="71"/>
      <c r="W1361" s="71"/>
    </row>
    <row r="1362">
      <c r="A1362" s="71"/>
      <c r="B1362" s="71"/>
      <c r="C1362" s="71"/>
      <c r="D1362" s="71"/>
      <c r="E1362" s="71"/>
      <c r="F1362" s="71"/>
      <c r="M1362" s="71"/>
      <c r="N1362" s="71"/>
      <c r="O1362" s="71"/>
      <c r="P1362" s="71"/>
      <c r="Q1362" s="71"/>
      <c r="R1362" s="71"/>
      <c r="T1362" s="71"/>
      <c r="U1362" s="71"/>
      <c r="V1362" s="71"/>
      <c r="W1362" s="71"/>
    </row>
    <row r="1363">
      <c r="A1363" s="71"/>
      <c r="B1363" s="71"/>
      <c r="C1363" s="71"/>
      <c r="D1363" s="71"/>
      <c r="E1363" s="71"/>
      <c r="F1363" s="71"/>
      <c r="M1363" s="71"/>
      <c r="N1363" s="71"/>
      <c r="O1363" s="71"/>
      <c r="P1363" s="71"/>
      <c r="Q1363" s="71"/>
      <c r="R1363" s="71"/>
      <c r="T1363" s="71"/>
      <c r="U1363" s="71"/>
      <c r="V1363" s="71"/>
      <c r="W1363" s="71"/>
    </row>
    <row r="1364">
      <c r="A1364" s="71"/>
      <c r="B1364" s="71"/>
      <c r="C1364" s="71"/>
      <c r="D1364" s="71"/>
      <c r="E1364" s="71"/>
      <c r="F1364" s="71"/>
      <c r="M1364" s="71"/>
      <c r="N1364" s="71"/>
      <c r="O1364" s="71"/>
      <c r="P1364" s="71"/>
      <c r="Q1364" s="71"/>
      <c r="R1364" s="71"/>
      <c r="S1364" s="71"/>
      <c r="T1364" s="71"/>
      <c r="U1364" s="71"/>
      <c r="V1364" s="71"/>
      <c r="W1364" s="71"/>
      <c r="X1364" s="71"/>
      <c r="Y1364" s="71"/>
    </row>
    <row r="1365">
      <c r="A1365" s="71"/>
      <c r="B1365" s="71"/>
      <c r="C1365" s="71"/>
      <c r="D1365" s="71"/>
      <c r="E1365" s="71"/>
      <c r="F1365" s="71"/>
      <c r="M1365" s="71"/>
      <c r="N1365" s="71"/>
      <c r="Q1365" s="71"/>
      <c r="S1365" s="71"/>
      <c r="T1365" s="71"/>
      <c r="U1365" s="71"/>
      <c r="V1365" s="71"/>
      <c r="W1365" s="71"/>
      <c r="X1365" s="71"/>
      <c r="Y1365" s="71"/>
    </row>
    <row r="1366">
      <c r="A1366" s="71"/>
      <c r="B1366" s="71"/>
      <c r="C1366" s="71"/>
      <c r="E1366" s="71"/>
      <c r="F1366" s="71"/>
      <c r="N1366" s="71"/>
      <c r="O1366" s="71"/>
      <c r="P1366" s="71"/>
      <c r="Q1366" s="71"/>
      <c r="R1366" s="71"/>
      <c r="U1366" s="71"/>
      <c r="V1366" s="71"/>
    </row>
    <row r="1367">
      <c r="A1367" s="71"/>
      <c r="B1367" s="71"/>
      <c r="C1367" s="71"/>
      <c r="D1367" s="71"/>
      <c r="E1367" s="71"/>
      <c r="F1367" s="71"/>
      <c r="M1367" s="71"/>
      <c r="N1367" s="71"/>
      <c r="O1367" s="71"/>
      <c r="P1367" s="71"/>
      <c r="Q1367" s="71"/>
      <c r="R1367" s="71"/>
      <c r="T1367" s="71"/>
      <c r="U1367" s="71"/>
      <c r="V1367" s="71"/>
      <c r="W1367" s="71"/>
    </row>
    <row r="1368">
      <c r="A1368" s="71"/>
      <c r="B1368" s="71"/>
      <c r="C1368" s="71"/>
      <c r="D1368" s="71"/>
      <c r="E1368" s="71"/>
      <c r="F1368" s="71"/>
      <c r="M1368" s="71"/>
      <c r="N1368" s="71"/>
      <c r="Q1368" s="71"/>
      <c r="S1368" s="71"/>
      <c r="T1368" s="71"/>
      <c r="U1368" s="71"/>
      <c r="V1368" s="71"/>
      <c r="W1368" s="71"/>
      <c r="X1368" s="71"/>
      <c r="Y1368" s="71"/>
    </row>
    <row r="1369">
      <c r="A1369" s="71"/>
      <c r="B1369" s="71"/>
      <c r="C1369" s="71"/>
      <c r="D1369" s="71"/>
      <c r="E1369" s="71"/>
      <c r="F1369" s="71"/>
      <c r="M1369" s="71"/>
      <c r="N1369" s="71"/>
      <c r="O1369" s="71"/>
      <c r="P1369" s="71"/>
      <c r="Q1369" s="71"/>
      <c r="R1369" s="71"/>
      <c r="T1369" s="71"/>
      <c r="U1369" s="71"/>
      <c r="V1369" s="71"/>
      <c r="W1369" s="71"/>
      <c r="X1369" s="71"/>
    </row>
    <row r="1370">
      <c r="A1370" s="71"/>
      <c r="B1370" s="71"/>
      <c r="C1370" s="71"/>
      <c r="D1370" s="71"/>
      <c r="E1370" s="71"/>
      <c r="F1370" s="71"/>
      <c r="M1370" s="71"/>
      <c r="N1370" s="71"/>
      <c r="Q1370" s="71"/>
      <c r="S1370" s="71"/>
      <c r="T1370" s="71"/>
      <c r="U1370" s="71"/>
      <c r="V1370" s="71"/>
      <c r="W1370" s="71"/>
      <c r="X1370" s="71"/>
      <c r="Y1370" s="71"/>
    </row>
    <row r="1371">
      <c r="A1371" s="71"/>
      <c r="B1371" s="71"/>
      <c r="C1371" s="71"/>
      <c r="E1371" s="71"/>
      <c r="F1371" s="71"/>
      <c r="M1371" s="71"/>
      <c r="N1371" s="71"/>
      <c r="O1371" s="71"/>
      <c r="P1371" s="71"/>
      <c r="Q1371" s="71"/>
      <c r="R1371" s="71"/>
      <c r="T1371" s="71"/>
      <c r="U1371" s="71"/>
      <c r="V1371" s="71"/>
      <c r="W1371" s="71"/>
      <c r="X1371" s="71"/>
    </row>
    <row r="1372">
      <c r="A1372" s="71"/>
      <c r="B1372" s="71"/>
      <c r="C1372" s="71"/>
      <c r="D1372" s="71"/>
      <c r="E1372" s="71"/>
      <c r="F1372" s="71"/>
      <c r="M1372" s="71"/>
      <c r="N1372" s="71"/>
      <c r="O1372" s="71"/>
      <c r="P1372" s="71"/>
      <c r="Q1372" s="71"/>
      <c r="R1372" s="71"/>
      <c r="S1372" s="71"/>
      <c r="T1372" s="71"/>
      <c r="U1372" s="71"/>
      <c r="V1372" s="71"/>
      <c r="W1372" s="71"/>
      <c r="X1372" s="71"/>
      <c r="Y1372" s="71"/>
    </row>
    <row r="1373">
      <c r="A1373" s="71"/>
      <c r="B1373" s="71"/>
      <c r="C1373" s="71"/>
      <c r="F1373" s="71"/>
      <c r="O1373" s="71"/>
      <c r="P1373" s="71"/>
      <c r="Q1373" s="71"/>
      <c r="R1373" s="71"/>
      <c r="U1373" s="71"/>
      <c r="V1373" s="71"/>
    </row>
    <row r="1374">
      <c r="A1374" s="71"/>
      <c r="B1374" s="71"/>
      <c r="C1374" s="71"/>
      <c r="D1374" s="71"/>
      <c r="E1374" s="71"/>
      <c r="F1374" s="71"/>
      <c r="M1374" s="71"/>
      <c r="N1374" s="71"/>
      <c r="Q1374" s="71"/>
      <c r="S1374" s="71"/>
      <c r="T1374" s="71"/>
      <c r="U1374" s="71"/>
      <c r="V1374" s="71"/>
      <c r="W1374" s="71"/>
      <c r="X1374" s="71"/>
      <c r="Y1374" s="71"/>
    </row>
    <row r="1375">
      <c r="A1375" s="71"/>
      <c r="B1375" s="71"/>
      <c r="C1375" s="71"/>
      <c r="D1375" s="71"/>
      <c r="E1375" s="71"/>
      <c r="F1375" s="71"/>
      <c r="M1375" s="71"/>
      <c r="N1375" s="71"/>
      <c r="O1375" s="71"/>
      <c r="P1375" s="71"/>
      <c r="Q1375" s="71"/>
      <c r="R1375" s="71"/>
      <c r="T1375" s="71"/>
      <c r="U1375" s="71"/>
      <c r="V1375" s="71"/>
      <c r="W1375" s="71"/>
      <c r="X1375" s="71"/>
    </row>
    <row r="1376">
      <c r="A1376" s="71"/>
      <c r="B1376" s="71"/>
      <c r="C1376" s="71"/>
      <c r="E1376" s="71"/>
      <c r="F1376" s="71"/>
      <c r="M1376" s="71"/>
      <c r="N1376" s="71"/>
      <c r="O1376" s="71"/>
      <c r="P1376" s="71"/>
      <c r="Q1376" s="71"/>
      <c r="R1376" s="71"/>
      <c r="T1376" s="71"/>
      <c r="U1376" s="71"/>
      <c r="V1376" s="71"/>
      <c r="W1376" s="71"/>
      <c r="X1376" s="71"/>
    </row>
    <row r="1377">
      <c r="A1377" s="71"/>
      <c r="B1377" s="71"/>
      <c r="C1377" s="71"/>
      <c r="D1377" s="71"/>
      <c r="E1377" s="71"/>
      <c r="F1377" s="71"/>
      <c r="M1377" s="71"/>
      <c r="N1377" s="71"/>
      <c r="Q1377" s="71"/>
      <c r="S1377" s="71"/>
      <c r="T1377" s="71"/>
      <c r="U1377" s="71"/>
      <c r="V1377" s="71"/>
      <c r="W1377" s="71"/>
      <c r="X1377" s="71"/>
      <c r="Y1377" s="71"/>
    </row>
    <row r="1378">
      <c r="A1378" s="71"/>
      <c r="B1378" s="71"/>
      <c r="C1378" s="71"/>
      <c r="E1378" s="71"/>
      <c r="F1378" s="71"/>
      <c r="M1378" s="71"/>
      <c r="N1378" s="71"/>
      <c r="O1378" s="71"/>
      <c r="P1378" s="71"/>
      <c r="Q1378" s="71"/>
      <c r="R1378" s="71"/>
      <c r="T1378" s="71"/>
      <c r="U1378" s="71"/>
      <c r="V1378" s="71"/>
      <c r="W1378" s="71"/>
      <c r="X1378" s="71"/>
    </row>
    <row r="1379">
      <c r="A1379" s="71"/>
      <c r="B1379" s="71"/>
      <c r="C1379" s="71"/>
      <c r="D1379" s="71"/>
      <c r="E1379" s="71"/>
      <c r="F1379" s="71"/>
      <c r="M1379" s="71"/>
      <c r="N1379" s="71"/>
      <c r="O1379" s="71"/>
      <c r="P1379" s="71"/>
      <c r="Q1379" s="71"/>
      <c r="R1379" s="71"/>
      <c r="T1379" s="71"/>
      <c r="U1379" s="71"/>
      <c r="V1379" s="71"/>
      <c r="W1379" s="71"/>
    </row>
    <row r="1380">
      <c r="A1380" s="71"/>
      <c r="B1380" s="71"/>
      <c r="C1380" s="71"/>
      <c r="D1380" s="71"/>
      <c r="E1380" s="71"/>
      <c r="F1380" s="71"/>
      <c r="M1380" s="71"/>
      <c r="N1380" s="71"/>
      <c r="Q1380" s="71"/>
      <c r="S1380" s="71"/>
      <c r="T1380" s="71"/>
      <c r="U1380" s="71"/>
      <c r="V1380" s="71"/>
      <c r="W1380" s="71"/>
      <c r="X1380" s="71"/>
      <c r="Y1380" s="71"/>
    </row>
    <row r="1381">
      <c r="A1381" s="71"/>
      <c r="B1381" s="71"/>
      <c r="C1381" s="71"/>
      <c r="D1381" s="71"/>
      <c r="E1381" s="71"/>
      <c r="F1381" s="71"/>
      <c r="M1381" s="71"/>
      <c r="N1381" s="71"/>
      <c r="Q1381" s="71"/>
      <c r="S1381" s="71"/>
      <c r="T1381" s="71"/>
      <c r="U1381" s="71"/>
      <c r="V1381" s="71"/>
      <c r="W1381" s="71"/>
      <c r="X1381" s="71"/>
      <c r="Y1381" s="71"/>
    </row>
    <row r="1382">
      <c r="A1382" s="71"/>
      <c r="B1382" s="71"/>
      <c r="C1382" s="71"/>
      <c r="D1382" s="71"/>
      <c r="E1382" s="71"/>
      <c r="F1382" s="71"/>
      <c r="N1382" s="71"/>
      <c r="O1382" s="71"/>
      <c r="P1382" s="71"/>
      <c r="Q1382" s="71"/>
      <c r="R1382" s="71"/>
      <c r="U1382" s="71"/>
      <c r="V1382" s="71"/>
    </row>
    <row r="1383">
      <c r="A1383" s="71"/>
      <c r="B1383" s="71"/>
      <c r="C1383" s="71"/>
      <c r="D1383" s="71"/>
      <c r="E1383" s="71"/>
      <c r="F1383" s="71"/>
      <c r="M1383" s="71"/>
      <c r="N1383" s="71"/>
      <c r="O1383" s="71"/>
      <c r="P1383" s="71"/>
      <c r="Q1383" s="71"/>
      <c r="R1383" s="71"/>
      <c r="T1383" s="71"/>
      <c r="U1383" s="71"/>
      <c r="V1383" s="71"/>
      <c r="W1383" s="71"/>
      <c r="X1383" s="71"/>
    </row>
    <row r="1384">
      <c r="A1384" s="71"/>
      <c r="B1384" s="71"/>
      <c r="C1384" s="71"/>
      <c r="D1384" s="71"/>
      <c r="E1384" s="71"/>
      <c r="F1384" s="71"/>
      <c r="M1384" s="71"/>
      <c r="N1384" s="71"/>
      <c r="O1384" s="71"/>
      <c r="P1384" s="71"/>
      <c r="Q1384" s="71"/>
      <c r="R1384" s="71"/>
      <c r="T1384" s="71"/>
      <c r="U1384" s="71"/>
      <c r="V1384" s="71"/>
      <c r="W1384" s="71"/>
      <c r="X1384" s="71"/>
    </row>
    <row r="1385">
      <c r="A1385" s="71"/>
      <c r="B1385" s="71"/>
      <c r="C1385" s="71"/>
      <c r="D1385" s="71"/>
      <c r="E1385" s="71"/>
      <c r="F1385" s="71"/>
      <c r="M1385" s="71"/>
      <c r="N1385" s="71"/>
      <c r="O1385" s="71"/>
      <c r="P1385" s="71"/>
      <c r="Q1385" s="71"/>
      <c r="R1385" s="71"/>
      <c r="T1385" s="71"/>
      <c r="U1385" s="71"/>
      <c r="V1385" s="71"/>
      <c r="W1385" s="71"/>
      <c r="X1385" s="71"/>
    </row>
    <row r="1386">
      <c r="A1386" s="71"/>
      <c r="B1386" s="71"/>
      <c r="C1386" s="71"/>
      <c r="D1386" s="71"/>
      <c r="E1386" s="71"/>
      <c r="F1386" s="71"/>
      <c r="M1386" s="71"/>
      <c r="O1386" s="71"/>
      <c r="P1386" s="71"/>
      <c r="Q1386" s="71"/>
      <c r="R1386" s="71"/>
      <c r="S1386" s="71"/>
      <c r="T1386" s="71"/>
      <c r="U1386" s="71"/>
      <c r="V1386" s="71"/>
      <c r="W1386" s="71"/>
      <c r="X1386" s="71"/>
      <c r="Y1386" s="71"/>
    </row>
    <row r="1387">
      <c r="A1387" s="71"/>
      <c r="B1387" s="71"/>
      <c r="C1387" s="71"/>
      <c r="E1387" s="71"/>
      <c r="F1387" s="71"/>
      <c r="N1387" s="71"/>
      <c r="O1387" s="71"/>
      <c r="P1387" s="71"/>
      <c r="Q1387" s="71"/>
      <c r="R1387" s="71"/>
      <c r="U1387" s="71"/>
      <c r="V1387" s="71"/>
    </row>
    <row r="1388">
      <c r="A1388" s="71"/>
      <c r="B1388" s="71"/>
      <c r="C1388" s="71"/>
      <c r="E1388" s="71"/>
      <c r="F1388" s="71"/>
      <c r="N1388" s="71"/>
      <c r="O1388" s="71"/>
      <c r="P1388" s="71"/>
      <c r="Q1388" s="71"/>
      <c r="R1388" s="71"/>
      <c r="U1388" s="71"/>
      <c r="V1388" s="71"/>
    </row>
    <row r="1389">
      <c r="A1389" s="71"/>
      <c r="B1389" s="71"/>
      <c r="C1389" s="71"/>
      <c r="D1389" s="71"/>
      <c r="E1389" s="71"/>
      <c r="F1389" s="71"/>
      <c r="M1389" s="71"/>
      <c r="N1389" s="71"/>
      <c r="Q1389" s="71"/>
      <c r="S1389" s="71"/>
      <c r="T1389" s="71"/>
      <c r="U1389" s="71"/>
      <c r="V1389" s="71"/>
      <c r="W1389" s="71"/>
      <c r="X1389" s="71"/>
      <c r="Y1389" s="71"/>
    </row>
    <row r="1390">
      <c r="A1390" s="71"/>
      <c r="B1390" s="71"/>
      <c r="C1390" s="71"/>
      <c r="D1390" s="71"/>
      <c r="E1390" s="71"/>
      <c r="F1390" s="71"/>
      <c r="M1390" s="71"/>
      <c r="N1390" s="71"/>
      <c r="Q1390" s="71"/>
      <c r="S1390" s="71"/>
      <c r="T1390" s="71"/>
      <c r="U1390" s="71"/>
      <c r="V1390" s="71"/>
      <c r="W1390" s="71"/>
      <c r="X1390" s="71"/>
      <c r="Y1390" s="71"/>
    </row>
    <row r="1391">
      <c r="A1391" s="71"/>
      <c r="B1391" s="71"/>
      <c r="C1391" s="71"/>
      <c r="D1391" s="71"/>
      <c r="E1391" s="71"/>
      <c r="F1391" s="71"/>
      <c r="N1391" s="71"/>
      <c r="O1391" s="71"/>
      <c r="P1391" s="71"/>
      <c r="Q1391" s="71"/>
      <c r="R1391" s="71"/>
      <c r="U1391" s="71"/>
      <c r="V1391" s="71"/>
    </row>
    <row r="1392">
      <c r="A1392" s="71"/>
      <c r="B1392" s="71"/>
      <c r="C1392" s="71"/>
      <c r="D1392" s="71"/>
      <c r="E1392" s="71"/>
      <c r="F1392" s="71"/>
      <c r="N1392" s="71"/>
      <c r="O1392" s="71"/>
      <c r="P1392" s="71"/>
      <c r="Q1392" s="71"/>
      <c r="R1392" s="71"/>
      <c r="U1392" s="71"/>
      <c r="V1392" s="71"/>
    </row>
    <row r="1393">
      <c r="A1393" s="71"/>
      <c r="B1393" s="71"/>
      <c r="C1393" s="71"/>
      <c r="D1393" s="71"/>
      <c r="F1393" s="71"/>
      <c r="M1393" s="71"/>
      <c r="N1393" s="71"/>
      <c r="O1393" s="71"/>
      <c r="P1393" s="71"/>
      <c r="Q1393" s="71"/>
      <c r="R1393" s="71"/>
      <c r="T1393" s="71"/>
      <c r="U1393" s="71"/>
      <c r="V1393" s="71"/>
      <c r="W1393" s="71"/>
    </row>
    <row r="1394">
      <c r="A1394" s="71"/>
      <c r="B1394" s="71"/>
      <c r="C1394" s="71"/>
      <c r="D1394" s="71"/>
      <c r="F1394" s="71"/>
      <c r="M1394" s="71"/>
      <c r="O1394" s="71"/>
      <c r="P1394" s="71"/>
      <c r="Q1394" s="71"/>
      <c r="R1394" s="71"/>
      <c r="U1394" s="71"/>
      <c r="V1394" s="71"/>
    </row>
    <row r="1395">
      <c r="A1395" s="71"/>
      <c r="B1395" s="71"/>
      <c r="C1395" s="71"/>
      <c r="D1395" s="71"/>
      <c r="E1395" s="71"/>
      <c r="F1395" s="71"/>
      <c r="O1395" s="71"/>
      <c r="P1395" s="71"/>
      <c r="Q1395" s="71"/>
      <c r="R1395" s="71"/>
      <c r="U1395" s="71"/>
      <c r="V1395" s="71"/>
    </row>
    <row r="1396">
      <c r="A1396" s="71"/>
      <c r="B1396" s="71"/>
      <c r="C1396" s="71"/>
      <c r="D1396" s="71"/>
      <c r="E1396" s="71"/>
      <c r="F1396" s="71"/>
      <c r="M1396" s="71"/>
      <c r="N1396" s="71"/>
      <c r="O1396" s="71"/>
      <c r="P1396" s="71"/>
      <c r="Q1396" s="71"/>
      <c r="R1396" s="71"/>
      <c r="S1396" s="71"/>
      <c r="T1396" s="71"/>
      <c r="U1396" s="71"/>
      <c r="V1396" s="71"/>
      <c r="W1396" s="71"/>
      <c r="X1396" s="71"/>
      <c r="Y1396" s="71"/>
    </row>
    <row r="1397">
      <c r="A1397" s="71"/>
      <c r="B1397" s="71"/>
      <c r="C1397" s="71"/>
      <c r="E1397" s="71"/>
      <c r="F1397" s="71"/>
      <c r="M1397" s="71"/>
      <c r="N1397" s="71"/>
      <c r="O1397" s="71"/>
      <c r="P1397" s="71"/>
      <c r="Q1397" s="71"/>
      <c r="R1397" s="71"/>
      <c r="U1397" s="71"/>
      <c r="V1397" s="71"/>
    </row>
    <row r="1398">
      <c r="A1398" s="71"/>
      <c r="B1398" s="71"/>
      <c r="C1398" s="71"/>
      <c r="E1398" s="71"/>
      <c r="F1398" s="71"/>
      <c r="M1398" s="71"/>
      <c r="N1398" s="71"/>
      <c r="O1398" s="71"/>
      <c r="P1398" s="71"/>
      <c r="Q1398" s="71"/>
      <c r="R1398" s="71"/>
      <c r="U1398" s="71"/>
      <c r="V1398" s="71"/>
    </row>
    <row r="1399">
      <c r="A1399" s="71"/>
      <c r="B1399" s="71"/>
      <c r="C1399" s="71"/>
      <c r="D1399" s="71"/>
      <c r="E1399" s="71"/>
      <c r="F1399" s="71"/>
      <c r="M1399" s="71"/>
      <c r="N1399" s="71"/>
      <c r="O1399" s="71"/>
      <c r="P1399" s="71"/>
      <c r="Q1399" s="71"/>
      <c r="R1399" s="71"/>
      <c r="S1399" s="71"/>
      <c r="T1399" s="71"/>
      <c r="U1399" s="71"/>
      <c r="V1399" s="71"/>
      <c r="W1399" s="71"/>
      <c r="X1399" s="71"/>
      <c r="Y1399" s="71"/>
    </row>
    <row r="1400">
      <c r="A1400" s="71"/>
      <c r="B1400" s="71"/>
      <c r="C1400" s="71"/>
      <c r="D1400" s="71"/>
      <c r="E1400" s="71"/>
      <c r="F1400" s="71"/>
      <c r="M1400" s="71"/>
      <c r="N1400" s="71"/>
      <c r="O1400" s="71"/>
      <c r="P1400" s="71"/>
      <c r="Q1400" s="71"/>
      <c r="R1400" s="71"/>
      <c r="S1400" s="71"/>
      <c r="T1400" s="71"/>
      <c r="U1400" s="71"/>
      <c r="V1400" s="71"/>
      <c r="W1400" s="71"/>
      <c r="X1400" s="71"/>
      <c r="Y1400" s="71"/>
    </row>
    <row r="1401">
      <c r="A1401" s="71"/>
      <c r="B1401" s="71"/>
      <c r="C1401" s="71"/>
      <c r="D1401" s="71"/>
      <c r="E1401" s="71"/>
      <c r="F1401" s="71"/>
      <c r="N1401" s="71"/>
      <c r="O1401" s="71"/>
      <c r="P1401" s="71"/>
      <c r="Q1401" s="71"/>
      <c r="R1401" s="71"/>
      <c r="U1401" s="71"/>
      <c r="V1401" s="71"/>
    </row>
    <row r="1402">
      <c r="A1402" s="71"/>
      <c r="B1402" s="71"/>
      <c r="C1402" s="71"/>
      <c r="D1402" s="71"/>
      <c r="F1402" s="71"/>
      <c r="M1402" s="71"/>
      <c r="N1402" s="71"/>
      <c r="O1402" s="71"/>
      <c r="P1402" s="71"/>
      <c r="Q1402" s="71"/>
      <c r="R1402" s="71"/>
      <c r="T1402" s="71"/>
      <c r="U1402" s="71"/>
      <c r="V1402" s="71"/>
      <c r="W1402" s="71"/>
    </row>
    <row r="1403">
      <c r="A1403" s="71"/>
      <c r="B1403" s="71"/>
      <c r="C1403" s="71"/>
      <c r="D1403" s="71"/>
      <c r="E1403" s="71"/>
      <c r="F1403" s="71"/>
      <c r="M1403" s="71"/>
      <c r="N1403" s="71"/>
      <c r="Q1403" s="71"/>
      <c r="S1403" s="71"/>
      <c r="T1403" s="71"/>
      <c r="U1403" s="71"/>
      <c r="V1403" s="71"/>
      <c r="W1403" s="71"/>
      <c r="X1403" s="71"/>
      <c r="Y1403" s="71"/>
    </row>
    <row r="1404">
      <c r="A1404" s="71"/>
      <c r="B1404" s="71"/>
      <c r="C1404" s="71"/>
      <c r="D1404" s="71"/>
      <c r="E1404" s="71"/>
      <c r="F1404" s="71"/>
      <c r="N1404" s="71"/>
      <c r="O1404" s="71"/>
      <c r="P1404" s="71"/>
      <c r="Q1404" s="71"/>
      <c r="R1404" s="71"/>
      <c r="U1404" s="71"/>
      <c r="V1404" s="71"/>
    </row>
    <row r="1405">
      <c r="A1405" s="71"/>
      <c r="B1405" s="71"/>
      <c r="C1405" s="71"/>
      <c r="D1405" s="71"/>
      <c r="E1405" s="71"/>
      <c r="F1405" s="71"/>
      <c r="M1405" s="71"/>
      <c r="N1405" s="71"/>
      <c r="Q1405" s="71"/>
      <c r="S1405" s="71"/>
      <c r="T1405" s="71"/>
      <c r="U1405" s="71"/>
      <c r="V1405" s="71"/>
      <c r="W1405" s="71"/>
      <c r="X1405" s="71"/>
      <c r="Y1405" s="71"/>
    </row>
    <row r="1406">
      <c r="A1406" s="71"/>
      <c r="B1406" s="71"/>
      <c r="C1406" s="71"/>
      <c r="D1406" s="71"/>
      <c r="F1406" s="71"/>
      <c r="M1406" s="71"/>
      <c r="N1406" s="71"/>
      <c r="O1406" s="71"/>
      <c r="P1406" s="71"/>
      <c r="Q1406" s="71"/>
      <c r="R1406" s="71"/>
      <c r="U1406" s="71"/>
      <c r="V1406" s="71"/>
    </row>
    <row r="1407">
      <c r="A1407" s="71"/>
      <c r="B1407" s="71"/>
      <c r="C1407" s="71"/>
      <c r="D1407" s="71"/>
      <c r="F1407" s="71"/>
      <c r="N1407" s="71"/>
      <c r="O1407" s="71"/>
      <c r="P1407" s="71"/>
      <c r="Q1407" s="71"/>
      <c r="R1407" s="71"/>
      <c r="U1407" s="71"/>
      <c r="V1407" s="71"/>
    </row>
    <row r="1408">
      <c r="A1408" s="71"/>
      <c r="B1408" s="71"/>
      <c r="C1408" s="71"/>
      <c r="E1408" s="71"/>
      <c r="F1408" s="71"/>
      <c r="N1408" s="71"/>
      <c r="O1408" s="71"/>
      <c r="P1408" s="71"/>
      <c r="Q1408" s="71"/>
      <c r="R1408" s="71"/>
      <c r="U1408" s="71"/>
      <c r="V1408" s="71"/>
    </row>
    <row r="1409">
      <c r="A1409" s="71"/>
      <c r="B1409" s="71"/>
      <c r="C1409" s="71"/>
      <c r="E1409" s="71"/>
      <c r="F1409" s="71"/>
      <c r="M1409" s="71"/>
      <c r="N1409" s="71"/>
      <c r="O1409" s="71"/>
      <c r="P1409" s="71"/>
      <c r="Q1409" s="71"/>
      <c r="R1409" s="71"/>
      <c r="T1409" s="71"/>
      <c r="U1409" s="71"/>
      <c r="V1409" s="71"/>
      <c r="W1409" s="71"/>
    </row>
    <row r="1410">
      <c r="A1410" s="71"/>
      <c r="B1410" s="71"/>
      <c r="C1410" s="71"/>
      <c r="D1410" s="71"/>
      <c r="E1410" s="71"/>
      <c r="F1410" s="71"/>
      <c r="M1410" s="71"/>
      <c r="N1410" s="71"/>
      <c r="Q1410" s="71"/>
      <c r="S1410" s="71"/>
      <c r="T1410" s="71"/>
      <c r="U1410" s="71"/>
      <c r="V1410" s="71"/>
      <c r="W1410" s="71"/>
      <c r="X1410" s="71"/>
      <c r="Y1410" s="71"/>
    </row>
    <row r="1411">
      <c r="A1411" s="71"/>
      <c r="B1411" s="71"/>
      <c r="C1411" s="71"/>
      <c r="D1411" s="71"/>
      <c r="E1411" s="71"/>
      <c r="F1411" s="71"/>
      <c r="M1411" s="71"/>
      <c r="N1411" s="71"/>
      <c r="O1411" s="71"/>
      <c r="P1411" s="71"/>
      <c r="Q1411" s="71"/>
      <c r="R1411" s="71"/>
      <c r="T1411" s="71"/>
      <c r="U1411" s="71"/>
      <c r="V1411" s="71"/>
      <c r="W1411" s="71"/>
      <c r="X1411" s="71"/>
    </row>
    <row r="1412">
      <c r="A1412" s="71"/>
      <c r="B1412" s="71"/>
      <c r="C1412" s="71"/>
      <c r="D1412" s="71"/>
      <c r="E1412" s="71"/>
      <c r="F1412" s="71"/>
      <c r="M1412" s="71"/>
      <c r="N1412" s="71"/>
      <c r="Q1412" s="71"/>
      <c r="S1412" s="71"/>
      <c r="T1412" s="71"/>
      <c r="U1412" s="71"/>
      <c r="V1412" s="71"/>
      <c r="W1412" s="71"/>
      <c r="X1412" s="71"/>
      <c r="Y1412" s="71"/>
    </row>
    <row r="1413">
      <c r="A1413" s="71"/>
      <c r="B1413" s="71"/>
      <c r="C1413" s="71"/>
      <c r="D1413" s="71"/>
      <c r="E1413" s="71"/>
      <c r="F1413" s="71"/>
      <c r="M1413" s="71"/>
      <c r="N1413" s="71"/>
      <c r="O1413" s="71"/>
      <c r="P1413" s="71"/>
      <c r="Q1413" s="71"/>
      <c r="R1413" s="71"/>
      <c r="T1413" s="71"/>
      <c r="U1413" s="71"/>
      <c r="V1413" s="71"/>
      <c r="W1413" s="71"/>
      <c r="X1413" s="71"/>
    </row>
    <row r="1414">
      <c r="A1414" s="71"/>
      <c r="B1414" s="71"/>
      <c r="C1414" s="71"/>
      <c r="E1414" s="71"/>
      <c r="F1414" s="71"/>
      <c r="N1414" s="71"/>
      <c r="O1414" s="71"/>
      <c r="P1414" s="71"/>
      <c r="Q1414" s="71"/>
      <c r="R1414" s="71"/>
      <c r="U1414" s="71"/>
      <c r="V1414" s="71"/>
    </row>
    <row r="1415">
      <c r="A1415" s="71"/>
      <c r="B1415" s="71"/>
      <c r="C1415" s="71"/>
      <c r="D1415" s="71"/>
      <c r="E1415" s="71"/>
      <c r="F1415" s="71"/>
      <c r="M1415" s="71"/>
      <c r="N1415" s="71"/>
      <c r="O1415" s="71"/>
      <c r="P1415" s="71"/>
      <c r="Q1415" s="71"/>
      <c r="R1415" s="71"/>
      <c r="S1415" s="71"/>
      <c r="T1415" s="71"/>
      <c r="U1415" s="71"/>
      <c r="V1415" s="71"/>
      <c r="W1415" s="71"/>
      <c r="X1415" s="71"/>
      <c r="Y1415" s="71"/>
    </row>
    <row r="1416">
      <c r="A1416" s="71"/>
      <c r="B1416" s="71"/>
      <c r="C1416" s="71"/>
      <c r="D1416" s="71"/>
      <c r="E1416" s="71"/>
      <c r="F1416" s="71"/>
      <c r="M1416" s="71"/>
      <c r="N1416" s="71"/>
      <c r="O1416" s="71"/>
      <c r="P1416" s="71"/>
      <c r="Q1416" s="71"/>
      <c r="R1416" s="71"/>
      <c r="S1416" s="71"/>
      <c r="T1416" s="71"/>
      <c r="U1416" s="71"/>
      <c r="V1416" s="71"/>
      <c r="W1416" s="71"/>
      <c r="X1416" s="71"/>
      <c r="Y1416" s="71"/>
    </row>
    <row r="1417">
      <c r="A1417" s="71"/>
      <c r="B1417" s="71"/>
      <c r="C1417" s="71"/>
      <c r="D1417" s="71"/>
      <c r="E1417" s="71"/>
      <c r="F1417" s="71"/>
      <c r="M1417" s="71"/>
      <c r="N1417" s="71"/>
      <c r="O1417" s="71"/>
      <c r="P1417" s="71"/>
      <c r="Q1417" s="71"/>
      <c r="R1417" s="71"/>
      <c r="S1417" s="71"/>
      <c r="T1417" s="71"/>
      <c r="U1417" s="71"/>
      <c r="V1417" s="71"/>
      <c r="W1417" s="71"/>
      <c r="X1417" s="71"/>
    </row>
    <row r="1418">
      <c r="A1418" s="71"/>
      <c r="B1418" s="71"/>
      <c r="C1418" s="71"/>
      <c r="E1418" s="71"/>
      <c r="F1418" s="71"/>
      <c r="M1418" s="71"/>
      <c r="N1418" s="71"/>
      <c r="O1418" s="71"/>
      <c r="P1418" s="71"/>
      <c r="Q1418" s="71"/>
      <c r="R1418" s="71"/>
      <c r="T1418" s="71"/>
      <c r="U1418" s="71"/>
      <c r="V1418" s="71"/>
      <c r="W1418" s="71"/>
    </row>
    <row r="1419">
      <c r="A1419" s="71"/>
      <c r="B1419" s="71"/>
      <c r="C1419" s="71"/>
      <c r="E1419" s="71"/>
      <c r="F1419" s="71"/>
      <c r="M1419" s="71"/>
      <c r="N1419" s="71"/>
      <c r="O1419" s="71"/>
      <c r="P1419" s="71"/>
      <c r="Q1419" s="71"/>
      <c r="R1419" s="71"/>
      <c r="T1419" s="71"/>
      <c r="U1419" s="71"/>
      <c r="V1419" s="71"/>
      <c r="W1419" s="71"/>
      <c r="X1419" s="71"/>
    </row>
    <row r="1420">
      <c r="A1420" s="71"/>
      <c r="B1420" s="71"/>
      <c r="C1420" s="71"/>
      <c r="D1420" s="71"/>
      <c r="E1420" s="71"/>
      <c r="F1420" s="71"/>
      <c r="M1420" s="71"/>
      <c r="N1420" s="71"/>
      <c r="Q1420" s="71"/>
      <c r="T1420" s="71"/>
      <c r="U1420" s="71"/>
      <c r="V1420" s="71"/>
      <c r="W1420" s="71"/>
      <c r="X1420" s="71"/>
    </row>
    <row r="1421">
      <c r="A1421" s="71"/>
      <c r="B1421" s="71"/>
      <c r="C1421" s="71"/>
      <c r="E1421" s="71"/>
      <c r="F1421" s="71"/>
      <c r="M1421" s="71"/>
      <c r="N1421" s="71"/>
      <c r="O1421" s="71"/>
      <c r="P1421" s="71"/>
      <c r="Q1421" s="71"/>
      <c r="R1421" s="71"/>
      <c r="T1421" s="71"/>
      <c r="U1421" s="71"/>
      <c r="V1421" s="71"/>
      <c r="W1421" s="71"/>
    </row>
    <row r="1422">
      <c r="A1422" s="71"/>
      <c r="B1422" s="71"/>
      <c r="C1422" s="71"/>
      <c r="E1422" s="71"/>
      <c r="F1422" s="71"/>
      <c r="M1422" s="71"/>
      <c r="N1422" s="71"/>
      <c r="O1422" s="71"/>
      <c r="P1422" s="71"/>
      <c r="Q1422" s="71"/>
      <c r="R1422" s="71"/>
      <c r="T1422" s="71"/>
      <c r="U1422" s="71"/>
      <c r="V1422" s="71"/>
      <c r="W1422" s="71"/>
      <c r="X1422" s="71"/>
    </row>
    <row r="1423">
      <c r="A1423" s="71"/>
      <c r="B1423" s="71"/>
      <c r="C1423" s="71"/>
      <c r="D1423" s="71"/>
      <c r="E1423" s="71"/>
      <c r="F1423" s="71"/>
      <c r="M1423" s="71"/>
      <c r="N1423" s="71"/>
      <c r="O1423" s="71"/>
      <c r="P1423" s="71"/>
      <c r="Q1423" s="71"/>
      <c r="R1423" s="71"/>
      <c r="S1423" s="71"/>
      <c r="T1423" s="71"/>
      <c r="U1423" s="71"/>
      <c r="V1423" s="71"/>
      <c r="W1423" s="71"/>
      <c r="X1423" s="71"/>
      <c r="Y1423" s="71"/>
    </row>
    <row r="1424">
      <c r="A1424" s="71"/>
      <c r="B1424" s="71"/>
      <c r="C1424" s="71"/>
      <c r="D1424" s="71"/>
      <c r="F1424" s="71"/>
      <c r="M1424" s="71"/>
      <c r="O1424" s="71"/>
      <c r="P1424" s="71"/>
      <c r="Q1424" s="71"/>
      <c r="R1424" s="71"/>
      <c r="T1424" s="71"/>
      <c r="U1424" s="71"/>
      <c r="V1424" s="71"/>
      <c r="W1424" s="71"/>
    </row>
    <row r="1425">
      <c r="A1425" s="71"/>
      <c r="B1425" s="71"/>
      <c r="C1425" s="71"/>
      <c r="D1425" s="71"/>
      <c r="E1425" s="71"/>
      <c r="F1425" s="71"/>
      <c r="M1425" s="71"/>
      <c r="O1425" s="71"/>
      <c r="P1425" s="71"/>
      <c r="Q1425" s="71"/>
      <c r="R1425" s="71"/>
      <c r="S1425" s="71"/>
      <c r="T1425" s="71"/>
      <c r="U1425" s="71"/>
      <c r="V1425" s="71"/>
      <c r="W1425" s="71"/>
      <c r="X1425" s="71"/>
      <c r="Y1425" s="71"/>
    </row>
    <row r="1426">
      <c r="A1426" s="71"/>
      <c r="B1426" s="71"/>
      <c r="C1426" s="71"/>
      <c r="D1426" s="71"/>
      <c r="E1426" s="71"/>
      <c r="F1426" s="71"/>
      <c r="M1426" s="71"/>
      <c r="N1426" s="71"/>
      <c r="Q1426" s="71"/>
      <c r="S1426" s="71"/>
      <c r="T1426" s="71"/>
      <c r="U1426" s="71"/>
      <c r="V1426" s="71"/>
      <c r="W1426" s="71"/>
      <c r="X1426" s="71"/>
    </row>
    <row r="1427">
      <c r="A1427" s="71"/>
      <c r="B1427" s="71"/>
      <c r="C1427" s="71"/>
      <c r="D1427" s="71"/>
      <c r="E1427" s="71"/>
      <c r="F1427" s="71"/>
      <c r="M1427" s="71"/>
      <c r="N1427" s="71"/>
      <c r="O1427" s="71"/>
      <c r="P1427" s="71"/>
      <c r="Q1427" s="71"/>
      <c r="R1427" s="71"/>
      <c r="S1427" s="71"/>
      <c r="T1427" s="71"/>
      <c r="U1427" s="71"/>
      <c r="V1427" s="71"/>
      <c r="W1427" s="71"/>
    </row>
    <row r="1428">
      <c r="A1428" s="71"/>
      <c r="B1428" s="71"/>
      <c r="C1428" s="71"/>
      <c r="E1428" s="71"/>
      <c r="F1428" s="71"/>
      <c r="M1428" s="71"/>
      <c r="N1428" s="71"/>
      <c r="O1428" s="71"/>
      <c r="P1428" s="71"/>
      <c r="Q1428" s="71"/>
      <c r="R1428" s="71"/>
      <c r="T1428" s="71"/>
      <c r="U1428" s="71"/>
      <c r="V1428" s="71"/>
      <c r="W1428" s="71"/>
      <c r="X1428" s="71"/>
    </row>
    <row r="1429">
      <c r="A1429" s="71"/>
      <c r="B1429" s="71"/>
      <c r="C1429" s="71"/>
      <c r="D1429" s="71"/>
      <c r="E1429" s="71"/>
      <c r="F1429" s="71"/>
      <c r="M1429" s="71"/>
      <c r="N1429" s="71"/>
      <c r="O1429" s="71"/>
      <c r="P1429" s="71"/>
      <c r="Q1429" s="71"/>
      <c r="R1429" s="71"/>
      <c r="T1429" s="71"/>
      <c r="U1429" s="71"/>
      <c r="V1429" s="71"/>
      <c r="W1429" s="71"/>
    </row>
    <row r="1430">
      <c r="A1430" s="71"/>
      <c r="B1430" s="71"/>
      <c r="C1430" s="71"/>
      <c r="D1430" s="71"/>
      <c r="E1430" s="71"/>
      <c r="F1430" s="71"/>
      <c r="M1430" s="71"/>
      <c r="N1430" s="71"/>
      <c r="O1430" s="71"/>
      <c r="P1430" s="71"/>
      <c r="Q1430" s="71"/>
      <c r="R1430" s="71"/>
      <c r="S1430" s="71"/>
      <c r="T1430" s="71"/>
      <c r="U1430" s="71"/>
      <c r="V1430" s="71"/>
      <c r="W1430" s="71"/>
      <c r="X1430" s="71"/>
      <c r="Y1430" s="71"/>
    </row>
    <row r="1431">
      <c r="A1431" s="71"/>
      <c r="B1431" s="71"/>
      <c r="C1431" s="71"/>
      <c r="E1431" s="71"/>
      <c r="F1431" s="71"/>
      <c r="N1431" s="71"/>
      <c r="O1431" s="71"/>
      <c r="P1431" s="71"/>
      <c r="Q1431" s="71"/>
      <c r="R1431" s="71"/>
      <c r="U1431" s="71"/>
      <c r="V1431" s="71"/>
    </row>
    <row r="1432">
      <c r="A1432" s="71"/>
      <c r="B1432" s="71"/>
      <c r="C1432" s="71"/>
      <c r="D1432" s="71"/>
      <c r="E1432" s="71"/>
      <c r="F1432" s="71"/>
      <c r="M1432" s="71"/>
      <c r="N1432" s="71"/>
      <c r="O1432" s="71"/>
      <c r="P1432" s="71"/>
      <c r="Q1432" s="71"/>
      <c r="R1432" s="71"/>
      <c r="S1432" s="71"/>
      <c r="T1432" s="71"/>
      <c r="U1432" s="71"/>
      <c r="V1432" s="71"/>
      <c r="W1432" s="71"/>
      <c r="X1432" s="71"/>
      <c r="Y1432" s="71"/>
    </row>
    <row r="1433">
      <c r="A1433" s="71"/>
      <c r="B1433" s="71"/>
      <c r="C1433" s="71"/>
      <c r="D1433" s="71"/>
      <c r="F1433" s="71"/>
      <c r="M1433" s="71"/>
      <c r="O1433" s="71"/>
      <c r="P1433" s="71"/>
      <c r="Q1433" s="71"/>
      <c r="R1433" s="71"/>
      <c r="T1433" s="71"/>
      <c r="U1433" s="71"/>
      <c r="V1433" s="71"/>
      <c r="W1433" s="71"/>
    </row>
    <row r="1434">
      <c r="A1434" s="71"/>
      <c r="B1434" s="71"/>
      <c r="C1434" s="71"/>
      <c r="D1434" s="71"/>
      <c r="E1434" s="71"/>
      <c r="F1434" s="71"/>
      <c r="M1434" s="71"/>
      <c r="N1434" s="71"/>
      <c r="O1434" s="71"/>
      <c r="P1434" s="71"/>
      <c r="Q1434" s="71"/>
      <c r="R1434" s="71"/>
      <c r="S1434" s="71"/>
      <c r="T1434" s="71"/>
      <c r="U1434" s="71"/>
      <c r="V1434" s="71"/>
      <c r="W1434" s="71"/>
      <c r="X1434" s="71"/>
      <c r="Y1434" s="71"/>
    </row>
    <row r="1435">
      <c r="A1435" s="71"/>
      <c r="B1435" s="71"/>
      <c r="C1435" s="71"/>
      <c r="E1435" s="71"/>
      <c r="F1435" s="71"/>
      <c r="M1435" s="71"/>
      <c r="N1435" s="71"/>
      <c r="O1435" s="71"/>
      <c r="P1435" s="71"/>
      <c r="Q1435" s="71"/>
      <c r="R1435" s="71"/>
      <c r="T1435" s="71"/>
      <c r="U1435" s="71"/>
      <c r="V1435" s="71"/>
      <c r="W1435" s="71"/>
    </row>
    <row r="1436">
      <c r="A1436" s="71"/>
      <c r="B1436" s="71"/>
      <c r="C1436" s="71"/>
      <c r="D1436" s="71"/>
      <c r="E1436" s="71"/>
      <c r="F1436" s="71"/>
      <c r="M1436" s="71"/>
      <c r="N1436" s="71"/>
      <c r="Q1436" s="71"/>
      <c r="S1436" s="71"/>
      <c r="T1436" s="71"/>
      <c r="U1436" s="71"/>
      <c r="V1436" s="71"/>
      <c r="W1436" s="71"/>
      <c r="X1436" s="71"/>
      <c r="Y1436" s="71"/>
    </row>
    <row r="1437">
      <c r="A1437" s="71"/>
      <c r="B1437" s="71"/>
      <c r="C1437" s="71"/>
      <c r="E1437" s="71"/>
      <c r="F1437" s="71"/>
      <c r="M1437" s="71"/>
      <c r="N1437" s="71"/>
      <c r="O1437" s="71"/>
      <c r="P1437" s="71"/>
      <c r="Q1437" s="71"/>
      <c r="R1437" s="71"/>
      <c r="T1437" s="71"/>
      <c r="U1437" s="71"/>
      <c r="V1437" s="71"/>
      <c r="W1437" s="71"/>
      <c r="X1437" s="71"/>
    </row>
    <row r="1438">
      <c r="A1438" s="71"/>
      <c r="B1438" s="71"/>
      <c r="C1438" s="71"/>
      <c r="D1438" s="71"/>
      <c r="E1438" s="71"/>
      <c r="F1438" s="71"/>
      <c r="M1438" s="71"/>
      <c r="N1438" s="71"/>
      <c r="O1438" s="71"/>
      <c r="P1438" s="71"/>
      <c r="Q1438" s="71"/>
      <c r="R1438" s="71"/>
      <c r="T1438" s="71"/>
      <c r="U1438" s="71"/>
      <c r="V1438" s="71"/>
      <c r="W1438" s="71"/>
      <c r="X1438" s="71"/>
    </row>
    <row r="1439">
      <c r="A1439" s="71"/>
      <c r="B1439" s="71"/>
      <c r="C1439" s="71"/>
      <c r="D1439" s="71"/>
      <c r="E1439" s="71"/>
      <c r="F1439" s="71"/>
      <c r="M1439" s="71"/>
      <c r="N1439" s="71"/>
      <c r="O1439" s="71"/>
      <c r="P1439" s="71"/>
      <c r="Q1439" s="71"/>
      <c r="R1439" s="71"/>
      <c r="S1439" s="71"/>
      <c r="T1439" s="71"/>
      <c r="U1439" s="71"/>
      <c r="V1439" s="71"/>
      <c r="W1439" s="71"/>
      <c r="X1439" s="71"/>
      <c r="Y1439" s="71"/>
    </row>
    <row r="1440">
      <c r="A1440" s="71"/>
      <c r="B1440" s="71"/>
      <c r="C1440" s="71"/>
      <c r="D1440" s="71"/>
      <c r="F1440" s="71"/>
      <c r="N1440" s="71"/>
      <c r="O1440" s="71"/>
      <c r="P1440" s="71"/>
      <c r="Q1440" s="71"/>
      <c r="R1440" s="71"/>
      <c r="U1440" s="71"/>
      <c r="V1440" s="71"/>
    </row>
    <row r="1441">
      <c r="A1441" s="71"/>
      <c r="B1441" s="71"/>
      <c r="C1441" s="71"/>
      <c r="D1441" s="71"/>
      <c r="E1441" s="71"/>
      <c r="F1441" s="71"/>
      <c r="M1441" s="71"/>
      <c r="N1441" s="71"/>
      <c r="O1441" s="71"/>
      <c r="P1441" s="71"/>
      <c r="Q1441" s="71"/>
      <c r="R1441" s="71"/>
      <c r="S1441" s="71"/>
      <c r="T1441" s="71"/>
      <c r="U1441" s="71"/>
      <c r="V1441" s="71"/>
      <c r="W1441" s="71"/>
      <c r="X1441" s="71"/>
      <c r="Y1441" s="71"/>
    </row>
    <row r="1442">
      <c r="A1442" s="71"/>
      <c r="B1442" s="71"/>
      <c r="C1442" s="71"/>
      <c r="D1442" s="71"/>
      <c r="E1442" s="71"/>
      <c r="F1442" s="71"/>
      <c r="N1442" s="71"/>
      <c r="O1442" s="71"/>
      <c r="P1442" s="71"/>
      <c r="Q1442" s="71"/>
      <c r="R1442" s="71"/>
      <c r="U1442" s="71"/>
      <c r="V1442" s="71"/>
    </row>
    <row r="1443">
      <c r="A1443" s="71"/>
      <c r="B1443" s="71"/>
      <c r="C1443" s="71"/>
      <c r="E1443" s="71"/>
      <c r="F1443" s="71"/>
      <c r="N1443" s="71"/>
      <c r="O1443" s="71"/>
      <c r="P1443" s="71"/>
      <c r="Q1443" s="71"/>
      <c r="R1443" s="71"/>
      <c r="U1443" s="71"/>
      <c r="V1443" s="71"/>
    </row>
    <row r="1444">
      <c r="A1444" s="71"/>
      <c r="B1444" s="71"/>
      <c r="C1444" s="71"/>
      <c r="D1444" s="71"/>
      <c r="E1444" s="71"/>
      <c r="F1444" s="71"/>
      <c r="M1444" s="71"/>
      <c r="N1444" s="71"/>
      <c r="O1444" s="71"/>
      <c r="P1444" s="71"/>
      <c r="Q1444" s="71"/>
      <c r="R1444" s="71"/>
      <c r="S1444" s="71"/>
      <c r="T1444" s="71"/>
      <c r="U1444" s="71"/>
      <c r="V1444" s="71"/>
      <c r="W1444" s="71"/>
      <c r="X1444" s="71"/>
      <c r="Y1444" s="71"/>
    </row>
    <row r="1445">
      <c r="A1445" s="71"/>
      <c r="B1445" s="71"/>
      <c r="C1445" s="71"/>
      <c r="D1445" s="71"/>
      <c r="E1445" s="71"/>
      <c r="F1445" s="71"/>
      <c r="M1445" s="71"/>
      <c r="N1445" s="71"/>
      <c r="Q1445" s="71"/>
      <c r="S1445" s="71"/>
      <c r="T1445" s="71"/>
      <c r="U1445" s="71"/>
      <c r="V1445" s="71"/>
      <c r="W1445" s="71"/>
      <c r="X1445" s="71"/>
      <c r="Y1445" s="71"/>
    </row>
    <row r="1446">
      <c r="A1446" s="71"/>
      <c r="B1446" s="71"/>
      <c r="C1446" s="71"/>
      <c r="E1446" s="71"/>
      <c r="F1446" s="71"/>
      <c r="N1446" s="71"/>
      <c r="O1446" s="71"/>
      <c r="P1446" s="71"/>
      <c r="Q1446" s="71"/>
      <c r="R1446" s="71"/>
      <c r="U1446" s="71"/>
      <c r="V1446" s="71"/>
    </row>
    <row r="1447">
      <c r="A1447" s="71"/>
      <c r="B1447" s="71"/>
      <c r="C1447" s="71"/>
      <c r="D1447" s="71"/>
      <c r="E1447" s="71"/>
      <c r="F1447" s="71"/>
      <c r="M1447" s="71"/>
      <c r="N1447" s="71"/>
      <c r="Q1447" s="71"/>
      <c r="T1447" s="71"/>
      <c r="U1447" s="71"/>
      <c r="V1447" s="71"/>
      <c r="W1447" s="71"/>
      <c r="X1447" s="71"/>
    </row>
    <row r="1448">
      <c r="A1448" s="71"/>
      <c r="B1448" s="71"/>
      <c r="C1448" s="71"/>
      <c r="D1448" s="71"/>
      <c r="E1448" s="71"/>
      <c r="F1448" s="71"/>
      <c r="M1448" s="71"/>
      <c r="N1448" s="71"/>
      <c r="O1448" s="71"/>
      <c r="P1448" s="71"/>
      <c r="Q1448" s="71"/>
      <c r="R1448" s="71"/>
      <c r="T1448" s="71"/>
      <c r="U1448" s="71"/>
      <c r="V1448" s="71"/>
      <c r="W1448" s="71"/>
    </row>
    <row r="1449">
      <c r="A1449" s="71"/>
      <c r="B1449" s="71"/>
      <c r="C1449" s="71"/>
      <c r="D1449" s="71"/>
      <c r="E1449" s="71"/>
      <c r="F1449" s="71"/>
      <c r="M1449" s="71"/>
      <c r="N1449" s="71"/>
      <c r="O1449" s="71"/>
      <c r="P1449" s="71"/>
      <c r="Q1449" s="71"/>
      <c r="R1449" s="71"/>
      <c r="S1449" s="71"/>
      <c r="T1449" s="71"/>
      <c r="U1449" s="71"/>
      <c r="V1449" s="71"/>
      <c r="W1449" s="71"/>
      <c r="X1449" s="71"/>
      <c r="Y1449" s="71"/>
    </row>
    <row r="1450">
      <c r="A1450" s="71"/>
      <c r="B1450" s="71"/>
      <c r="C1450" s="71"/>
      <c r="D1450" s="71"/>
      <c r="E1450" s="71"/>
      <c r="F1450" s="71"/>
      <c r="M1450" s="71"/>
      <c r="N1450" s="71"/>
      <c r="Q1450" s="71"/>
      <c r="S1450" s="71"/>
      <c r="T1450" s="71"/>
      <c r="U1450" s="71"/>
      <c r="V1450" s="71"/>
      <c r="W1450" s="71"/>
      <c r="X1450" s="71"/>
      <c r="Y1450" s="71"/>
    </row>
    <row r="1451">
      <c r="A1451" s="71"/>
      <c r="B1451" s="71"/>
      <c r="C1451" s="71"/>
      <c r="D1451" s="71"/>
      <c r="E1451" s="71"/>
      <c r="F1451" s="71"/>
      <c r="N1451" s="71"/>
      <c r="O1451" s="71"/>
      <c r="P1451" s="71"/>
      <c r="Q1451" s="71"/>
      <c r="R1451" s="71"/>
      <c r="U1451" s="71"/>
      <c r="V1451" s="71"/>
    </row>
    <row r="1452">
      <c r="A1452" s="71"/>
      <c r="B1452" s="71"/>
      <c r="C1452" s="71"/>
      <c r="E1452" s="71"/>
      <c r="F1452" s="71"/>
      <c r="M1452" s="71"/>
      <c r="N1452" s="71"/>
      <c r="O1452" s="71"/>
      <c r="P1452" s="71"/>
      <c r="Q1452" s="71"/>
      <c r="R1452" s="71"/>
      <c r="T1452" s="71"/>
      <c r="U1452" s="71"/>
      <c r="V1452" s="71"/>
      <c r="W1452" s="71"/>
      <c r="X1452" s="71"/>
    </row>
    <row r="1453">
      <c r="A1453" s="71"/>
      <c r="B1453" s="71"/>
      <c r="C1453" s="71"/>
      <c r="E1453" s="71"/>
      <c r="F1453" s="71"/>
      <c r="N1453" s="71"/>
      <c r="O1453" s="71"/>
      <c r="P1453" s="71"/>
      <c r="Q1453" s="71"/>
      <c r="R1453" s="71"/>
      <c r="U1453" s="71"/>
      <c r="V1453" s="71"/>
    </row>
    <row r="1454">
      <c r="A1454" s="71"/>
      <c r="B1454" s="71"/>
      <c r="C1454" s="71"/>
      <c r="F1454" s="71"/>
      <c r="M1454" s="71"/>
      <c r="O1454" s="71"/>
      <c r="P1454" s="71"/>
      <c r="Q1454" s="71"/>
      <c r="R1454" s="71"/>
      <c r="T1454" s="71"/>
      <c r="U1454" s="71"/>
      <c r="V1454" s="71"/>
      <c r="W1454" s="71"/>
    </row>
    <row r="1455">
      <c r="A1455" s="71"/>
      <c r="B1455" s="71"/>
      <c r="C1455" s="71"/>
      <c r="D1455" s="71"/>
      <c r="E1455" s="71"/>
      <c r="F1455" s="71"/>
      <c r="M1455" s="71"/>
      <c r="N1455" s="71"/>
      <c r="O1455" s="71"/>
      <c r="P1455" s="71"/>
      <c r="Q1455" s="71"/>
      <c r="R1455" s="71"/>
      <c r="S1455" s="71"/>
      <c r="T1455" s="71"/>
      <c r="U1455" s="71"/>
      <c r="V1455" s="71"/>
      <c r="W1455" s="71"/>
      <c r="X1455" s="71"/>
      <c r="Y1455" s="71"/>
    </row>
    <row r="1456">
      <c r="A1456" s="71"/>
      <c r="B1456" s="71"/>
      <c r="C1456" s="71"/>
      <c r="F1456" s="71"/>
      <c r="M1456" s="71"/>
      <c r="N1456" s="71"/>
      <c r="O1456" s="71"/>
      <c r="P1456" s="71"/>
      <c r="Q1456" s="71"/>
      <c r="R1456" s="71"/>
      <c r="T1456" s="71"/>
      <c r="U1456" s="71"/>
      <c r="V1456" s="71"/>
      <c r="W1456" s="71"/>
    </row>
    <row r="1457">
      <c r="A1457" s="71"/>
      <c r="B1457" s="71"/>
      <c r="C1457" s="71"/>
      <c r="D1457" s="71"/>
      <c r="E1457" s="71"/>
      <c r="F1457" s="71"/>
      <c r="M1457" s="71"/>
      <c r="N1457" s="71"/>
      <c r="Q1457" s="71"/>
      <c r="S1457" s="71"/>
      <c r="T1457" s="71"/>
      <c r="U1457" s="71"/>
      <c r="V1457" s="71"/>
      <c r="W1457" s="71"/>
      <c r="X1457" s="71"/>
      <c r="Y1457" s="71"/>
    </row>
    <row r="1458">
      <c r="A1458" s="71"/>
      <c r="B1458" s="71"/>
      <c r="C1458" s="71"/>
      <c r="E1458" s="71"/>
      <c r="F1458" s="71"/>
      <c r="M1458" s="71"/>
      <c r="N1458" s="71"/>
      <c r="O1458" s="71"/>
      <c r="P1458" s="71"/>
      <c r="Q1458" s="71"/>
      <c r="R1458" s="71"/>
      <c r="T1458" s="71"/>
      <c r="U1458" s="71"/>
      <c r="V1458" s="71"/>
      <c r="W1458" s="71"/>
      <c r="X1458" s="71"/>
    </row>
    <row r="1459">
      <c r="A1459" s="71"/>
      <c r="B1459" s="71"/>
      <c r="C1459" s="71"/>
      <c r="E1459" s="71"/>
      <c r="F1459" s="71"/>
      <c r="M1459" s="71"/>
      <c r="N1459" s="71"/>
      <c r="O1459" s="71"/>
      <c r="P1459" s="71"/>
      <c r="Q1459" s="71"/>
      <c r="R1459" s="71"/>
      <c r="T1459" s="71"/>
      <c r="U1459" s="71"/>
      <c r="V1459" s="71"/>
      <c r="W1459" s="71"/>
    </row>
    <row r="1460">
      <c r="A1460" s="71"/>
      <c r="B1460" s="71"/>
      <c r="C1460" s="71"/>
      <c r="D1460" s="71"/>
      <c r="E1460" s="71"/>
      <c r="F1460" s="71"/>
      <c r="M1460" s="71"/>
      <c r="N1460" s="71"/>
      <c r="O1460" s="71"/>
      <c r="P1460" s="71"/>
      <c r="Q1460" s="71"/>
      <c r="R1460" s="71"/>
      <c r="T1460" s="71"/>
      <c r="U1460" s="71"/>
      <c r="V1460" s="71"/>
      <c r="W1460" s="71"/>
    </row>
    <row r="1461">
      <c r="A1461" s="71"/>
      <c r="B1461" s="71"/>
      <c r="C1461" s="71"/>
      <c r="D1461" s="71"/>
      <c r="E1461" s="71"/>
      <c r="F1461" s="71"/>
      <c r="M1461" s="71"/>
      <c r="N1461" s="71"/>
      <c r="O1461" s="71"/>
      <c r="P1461" s="71"/>
      <c r="Q1461" s="71"/>
      <c r="R1461" s="71"/>
      <c r="S1461" s="71"/>
      <c r="T1461" s="71"/>
      <c r="U1461" s="71"/>
      <c r="V1461" s="71"/>
      <c r="W1461" s="71"/>
      <c r="X1461" s="71"/>
      <c r="Y1461" s="71"/>
    </row>
    <row r="1462">
      <c r="A1462" s="71"/>
      <c r="B1462" s="71"/>
      <c r="C1462" s="71"/>
      <c r="D1462" s="71"/>
      <c r="E1462" s="71"/>
      <c r="F1462" s="71"/>
      <c r="M1462" s="71"/>
      <c r="N1462" s="71"/>
      <c r="O1462" s="71"/>
      <c r="P1462" s="71"/>
      <c r="Q1462" s="71"/>
      <c r="R1462" s="71"/>
      <c r="S1462" s="71"/>
      <c r="T1462" s="71"/>
      <c r="U1462" s="71"/>
      <c r="V1462" s="71"/>
      <c r="W1462" s="71"/>
      <c r="X1462" s="71"/>
      <c r="Y1462" s="71"/>
    </row>
    <row r="1463">
      <c r="A1463" s="71"/>
      <c r="B1463" s="71"/>
      <c r="C1463" s="71"/>
      <c r="D1463" s="71"/>
      <c r="E1463" s="71"/>
      <c r="F1463" s="71"/>
      <c r="M1463" s="71"/>
      <c r="N1463" s="71"/>
      <c r="Q1463" s="71"/>
      <c r="S1463" s="71"/>
      <c r="T1463" s="71"/>
      <c r="U1463" s="71"/>
      <c r="V1463" s="71"/>
      <c r="W1463" s="71"/>
      <c r="X1463" s="71"/>
      <c r="Y1463" s="71"/>
    </row>
    <row r="1464">
      <c r="A1464" s="71"/>
      <c r="B1464" s="71"/>
      <c r="C1464" s="71"/>
      <c r="D1464" s="71"/>
      <c r="E1464" s="71"/>
      <c r="F1464" s="71"/>
      <c r="M1464" s="71"/>
      <c r="N1464" s="71"/>
      <c r="O1464" s="71"/>
      <c r="P1464" s="71"/>
      <c r="Q1464" s="71"/>
      <c r="R1464" s="71"/>
      <c r="S1464" s="71"/>
      <c r="T1464" s="71"/>
      <c r="U1464" s="71"/>
      <c r="V1464" s="71"/>
      <c r="W1464" s="71"/>
      <c r="Y1464" s="71"/>
    </row>
    <row r="1465">
      <c r="A1465" s="71"/>
      <c r="B1465" s="71"/>
      <c r="C1465" s="71"/>
      <c r="D1465" s="71"/>
      <c r="E1465" s="71"/>
      <c r="F1465" s="71"/>
      <c r="M1465" s="71"/>
      <c r="N1465" s="71"/>
      <c r="Q1465" s="71"/>
      <c r="S1465" s="71"/>
      <c r="T1465" s="71"/>
      <c r="U1465" s="71"/>
      <c r="V1465" s="71"/>
      <c r="W1465" s="71"/>
      <c r="Y1465" s="71"/>
    </row>
    <row r="1466">
      <c r="A1466" s="71"/>
      <c r="B1466" s="71"/>
      <c r="C1466" s="71"/>
      <c r="D1466" s="71"/>
      <c r="E1466" s="71"/>
      <c r="F1466" s="71"/>
      <c r="M1466" s="71"/>
      <c r="N1466" s="71"/>
      <c r="O1466" s="71"/>
      <c r="P1466" s="71"/>
      <c r="Q1466" s="71"/>
      <c r="R1466" s="71"/>
      <c r="T1466" s="71"/>
      <c r="U1466" s="71"/>
      <c r="V1466" s="71"/>
      <c r="W1466" s="71"/>
    </row>
    <row r="1467">
      <c r="A1467" s="71"/>
      <c r="B1467" s="71"/>
      <c r="C1467" s="71"/>
      <c r="E1467" s="71"/>
      <c r="F1467" s="71"/>
      <c r="M1467" s="71"/>
      <c r="N1467" s="71"/>
      <c r="O1467" s="71"/>
      <c r="P1467" s="71"/>
      <c r="Q1467" s="71"/>
      <c r="R1467" s="71"/>
      <c r="T1467" s="71"/>
      <c r="U1467" s="71"/>
      <c r="V1467" s="71"/>
      <c r="W1467" s="71"/>
      <c r="X1467" s="71"/>
    </row>
    <row r="1468">
      <c r="A1468" s="71"/>
      <c r="B1468" s="71"/>
      <c r="C1468" s="71"/>
      <c r="D1468" s="71"/>
      <c r="E1468" s="71"/>
      <c r="F1468" s="71"/>
      <c r="M1468" s="71"/>
      <c r="N1468" s="71"/>
      <c r="Q1468" s="71"/>
      <c r="S1468" s="71"/>
      <c r="T1468" s="71"/>
      <c r="U1468" s="71"/>
      <c r="V1468" s="71"/>
      <c r="W1468" s="71"/>
      <c r="X1468" s="71"/>
      <c r="Y1468" s="71"/>
    </row>
    <row r="1469">
      <c r="A1469" s="71"/>
      <c r="B1469" s="71"/>
      <c r="C1469" s="71"/>
      <c r="D1469" s="71"/>
      <c r="E1469" s="71"/>
      <c r="F1469" s="71"/>
      <c r="M1469" s="71"/>
      <c r="Q1469" s="71"/>
      <c r="S1469" s="71"/>
      <c r="T1469" s="71"/>
      <c r="U1469" s="71"/>
      <c r="V1469" s="71"/>
      <c r="W1469" s="71"/>
      <c r="X1469" s="71"/>
      <c r="Y1469" s="71"/>
    </row>
    <row r="1470">
      <c r="A1470" s="71"/>
      <c r="B1470" s="71"/>
      <c r="C1470" s="71"/>
      <c r="D1470" s="71"/>
      <c r="E1470" s="71"/>
      <c r="F1470" s="71"/>
      <c r="M1470" s="71"/>
      <c r="N1470" s="71"/>
      <c r="O1470" s="71"/>
      <c r="P1470" s="71"/>
      <c r="Q1470" s="71"/>
      <c r="R1470" s="71"/>
      <c r="S1470" s="71"/>
      <c r="T1470" s="71"/>
      <c r="U1470" s="71"/>
      <c r="V1470" s="71"/>
      <c r="W1470" s="71"/>
      <c r="Y1470" s="71"/>
    </row>
    <row r="1471">
      <c r="A1471" s="71"/>
      <c r="B1471" s="71"/>
      <c r="C1471" s="71"/>
      <c r="D1471" s="71"/>
      <c r="E1471" s="71"/>
      <c r="F1471" s="71"/>
      <c r="M1471" s="71"/>
      <c r="N1471" s="71"/>
      <c r="Q1471" s="71"/>
      <c r="S1471" s="71"/>
      <c r="T1471" s="71"/>
      <c r="U1471" s="71"/>
      <c r="V1471" s="71"/>
      <c r="W1471" s="71"/>
      <c r="X1471" s="71"/>
      <c r="Y1471" s="71"/>
    </row>
    <row r="1472">
      <c r="A1472" s="71"/>
      <c r="B1472" s="71"/>
      <c r="C1472" s="71"/>
      <c r="D1472" s="71"/>
      <c r="E1472" s="71"/>
      <c r="F1472" s="71"/>
      <c r="M1472" s="71"/>
      <c r="N1472" s="71"/>
      <c r="O1472" s="71"/>
      <c r="P1472" s="71"/>
      <c r="Q1472" s="71"/>
      <c r="R1472" s="71"/>
      <c r="T1472" s="71"/>
      <c r="U1472" s="71"/>
      <c r="V1472" s="71"/>
      <c r="W1472" s="71"/>
    </row>
    <row r="1473">
      <c r="A1473" s="71"/>
      <c r="B1473" s="71"/>
      <c r="C1473" s="71"/>
      <c r="D1473" s="71"/>
      <c r="E1473" s="71"/>
      <c r="F1473" s="71"/>
      <c r="M1473" s="71"/>
      <c r="N1473" s="71"/>
      <c r="Q1473" s="71"/>
      <c r="S1473" s="71"/>
      <c r="T1473" s="71"/>
      <c r="U1473" s="71"/>
      <c r="V1473" s="71"/>
      <c r="W1473" s="71"/>
      <c r="X1473" s="71"/>
      <c r="Y1473" s="71"/>
    </row>
    <row r="1474">
      <c r="A1474" s="71"/>
      <c r="B1474" s="71"/>
      <c r="C1474" s="71"/>
      <c r="E1474" s="71"/>
      <c r="F1474" s="71"/>
      <c r="M1474" s="71"/>
      <c r="N1474" s="71"/>
      <c r="O1474" s="71"/>
      <c r="P1474" s="71"/>
      <c r="Q1474" s="71"/>
      <c r="R1474" s="71"/>
      <c r="T1474" s="71"/>
      <c r="U1474" s="71"/>
      <c r="V1474" s="71"/>
      <c r="W1474" s="71"/>
      <c r="X1474" s="71"/>
    </row>
    <row r="1475">
      <c r="A1475" s="71"/>
      <c r="B1475" s="71"/>
      <c r="C1475" s="71"/>
      <c r="D1475" s="71"/>
      <c r="E1475" s="71"/>
      <c r="F1475" s="71"/>
      <c r="M1475" s="71"/>
      <c r="N1475" s="71"/>
      <c r="Q1475" s="71"/>
      <c r="S1475" s="71"/>
      <c r="T1475" s="71"/>
      <c r="U1475" s="71"/>
      <c r="V1475" s="71"/>
      <c r="W1475" s="71"/>
      <c r="X1475" s="71"/>
      <c r="Y1475" s="71"/>
    </row>
    <row r="1476">
      <c r="A1476" s="71"/>
      <c r="B1476" s="71"/>
      <c r="C1476" s="71"/>
      <c r="E1476" s="71"/>
      <c r="F1476" s="71"/>
      <c r="N1476" s="71"/>
      <c r="O1476" s="71"/>
      <c r="P1476" s="71"/>
      <c r="Q1476" s="71"/>
      <c r="R1476" s="71"/>
      <c r="U1476" s="71"/>
      <c r="V1476" s="71"/>
    </row>
    <row r="1477">
      <c r="A1477" s="71"/>
      <c r="B1477" s="71"/>
      <c r="C1477" s="71"/>
      <c r="D1477" s="71"/>
      <c r="E1477" s="71"/>
      <c r="F1477" s="71"/>
      <c r="M1477" s="71"/>
      <c r="Q1477" s="71"/>
      <c r="S1477" s="71"/>
      <c r="T1477" s="71"/>
      <c r="U1477" s="71"/>
      <c r="V1477" s="71"/>
      <c r="W1477" s="71"/>
      <c r="X1477" s="71"/>
      <c r="Y1477" s="71"/>
    </row>
    <row r="1478">
      <c r="A1478" s="71"/>
      <c r="B1478" s="71"/>
      <c r="C1478" s="71"/>
      <c r="D1478" s="71"/>
      <c r="E1478" s="71"/>
      <c r="F1478" s="71"/>
      <c r="M1478" s="71"/>
      <c r="N1478" s="71"/>
      <c r="Q1478" s="71"/>
      <c r="S1478" s="71"/>
      <c r="T1478" s="71"/>
      <c r="U1478" s="71"/>
      <c r="V1478" s="71"/>
      <c r="W1478" s="71"/>
      <c r="X1478" s="71"/>
      <c r="Y1478" s="71"/>
    </row>
    <row r="1479">
      <c r="A1479" s="71"/>
      <c r="B1479" s="71"/>
      <c r="C1479" s="71"/>
      <c r="D1479" s="71"/>
      <c r="E1479" s="71"/>
      <c r="F1479" s="71"/>
      <c r="M1479" s="71"/>
      <c r="N1479" s="71"/>
      <c r="O1479" s="71"/>
      <c r="P1479" s="71"/>
      <c r="Q1479" s="71"/>
      <c r="R1479" s="71"/>
      <c r="S1479" s="71"/>
      <c r="T1479" s="71"/>
      <c r="U1479" s="71"/>
      <c r="V1479" s="71"/>
      <c r="W1479" s="71"/>
      <c r="X1479" s="71"/>
      <c r="Y1479" s="71"/>
    </row>
    <row r="1480">
      <c r="A1480" s="71"/>
      <c r="B1480" s="71"/>
      <c r="C1480" s="71"/>
      <c r="D1480" s="71"/>
      <c r="E1480" s="71"/>
      <c r="F1480" s="71"/>
      <c r="M1480" s="71"/>
      <c r="N1480" s="71"/>
      <c r="O1480" s="71"/>
      <c r="P1480" s="71"/>
      <c r="Q1480" s="71"/>
      <c r="R1480" s="71"/>
      <c r="S1480" s="71"/>
      <c r="T1480" s="71"/>
      <c r="U1480" s="71"/>
      <c r="V1480" s="71"/>
      <c r="W1480" s="71"/>
      <c r="X1480" s="71"/>
      <c r="Y1480" s="71"/>
    </row>
    <row r="1481">
      <c r="A1481" s="71"/>
      <c r="B1481" s="71"/>
      <c r="C1481" s="71"/>
      <c r="D1481" s="71"/>
      <c r="E1481" s="71"/>
      <c r="F1481" s="71"/>
      <c r="M1481" s="71"/>
      <c r="N1481" s="71"/>
      <c r="Q1481" s="71"/>
      <c r="S1481" s="71"/>
      <c r="T1481" s="71"/>
      <c r="U1481" s="71"/>
      <c r="V1481" s="71"/>
      <c r="W1481" s="71"/>
      <c r="X1481" s="71"/>
    </row>
    <row r="1482">
      <c r="A1482" s="71"/>
      <c r="B1482" s="71"/>
      <c r="C1482" s="71"/>
      <c r="D1482" s="71"/>
      <c r="E1482" s="71"/>
      <c r="F1482" s="71"/>
      <c r="M1482" s="71"/>
      <c r="N1482" s="71"/>
      <c r="O1482" s="71"/>
      <c r="P1482" s="71"/>
      <c r="Q1482" s="71"/>
      <c r="R1482" s="71"/>
      <c r="S1482" s="71"/>
      <c r="T1482" s="71"/>
      <c r="U1482" s="71"/>
      <c r="V1482" s="71"/>
      <c r="W1482" s="71"/>
      <c r="X1482" s="71"/>
      <c r="Y1482" s="71"/>
    </row>
    <row r="1483">
      <c r="A1483" s="71"/>
      <c r="B1483" s="71"/>
      <c r="C1483" s="71"/>
      <c r="F1483" s="71"/>
      <c r="M1483" s="71"/>
      <c r="O1483" s="71"/>
      <c r="P1483" s="71"/>
      <c r="Q1483" s="71"/>
      <c r="R1483" s="71"/>
      <c r="T1483" s="71"/>
      <c r="U1483" s="71"/>
      <c r="V1483" s="71"/>
      <c r="W1483" s="71"/>
    </row>
    <row r="1484">
      <c r="A1484" s="71"/>
      <c r="B1484" s="71"/>
      <c r="C1484" s="71"/>
      <c r="D1484" s="71"/>
      <c r="E1484" s="71"/>
      <c r="F1484" s="71"/>
      <c r="M1484" s="71"/>
      <c r="N1484" s="71"/>
      <c r="Q1484" s="71"/>
      <c r="S1484" s="71"/>
      <c r="T1484" s="71"/>
      <c r="U1484" s="71"/>
      <c r="V1484" s="71"/>
      <c r="W1484" s="71"/>
      <c r="X1484" s="71"/>
      <c r="Y1484" s="71"/>
    </row>
    <row r="1485">
      <c r="A1485" s="71"/>
      <c r="B1485" s="71"/>
      <c r="C1485" s="71"/>
      <c r="D1485" s="71"/>
      <c r="E1485" s="71"/>
      <c r="F1485" s="71"/>
      <c r="M1485" s="71"/>
      <c r="N1485" s="71"/>
      <c r="O1485" s="71"/>
      <c r="P1485" s="71"/>
      <c r="Q1485" s="71"/>
      <c r="R1485" s="71"/>
      <c r="S1485" s="71"/>
      <c r="T1485" s="71"/>
      <c r="U1485" s="71"/>
      <c r="V1485" s="71"/>
      <c r="W1485" s="71"/>
      <c r="X1485" s="71"/>
      <c r="Y1485" s="71"/>
    </row>
    <row r="1486">
      <c r="A1486" s="71"/>
      <c r="B1486" s="71"/>
      <c r="C1486" s="71"/>
      <c r="D1486" s="71"/>
      <c r="E1486" s="71"/>
      <c r="F1486" s="71"/>
      <c r="M1486" s="71"/>
      <c r="N1486" s="71"/>
      <c r="O1486" s="71"/>
      <c r="P1486" s="71"/>
      <c r="Q1486" s="71"/>
      <c r="R1486" s="71"/>
      <c r="S1486" s="71"/>
      <c r="T1486" s="71"/>
      <c r="U1486" s="71"/>
      <c r="V1486" s="71"/>
      <c r="W1486" s="71"/>
      <c r="X1486" s="71"/>
      <c r="Y1486" s="71"/>
    </row>
    <row r="1487">
      <c r="A1487" s="71"/>
      <c r="B1487" s="71"/>
      <c r="C1487" s="71"/>
      <c r="F1487" s="71"/>
      <c r="M1487" s="71"/>
      <c r="N1487" s="71"/>
      <c r="O1487" s="71"/>
      <c r="P1487" s="71"/>
      <c r="Q1487" s="71"/>
      <c r="R1487" s="71"/>
      <c r="T1487" s="71"/>
      <c r="U1487" s="71"/>
      <c r="V1487" s="71"/>
      <c r="W1487" s="71"/>
    </row>
    <row r="1488">
      <c r="A1488" s="71"/>
      <c r="B1488" s="71"/>
      <c r="C1488" s="71"/>
      <c r="D1488" s="71"/>
      <c r="E1488" s="71"/>
      <c r="F1488" s="71"/>
      <c r="M1488" s="71"/>
      <c r="N1488" s="71"/>
      <c r="O1488" s="71"/>
      <c r="P1488" s="71"/>
      <c r="Q1488" s="71"/>
      <c r="R1488" s="71"/>
      <c r="S1488" s="71"/>
      <c r="T1488" s="71"/>
      <c r="U1488" s="71"/>
      <c r="V1488" s="71"/>
      <c r="W1488" s="71"/>
      <c r="X1488" s="71"/>
      <c r="Y1488" s="71"/>
    </row>
    <row r="1489">
      <c r="A1489" s="71"/>
      <c r="B1489" s="71"/>
      <c r="C1489" s="71"/>
      <c r="E1489" s="71"/>
      <c r="F1489" s="71"/>
      <c r="M1489" s="71"/>
      <c r="N1489" s="71"/>
      <c r="O1489" s="71"/>
      <c r="P1489" s="71"/>
      <c r="Q1489" s="71"/>
      <c r="R1489" s="71"/>
      <c r="T1489" s="71"/>
      <c r="U1489" s="71"/>
      <c r="V1489" s="71"/>
      <c r="W1489" s="71"/>
    </row>
    <row r="1490">
      <c r="A1490" s="71"/>
      <c r="B1490" s="71"/>
      <c r="C1490" s="71"/>
      <c r="E1490" s="71"/>
      <c r="F1490" s="71"/>
      <c r="M1490" s="71"/>
      <c r="N1490" s="71"/>
      <c r="O1490" s="71"/>
      <c r="P1490" s="71"/>
      <c r="Q1490" s="71"/>
      <c r="R1490" s="71"/>
      <c r="U1490" s="71"/>
      <c r="V1490" s="71"/>
    </row>
    <row r="1491">
      <c r="A1491" s="71"/>
      <c r="B1491" s="71"/>
      <c r="C1491" s="71"/>
      <c r="D1491" s="71"/>
      <c r="E1491" s="71"/>
      <c r="F1491" s="71"/>
      <c r="M1491" s="71"/>
      <c r="N1491" s="71"/>
      <c r="O1491" s="71"/>
      <c r="P1491" s="71"/>
      <c r="Q1491" s="71"/>
      <c r="R1491" s="71"/>
      <c r="S1491" s="71"/>
      <c r="T1491" s="71"/>
      <c r="U1491" s="71"/>
      <c r="V1491" s="71"/>
      <c r="W1491" s="71"/>
      <c r="X1491" s="71"/>
      <c r="Y1491" s="71"/>
    </row>
    <row r="1492">
      <c r="A1492" s="71"/>
      <c r="B1492" s="71"/>
      <c r="C1492" s="71"/>
      <c r="E1492" s="71"/>
      <c r="F1492" s="71"/>
      <c r="N1492" s="71"/>
      <c r="O1492" s="71"/>
      <c r="P1492" s="71"/>
      <c r="Q1492" s="71"/>
      <c r="R1492" s="71"/>
      <c r="U1492" s="71"/>
      <c r="V1492" s="71"/>
    </row>
    <row r="1493">
      <c r="A1493" s="71"/>
      <c r="B1493" s="71"/>
      <c r="C1493" s="71"/>
      <c r="E1493" s="71"/>
      <c r="F1493" s="71"/>
      <c r="N1493" s="71"/>
      <c r="O1493" s="71"/>
      <c r="P1493" s="71"/>
      <c r="Q1493" s="71"/>
      <c r="R1493" s="71"/>
      <c r="U1493" s="71"/>
      <c r="V1493" s="71"/>
    </row>
    <row r="1494">
      <c r="A1494" s="71"/>
      <c r="B1494" s="71"/>
      <c r="C1494" s="71"/>
      <c r="E1494" s="71"/>
      <c r="F1494" s="71"/>
      <c r="N1494" s="71"/>
      <c r="O1494" s="71"/>
      <c r="P1494" s="71"/>
      <c r="Q1494" s="71"/>
      <c r="R1494" s="71"/>
      <c r="U1494" s="71"/>
      <c r="V1494" s="71"/>
    </row>
    <row r="1495">
      <c r="A1495" s="71"/>
      <c r="B1495" s="71"/>
      <c r="C1495" s="71"/>
      <c r="E1495" s="71"/>
      <c r="F1495" s="71"/>
      <c r="M1495" s="71"/>
      <c r="N1495" s="71"/>
      <c r="O1495" s="71"/>
      <c r="P1495" s="71"/>
      <c r="Q1495" s="71"/>
      <c r="R1495" s="71"/>
      <c r="T1495" s="71"/>
      <c r="U1495" s="71"/>
      <c r="V1495" s="71"/>
      <c r="W1495" s="71"/>
    </row>
    <row r="1496">
      <c r="A1496" s="71"/>
      <c r="B1496" s="71"/>
      <c r="C1496" s="71"/>
      <c r="E1496" s="71"/>
      <c r="F1496" s="71"/>
      <c r="M1496" s="71"/>
      <c r="N1496" s="71"/>
      <c r="O1496" s="71"/>
      <c r="P1496" s="71"/>
      <c r="Q1496" s="71"/>
      <c r="R1496" s="71"/>
      <c r="T1496" s="71"/>
      <c r="U1496" s="71"/>
      <c r="V1496" s="71"/>
      <c r="W1496" s="71"/>
    </row>
    <row r="1497">
      <c r="A1497" s="71"/>
      <c r="B1497" s="71"/>
      <c r="C1497" s="71"/>
      <c r="E1497" s="71"/>
      <c r="F1497" s="71"/>
      <c r="N1497" s="71"/>
      <c r="O1497" s="71"/>
      <c r="P1497" s="71"/>
      <c r="Q1497" s="71"/>
      <c r="R1497" s="71"/>
      <c r="U1497" s="71"/>
      <c r="V1497" s="71"/>
    </row>
    <row r="1498">
      <c r="A1498" s="71"/>
      <c r="B1498" s="71"/>
      <c r="C1498" s="71"/>
      <c r="E1498" s="71"/>
      <c r="F1498" s="71"/>
      <c r="M1498" s="71"/>
      <c r="N1498" s="71"/>
      <c r="O1498" s="71"/>
      <c r="P1498" s="71"/>
      <c r="Q1498" s="71"/>
      <c r="R1498" s="71"/>
      <c r="U1498" s="71"/>
      <c r="V1498" s="71"/>
    </row>
    <row r="1499">
      <c r="A1499" s="71"/>
      <c r="B1499" s="71"/>
      <c r="C1499" s="71"/>
      <c r="E1499" s="71"/>
      <c r="F1499" s="71"/>
      <c r="M1499" s="71"/>
      <c r="N1499" s="71"/>
      <c r="O1499" s="71"/>
      <c r="P1499" s="71"/>
      <c r="Q1499" s="71"/>
      <c r="R1499" s="71"/>
      <c r="T1499" s="71"/>
      <c r="U1499" s="71"/>
      <c r="V1499" s="71"/>
      <c r="W1499" s="71"/>
      <c r="X1499" s="71"/>
    </row>
    <row r="1500">
      <c r="A1500" s="71"/>
      <c r="B1500" s="71"/>
      <c r="C1500" s="71"/>
      <c r="E1500" s="71"/>
      <c r="F1500" s="71"/>
      <c r="M1500" s="71"/>
      <c r="N1500" s="71"/>
      <c r="O1500" s="71"/>
      <c r="P1500" s="71"/>
      <c r="Q1500" s="71"/>
      <c r="R1500" s="71"/>
      <c r="T1500" s="71"/>
      <c r="U1500" s="71"/>
      <c r="V1500" s="71"/>
      <c r="W1500" s="71"/>
    </row>
    <row r="1501">
      <c r="A1501" s="71"/>
      <c r="B1501" s="71"/>
      <c r="C1501" s="71"/>
      <c r="E1501" s="71"/>
      <c r="F1501" s="71"/>
      <c r="M1501" s="71"/>
      <c r="N1501" s="71"/>
      <c r="O1501" s="71"/>
      <c r="P1501" s="71"/>
      <c r="Q1501" s="71"/>
      <c r="R1501" s="71"/>
      <c r="T1501" s="71"/>
      <c r="U1501" s="71"/>
      <c r="V1501" s="71"/>
      <c r="W1501" s="71"/>
    </row>
    <row r="1502">
      <c r="A1502" s="71"/>
      <c r="B1502" s="71"/>
      <c r="C1502" s="71"/>
      <c r="E1502" s="71"/>
      <c r="F1502" s="71"/>
      <c r="M1502" s="71"/>
      <c r="N1502" s="71"/>
      <c r="Q1502" s="71"/>
      <c r="T1502" s="71"/>
      <c r="U1502" s="71"/>
      <c r="V1502" s="71"/>
      <c r="W1502" s="71"/>
      <c r="X1502" s="71"/>
    </row>
    <row r="1503">
      <c r="A1503" s="71"/>
      <c r="B1503" s="71"/>
      <c r="C1503" s="71"/>
      <c r="E1503" s="71"/>
      <c r="F1503" s="71"/>
      <c r="M1503" s="71"/>
      <c r="N1503" s="71"/>
      <c r="O1503" s="71"/>
      <c r="P1503" s="71"/>
      <c r="Q1503" s="71"/>
      <c r="R1503" s="71"/>
      <c r="T1503" s="71"/>
      <c r="U1503" s="71"/>
      <c r="V1503" s="71"/>
      <c r="W1503" s="71"/>
    </row>
    <row r="1504">
      <c r="A1504" s="71"/>
      <c r="B1504" s="71"/>
      <c r="C1504" s="71"/>
      <c r="E1504" s="71"/>
      <c r="F1504" s="71"/>
      <c r="M1504" s="71"/>
      <c r="N1504" s="71"/>
      <c r="Q1504" s="71"/>
      <c r="T1504" s="71"/>
      <c r="U1504" s="71"/>
      <c r="V1504" s="71"/>
      <c r="W1504" s="71"/>
      <c r="X1504" s="71"/>
    </row>
    <row r="1505">
      <c r="A1505" s="71"/>
      <c r="B1505" s="71"/>
      <c r="C1505" s="71"/>
      <c r="D1505" s="71"/>
      <c r="E1505" s="71"/>
      <c r="F1505" s="71"/>
      <c r="M1505" s="71"/>
      <c r="N1505" s="71"/>
      <c r="O1505" s="71"/>
      <c r="P1505" s="71"/>
      <c r="Q1505" s="71"/>
      <c r="R1505" s="71"/>
      <c r="T1505" s="71"/>
      <c r="U1505" s="71"/>
      <c r="V1505" s="71"/>
      <c r="W1505" s="71"/>
      <c r="X1505" s="71"/>
    </row>
    <row r="1506">
      <c r="A1506" s="71"/>
      <c r="B1506" s="71"/>
      <c r="C1506" s="71"/>
      <c r="D1506" s="71"/>
      <c r="E1506" s="71"/>
      <c r="F1506" s="71"/>
      <c r="M1506" s="71"/>
      <c r="N1506" s="71"/>
      <c r="Q1506" s="71"/>
      <c r="S1506" s="71"/>
      <c r="T1506" s="71"/>
      <c r="U1506" s="71"/>
      <c r="V1506" s="71"/>
      <c r="W1506" s="71"/>
      <c r="X1506" s="71"/>
      <c r="Y1506" s="71"/>
    </row>
    <row r="1507">
      <c r="A1507" s="71"/>
      <c r="B1507" s="71"/>
      <c r="C1507" s="71"/>
      <c r="D1507" s="71"/>
      <c r="E1507" s="71"/>
      <c r="F1507" s="71"/>
      <c r="M1507" s="71"/>
      <c r="N1507" s="71"/>
      <c r="O1507" s="71"/>
      <c r="P1507" s="71"/>
      <c r="Q1507" s="71"/>
      <c r="R1507" s="71"/>
      <c r="T1507" s="71"/>
      <c r="U1507" s="71"/>
      <c r="V1507" s="71"/>
      <c r="W1507" s="71"/>
    </row>
    <row r="1508">
      <c r="A1508" s="71"/>
      <c r="B1508" s="71"/>
      <c r="C1508" s="71"/>
      <c r="D1508" s="71"/>
      <c r="E1508" s="71"/>
      <c r="F1508" s="71"/>
      <c r="M1508" s="71"/>
      <c r="N1508" s="71"/>
      <c r="Q1508" s="71"/>
      <c r="S1508" s="71"/>
      <c r="T1508" s="71"/>
      <c r="U1508" s="71"/>
      <c r="V1508" s="71"/>
      <c r="W1508" s="71"/>
      <c r="X1508" s="71"/>
      <c r="Y1508" s="71"/>
    </row>
    <row r="1509">
      <c r="A1509" s="71"/>
      <c r="B1509" s="71"/>
      <c r="C1509" s="71"/>
      <c r="D1509" s="71"/>
      <c r="E1509" s="71"/>
      <c r="F1509" s="71"/>
      <c r="M1509" s="71"/>
      <c r="N1509" s="71"/>
      <c r="O1509" s="71"/>
      <c r="P1509" s="71"/>
      <c r="Q1509" s="71"/>
      <c r="R1509" s="71"/>
      <c r="T1509" s="71"/>
      <c r="U1509" s="71"/>
      <c r="V1509" s="71"/>
      <c r="W1509" s="71"/>
    </row>
    <row r="1510">
      <c r="A1510" s="71"/>
      <c r="B1510" s="71"/>
      <c r="C1510" s="71"/>
      <c r="E1510" s="71"/>
      <c r="F1510" s="71"/>
      <c r="M1510" s="71"/>
      <c r="N1510" s="71"/>
      <c r="Q1510" s="71"/>
      <c r="T1510" s="71"/>
      <c r="U1510" s="71"/>
      <c r="V1510" s="71"/>
      <c r="W1510" s="71"/>
      <c r="X1510" s="71"/>
    </row>
    <row r="1511">
      <c r="A1511" s="71"/>
      <c r="B1511" s="71"/>
      <c r="C1511" s="71"/>
      <c r="D1511" s="71"/>
      <c r="E1511" s="71"/>
      <c r="F1511" s="71"/>
      <c r="M1511" s="71"/>
      <c r="N1511" s="71"/>
      <c r="O1511" s="71"/>
      <c r="P1511" s="71"/>
      <c r="Q1511" s="71"/>
      <c r="R1511" s="71"/>
      <c r="T1511" s="71"/>
      <c r="U1511" s="71"/>
      <c r="V1511" s="71"/>
      <c r="W1511" s="71"/>
      <c r="X1511" s="71"/>
    </row>
    <row r="1512">
      <c r="A1512" s="71"/>
      <c r="B1512" s="71"/>
      <c r="C1512" s="71"/>
      <c r="D1512" s="71"/>
      <c r="E1512" s="71"/>
      <c r="F1512" s="71"/>
      <c r="M1512" s="71"/>
      <c r="N1512" s="71"/>
      <c r="O1512" s="71"/>
      <c r="P1512" s="71"/>
      <c r="Q1512" s="71"/>
      <c r="R1512" s="71"/>
      <c r="S1512" s="71"/>
      <c r="T1512" s="71"/>
      <c r="U1512" s="71"/>
      <c r="V1512" s="71"/>
      <c r="W1512" s="71"/>
      <c r="X1512" s="71"/>
      <c r="Y1512" s="71"/>
    </row>
    <row r="1513">
      <c r="A1513" s="71"/>
      <c r="B1513" s="71"/>
      <c r="C1513" s="71"/>
      <c r="D1513" s="71"/>
      <c r="E1513" s="71"/>
      <c r="F1513" s="71"/>
      <c r="M1513" s="71"/>
      <c r="N1513" s="71"/>
      <c r="Q1513" s="71"/>
      <c r="S1513" s="71"/>
      <c r="T1513" s="71"/>
      <c r="U1513" s="71"/>
      <c r="V1513" s="71"/>
      <c r="W1513" s="71"/>
      <c r="X1513" s="71"/>
      <c r="Y1513" s="71"/>
    </row>
    <row r="1514">
      <c r="A1514" s="71"/>
      <c r="B1514" s="71"/>
      <c r="C1514" s="71"/>
      <c r="D1514" s="71"/>
      <c r="E1514" s="71"/>
      <c r="F1514" s="71"/>
      <c r="M1514" s="71"/>
      <c r="N1514" s="71"/>
      <c r="Q1514" s="71"/>
      <c r="S1514" s="71"/>
      <c r="T1514" s="71"/>
      <c r="U1514" s="71"/>
      <c r="V1514" s="71"/>
      <c r="W1514" s="71"/>
      <c r="X1514" s="71"/>
      <c r="Y1514" s="71"/>
    </row>
    <row r="1515">
      <c r="A1515" s="71"/>
      <c r="B1515" s="71"/>
      <c r="C1515" s="71"/>
      <c r="D1515" s="71"/>
      <c r="E1515" s="71"/>
      <c r="F1515" s="71"/>
      <c r="N1515" s="71"/>
      <c r="O1515" s="71"/>
      <c r="P1515" s="71"/>
      <c r="Q1515" s="71"/>
      <c r="R1515" s="71"/>
      <c r="U1515" s="71"/>
      <c r="V1515" s="71"/>
    </row>
    <row r="1516">
      <c r="A1516" s="71"/>
      <c r="B1516" s="71"/>
      <c r="C1516" s="71"/>
      <c r="E1516" s="71"/>
      <c r="F1516" s="71"/>
      <c r="M1516" s="71"/>
      <c r="N1516" s="71"/>
      <c r="Q1516" s="71"/>
      <c r="T1516" s="71"/>
      <c r="U1516" s="71"/>
      <c r="V1516" s="71"/>
      <c r="W1516" s="71"/>
    </row>
    <row r="1517">
      <c r="A1517" s="71"/>
      <c r="B1517" s="71"/>
      <c r="C1517" s="71"/>
      <c r="D1517" s="71"/>
      <c r="E1517" s="71"/>
      <c r="F1517" s="71"/>
      <c r="M1517" s="71"/>
      <c r="N1517" s="71"/>
      <c r="Q1517" s="71"/>
      <c r="T1517" s="71"/>
      <c r="U1517" s="71"/>
      <c r="V1517" s="71"/>
      <c r="W1517" s="71"/>
      <c r="X1517" s="71"/>
    </row>
    <row r="1518">
      <c r="A1518" s="71"/>
      <c r="B1518" s="71"/>
      <c r="C1518" s="71"/>
      <c r="D1518" s="71"/>
      <c r="E1518" s="71"/>
      <c r="F1518" s="71"/>
      <c r="M1518" s="71"/>
      <c r="N1518" s="71"/>
      <c r="Q1518" s="71"/>
      <c r="S1518" s="71"/>
      <c r="T1518" s="71"/>
      <c r="U1518" s="71"/>
      <c r="V1518" s="71"/>
      <c r="W1518" s="71"/>
      <c r="X1518" s="71"/>
      <c r="Y1518" s="7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8.75"/>
    <col customWidth="1" min="5" max="7" width="7.38"/>
    <col customWidth="1" min="8" max="8" width="39.88"/>
    <col customWidth="1" min="9" max="9" width="34.0"/>
    <col customWidth="1" min="10" max="16" width="39.88"/>
    <col customWidth="1" min="17" max="17" width="34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 t="s">
        <v>3</v>
      </c>
      <c r="G1" s="2"/>
      <c r="I1" s="7" t="str">
        <f>IFNA(CONCATENATE(VLOOKUP($G1,export_items!$B:$V,2,0)," @",VLOOKUP($G1,export_items!$B:$V,21,0)),"")</f>
        <v/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4</v>
      </c>
      <c r="B2" s="9">
        <v>590.0</v>
      </c>
      <c r="C2" s="10">
        <f t="shared" ref="C2:C25" si="1">B2/5</f>
        <v>118</v>
      </c>
      <c r="D2" s="2"/>
      <c r="E2" s="11"/>
      <c r="F2" s="12">
        <v>10263.0</v>
      </c>
      <c r="G2" s="11"/>
      <c r="H2" s="7" t="str">
        <f>CONCATENATE(VLOOKUP($F2,export_items!$B:$V,2,0)," @",VLOOKUP($F2,export_items!$B:$V,21,0))</f>
        <v>สามชั้น A (นุ่ม) ทองสุข  -118 @590</v>
      </c>
      <c r="I2" s="7" t="str">
        <f>IFNA(CONCATENATE(VLOOKUP($G2,export_items!$B:$V,2,0)," @",VLOOKUP($G2,export_items!$B:$V,21,0)),"")</f>
        <v/>
      </c>
      <c r="R2" s="7"/>
      <c r="S2" s="7"/>
      <c r="T2" s="7"/>
      <c r="U2" s="7"/>
      <c r="V2" s="7"/>
      <c r="W2" s="7"/>
      <c r="X2" s="7"/>
      <c r="Y2" s="7"/>
    </row>
    <row r="3">
      <c r="A3" s="9" t="s">
        <v>7</v>
      </c>
      <c r="B3" s="9">
        <v>765.0</v>
      </c>
      <c r="C3" s="10">
        <f t="shared" si="1"/>
        <v>153</v>
      </c>
      <c r="D3" s="2"/>
      <c r="E3" s="11"/>
      <c r="F3" s="12">
        <v>10676.0</v>
      </c>
      <c r="G3" s="11"/>
      <c r="H3" s="7" t="str">
        <f>CONCATENATE(VLOOKUP($F3,export_items!$B:$V,2,0)," @",VLOOKUP($F3,export_items!$B:$V,21,0))</f>
        <v>สามชั้น 4k นุ่ม - 153 @765</v>
      </c>
      <c r="I3" s="7" t="str">
        <f>IFNA(CONCATENATE(VLOOKUP($G3,export_items!$B:$V,2,0)," @",VLOOKUP($G3,export_items!$B:$V,21,0)),"")</f>
        <v/>
      </c>
      <c r="R3" s="7"/>
      <c r="S3" s="7"/>
      <c r="T3" s="7"/>
      <c r="U3" s="7"/>
      <c r="V3" s="7"/>
      <c r="W3" s="7"/>
      <c r="X3" s="7"/>
      <c r="Y3" s="7"/>
    </row>
    <row r="4">
      <c r="A4" s="9" t="s">
        <v>9</v>
      </c>
      <c r="B4" s="9">
        <v>525.0</v>
      </c>
      <c r="C4" s="10">
        <f t="shared" si="1"/>
        <v>105</v>
      </c>
      <c r="D4" s="2"/>
      <c r="E4" s="11"/>
      <c r="F4" s="12">
        <v>10671.0</v>
      </c>
      <c r="G4" s="11"/>
      <c r="H4" s="7" t="str">
        <f>CONCATENATE(VLOOKUP($F4,export_items!$B:$V,2,0)," @",VLOOKUP($F4,export_items!$B:$V,21,0))</f>
        <v>สามชั้น 2k (นุ่ม) - 105 @525</v>
      </c>
      <c r="I4" s="7" t="str">
        <f>IFNA(CONCATENATE(VLOOKUP($G4,export_items!$B:$V,2,0)," @",VLOOKUP($G4,export_items!$B:$V,21,0)),"")</f>
        <v/>
      </c>
      <c r="R4" s="7"/>
      <c r="S4" s="7"/>
      <c r="T4" s="7"/>
      <c r="U4" s="7"/>
      <c r="V4" s="7"/>
      <c r="W4" s="7"/>
      <c r="X4" s="7"/>
      <c r="Y4" s="7"/>
    </row>
    <row r="5">
      <c r="A5" s="9" t="s">
        <v>11</v>
      </c>
      <c r="B5" s="9">
        <v>490.0</v>
      </c>
      <c r="C5" s="10">
        <f t="shared" si="1"/>
        <v>98</v>
      </c>
      <c r="D5" s="2"/>
      <c r="E5" s="11"/>
      <c r="F5" s="12">
        <v>10682.0</v>
      </c>
      <c r="G5" s="11"/>
      <c r="H5" s="7" t="str">
        <f>CONCATENATE(VLOOKUP($F5,export_items!$B:$V,2,0)," @",VLOOKUP($F5,export_items!$B:$V,21,0))</f>
        <v>สามชั้น (ถุงใส) งา - 98 @490</v>
      </c>
      <c r="I5" s="7" t="str">
        <f>IFNA(CONCATENATE(VLOOKUP($G5,export_items!$B:$V,2,0)," @",VLOOKUP($G5,export_items!$B:$V,21,0)),"")</f>
        <v/>
      </c>
      <c r="R5" s="7"/>
      <c r="S5" s="7"/>
      <c r="T5" s="7"/>
      <c r="U5" s="7"/>
      <c r="V5" s="7"/>
      <c r="W5" s="7"/>
      <c r="X5" s="7"/>
      <c r="Y5" s="7"/>
    </row>
    <row r="6">
      <c r="A6" s="9" t="s">
        <v>13</v>
      </c>
      <c r="B6" s="9">
        <v>375.0</v>
      </c>
      <c r="C6" s="10">
        <f t="shared" si="1"/>
        <v>75</v>
      </c>
      <c r="D6" s="2"/>
      <c r="E6" s="11"/>
      <c r="F6" s="12">
        <v>10514.0</v>
      </c>
      <c r="G6" s="11"/>
      <c r="H6" s="7" t="str">
        <f>CONCATENATE(VLOOKUP($F6,export_items!$B:$V,2,0)," @",VLOOKUP($F6,export_items!$B:$V,21,0))</f>
        <v>หมูหมัก(ถุงใส) นุ่ม  -75 @375</v>
      </c>
      <c r="I6" s="7" t="str">
        <f>IFNA(CONCATENATE(VLOOKUP($G6,export_items!$B:$V,2,0)," @",VLOOKUP($G6,export_items!$B:$V,21,0)),"")</f>
        <v/>
      </c>
      <c r="R6" s="7"/>
      <c r="S6" s="7"/>
      <c r="T6" s="7"/>
      <c r="U6" s="7"/>
      <c r="V6" s="7"/>
      <c r="W6" s="7"/>
      <c r="X6" s="7"/>
      <c r="Y6" s="7"/>
    </row>
    <row r="7">
      <c r="A7" s="9" t="s">
        <v>16</v>
      </c>
      <c r="B7" s="9">
        <v>400.0</v>
      </c>
      <c r="C7" s="10">
        <f t="shared" si="1"/>
        <v>80</v>
      </c>
      <c r="D7" s="2"/>
      <c r="E7" s="11"/>
      <c r="F7" s="12">
        <v>10159.0</v>
      </c>
      <c r="G7" s="11"/>
      <c r="H7" s="7" t="str">
        <f>CONCATENATE(VLOOKUP($F7,export_items!$B:$V,2,0)," @",VLOOKUP($F7,export_items!$B:$V,21,0))</f>
        <v>หมูนุ่ม (สมชาย) 5 กก. - 80 @400</v>
      </c>
      <c r="I7" s="7" t="str">
        <f>IFNA(CONCATENATE(VLOOKUP($G7,export_items!$B:$V,2,0)," @",VLOOKUP($G7,export_items!$B:$V,21,0)),"")</f>
        <v/>
      </c>
      <c r="R7" s="7"/>
      <c r="S7" s="7"/>
      <c r="T7" s="7"/>
      <c r="U7" s="7"/>
      <c r="V7" s="7"/>
      <c r="W7" s="7"/>
      <c r="X7" s="7"/>
      <c r="Y7" s="7"/>
    </row>
    <row r="8">
      <c r="A8" s="9" t="s">
        <v>18</v>
      </c>
      <c r="B8" s="9">
        <v>725.0</v>
      </c>
      <c r="C8" s="10">
        <f t="shared" si="1"/>
        <v>145</v>
      </c>
      <c r="D8" s="2"/>
      <c r="E8" s="11"/>
      <c r="F8" s="12">
        <v>11379.0</v>
      </c>
      <c r="G8" s="11"/>
      <c r="H8" s="7" t="str">
        <f>CONCATENATE(VLOOKUP($F8,export_items!$B:$V,2,0)," @",VLOOKUP($F8,export_items!$B:$V,21,0))</f>
        <v>สามชั้น พีเมียม Vj ถุง5kg(145) @725</v>
      </c>
      <c r="I8" s="7" t="str">
        <f>IFNA(CONCATENATE(VLOOKUP($G8,export_items!$B:$V,2,0)," @",VLOOKUP($G8,export_items!$B:$V,21,0)),"")</f>
        <v/>
      </c>
      <c r="R8" s="7"/>
      <c r="S8" s="7"/>
      <c r="T8" s="7"/>
      <c r="U8" s="7"/>
      <c r="V8" s="7"/>
      <c r="W8" s="7"/>
      <c r="X8" s="7"/>
      <c r="Y8" s="7"/>
    </row>
    <row r="9">
      <c r="A9" s="9" t="s">
        <v>20</v>
      </c>
      <c r="B9" s="9">
        <v>490.0</v>
      </c>
      <c r="C9" s="10">
        <f t="shared" si="1"/>
        <v>98</v>
      </c>
      <c r="D9" s="2"/>
      <c r="E9" s="11"/>
      <c r="F9" s="12">
        <v>10196.0</v>
      </c>
      <c r="G9" s="41"/>
      <c r="H9" s="7" t="str">
        <f>CONCATENATE(VLOOKUP($F9,export_items!$B:$V,2,0)," @",VLOOKUP($F9,export_items!$B:$V,21,0))</f>
        <v>ลอกหนัง (ถุงใส) 5 กก. (หิ้ว) - 98 @490</v>
      </c>
      <c r="I9" s="7" t="str">
        <f>IFNA(CONCATENATE(VLOOKUP($G9,export_items!$B:$V,2,0)," @",VLOOKUP($G9,export_items!$B:$V,21,0)),"")</f>
        <v/>
      </c>
      <c r="R9" s="7"/>
      <c r="S9" s="7"/>
      <c r="T9" s="7"/>
      <c r="U9" s="7"/>
      <c r="V9" s="7"/>
      <c r="W9" s="7"/>
      <c r="X9" s="7"/>
      <c r="Y9" s="7"/>
    </row>
    <row r="10">
      <c r="A10" s="9" t="s">
        <v>22</v>
      </c>
      <c r="B10" s="9">
        <v>475.0</v>
      </c>
      <c r="C10" s="10">
        <f t="shared" si="1"/>
        <v>95</v>
      </c>
      <c r="D10" s="2"/>
      <c r="E10" s="11"/>
      <c r="F10" s="12">
        <v>10154.0</v>
      </c>
      <c r="G10" s="11"/>
      <c r="H10" s="7" t="str">
        <f>CONCATENATE(VLOOKUP($F10,export_items!$B:$V,2,0)," @",VLOOKUP($F10,export_items!$B:$V,21,0))</f>
        <v>ลอกหนัง TS 5 กก. (หิ้ว) - 95 @475</v>
      </c>
      <c r="I10" s="7" t="str">
        <f>IFNA(CONCATENATE(VLOOKUP($G10,export_items!$B:$V,2,0)," @",VLOOKUP($G10,export_items!$B:$V,21,0)),"")</f>
        <v/>
      </c>
      <c r="R10" s="7"/>
      <c r="S10" s="7"/>
      <c r="T10" s="7"/>
      <c r="U10" s="7"/>
      <c r="V10" s="7"/>
      <c r="W10" s="7"/>
      <c r="X10" s="7"/>
      <c r="Y10" s="7"/>
    </row>
    <row r="11">
      <c r="A11" s="9" t="s">
        <v>24</v>
      </c>
      <c r="B11" s="9">
        <v>475.0</v>
      </c>
      <c r="C11" s="10">
        <f t="shared" si="1"/>
        <v>95</v>
      </c>
      <c r="D11" s="2"/>
      <c r="E11" s="11"/>
      <c r="F11" s="12">
        <v>10895.0</v>
      </c>
      <c r="G11" s="11"/>
      <c r="H11" s="7" t="str">
        <f>CONCATENATE(VLOOKUP($F11,export_items!$B:$V,2,0)," @",VLOOKUP($F11,export_items!$B:$V,21,0))</f>
        <v>หมูชาบู(ฟ้า) 5 กก/หิ้ว -95 @475</v>
      </c>
      <c r="I11" s="7" t="str">
        <f>IFNA(CONCATENATE(VLOOKUP($G11,export_items!$B:$V,2,0)," @",VLOOKUP($G11,export_items!$B:$V,21,0)),"")</f>
        <v/>
      </c>
      <c r="R11" s="7"/>
      <c r="S11" s="7"/>
      <c r="T11" s="7"/>
      <c r="U11" s="7"/>
      <c r="V11" s="7"/>
      <c r="W11" s="7"/>
      <c r="X11" s="7"/>
      <c r="Y11" s="7"/>
    </row>
    <row r="12">
      <c r="A12" s="9" t="s">
        <v>26</v>
      </c>
      <c r="B12" s="9">
        <v>475.0</v>
      </c>
      <c r="C12" s="10">
        <f t="shared" si="1"/>
        <v>95</v>
      </c>
      <c r="D12" s="2"/>
      <c r="E12" s="11"/>
      <c r="F12" s="12">
        <v>10155.0</v>
      </c>
      <c r="G12" s="11"/>
      <c r="H12" s="7" t="str">
        <f>CONCATENATE(VLOOKUP($F12,export_items!$B:$V,2,0)," @",VLOOKUP($F12,export_items!$B:$V,21,0))</f>
        <v>หมูกลม TS 5 กก (หิ้ว) - 95 @475</v>
      </c>
      <c r="I12" s="7" t="str">
        <f>IFNA(CONCATENATE(VLOOKUP($G12,export_items!$B:$V,2,0)," @",VLOOKUP($G12,export_items!$B:$V,21,0)),"")</f>
        <v/>
      </c>
      <c r="R12" s="7"/>
      <c r="S12" s="7"/>
      <c r="T12" s="7"/>
      <c r="U12" s="7"/>
      <c r="V12" s="7"/>
      <c r="W12" s="7"/>
      <c r="X12" s="7"/>
      <c r="Y12" s="7"/>
    </row>
    <row r="13">
      <c r="A13" s="9" t="s">
        <v>29</v>
      </c>
      <c r="B13" s="9">
        <v>550.0</v>
      </c>
      <c r="C13" s="10">
        <f t="shared" si="1"/>
        <v>110</v>
      </c>
      <c r="D13" s="2"/>
      <c r="E13" s="11"/>
      <c r="F13" s="12">
        <v>10898.0</v>
      </c>
      <c r="G13" s="11"/>
      <c r="H13" s="7" t="str">
        <f>CONCATENATE(VLOOKUP($F13,export_items!$B:$V,2,0)," @",VLOOKUP($F13,export_items!$B:$V,21,0))</f>
        <v>สันคอชาบู หมูอร่อย 5 กก./หิ้วเขียว - 110 @550</v>
      </c>
      <c r="I13" s="7" t="str">
        <f>IFNA(CONCATENATE(VLOOKUP($G13,export_items!$B:$V,2,0)," @",VLOOKUP($G13,export_items!$B:$V,21,0)),"")</f>
        <v/>
      </c>
      <c r="R13" s="7"/>
      <c r="S13" s="7"/>
      <c r="T13" s="7"/>
      <c r="U13" s="7"/>
      <c r="V13" s="7"/>
      <c r="W13" s="7"/>
      <c r="X13" s="7"/>
      <c r="Y13" s="7"/>
    </row>
    <row r="14">
      <c r="A14" s="9" t="s">
        <v>31</v>
      </c>
      <c r="B14" s="9">
        <v>550.0</v>
      </c>
      <c r="C14" s="10">
        <f t="shared" si="1"/>
        <v>110</v>
      </c>
      <c r="D14" s="2"/>
      <c r="E14" s="11"/>
      <c r="F14" s="12">
        <v>11059.0</v>
      </c>
      <c r="G14" s="11"/>
      <c r="H14" s="7" t="str">
        <f>CONCATENATE(VLOOKUP($F14,export_items!$B:$V,2,0)," @",VLOOKUP($F14,export_items!$B:$V,21,0))</f>
        <v>ชาบูนมสด หมูอร่อย 5 กก./หิ้วชมพู - 110 @550</v>
      </c>
      <c r="I14" s="7" t="str">
        <f>IFNA(CONCATENATE(VLOOKUP($G14,export_items!$B:$V,2,0)," @",VLOOKUP($G14,export_items!$B:$V,21,0)),"")</f>
        <v/>
      </c>
      <c r="R14" s="7"/>
      <c r="S14" s="7"/>
      <c r="T14" s="7"/>
      <c r="U14" s="7"/>
      <c r="V14" s="7"/>
      <c r="W14" s="7"/>
      <c r="X14" s="7"/>
      <c r="Y14" s="7"/>
    </row>
    <row r="15">
      <c r="A15" s="9" t="s">
        <v>33</v>
      </c>
      <c r="B15" s="9">
        <v>475.0</v>
      </c>
      <c r="C15" s="10">
        <f t="shared" si="1"/>
        <v>95</v>
      </c>
      <c r="D15" s="2"/>
      <c r="E15" s="11"/>
      <c r="F15" s="12">
        <v>10370.0</v>
      </c>
      <c r="G15" s="11"/>
      <c r="H15" s="7" t="str">
        <f>CONCATENATE(VLOOKUP($F15,export_items!$B:$V,2,0)," @",VLOOKUP($F15,export_items!$B:$V,21,0))</f>
        <v>หมูชาบู 3แถว 5 กก.(หิ้ว) - 95 @475</v>
      </c>
      <c r="I15" s="7" t="str">
        <f>IFNA(CONCATENATE(VLOOKUP($G15,export_items!$B:$V,2,0)," @",VLOOKUP($G15,export_items!$B:$V,21,0)),"")</f>
        <v/>
      </c>
      <c r="R15" s="7"/>
      <c r="S15" s="7"/>
      <c r="T15" s="7"/>
      <c r="U15" s="7"/>
      <c r="V15" s="7"/>
      <c r="W15" s="7"/>
      <c r="X15" s="7"/>
      <c r="Y15" s="7"/>
    </row>
    <row r="16">
      <c r="A16" s="9" t="s">
        <v>35</v>
      </c>
      <c r="B16" s="9">
        <v>560.0</v>
      </c>
      <c r="C16" s="10">
        <f t="shared" si="1"/>
        <v>112</v>
      </c>
      <c r="D16" s="2"/>
      <c r="E16" s="11"/>
      <c r="F16" s="12">
        <v>10763.0</v>
      </c>
      <c r="G16" s="11"/>
      <c r="H16" s="7" t="str">
        <f>CONCATENATE(VLOOKUP($F16,export_items!$B:$V,2,0)," @",VLOOKUP($F16,export_items!$B:$V,21,0))</f>
        <v>หมูชาบู (หอม) หิ้ว 5กก -112 @560</v>
      </c>
      <c r="I16" s="7" t="str">
        <f>IFNA(CONCATENATE(VLOOKUP($G16,export_items!$B:$V,2,0)," @",VLOOKUP($G16,export_items!$B:$V,21,0)),"")</f>
        <v/>
      </c>
      <c r="R16" s="7"/>
      <c r="S16" s="7"/>
      <c r="T16" s="7"/>
      <c r="U16" s="7"/>
      <c r="V16" s="7"/>
      <c r="W16" s="7"/>
      <c r="X16" s="7"/>
      <c r="Y16" s="7"/>
    </row>
    <row r="17">
      <c r="A17" s="9" t="s">
        <v>38</v>
      </c>
      <c r="B17" s="9">
        <v>525.0</v>
      </c>
      <c r="C17" s="10">
        <f t="shared" si="1"/>
        <v>105</v>
      </c>
      <c r="D17" s="2"/>
      <c r="E17" s="11"/>
      <c r="F17" s="12">
        <v>10313.0</v>
      </c>
      <c r="G17" s="11"/>
      <c r="H17" s="7" t="str">
        <f>CONCATENATE(VLOOKUP($F17,export_items!$B:$V,2,0)," @",VLOOKUP($F17,export_items!$B:$V,21,0))</f>
        <v>คุโรบุตะ ถุงใส 5 กก. (หิ้ว) -105 @525</v>
      </c>
      <c r="I17" s="7" t="str">
        <f>IFNA(CONCATENATE(VLOOKUP($G17,export_items!$B:$V,2,0)," @",VLOOKUP($G17,export_items!$B:$V,21,0)),"")</f>
        <v/>
      </c>
      <c r="R17" s="7"/>
      <c r="S17" s="7"/>
      <c r="T17" s="7"/>
      <c r="U17" s="7"/>
      <c r="V17" s="7"/>
      <c r="W17" s="7"/>
      <c r="X17" s="7"/>
      <c r="Y17" s="7"/>
    </row>
    <row r="18">
      <c r="A18" s="9" t="s">
        <v>41</v>
      </c>
      <c r="B18" s="9">
        <v>650.0</v>
      </c>
      <c r="C18" s="10">
        <f t="shared" si="1"/>
        <v>130</v>
      </c>
      <c r="D18" s="2"/>
      <c r="E18" s="11"/>
      <c r="F18" s="12">
        <v>10132.0</v>
      </c>
      <c r="G18" s="11"/>
      <c r="H18" s="7" t="str">
        <f>CONCATENATE(VLOOKUP($F18,export_items!$B:$V,2,0)," @",VLOOKUP($F18,export_items!$B:$V,21,0))</f>
        <v>คุโรบุตะ (สมชาย) 5 กก. (หิ้ว) -130 @650</v>
      </c>
      <c r="I18" s="7" t="str">
        <f>IFNA(CONCATENATE(VLOOKUP($G18,export_items!$B:$V,2,0)," @",VLOOKUP($G18,export_items!$B:$V,21,0)),"")</f>
        <v/>
      </c>
      <c r="R18" s="7"/>
      <c r="S18" s="7"/>
      <c r="T18" s="7"/>
      <c r="U18" s="7"/>
      <c r="V18" s="7"/>
      <c r="W18" s="7"/>
      <c r="X18" s="7"/>
      <c r="Y18" s="7"/>
    </row>
    <row r="19">
      <c r="A19" s="9" t="s">
        <v>43</v>
      </c>
      <c r="B19" s="9">
        <v>725.0</v>
      </c>
      <c r="C19" s="10">
        <f t="shared" si="1"/>
        <v>145</v>
      </c>
      <c r="D19" s="2"/>
      <c r="E19" s="11"/>
      <c r="F19" s="12">
        <v>10835.0</v>
      </c>
      <c r="G19" s="11"/>
      <c r="H19" s="7" t="str">
        <f>CONCATENATE(VLOOKUP($F19,export_items!$B:$V,2,0)," @",VLOOKUP($F19,export_items!$B:$V,21,0))</f>
        <v>สามชั้นลอก (เรียง) 1kg (หิ้ว5กก) -145 @725</v>
      </c>
      <c r="I19" s="7" t="str">
        <f>IFNA(CONCATENATE(VLOOKUP($G19,export_items!$B:$V,2,0)," @",VLOOKUP($G19,export_items!$B:$V,21,0)),"")</f>
        <v/>
      </c>
      <c r="R19" s="7"/>
      <c r="S19" s="7"/>
      <c r="T19" s="7"/>
      <c r="U19" s="7"/>
      <c r="V19" s="7"/>
      <c r="W19" s="7"/>
      <c r="X19" s="7"/>
      <c r="Y19" s="7"/>
    </row>
    <row r="20">
      <c r="A20" s="9" t="s">
        <v>49</v>
      </c>
      <c r="B20" s="9">
        <v>675.0</v>
      </c>
      <c r="C20" s="10">
        <f t="shared" si="1"/>
        <v>135</v>
      </c>
      <c r="D20" s="2"/>
      <c r="E20" s="11"/>
      <c r="F20" s="12">
        <v>10659.0</v>
      </c>
      <c r="G20" s="11"/>
      <c r="H20" s="7" t="str">
        <f>CONCATENATE(VLOOKUP($F20,export_items!$B:$V,2,0)," @",VLOOKUP($F20,export_items!$B:$V,21,0))</f>
        <v>ลอก(ไม่เรียง) ถุง5กก -135 @675</v>
      </c>
      <c r="I20" s="7" t="str">
        <f>IFNA(CONCATENATE(VLOOKUP($G20,export_items!$B:$V,2,0)," @",VLOOKUP($G20,export_items!$B:$V,21,0)),"")</f>
        <v/>
      </c>
      <c r="R20" s="7"/>
      <c r="S20" s="7"/>
      <c r="T20" s="7"/>
      <c r="U20" s="7"/>
      <c r="V20" s="7"/>
      <c r="W20" s="7"/>
      <c r="X20" s="7"/>
      <c r="Y20" s="7"/>
    </row>
    <row r="21">
      <c r="A21" s="9" t="s">
        <v>51</v>
      </c>
      <c r="B21" s="30">
        <v>925.0</v>
      </c>
      <c r="C21" s="10">
        <f t="shared" si="1"/>
        <v>185</v>
      </c>
      <c r="D21" s="31"/>
      <c r="E21" s="11"/>
      <c r="F21" s="12">
        <v>10710.0</v>
      </c>
      <c r="G21" s="11"/>
      <c r="H21" s="7" t="str">
        <f>CONCATENATE(VLOOKUP($F21,export_items!$B:$V,2,0)," @",VLOOKUP($F21,export_items!$B:$V,21,0))</f>
        <v>สามชั้นสไลด์ A  (ถุง 5 กก.) -185 @925</v>
      </c>
      <c r="I21" s="7" t="str">
        <f>IFNA(CONCATENATE(VLOOKUP($G21,export_items!$B:$V,2,0)," @",VLOOKUP($G21,export_items!$B:$V,21,0)),"")</f>
        <v/>
      </c>
      <c r="R21" s="7"/>
      <c r="S21" s="7"/>
      <c r="T21" s="7"/>
      <c r="U21" s="7"/>
      <c r="V21" s="7"/>
      <c r="W21" s="7"/>
      <c r="X21" s="7"/>
      <c r="Y21" s="7"/>
    </row>
    <row r="22">
      <c r="A22" s="9" t="s">
        <v>53</v>
      </c>
      <c r="B22" s="9">
        <v>740.0</v>
      </c>
      <c r="C22" s="10">
        <f t="shared" si="1"/>
        <v>148</v>
      </c>
      <c r="D22" s="2"/>
      <c r="E22" s="11"/>
      <c r="F22" s="12">
        <v>10724.0</v>
      </c>
      <c r="G22" s="11"/>
      <c r="H22" s="7" t="str">
        <f>CONCATENATE(VLOOKUP($F22,export_items!$B:$V,2,0)," @",VLOOKUP($F22,export_items!$B:$V,21,0))</f>
        <v>สันคอ Mfood (เหลือง) 5 กก.(หิ้ว) -148 @740</v>
      </c>
      <c r="I22" s="7" t="str">
        <f>IFNA(CONCATENATE(VLOOKUP($G22,export_items!$B:$V,2,0)," @",VLOOKUP($G22,export_items!$B:$V,21,0)),"")</f>
        <v/>
      </c>
      <c r="R22" s="7"/>
      <c r="S22" s="7"/>
      <c r="T22" s="7"/>
      <c r="U22" s="7"/>
      <c r="V22" s="7"/>
      <c r="W22" s="7"/>
      <c r="X22" s="7"/>
      <c r="Y22" s="7"/>
    </row>
    <row r="23">
      <c r="A23" s="9" t="s">
        <v>55</v>
      </c>
      <c r="B23" s="9">
        <v>595.0</v>
      </c>
      <c r="C23" s="10">
        <f t="shared" si="1"/>
        <v>119</v>
      </c>
      <c r="D23" s="2"/>
      <c r="E23" s="11"/>
      <c r="F23" s="12">
        <v>10660.0</v>
      </c>
      <c r="G23" s="11"/>
      <c r="H23" s="7" t="str">
        <f>CONCATENATE(VLOOKUP($F23,export_items!$B:$V,2,0)," @",VLOOKUP($F23,export_items!$B:$V,21,0))</f>
        <v>ชาบูกลม Mfood (เขียว) 5 กก.(หิ้ว) - 119 @595</v>
      </c>
      <c r="I23" s="7" t="str">
        <f>IFNA(CONCATENATE(VLOOKUP($G23,export_items!$B:$V,2,0)," @",VLOOKUP($G23,export_items!$B:$V,21,0)),"")</f>
        <v/>
      </c>
      <c r="R23" s="7"/>
      <c r="S23" s="7"/>
      <c r="T23" s="7"/>
      <c r="U23" s="7"/>
      <c r="V23" s="7"/>
      <c r="W23" s="7"/>
      <c r="X23" s="7"/>
      <c r="Y23" s="7"/>
    </row>
    <row r="24">
      <c r="A24" s="9" t="s">
        <v>57</v>
      </c>
      <c r="B24" s="9">
        <v>715.0</v>
      </c>
      <c r="C24" s="10">
        <f t="shared" si="1"/>
        <v>143</v>
      </c>
      <c r="D24" s="2"/>
      <c r="E24" s="11"/>
      <c r="F24" s="12">
        <v>10761.0</v>
      </c>
      <c r="G24" s="41"/>
      <c r="H24" s="7" t="str">
        <f>CONCATENATE(VLOOKUP($F24,export_items!$B:$V,2,0)," @",VLOOKUP($F24,export_items!$B:$V,21,0))</f>
        <v>สามชั้นเทียม Mfood ด 5 กก.(หิ้ว) - 143 @715</v>
      </c>
      <c r="I24" s="7" t="str">
        <f>IFNA(CONCATENATE(VLOOKUP($G24,export_items!$B:$V,2,0)," @",VLOOKUP($G24,export_items!$B:$V,21,0)),"")</f>
        <v/>
      </c>
      <c r="R24" s="7"/>
      <c r="S24" s="7"/>
      <c r="T24" s="7"/>
      <c r="U24" s="7"/>
      <c r="V24" s="7"/>
      <c r="W24" s="7"/>
      <c r="X24" s="7"/>
      <c r="Y24" s="7"/>
    </row>
    <row r="25">
      <c r="A25" s="9" t="s">
        <v>59</v>
      </c>
      <c r="B25" s="9">
        <v>740.0</v>
      </c>
      <c r="C25" s="10">
        <f t="shared" si="1"/>
        <v>148</v>
      </c>
      <c r="D25" s="2"/>
      <c r="E25" s="11"/>
      <c r="F25" s="12">
        <v>10977.0</v>
      </c>
      <c r="G25" s="11"/>
      <c r="H25" s="7" t="str">
        <f>CONCATENATE(VLOOKUP($F25,export_items!$B:$V,2,0)," @",VLOOKUP($F25,export_items!$B:$V,21,0))</f>
        <v>เนื้อสไลด์ (ถุงแดง) 5 กก.(หิ้ว) - 148 @740</v>
      </c>
      <c r="I25" s="7" t="str">
        <f>IFNA(CONCATENATE(VLOOKUP($G25,export_items!$B:$V,2,0)," @",VLOOKUP($G25,export_items!$B:$V,21,0)),"")</f>
        <v/>
      </c>
      <c r="R25" s="7"/>
      <c r="S25" s="7"/>
      <c r="T25" s="7"/>
      <c r="U25" s="7"/>
      <c r="V25" s="7"/>
      <c r="W25" s="7"/>
      <c r="X25" s="7"/>
      <c r="Y25" s="7"/>
    </row>
    <row r="26">
      <c r="A26" s="9" t="s">
        <v>61</v>
      </c>
      <c r="B26" s="9">
        <v>190.0</v>
      </c>
      <c r="C26" s="10">
        <f>B26/2</f>
        <v>95</v>
      </c>
      <c r="D26" s="2"/>
      <c r="E26" s="11"/>
      <c r="F26" s="12">
        <v>11543.0</v>
      </c>
      <c r="G26" s="11"/>
      <c r="H26" s="7" t="str">
        <f>CONCATENATE(VLOOKUP($F26,export_items!$B:$V,2,0)," @",VLOOKUP($F26,export_items!$B:$V,21,0))</f>
        <v>เนื้อวัวนุ่ม (สมชาย) 2 กก./ถุง - 95 @190</v>
      </c>
      <c r="I26" s="7" t="str">
        <f>IFNA(CONCATENATE(VLOOKUP($G26,export_items!$B:$V,2,0)," @",VLOOKUP($G26,export_items!$B:$V,21,0)),"")</f>
        <v/>
      </c>
      <c r="R26" s="7"/>
      <c r="S26" s="7"/>
      <c r="T26" s="7"/>
      <c r="U26" s="7"/>
      <c r="V26" s="7"/>
      <c r="W26" s="7"/>
      <c r="X26" s="7"/>
      <c r="Y26" s="7"/>
    </row>
    <row r="27">
      <c r="A27" s="9" t="s">
        <v>63</v>
      </c>
      <c r="B27" s="9">
        <v>400.0</v>
      </c>
      <c r="C27" s="10">
        <f>B27/5</f>
        <v>80</v>
      </c>
      <c r="D27" s="2"/>
      <c r="E27" s="11"/>
      <c r="F27" s="12">
        <v>11251.0</v>
      </c>
      <c r="G27" s="11"/>
      <c r="H27" s="7" t="str">
        <f>CONCATENATE(VLOOKUP($F27,export_items!$B:$V,2,0)," @",VLOOKUP($F27,export_items!$B:$V,21,0))</f>
        <v>หมูเด้งหลอด 5 แพ็ค (หิ้ว) @400</v>
      </c>
      <c r="I27" s="7" t="str">
        <f>IFNA(CONCATENATE(VLOOKUP($G27,export_items!$B:$V,2,0)," @",VLOOKUP($G27,export_items!$B:$V,21,0)),"")</f>
        <v/>
      </c>
      <c r="R27" s="7"/>
      <c r="S27" s="7"/>
      <c r="T27" s="7"/>
      <c r="U27" s="7"/>
      <c r="V27" s="7"/>
      <c r="W27" s="7"/>
      <c r="X27" s="7"/>
      <c r="Y27" s="7"/>
    </row>
    <row r="28">
      <c r="A28" s="9" t="s">
        <v>65</v>
      </c>
      <c r="B28" s="9">
        <v>980.0</v>
      </c>
      <c r="C28" s="10">
        <f t="shared" ref="C28:C29" si="2">B28/10</f>
        <v>98</v>
      </c>
      <c r="D28" s="2"/>
      <c r="E28" s="11"/>
      <c r="F28" s="12">
        <v>10300.0</v>
      </c>
      <c r="G28" s="11"/>
      <c r="H28" s="7" t="str">
        <f>CONCATENATE(VLOOKUP($F28,export_items!$B:$V,2,0)," @",VLOOKUP($F28,export_items!$B:$V,21,0))</f>
        <v>หมูนุ่มเบทาโกร 10*1 Kg ลัง @980</v>
      </c>
      <c r="I28" s="7" t="str">
        <f>IFNA(CONCATENATE(VLOOKUP($G28,export_items!$B:$V,2,0)," @",VLOOKUP($G28,export_items!$B:$V,21,0)),"")</f>
        <v/>
      </c>
      <c r="R28" s="7"/>
      <c r="S28" s="7"/>
      <c r="T28" s="7"/>
      <c r="U28" s="7"/>
      <c r="V28" s="7"/>
      <c r="W28" s="7"/>
      <c r="X28" s="7"/>
      <c r="Y28" s="7"/>
    </row>
    <row r="29">
      <c r="A29" s="9" t="s">
        <v>67</v>
      </c>
      <c r="B29" s="9">
        <v>900.0</v>
      </c>
      <c r="C29" s="10">
        <f t="shared" si="2"/>
        <v>90</v>
      </c>
      <c r="D29" s="2"/>
      <c r="E29" s="11"/>
      <c r="F29" s="12">
        <v>10709.0</v>
      </c>
      <c r="G29" s="11"/>
      <c r="H29" s="7" t="str">
        <f>CONCATENATE(VLOOKUP($F29,export_items!$B:$V,2,0)," @",VLOOKUP($F29,export_items!$B:$V,21,0))</f>
        <v>หมูนุ่มหมักปรุงรส  ลัง10กก -90 @900</v>
      </c>
      <c r="I29" s="7" t="str">
        <f>IFNA(CONCATENATE(VLOOKUP($G29,export_items!$B:$V,2,0)," @",VLOOKUP($G29,export_items!$B:$V,21,0)),"")</f>
        <v/>
      </c>
      <c r="R29" s="7"/>
      <c r="S29" s="7"/>
      <c r="T29" s="7"/>
      <c r="U29" s="7"/>
      <c r="V29" s="7"/>
      <c r="W29" s="7"/>
      <c r="X29" s="7"/>
      <c r="Y29" s="7"/>
    </row>
    <row r="30">
      <c r="A30" s="26"/>
      <c r="B30" s="26"/>
      <c r="C30" s="26"/>
      <c r="D30" s="2"/>
      <c r="E30" s="11"/>
      <c r="F30" s="12"/>
      <c r="G30" s="11"/>
      <c r="H30" s="7"/>
      <c r="I30" s="7" t="str">
        <f>IFNA(CONCATENATE(VLOOKUP($G30,export_items!$B:$V,2,0)," @",VLOOKUP($G30,export_items!$B:$V,21,0)),"")</f>
        <v/>
      </c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" t="s">
        <v>175</v>
      </c>
      <c r="B31" s="1" t="s">
        <v>1</v>
      </c>
      <c r="C31" s="1" t="s">
        <v>2</v>
      </c>
      <c r="D31" s="2"/>
      <c r="E31" s="11"/>
      <c r="F31" s="12" t="s">
        <v>3</v>
      </c>
      <c r="G31" s="11"/>
      <c r="H31" s="7" t="str">
        <f>CONCATENATE(VLOOKUP($F31,export_items!$B:$V,2,0)," @",VLOOKUP($F31,export_items!$B:$V,21,0))</f>
        <v>#N/A</v>
      </c>
      <c r="I31" s="7" t="str">
        <f>IFNA(CONCATENATE(VLOOKUP($G31,export_items!$B:$V,2,0)," @",VLOOKUP($G31,export_items!$B:$V,21,0)),"")</f>
        <v/>
      </c>
      <c r="R31" s="7"/>
      <c r="S31" s="7"/>
      <c r="T31" s="7"/>
      <c r="U31" s="7"/>
      <c r="V31" s="7"/>
      <c r="W31" s="7"/>
      <c r="X31" s="7"/>
      <c r="Y31" s="7"/>
    </row>
    <row r="32">
      <c r="A32" s="9" t="s">
        <v>70</v>
      </c>
      <c r="B32" s="9">
        <v>300.0</v>
      </c>
      <c r="C32" s="10">
        <f t="shared" ref="C32:C39" si="3">B32/5</f>
        <v>60</v>
      </c>
      <c r="D32" s="2"/>
      <c r="E32" s="11"/>
      <c r="F32" s="12">
        <v>10286.0</v>
      </c>
      <c r="G32" s="11"/>
      <c r="H32" s="7" t="str">
        <f>CONCATENATE(VLOOKUP($F32,export_items!$B:$V,2,0)," @",VLOOKUP($F32,export_items!$B:$V,21,0))</f>
        <v>ขายำ 5 กก./ถุง - 60 @300</v>
      </c>
      <c r="I32" s="7" t="str">
        <f>IFNA(CONCATENATE(VLOOKUP($G32,export_items!$B:$V,2,0)," @",VLOOKUP($G32,export_items!$B:$V,21,0)),"")</f>
        <v/>
      </c>
      <c r="R32" s="7"/>
      <c r="S32" s="7"/>
      <c r="T32" s="7"/>
      <c r="U32" s="7"/>
      <c r="V32" s="7"/>
      <c r="W32" s="7"/>
      <c r="X32" s="7"/>
      <c r="Y32" s="7"/>
    </row>
    <row r="33">
      <c r="A33" s="9" t="s">
        <v>72</v>
      </c>
      <c r="B33" s="9">
        <v>515.0</v>
      </c>
      <c r="C33" s="16">
        <f t="shared" si="3"/>
        <v>103</v>
      </c>
      <c r="D33" s="2"/>
      <c r="E33" s="11"/>
      <c r="F33" s="12">
        <v>10232.0</v>
      </c>
      <c r="G33" s="11"/>
      <c r="H33" s="7" t="str">
        <f>CONCATENATE(VLOOKUP($F33,export_items!$B:$V,2,0)," @",VLOOKUP($F33,export_items!$B:$V,21,0))</f>
        <v>หมึกกรอบหั่น 5 กก./ถุง - 103 @515</v>
      </c>
      <c r="I33" s="7" t="str">
        <f>IFNA(CONCATENATE(VLOOKUP($G33,export_items!$B:$V,2,0)," @",VLOOKUP($G33,export_items!$B:$V,21,0)),"")</f>
        <v/>
      </c>
      <c r="R33" s="7"/>
      <c r="S33" s="7"/>
      <c r="T33" s="7"/>
      <c r="U33" s="7"/>
      <c r="V33" s="7"/>
      <c r="W33" s="7"/>
      <c r="X33" s="7"/>
      <c r="Y33" s="7"/>
    </row>
    <row r="34">
      <c r="A34" s="9" t="s">
        <v>74</v>
      </c>
      <c r="B34" s="9">
        <v>515.0</v>
      </c>
      <c r="C34" s="10">
        <f t="shared" si="3"/>
        <v>103</v>
      </c>
      <c r="D34" s="2"/>
      <c r="E34" s="11"/>
      <c r="F34" s="12">
        <v>10335.0</v>
      </c>
      <c r="G34" s="11"/>
      <c r="H34" s="7" t="str">
        <f>CONCATENATE(VLOOKUP($F34,export_items!$B:$V,2,0)," @",VLOOKUP($F34,export_items!$B:$V,21,0))</f>
        <v>หมึกกรอบตัว 5 กก./ถุง - 103 @515</v>
      </c>
      <c r="I34" s="7" t="str">
        <f>IFNA(CONCATENATE(VLOOKUP($G34,export_items!$B:$V,2,0)," @",VLOOKUP($G34,export_items!$B:$V,21,0)),"")</f>
        <v/>
      </c>
      <c r="R34" s="7"/>
      <c r="S34" s="7"/>
      <c r="T34" s="7"/>
      <c r="U34" s="7"/>
      <c r="V34" s="7"/>
      <c r="W34" s="7"/>
      <c r="X34" s="7"/>
      <c r="Y34" s="7"/>
    </row>
    <row r="35" ht="18.0" customHeight="1">
      <c r="A35" s="9" t="s">
        <v>76</v>
      </c>
      <c r="B35" s="9">
        <v>690.0</v>
      </c>
      <c r="C35" s="10">
        <f t="shared" si="3"/>
        <v>138</v>
      </c>
      <c r="D35" s="2"/>
      <c r="E35" s="11"/>
      <c r="F35" s="12">
        <v>10233.0</v>
      </c>
      <c r="G35" s="11"/>
      <c r="H35" s="7" t="str">
        <f>CONCATENATE(VLOOKUP($F35,export_items!$B:$V,2,0)," @",VLOOKUP($F35,export_items!$B:$V,21,0))</f>
        <v>สไบหั่น 5กก/ถุง -138 @690</v>
      </c>
      <c r="I35" s="7" t="str">
        <f>IFNA(CONCATENATE(VLOOKUP($G35,export_items!$B:$V,2,0)," @",VLOOKUP($G35,export_items!$B:$V,21,0)),"")</f>
        <v/>
      </c>
      <c r="R35" s="7"/>
      <c r="S35" s="7"/>
      <c r="T35" s="7"/>
      <c r="U35" s="7"/>
      <c r="V35" s="7"/>
      <c r="W35" s="7"/>
      <c r="X35" s="7"/>
      <c r="Y35" s="7"/>
    </row>
    <row r="36">
      <c r="A36" s="9" t="s">
        <v>77</v>
      </c>
      <c r="B36" s="9">
        <v>775.0</v>
      </c>
      <c r="C36" s="10">
        <f t="shared" si="3"/>
        <v>155</v>
      </c>
      <c r="D36" s="2"/>
      <c r="E36" s="11"/>
      <c r="F36" s="12">
        <v>10373.0</v>
      </c>
      <c r="G36" s="11"/>
      <c r="H36" s="7" t="str">
        <f>CONCATENATE(VLOOKUP($F36,export_items!$B:$V,2,0)," @",VLOOKUP($F36,export_items!$B:$V,21,0))</f>
        <v>สไบผืน A 5 กก./ถุง - 155 @775</v>
      </c>
      <c r="I36" s="7" t="str">
        <f>IFNA(CONCATENATE(VLOOKUP($G36,export_items!$B:$V,2,0)," @",VLOOKUP($G36,export_items!$B:$V,21,0)),"")</f>
        <v/>
      </c>
      <c r="R36" s="7"/>
      <c r="S36" s="7"/>
      <c r="T36" s="7"/>
      <c r="U36" s="7"/>
      <c r="V36" s="7"/>
      <c r="W36" s="7"/>
      <c r="X36" s="7"/>
      <c r="Y36" s="7"/>
    </row>
    <row r="37">
      <c r="A37" s="9" t="s">
        <v>78</v>
      </c>
      <c r="B37" s="9">
        <v>660.0</v>
      </c>
      <c r="C37" s="10">
        <f t="shared" si="3"/>
        <v>132</v>
      </c>
      <c r="D37" s="36"/>
      <c r="E37" s="11"/>
      <c r="F37" s="12">
        <v>11421.0</v>
      </c>
      <c r="G37" s="11"/>
      <c r="H37" s="7" t="str">
        <f>CONCATENATE(VLOOKUP($F37,export_items!$B:$V,2,0)," @",VLOOKUP($F37,export_items!$B:$V,21,0))</f>
        <v>สไบจุก 5 กก/ถุง  -132 @660</v>
      </c>
      <c r="I37" s="7" t="str">
        <f>IFNA(CONCATENATE(VLOOKUP($G37,export_items!$B:$V,2,0)," @",VLOOKUP($G37,export_items!$B:$V,21,0)),"")</f>
        <v/>
      </c>
      <c r="R37" s="7"/>
      <c r="S37" s="7"/>
      <c r="T37" s="7"/>
      <c r="U37" s="7"/>
      <c r="V37" s="7"/>
      <c r="W37" s="7"/>
      <c r="X37" s="7"/>
      <c r="Y37" s="7"/>
    </row>
    <row r="38">
      <c r="A38" s="9" t="s">
        <v>80</v>
      </c>
      <c r="B38" s="9">
        <v>590.0</v>
      </c>
      <c r="C38" s="10">
        <f t="shared" si="3"/>
        <v>118</v>
      </c>
      <c r="D38" s="2"/>
      <c r="E38" s="11"/>
      <c r="F38" s="12">
        <v>10302.0</v>
      </c>
      <c r="G38" s="11"/>
      <c r="H38" s="7" t="str">
        <f>CONCATENATE(VLOOKUP($F38,export_items!$B:$V,2,0)," @",VLOOKUP($F38,export_items!$B:$V,21,0))</f>
        <v>ไส้ตันเล็ก 5 กก./ถุง - 118 @590</v>
      </c>
      <c r="I38" s="7" t="str">
        <f>IFNA(CONCATENATE(VLOOKUP($G38,export_items!$B:$V,2,0)," @",VLOOKUP($G38,export_items!$B:$V,21,0)),"")</f>
        <v/>
      </c>
      <c r="R38" s="7"/>
      <c r="S38" s="7"/>
      <c r="T38" s="7"/>
      <c r="U38" s="7"/>
      <c r="V38" s="7"/>
      <c r="W38" s="7"/>
      <c r="X38" s="7"/>
      <c r="Y38" s="7"/>
    </row>
    <row r="39">
      <c r="A39" s="9" t="s">
        <v>82</v>
      </c>
      <c r="B39" s="9">
        <v>725.0</v>
      </c>
      <c r="C39" s="10">
        <f t="shared" si="3"/>
        <v>145</v>
      </c>
      <c r="D39" s="2"/>
      <c r="E39" s="11"/>
      <c r="F39" s="12">
        <v>10303.0</v>
      </c>
      <c r="G39" s="11"/>
      <c r="H39" s="7" t="str">
        <f>CONCATENATE(VLOOKUP($F39,export_items!$B:$V,2,0)," @",VLOOKUP($F39,export_items!$B:$V,21,0))</f>
        <v>ไส้ตันกลาง 5 กก./ถุง - 145 @725</v>
      </c>
      <c r="I39" s="7" t="str">
        <f>IFNA(CONCATENATE(VLOOKUP($G39,export_items!$B:$V,2,0)," @",VLOOKUP($G39,export_items!$B:$V,21,0)),"")</f>
        <v/>
      </c>
      <c r="R39" s="7"/>
      <c r="S39" s="7"/>
      <c r="T39" s="7"/>
      <c r="U39" s="7"/>
      <c r="V39" s="7"/>
      <c r="W39" s="7"/>
      <c r="X39" s="7"/>
      <c r="Y39" s="7"/>
    </row>
    <row r="40">
      <c r="A40" s="9" t="s">
        <v>84</v>
      </c>
      <c r="B40" s="9">
        <v>780.0</v>
      </c>
      <c r="C40" s="10">
        <f>B40/10</f>
        <v>78</v>
      </c>
      <c r="D40" s="2"/>
      <c r="E40" s="11"/>
      <c r="F40" s="12">
        <v>31431.0</v>
      </c>
      <c r="G40" s="11"/>
      <c r="H40" s="7" t="str">
        <f>CONCATENATE(VLOOKUP($F40,export_items!$B:$V,2,0)," @",VLOOKUP($F40,export_items!$B:$V,21,0))</f>
        <v>ไข่นกกระทา 500 กรัม 10 ถุง(หิ้ว) - 78 @780</v>
      </c>
      <c r="I40" s="7" t="str">
        <f>IFNA(CONCATENATE(VLOOKUP($G40,export_items!$B:$V,2,0)," @",VLOOKUP($G40,export_items!$B:$V,21,0)),"")</f>
        <v/>
      </c>
      <c r="R40" s="7"/>
      <c r="S40" s="7"/>
      <c r="T40" s="7"/>
      <c r="U40" s="7"/>
      <c r="V40" s="7"/>
      <c r="W40" s="7"/>
      <c r="X40" s="7"/>
      <c r="Y40" s="7"/>
    </row>
    <row r="41">
      <c r="A41" s="9" t="s">
        <v>86</v>
      </c>
      <c r="B41" s="9">
        <v>450.0</v>
      </c>
      <c r="C41" s="10">
        <f>B41/5</f>
        <v>90</v>
      </c>
      <c r="D41" s="2"/>
      <c r="E41" s="11"/>
      <c r="F41" s="12">
        <v>10468.0</v>
      </c>
      <c r="G41" s="11"/>
      <c r="H41" s="7" t="str">
        <f>CONCATENATE(VLOOKUP($F41,export_items!$B:$V,2,0)," @",VLOOKUP($F41,export_items!$B:$V,21,0))</f>
        <v>แมงกะพรุนจืด 5 กก.(หิ้ว) - 90 @450</v>
      </c>
      <c r="I41" s="7" t="str">
        <f>IFNA(CONCATENATE(VLOOKUP($G41,export_items!$B:$V,2,0)," @",VLOOKUP($G41,export_items!$B:$V,21,0)),"")</f>
        <v/>
      </c>
      <c r="J41" s="7"/>
      <c r="K41" s="7"/>
      <c r="L41" s="7"/>
      <c r="M41" s="7"/>
      <c r="N41" s="7"/>
      <c r="O41" s="7"/>
      <c r="R41" s="7"/>
      <c r="S41" s="7"/>
      <c r="T41" s="7"/>
      <c r="U41" s="7"/>
      <c r="V41" s="7"/>
      <c r="W41" s="7"/>
      <c r="X41" s="7"/>
      <c r="Y41" s="7"/>
    </row>
    <row r="42">
      <c r="D42" s="2"/>
      <c r="E42" s="11"/>
      <c r="F42" s="12"/>
      <c r="G42" s="11"/>
      <c r="I42" s="7" t="str">
        <f>IFNA(CONCATENATE(VLOOKUP($G42,export_items!$B:$V,2,0)," @",VLOOKUP($G42,export_items!$B:$V,21,0)),"")</f>
        <v/>
      </c>
      <c r="J42" s="7"/>
      <c r="K42" s="7"/>
      <c r="L42" s="7"/>
      <c r="M42" s="7"/>
      <c r="N42" s="7"/>
      <c r="O42" s="7"/>
      <c r="R42" s="7"/>
      <c r="S42" s="7"/>
      <c r="T42" s="7"/>
      <c r="U42" s="7"/>
      <c r="V42" s="7"/>
      <c r="W42" s="7"/>
      <c r="X42" s="7"/>
      <c r="Y42" s="7"/>
    </row>
    <row r="43">
      <c r="A43" s="1" t="s">
        <v>176</v>
      </c>
      <c r="B43" s="1" t="s">
        <v>1</v>
      </c>
      <c r="C43" s="1" t="s">
        <v>2</v>
      </c>
      <c r="D43" s="1" t="s">
        <v>5</v>
      </c>
      <c r="E43" s="2"/>
      <c r="F43" s="3" t="s">
        <v>3</v>
      </c>
      <c r="G43" s="64"/>
      <c r="H43" s="12"/>
      <c r="I43" s="7" t="str">
        <f>IFNA(CONCATENATE(VLOOKUP($G43,export_items!$B:$V,2,0)," @",VLOOKUP($G43,export_items!$B:$V,21,0)),"")</f>
        <v/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9" t="s">
        <v>6</v>
      </c>
      <c r="B44" s="9">
        <v>540.0</v>
      </c>
      <c r="C44" s="10">
        <f t="shared" ref="C44:C59" si="4">B44/10</f>
        <v>54</v>
      </c>
      <c r="D44" s="17">
        <v>68.0</v>
      </c>
      <c r="E44" s="11"/>
      <c r="F44" s="12">
        <v>10122.0</v>
      </c>
      <c r="G44" s="66">
        <v>10121.0</v>
      </c>
      <c r="H44" s="7" t="str">
        <f>CONCATENATE(VLOOKUP($F44,export_items!$B:$V,2,0)," @",VLOOKUP($F44,export_items!$B:$V,21,0))</f>
        <v>หมึกบั้ง A (ลัง) - 54 @540</v>
      </c>
      <c r="I44" s="7" t="str">
        <f>IFNA(CONCATENATE(VLOOKUP($G44,export_items!$B:$V,2,0)," @",VLOOKUP($G44,export_items!$B:$V,21,0)),"")</f>
        <v>(S) หมึกบั้งA  แพ็ค 1Kg @68</v>
      </c>
      <c r="J44" s="7"/>
      <c r="K44" s="7"/>
      <c r="L44" s="7"/>
      <c r="M44" s="7"/>
      <c r="N44" s="7"/>
      <c r="O44" s="7"/>
      <c r="R44" s="7"/>
      <c r="S44" s="7"/>
      <c r="T44" s="7"/>
      <c r="U44" s="7"/>
      <c r="V44" s="7"/>
      <c r="W44" s="7"/>
      <c r="X44" s="7"/>
      <c r="Y44" s="7"/>
    </row>
    <row r="45">
      <c r="A45" s="16" t="s">
        <v>8</v>
      </c>
      <c r="B45" s="9">
        <v>590.0</v>
      </c>
      <c r="C45" s="10">
        <f t="shared" si="4"/>
        <v>59</v>
      </c>
      <c r="D45" s="17">
        <v>65.0</v>
      </c>
      <c r="E45" s="11"/>
      <c r="F45" s="12">
        <v>11359.0</v>
      </c>
      <c r="G45" s="66">
        <v>11357.0</v>
      </c>
      <c r="H45" s="7" t="str">
        <f>CONCATENATE(VLOOKUP($F45,export_items!$B:$V,2,0)," @",VLOOKUP($F45,export_items!$B:$V,21,0))</f>
        <v>หมึกวง (ลัง) - 59 @590</v>
      </c>
      <c r="I45" s="7" t="str">
        <f>IFNA(CONCATENATE(VLOOKUP($G45,export_items!$B:$V,2,0)," @",VLOOKUP($G45,export_items!$B:$V,21,0)),"")</f>
        <v>(S) หมึกวง แพ็ค  1kg(65) @65</v>
      </c>
      <c r="J45" s="41"/>
      <c r="K45" s="41"/>
      <c r="L45" s="41"/>
      <c r="M45" s="41"/>
      <c r="N45" s="41"/>
      <c r="O45" s="41"/>
      <c r="R45" s="7"/>
      <c r="S45" s="7"/>
      <c r="T45" s="7"/>
      <c r="U45" s="7"/>
      <c r="V45" s="7"/>
      <c r="W45" s="7"/>
      <c r="X45" s="7"/>
      <c r="Y45" s="7"/>
    </row>
    <row r="46">
      <c r="A46" s="9" t="s">
        <v>10</v>
      </c>
      <c r="B46" s="9">
        <v>550.0</v>
      </c>
      <c r="C46" s="10">
        <f t="shared" si="4"/>
        <v>55</v>
      </c>
      <c r="D46" s="15">
        <v>63.0</v>
      </c>
      <c r="E46" s="11"/>
      <c r="F46" s="12">
        <v>10429.0</v>
      </c>
      <c r="G46" s="66">
        <v>10013.0</v>
      </c>
      <c r="H46" s="7" t="str">
        <f>CONCATENATE(VLOOKUP($F46,export_items!$B:$V,2,0)," @",VLOOKUP($F46,export_items!$B:$V,21,0))</f>
        <v>หนวดหั่น (ลัง) @550</v>
      </c>
      <c r="I46" s="7" t="str">
        <f>IFNA(CONCATENATE(VLOOKUP($G46,export_items!$B:$V,2,0)," @",VLOOKUP($G46,export_items!$B:$V,21,0)),"")</f>
        <v>หนวดหั่น 1Kg @63</v>
      </c>
      <c r="J46" s="7"/>
      <c r="K46" s="7"/>
      <c r="L46" s="7"/>
      <c r="M46" s="7"/>
      <c r="N46" s="7"/>
      <c r="O46" s="7"/>
      <c r="R46" s="7"/>
      <c r="S46" s="7"/>
      <c r="T46" s="7"/>
      <c r="U46" s="7"/>
      <c r="V46" s="7"/>
      <c r="W46" s="7"/>
      <c r="X46" s="7"/>
      <c r="Y46" s="7"/>
    </row>
    <row r="47">
      <c r="A47" s="9" t="s">
        <v>12</v>
      </c>
      <c r="B47" s="9">
        <v>600.0</v>
      </c>
      <c r="C47" s="10">
        <f t="shared" si="4"/>
        <v>60</v>
      </c>
      <c r="D47" s="15">
        <v>70.0</v>
      </c>
      <c r="E47" s="11"/>
      <c r="F47" s="12">
        <v>10609.0</v>
      </c>
      <c r="G47" s="66">
        <v>10123.0</v>
      </c>
      <c r="H47" s="7" t="str">
        <f>CONCATENATE(VLOOKUP($F47,export_items!$B:$V,2,0)," @",VLOOKUP($F47,export_items!$B:$V,21,0))</f>
        <v>หนวดเบบี๋จิ๋ว (ลัง) @600</v>
      </c>
      <c r="I47" s="7" t="str">
        <f>IFNA(CONCATENATE(VLOOKUP($G47,export_items!$B:$V,2,0)," @",VLOOKUP($G47,export_items!$B:$V,21,0)),"")</f>
        <v>หนวดเบบี๋จิ๋ว แพ็ค 1Kg @70</v>
      </c>
      <c r="J47" s="7"/>
      <c r="K47" s="7"/>
      <c r="L47" s="7"/>
      <c r="M47" s="7"/>
      <c r="N47" s="7"/>
      <c r="O47" s="7"/>
      <c r="R47" s="7"/>
      <c r="S47" s="7"/>
      <c r="T47" s="7"/>
      <c r="U47" s="7"/>
      <c r="V47" s="7"/>
      <c r="W47" s="7"/>
      <c r="X47" s="7"/>
      <c r="Y47" s="7"/>
    </row>
    <row r="48">
      <c r="A48" s="9" t="s">
        <v>14</v>
      </c>
      <c r="B48" s="9">
        <v>570.0</v>
      </c>
      <c r="C48" s="10">
        <f t="shared" si="4"/>
        <v>57</v>
      </c>
      <c r="D48" s="15">
        <v>60.0</v>
      </c>
      <c r="E48" s="11"/>
      <c r="F48" s="12">
        <v>10201.0</v>
      </c>
      <c r="G48" s="66">
        <v>10200.0</v>
      </c>
      <c r="H48" s="7" t="str">
        <f>CONCATENATE(VLOOKUP($F48,export_items!$B:$V,2,0)," @",VLOOKUP($F48,export_items!$B:$V,21,0))</f>
        <v>หมึกวงติดปีก (ลัง) - 57 @570</v>
      </c>
      <c r="I48" s="7" t="str">
        <f>IFNA(CONCATENATE(VLOOKUP($G48,export_items!$B:$V,2,0)," @",VLOOKUP($G48,export_items!$B:$V,21,0)),"")</f>
        <v>(S) หมึกวงติดปีก ถุง1 กก(60) @60</v>
      </c>
      <c r="J48" s="7"/>
      <c r="K48" s="7"/>
      <c r="L48" s="7"/>
      <c r="M48" s="7"/>
      <c r="N48" s="7"/>
      <c r="O48" s="7"/>
      <c r="R48" s="7"/>
      <c r="S48" s="7"/>
      <c r="T48" s="7"/>
      <c r="U48" s="7"/>
      <c r="V48" s="7"/>
      <c r="W48" s="7"/>
      <c r="X48" s="7"/>
      <c r="Y48" s="7"/>
    </row>
    <row r="49">
      <c r="A49" s="9" t="s">
        <v>17</v>
      </c>
      <c r="B49" s="9">
        <v>630.0</v>
      </c>
      <c r="C49" s="10">
        <f t="shared" si="4"/>
        <v>63</v>
      </c>
      <c r="D49" s="17">
        <v>70.0</v>
      </c>
      <c r="E49" s="11"/>
      <c r="F49" s="12">
        <v>10306.0</v>
      </c>
      <c r="G49" s="66">
        <v>10305.0</v>
      </c>
      <c r="H49" s="7" t="str">
        <f>CONCATENATE(VLOOKUP($F49,export_items!$B:$V,2,0)," @",VLOOKUP($F49,export_items!$B:$V,21,0))</f>
        <v>หมึกบั้งมะเฟือง (ลัง) @630</v>
      </c>
      <c r="I49" s="7" t="str">
        <f>IFNA(CONCATENATE(VLOOKUP($G49,export_items!$B:$V,2,0)," @",VLOOKUP($G49,export_items!$B:$V,21,0)),"")</f>
        <v>(S) หมึกบั้งมะเฟือง 1 Kg @70</v>
      </c>
      <c r="J49" s="7"/>
      <c r="K49" s="7"/>
      <c r="L49" s="7"/>
      <c r="M49" s="7"/>
      <c r="N49" s="7"/>
      <c r="O49" s="7"/>
      <c r="R49" s="7"/>
      <c r="S49" s="7"/>
      <c r="T49" s="7"/>
      <c r="U49" s="7"/>
      <c r="V49" s="7"/>
      <c r="W49" s="7"/>
      <c r="X49" s="7"/>
      <c r="Y49" s="7"/>
    </row>
    <row r="50">
      <c r="A50" s="9" t="s">
        <v>19</v>
      </c>
      <c r="B50" s="9">
        <v>610.0</v>
      </c>
      <c r="C50" s="10">
        <f t="shared" si="4"/>
        <v>61</v>
      </c>
      <c r="D50" s="15">
        <v>69.0</v>
      </c>
      <c r="E50" s="11"/>
      <c r="F50" s="12">
        <v>10044.0</v>
      </c>
      <c r="G50" s="66">
        <v>10043.0</v>
      </c>
      <c r="H50" s="7" t="str">
        <f>CONCATENATE(VLOOKUP($F50,export_items!$B:$V,2,0)," @",VLOOKUP($F50,export_items!$B:$V,21,0))</f>
        <v>หมึกดอกไม้ A  (ลัง) @610</v>
      </c>
      <c r="I50" s="7" t="str">
        <f>IFNA(CONCATENATE(VLOOKUP($G50,export_items!$B:$V,2,0)," @",VLOOKUP($G50,export_items!$B:$V,21,0)),"")</f>
        <v>หมึกดอกไม้ 1Kg @69</v>
      </c>
      <c r="J50" s="7"/>
      <c r="K50" s="7"/>
      <c r="L50" s="7"/>
      <c r="M50" s="7"/>
      <c r="N50" s="7"/>
      <c r="O50" s="7"/>
      <c r="R50" s="7"/>
      <c r="S50" s="7"/>
      <c r="T50" s="7"/>
      <c r="U50" s="7"/>
      <c r="V50" s="7"/>
      <c r="W50" s="7"/>
      <c r="X50" s="7"/>
      <c r="Y50" s="7"/>
    </row>
    <row r="51">
      <c r="A51" s="9" t="s">
        <v>21</v>
      </c>
      <c r="B51" s="9">
        <v>770.0</v>
      </c>
      <c r="C51" s="10">
        <f t="shared" si="4"/>
        <v>77</v>
      </c>
      <c r="D51" s="15">
        <v>85.0</v>
      </c>
      <c r="E51" s="11"/>
      <c r="F51" s="12">
        <v>11420.0</v>
      </c>
      <c r="G51" s="66">
        <v>11419.0</v>
      </c>
      <c r="H51" s="7" t="str">
        <f>CONCATENATE(VLOOKUP($F51,export_items!$B:$V,2,0)," @",VLOOKUP($F51,export_items!$B:$V,21,0))</f>
        <v>ปลายหนวด ติดโคน  (ลัง) @770</v>
      </c>
      <c r="I51" s="7" t="str">
        <f>IFNA(CONCATENATE(VLOOKUP($G51,export_items!$B:$V,2,0)," @",VLOOKUP($G51,export_items!$B:$V,21,0)),"")</f>
        <v>ปลายหนวด ติดโคน 1กก @85</v>
      </c>
      <c r="J51" s="7"/>
      <c r="K51" s="7"/>
      <c r="L51" s="7"/>
      <c r="M51" s="7"/>
      <c r="N51" s="7"/>
      <c r="O51" s="7"/>
      <c r="R51" s="7"/>
      <c r="S51" s="7"/>
      <c r="T51" s="7"/>
      <c r="U51" s="7"/>
      <c r="V51" s="7"/>
      <c r="W51" s="7"/>
      <c r="X51" s="7"/>
      <c r="Y51" s="7"/>
    </row>
    <row r="52">
      <c r="A52" s="16" t="s">
        <v>23</v>
      </c>
      <c r="B52" s="9">
        <v>630.0</v>
      </c>
      <c r="C52" s="10">
        <f t="shared" si="4"/>
        <v>63</v>
      </c>
      <c r="D52" s="15"/>
      <c r="E52" s="41"/>
      <c r="F52" s="41">
        <v>11356.0</v>
      </c>
      <c r="G52" s="7"/>
      <c r="H52" s="7" t="str">
        <f>CONCATENATE(VLOOKUP($F52,export_items!$B:$V,2,0)," @",VLOOKUP($F52,export_items!$B:$V,21,0))</f>
        <v>ปลายหนวด เรด้ามิกซ์ (ลัง) @630</v>
      </c>
      <c r="I52" s="7" t="str">
        <f>IFNA(CONCATENATE(VLOOKUP($G52,export_items!$B:$V,2,0)," @",VLOOKUP($G52,export_items!$B:$V,21,0)),"")</f>
        <v/>
      </c>
      <c r="J52" s="7"/>
      <c r="K52" s="7"/>
      <c r="L52" s="7"/>
      <c r="M52" s="7"/>
      <c r="N52" s="7"/>
      <c r="O52" s="7"/>
      <c r="R52" s="7"/>
      <c r="S52" s="7"/>
      <c r="T52" s="7"/>
      <c r="U52" s="7"/>
      <c r="V52" s="7"/>
      <c r="W52" s="7"/>
      <c r="X52" s="7"/>
      <c r="Y52" s="7"/>
    </row>
    <row r="53">
      <c r="A53" s="9" t="s">
        <v>25</v>
      </c>
      <c r="B53" s="9">
        <v>830.0</v>
      </c>
      <c r="C53" s="10">
        <f t="shared" si="4"/>
        <v>83</v>
      </c>
      <c r="D53" s="23"/>
      <c r="E53" s="11"/>
      <c r="F53" s="12">
        <v>11236.0</v>
      </c>
      <c r="G53" s="66"/>
      <c r="H53" s="7" t="str">
        <f>CONCATENATE(VLOOKUP($F53,export_items!$B:$V,2,0)," @",VLOOKUP($F53,export_items!$B:$V,21,0))</f>
        <v>ปลายหนวด A  (ลัง) @830</v>
      </c>
      <c r="I53" s="7" t="str">
        <f>IFNA(CONCATENATE(VLOOKUP($G53,export_items!$B:$V,2,0)," @",VLOOKUP($G53,export_items!$B:$V,21,0)),"")</f>
        <v/>
      </c>
      <c r="J53" s="7"/>
      <c r="K53" s="7"/>
      <c r="L53" s="7"/>
      <c r="M53" s="7"/>
      <c r="N53" s="7"/>
      <c r="O53" s="7"/>
      <c r="R53" s="7"/>
      <c r="S53" s="7"/>
      <c r="T53" s="7"/>
      <c r="U53" s="7"/>
      <c r="V53" s="7"/>
      <c r="W53" s="7"/>
      <c r="X53" s="7"/>
      <c r="Y53" s="7"/>
    </row>
    <row r="54">
      <c r="A54" s="9" t="s">
        <v>28</v>
      </c>
      <c r="B54" s="9">
        <v>390.0</v>
      </c>
      <c r="C54" s="10">
        <f t="shared" si="4"/>
        <v>39</v>
      </c>
      <c r="D54" s="23"/>
      <c r="E54" s="11"/>
      <c r="F54" s="12">
        <v>10944.0</v>
      </c>
      <c r="G54" s="66"/>
      <c r="H54" s="7" t="str">
        <f>CONCATENATE(VLOOKUP($F54,export_items!$B:$V,2,0)," @",VLOOKUP($F54,export_items!$B:$V,21,0))</f>
        <v>คอเอ็นแก้ว1*10  (ลัง) @390</v>
      </c>
      <c r="I54" s="7" t="str">
        <f>IFNA(CONCATENATE(VLOOKUP($G54,export_items!$B:$V,2,0)," @",VLOOKUP($G54,export_items!$B:$V,21,0)),"")</f>
        <v/>
      </c>
      <c r="J54" s="7"/>
      <c r="K54" s="7"/>
      <c r="L54" s="7"/>
      <c r="M54" s="7"/>
      <c r="N54" s="7"/>
      <c r="O54" s="7"/>
      <c r="R54" s="7"/>
      <c r="S54" s="7"/>
      <c r="T54" s="7"/>
      <c r="U54" s="7"/>
      <c r="V54" s="7"/>
      <c r="W54" s="7"/>
      <c r="X54" s="7"/>
      <c r="Y54" s="7"/>
    </row>
    <row r="55">
      <c r="A55" s="9" t="s">
        <v>30</v>
      </c>
      <c r="B55" s="9">
        <v>470.0</v>
      </c>
      <c r="C55" s="10">
        <f t="shared" si="4"/>
        <v>47</v>
      </c>
      <c r="D55" s="23"/>
      <c r="E55" s="11"/>
      <c r="F55" s="12">
        <v>11188.0</v>
      </c>
      <c r="G55" s="66"/>
      <c r="H55" s="7" t="str">
        <f>CONCATENATE(VLOOKUP($F55,export_items!$B:$V,2,0)," @",VLOOKUP($F55,export_items!$B:$V,21,0))</f>
        <v>ดอลลี่หั่น (น้ำเงิน)  (ลัง) - 47 @470</v>
      </c>
      <c r="I55" s="7" t="str">
        <f>IFNA(CONCATENATE(VLOOKUP($G55,export_items!$B:$V,2,0)," @",VLOOKUP($G55,export_items!$B:$V,21,0)),"")</f>
        <v/>
      </c>
      <c r="J55" s="7"/>
      <c r="K55" s="7"/>
      <c r="L55" s="7"/>
      <c r="M55" s="7"/>
      <c r="N55" s="7"/>
      <c r="O55" s="7"/>
      <c r="R55" s="7"/>
      <c r="S55" s="7"/>
      <c r="T55" s="7"/>
      <c r="U55" s="7"/>
      <c r="V55" s="7"/>
      <c r="W55" s="7"/>
      <c r="X55" s="7"/>
      <c r="Y55" s="7"/>
    </row>
    <row r="56">
      <c r="A56" s="9" t="s">
        <v>32</v>
      </c>
      <c r="B56" s="9">
        <v>680.0</v>
      </c>
      <c r="C56" s="10">
        <f t="shared" si="4"/>
        <v>68</v>
      </c>
      <c r="D56" s="15">
        <v>70.0</v>
      </c>
      <c r="E56" s="11"/>
      <c r="F56" s="12">
        <v>10472.0</v>
      </c>
      <c r="G56" s="66">
        <v>10048.0</v>
      </c>
      <c r="H56" s="7" t="str">
        <f>CONCATENATE(VLOOKUP($F56,export_items!$B:$V,2,0)," @",VLOOKUP($F56,export_items!$B:$V,21,0))</f>
        <v>ดอลลี่หั่น (น้ำตาล)  (ลัง) @680</v>
      </c>
      <c r="I56" s="7" t="str">
        <f>IFNA(CONCATENATE(VLOOKUP($G56,export_items!$B:$V,2,0)," @",VLOOKUP($G56,export_items!$B:$V,21,0)),"")</f>
        <v>(S) ดอลลี่หั่น (น้ำตาล) 1kg @70</v>
      </c>
      <c r="J56" s="7"/>
      <c r="K56" s="7"/>
      <c r="L56" s="7"/>
      <c r="M56" s="7"/>
      <c r="N56" s="7"/>
      <c r="O56" s="7"/>
      <c r="R56" s="7"/>
      <c r="S56" s="7"/>
      <c r="T56" s="7"/>
      <c r="U56" s="7"/>
      <c r="V56" s="7"/>
      <c r="W56" s="7"/>
      <c r="X56" s="7"/>
      <c r="Y56" s="7"/>
    </row>
    <row r="57">
      <c r="A57" s="9" t="s">
        <v>34</v>
      </c>
      <c r="B57" s="9">
        <v>560.0</v>
      </c>
      <c r="C57" s="10">
        <f t="shared" si="4"/>
        <v>56</v>
      </c>
      <c r="D57" s="23"/>
      <c r="E57" s="11"/>
      <c r="F57" s="12">
        <v>10118.0</v>
      </c>
      <c r="G57" s="66"/>
      <c r="H57" s="7" t="str">
        <f>CONCATENATE(VLOOKUP($F57,export_items!$B:$V,2,0)," @",VLOOKUP($F57,export_items!$B:$V,21,0))</f>
        <v>ดอลลี่ตัว (เขียว)  (ลัง) -560 @560</v>
      </c>
      <c r="I57" s="7" t="str">
        <f>IFNA(CONCATENATE(VLOOKUP($G57,export_items!$B:$V,2,0)," @",VLOOKUP($G57,export_items!$B:$V,21,0)),"")</f>
        <v/>
      </c>
      <c r="J57" s="7"/>
      <c r="K57" s="7"/>
      <c r="L57" s="7"/>
      <c r="M57" s="7"/>
      <c r="N57" s="7"/>
      <c r="O57" s="7"/>
      <c r="R57" s="7"/>
      <c r="S57" s="7"/>
      <c r="T57" s="7"/>
      <c r="U57" s="7"/>
      <c r="V57" s="7"/>
      <c r="W57" s="7"/>
      <c r="X57" s="7"/>
      <c r="Y57" s="7"/>
    </row>
    <row r="58">
      <c r="A58" s="9" t="s">
        <v>37</v>
      </c>
      <c r="B58" s="9">
        <v>650.0</v>
      </c>
      <c r="C58" s="10">
        <f t="shared" si="4"/>
        <v>65</v>
      </c>
      <c r="D58" s="15">
        <v>85.0</v>
      </c>
      <c r="E58" s="11"/>
      <c r="F58" s="12">
        <v>10437.0</v>
      </c>
      <c r="G58" s="66">
        <v>10436.0</v>
      </c>
      <c r="H58" s="7" t="str">
        <f>CONCATENATE(VLOOKUP($F58,export_items!$B:$V,2,0)," @",VLOOKUP($F58,export_items!$B:$V,21,0))</f>
        <v>ดอลลี่ตัว (น้ำตาล)  (ลัง) - 65 @650</v>
      </c>
      <c r="I58" s="7" t="str">
        <f>IFNA(CONCATENATE(VLOOKUP($G58,export_items!$B:$V,2,0)," @",VLOOKUP($G58,export_items!$B:$V,21,0)),"")</f>
        <v>ดอลลี่ตัว (น้ำตาล) 1Kg-85 @85</v>
      </c>
      <c r="J58" s="7"/>
      <c r="K58" s="7"/>
      <c r="L58" s="7"/>
      <c r="M58" s="7"/>
      <c r="N58" s="7"/>
      <c r="O58" s="7"/>
      <c r="R58" s="7"/>
      <c r="S58" s="7"/>
      <c r="T58" s="7"/>
      <c r="U58" s="7"/>
      <c r="V58" s="7"/>
      <c r="W58" s="7"/>
      <c r="X58" s="7"/>
      <c r="Y58" s="7"/>
    </row>
    <row r="59">
      <c r="A59" s="9" t="s">
        <v>39</v>
      </c>
      <c r="B59" s="9">
        <v>840.0</v>
      </c>
      <c r="C59" s="10">
        <f t="shared" si="4"/>
        <v>84</v>
      </c>
      <c r="D59" s="15">
        <v>90.0</v>
      </c>
      <c r="E59" s="11"/>
      <c r="F59" s="12">
        <v>10104.0</v>
      </c>
      <c r="G59" s="66">
        <v>10103.0</v>
      </c>
      <c r="H59" s="7" t="str">
        <f>CONCATENATE(VLOOKUP($F59,export_items!$B:$V,2,0)," @",VLOOKUP($F59,export_items!$B:$V,21,0))</f>
        <v>ท้องม่อน  (ลัง) - 84 @840</v>
      </c>
      <c r="I59" s="7" t="str">
        <f>IFNA(CONCATENATE(VLOOKUP($G59,export_items!$B:$V,2,0)," @",VLOOKUP($G59,export_items!$B:$V,21,0)),"")</f>
        <v>ท้องม่อน 1Kg @90</v>
      </c>
      <c r="J59" s="7"/>
      <c r="K59" s="7"/>
      <c r="L59" s="7"/>
      <c r="M59" s="7"/>
      <c r="N59" s="7"/>
      <c r="O59" s="7"/>
      <c r="R59" s="7"/>
      <c r="S59" s="7"/>
      <c r="T59" s="7"/>
      <c r="U59" s="7"/>
      <c r="V59" s="7"/>
      <c r="W59" s="7"/>
      <c r="X59" s="7"/>
      <c r="Y59" s="7"/>
    </row>
    <row r="60">
      <c r="A60" s="37"/>
      <c r="B60" s="37"/>
      <c r="C60" s="37"/>
      <c r="D60" s="36"/>
      <c r="E60" s="11"/>
      <c r="F60" s="12"/>
      <c r="G60" s="11"/>
      <c r="H60" s="7"/>
      <c r="I60" s="7" t="str">
        <f>IFNA(CONCATENATE(VLOOKUP($G60,export_items!$B:$V,2,0)," @",VLOOKUP($G60,export_items!$B:$V,21,0)),"")</f>
        <v/>
      </c>
      <c r="J60" s="7"/>
      <c r="K60" s="7"/>
      <c r="L60" s="7"/>
      <c r="M60" s="7"/>
      <c r="N60" s="7"/>
      <c r="O60" s="7"/>
      <c r="R60" s="7"/>
      <c r="S60" s="7"/>
      <c r="T60" s="7"/>
      <c r="U60" s="7"/>
      <c r="V60" s="7"/>
      <c r="W60" s="7"/>
      <c r="X60" s="7"/>
      <c r="Y60" s="7"/>
    </row>
    <row r="61">
      <c r="A61" s="37"/>
      <c r="B61" s="37"/>
      <c r="C61" s="37"/>
      <c r="D61" s="36"/>
      <c r="E61" s="11"/>
      <c r="F61" s="12"/>
      <c r="G61" s="11"/>
      <c r="H61" s="7"/>
      <c r="I61" s="7" t="str">
        <f>IFNA(CONCATENATE(VLOOKUP($G61,export_items!$B:$V,2,0)," @",VLOOKUP($G61,export_items!$B:$V,21,0)),"")</f>
        <v/>
      </c>
      <c r="J61" s="7"/>
      <c r="K61" s="7"/>
      <c r="L61" s="7"/>
      <c r="M61" s="7"/>
      <c r="N61" s="7"/>
      <c r="O61" s="7"/>
      <c r="R61" s="7"/>
      <c r="S61" s="7"/>
      <c r="T61" s="7"/>
      <c r="U61" s="7"/>
      <c r="V61" s="7"/>
      <c r="W61" s="7"/>
      <c r="X61" s="7"/>
      <c r="Y61" s="7"/>
    </row>
    <row r="62">
      <c r="A62" s="1" t="s">
        <v>177</v>
      </c>
      <c r="B62" s="1" t="s">
        <v>1</v>
      </c>
      <c r="C62" s="1" t="s">
        <v>2</v>
      </c>
      <c r="D62" s="1" t="s">
        <v>5</v>
      </c>
      <c r="E62" s="11"/>
      <c r="F62" s="12" t="s">
        <v>3</v>
      </c>
      <c r="G62" s="66"/>
      <c r="H62" s="7"/>
      <c r="I62" s="7" t="str">
        <f>IFNA(CONCATENATE(VLOOKUP($G62,export_items!$B:$V,2,0)," @",VLOOKUP($G62,export_items!$B:$V,21,0)),"")</f>
        <v/>
      </c>
      <c r="J62" s="7"/>
      <c r="K62" s="7"/>
      <c r="L62" s="7"/>
      <c r="M62" s="7"/>
      <c r="N62" s="7"/>
      <c r="O62" s="7"/>
      <c r="R62" s="7"/>
      <c r="S62" s="7"/>
      <c r="T62" s="7"/>
      <c r="U62" s="7"/>
      <c r="V62" s="7"/>
      <c r="W62" s="7"/>
      <c r="X62" s="7"/>
      <c r="Y62" s="7"/>
    </row>
    <row r="63">
      <c r="A63" s="9" t="s">
        <v>50</v>
      </c>
      <c r="B63" s="30">
        <v>1000.0</v>
      </c>
      <c r="C63" s="10">
        <f t="shared" ref="C63:C64" si="5">B63/10</f>
        <v>100</v>
      </c>
      <c r="D63" s="15">
        <v>105.0</v>
      </c>
      <c r="E63" s="11"/>
      <c r="F63" s="12">
        <v>10481.0</v>
      </c>
      <c r="G63" s="66">
        <v>11581.0</v>
      </c>
      <c r="H63" s="7" t="str">
        <f>CONCATENATE(VLOOKUP($F63,export_items!$B:$V,2,0)," @",VLOOKUP($F63,export_items!$B:$V,21,0))</f>
        <v>ขนมจีบไส้ทะลัก 10 แพ็ค (หิ้ว) @1000</v>
      </c>
      <c r="I63" s="7" t="str">
        <f>IFNA(CONCATENATE(VLOOKUP($G63,export_items!$B:$V,2,0)," @",VLOOKUP($G63,export_items!$B:$V,21,0)),"")</f>
        <v>ขนมจีบไส้ทะลัก แพ็ค 1กก @105</v>
      </c>
      <c r="J63" s="7"/>
      <c r="K63" s="7"/>
      <c r="L63" s="7"/>
      <c r="M63" s="7"/>
      <c r="N63" s="7"/>
      <c r="O63" s="7"/>
      <c r="R63" s="7"/>
      <c r="S63" s="7"/>
      <c r="T63" s="7"/>
      <c r="U63" s="7"/>
      <c r="V63" s="7"/>
      <c r="W63" s="7"/>
      <c r="X63" s="7"/>
      <c r="Y63" s="7"/>
    </row>
    <row r="64">
      <c r="A64" s="9" t="s">
        <v>52</v>
      </c>
      <c r="B64" s="9">
        <v>630.0</v>
      </c>
      <c r="C64" s="10">
        <f t="shared" si="5"/>
        <v>63</v>
      </c>
      <c r="D64" s="15">
        <v>65.0</v>
      </c>
      <c r="E64" s="11"/>
      <c r="F64" s="12">
        <v>10503.0</v>
      </c>
      <c r="G64" s="66">
        <v>10755.0</v>
      </c>
      <c r="H64" s="7" t="str">
        <f>CONCATENATE(VLOOKUP($F64,export_items!$B:$V,2,0)," @",VLOOKUP($F64,export_items!$B:$V,21,0))</f>
        <v>ขนมจีบหมู 390 กรัม 10 แพ็ค (ลัง) @630</v>
      </c>
      <c r="I64" s="7" t="str">
        <f>IFNA(CONCATENATE(VLOOKUP($G64,export_items!$B:$V,2,0)," @",VLOOKUP($G64,export_items!$B:$V,21,0)),"")</f>
        <v>ขนมจีบหมู 390g/แพ็ค @65</v>
      </c>
      <c r="J64" s="7"/>
      <c r="K64" s="7"/>
      <c r="L64" s="7"/>
      <c r="M64" s="7"/>
      <c r="N64" s="7"/>
      <c r="O64" s="7"/>
      <c r="R64" s="7"/>
      <c r="S64" s="7"/>
      <c r="T64" s="7"/>
      <c r="U64" s="7"/>
      <c r="V64" s="7"/>
      <c r="W64" s="7"/>
      <c r="X64" s="7"/>
      <c r="Y64" s="7"/>
    </row>
    <row r="65">
      <c r="A65" s="9" t="s">
        <v>54</v>
      </c>
      <c r="B65" s="30">
        <v>1180.0</v>
      </c>
      <c r="C65" s="32">
        <f>B65/32</f>
        <v>36.875</v>
      </c>
      <c r="D65" s="15">
        <v>48.0</v>
      </c>
      <c r="E65" s="11"/>
      <c r="F65" s="12">
        <v>10344.0</v>
      </c>
      <c r="G65" s="66">
        <v>10220.0</v>
      </c>
      <c r="H65" s="7" t="str">
        <f>CONCATENATE(VLOOKUP($F65,export_items!$B:$V,2,0)," @",VLOOKUP($F65,export_items!$B:$V,21,0))</f>
        <v>ฟองเต้าหู้ถาด 32 แพ็ค (ลัง) @1180</v>
      </c>
      <c r="I65" s="7" t="str">
        <f>IFNA(CONCATENATE(VLOOKUP($G65,export_items!$B:$V,2,0)," @",VLOOKUP($G65,export_items!$B:$V,21,0)),"")</f>
        <v>ฟองเต้าหู้ถาด (แพ็ค) @48</v>
      </c>
      <c r="J65" s="7"/>
      <c r="K65" s="7"/>
      <c r="L65" s="7"/>
      <c r="M65" s="7"/>
      <c r="N65" s="7"/>
      <c r="O65" s="7"/>
      <c r="R65" s="7"/>
      <c r="S65" s="7"/>
      <c r="T65" s="7"/>
      <c r="U65" s="7"/>
      <c r="V65" s="7"/>
      <c r="W65" s="7"/>
      <c r="X65" s="7"/>
      <c r="Y65" s="7"/>
    </row>
    <row r="66">
      <c r="A66" s="9" t="s">
        <v>56</v>
      </c>
      <c r="B66" s="9">
        <v>530.0</v>
      </c>
      <c r="C66" s="10">
        <f t="shared" ref="C66:C69" si="6">B66/10</f>
        <v>53</v>
      </c>
      <c r="D66" s="15">
        <v>70.0</v>
      </c>
      <c r="E66" s="11"/>
      <c r="F66" s="12">
        <v>10995.0</v>
      </c>
      <c r="G66" s="66">
        <v>10018.0</v>
      </c>
      <c r="H66" s="7" t="str">
        <f>CONCATENATE(VLOOKUP($F66,export_items!$B:$V,2,0)," @",VLOOKUP($F66,export_items!$B:$V,21,0))</f>
        <v>เฟรนฟาย วีนัส 7 มิล  (ลัง) @530</v>
      </c>
      <c r="I66" s="7" t="str">
        <f>IFNA(CONCATENATE(VLOOKUP($G66,export_items!$B:$V,2,0)," @",VLOOKUP($G66,export_items!$B:$V,21,0)),"")</f>
        <v>เฟรนฟาย วีนัส 7มิลถุง1Kg @70</v>
      </c>
      <c r="J66" s="7"/>
      <c r="K66" s="7"/>
      <c r="L66" s="7"/>
      <c r="M66" s="7"/>
      <c r="N66" s="7"/>
      <c r="O66" s="7"/>
      <c r="R66" s="7"/>
      <c r="S66" s="7"/>
      <c r="T66" s="7"/>
      <c r="U66" s="7"/>
      <c r="V66" s="7"/>
      <c r="W66" s="7"/>
      <c r="X66" s="7"/>
      <c r="Y66" s="7"/>
    </row>
    <row r="67">
      <c r="A67" s="9" t="s">
        <v>58</v>
      </c>
      <c r="B67" s="9">
        <v>530.0</v>
      </c>
      <c r="C67" s="10">
        <f t="shared" si="6"/>
        <v>53</v>
      </c>
      <c r="D67" s="15">
        <v>70.0</v>
      </c>
      <c r="E67" s="11"/>
      <c r="F67" s="12">
        <v>10765.0</v>
      </c>
      <c r="G67" s="66">
        <v>10382.0</v>
      </c>
      <c r="H67" s="7" t="str">
        <f>CONCATENATE(VLOOKUP($F67,export_items!$B:$V,2,0)," @",VLOOKUP($F67,export_items!$B:$V,21,0))</f>
        <v>เฟรนฟายยูเรนัส  10มิล(ลัง)-53 @530</v>
      </c>
      <c r="I67" s="7" t="str">
        <f>IFNA(CONCATENATE(VLOOKUP($G67,export_items!$B:$V,2,0)," @",VLOOKUP($G67,export_items!$B:$V,21,0)),"")</f>
        <v>เฟรนฟายยูเรนัส 10มิล  1kg @70</v>
      </c>
      <c r="J67" s="7"/>
      <c r="K67" s="7"/>
      <c r="L67" s="7"/>
      <c r="M67" s="7"/>
      <c r="N67" s="7"/>
      <c r="O67" s="7"/>
      <c r="R67" s="7"/>
      <c r="S67" s="7"/>
      <c r="T67" s="7"/>
      <c r="U67" s="7"/>
      <c r="V67" s="7"/>
      <c r="W67" s="7"/>
      <c r="X67" s="7"/>
      <c r="Y67" s="7"/>
    </row>
    <row r="68">
      <c r="A68" s="9" t="s">
        <v>60</v>
      </c>
      <c r="B68" s="9">
        <v>530.0</v>
      </c>
      <c r="C68" s="10">
        <f t="shared" si="6"/>
        <v>53</v>
      </c>
      <c r="D68" s="15">
        <v>70.0</v>
      </c>
      <c r="E68" s="11"/>
      <c r="F68" s="12">
        <v>10445.0</v>
      </c>
      <c r="G68" s="66">
        <v>10076.0</v>
      </c>
      <c r="H68" s="7" t="str">
        <f>CONCATENATE(VLOOKUP($F68,export_items!$B:$V,2,0)," @",VLOOKUP($F68,export_items!$B:$V,21,0))</f>
        <v>เฟรนฟาย หยัก  (ลัง) - 53 @530</v>
      </c>
      <c r="I68" s="7" t="str">
        <f>IFNA(CONCATENATE(VLOOKUP($G68,export_items!$B:$V,2,0)," @",VLOOKUP($G68,export_items!$B:$V,21,0)),"")</f>
        <v>เฟรนฟายหยัก แพ็ค 1กก @70</v>
      </c>
      <c r="J68" s="7"/>
      <c r="K68" s="7"/>
      <c r="L68" s="7"/>
      <c r="M68" s="7"/>
      <c r="N68" s="7"/>
      <c r="O68" s="7"/>
      <c r="R68" s="7"/>
      <c r="S68" s="7"/>
      <c r="T68" s="7"/>
      <c r="U68" s="7"/>
      <c r="V68" s="7"/>
      <c r="W68" s="7"/>
      <c r="X68" s="7"/>
      <c r="Y68" s="7"/>
    </row>
    <row r="69">
      <c r="A69" s="9" t="s">
        <v>62</v>
      </c>
      <c r="B69" s="9">
        <v>1150.0</v>
      </c>
      <c r="C69" s="10">
        <f t="shared" si="6"/>
        <v>115</v>
      </c>
      <c r="D69" s="15">
        <v>120.0</v>
      </c>
      <c r="E69" s="41"/>
      <c r="F69" s="41">
        <v>10090.0</v>
      </c>
      <c r="G69" s="66">
        <v>10089.0</v>
      </c>
      <c r="H69" s="7" t="str">
        <f>CONCATENATE(VLOOKUP($F69,export_items!$B:$V,2,0)," @",VLOOKUP($F69,export_items!$B:$V,21,0))</f>
        <v>นักเก็ตไก่ ซันเวลเล่  (ลัง) - 115 @1150</v>
      </c>
      <c r="I69" s="7" t="str">
        <f>IFNA(CONCATENATE(VLOOKUP($G69,export_items!$B:$V,2,0)," @",VLOOKUP($G69,export_items!$B:$V,21,0)),"")</f>
        <v>นักเก็ตไก่ ซันเวลเล่  1Kg @120</v>
      </c>
      <c r="J69" s="7"/>
      <c r="K69" s="7"/>
      <c r="L69" s="7"/>
      <c r="M69" s="7"/>
      <c r="N69" s="7"/>
      <c r="O69" s="7"/>
      <c r="R69" s="7"/>
      <c r="S69" s="7"/>
      <c r="T69" s="7"/>
      <c r="U69" s="7"/>
      <c r="V69" s="7"/>
      <c r="W69" s="7"/>
      <c r="X69" s="7"/>
      <c r="Y69" s="7"/>
    </row>
    <row r="70">
      <c r="A70" s="9" t="s">
        <v>64</v>
      </c>
      <c r="B70" s="9">
        <v>800.0</v>
      </c>
      <c r="C70" s="10">
        <f>B70/8</f>
        <v>100</v>
      </c>
      <c r="D70" s="23"/>
      <c r="E70" s="11"/>
      <c r="F70" s="12">
        <v>10112.0</v>
      </c>
      <c r="G70" s="66"/>
      <c r="H70" s="7" t="str">
        <f>CONCATENATE(VLOOKUP($F70,export_items!$B:$V,2,0)," @",VLOOKUP($F70,export_items!$B:$V,21,0))</f>
        <v>นักเก็ต ถุงชมพู 8 กก.  (ลัง) @800</v>
      </c>
      <c r="I70" s="7" t="str">
        <f>IFNA(CONCATENATE(VLOOKUP($G70,export_items!$B:$V,2,0)," @",VLOOKUP($G70,export_items!$B:$V,21,0)),"")</f>
        <v/>
      </c>
      <c r="J70" s="7"/>
      <c r="K70" s="7"/>
      <c r="L70" s="7"/>
      <c r="M70" s="7"/>
      <c r="N70" s="7"/>
      <c r="O70" s="7"/>
      <c r="R70" s="7"/>
      <c r="S70" s="7"/>
      <c r="T70" s="7"/>
      <c r="U70" s="7"/>
      <c r="V70" s="7"/>
      <c r="W70" s="7"/>
      <c r="X70" s="7"/>
      <c r="Y70" s="7"/>
    </row>
    <row r="71">
      <c r="A71" s="9" t="s">
        <v>66</v>
      </c>
      <c r="B71" s="30">
        <v>1120.0</v>
      </c>
      <c r="C71" s="10">
        <f>B71/10</f>
        <v>112</v>
      </c>
      <c r="D71" s="23"/>
      <c r="E71" s="11"/>
      <c r="F71" s="12">
        <v>10385.0</v>
      </c>
      <c r="G71" s="66"/>
      <c r="H71" s="7" t="str">
        <f>CONCATENATE(VLOOKUP($F71,export_items!$B:$V,2,0)," @",VLOOKUP($F71,export_items!$B:$V,21,0))</f>
        <v>ไก่ป๊อป ซันเวลเล่  (ลัง) @1120</v>
      </c>
      <c r="I71" s="7" t="str">
        <f>IFNA(CONCATENATE(VLOOKUP($G71,export_items!$B:$V,2,0)," @",VLOOKUP($G71,export_items!$B:$V,21,0)),"")</f>
        <v/>
      </c>
      <c r="J71" s="7"/>
      <c r="K71" s="7"/>
      <c r="L71" s="7"/>
      <c r="M71" s="7"/>
      <c r="N71" s="7"/>
      <c r="O71" s="7"/>
      <c r="R71" s="7"/>
      <c r="S71" s="7"/>
      <c r="T71" s="7"/>
      <c r="U71" s="7"/>
      <c r="V71" s="7"/>
      <c r="W71" s="7"/>
      <c r="X71" s="7"/>
      <c r="Y71" s="7"/>
    </row>
    <row r="72">
      <c r="A72" s="9" t="s">
        <v>68</v>
      </c>
      <c r="B72" s="30">
        <v>1120.0</v>
      </c>
      <c r="C72" s="10">
        <f>B72/14</f>
        <v>80</v>
      </c>
      <c r="D72" s="15">
        <v>85.0</v>
      </c>
      <c r="E72" s="11"/>
      <c r="F72" s="12">
        <v>11146.0</v>
      </c>
      <c r="G72" s="66">
        <v>10719.0</v>
      </c>
      <c r="H72" s="7" t="str">
        <f>CONCATENATE(VLOOKUP($F72,export_items!$B:$V,2,0)," @",VLOOKUP($F72,export_items!$B:$V,21,0))</f>
        <v>ซาลาเปา 20ลูก ไส้ครีม 14 แพ็ค  (ลัง) @1120</v>
      </c>
      <c r="I72" s="7" t="str">
        <f>IFNA(CONCATENATE(VLOOKUP($G72,export_items!$B:$V,2,0)," @",VLOOKUP($G72,export_items!$B:$V,21,0)),"")</f>
        <v>ซาลาเปา20ลูก ไส้ครีม(แพ็ค) @85</v>
      </c>
      <c r="J72" s="7"/>
      <c r="K72" s="7"/>
      <c r="L72" s="7"/>
      <c r="M72" s="7"/>
      <c r="N72" s="7"/>
      <c r="O72" s="7"/>
      <c r="R72" s="7"/>
      <c r="S72" s="7"/>
      <c r="T72" s="7"/>
      <c r="U72" s="7"/>
      <c r="V72" s="7"/>
      <c r="W72" s="7"/>
      <c r="X72" s="7"/>
      <c r="Y72" s="7"/>
    </row>
    <row r="73">
      <c r="A73" s="10"/>
      <c r="B73" s="10"/>
      <c r="C73" s="10"/>
      <c r="D73" s="23"/>
      <c r="E73" s="11"/>
      <c r="F73" s="12"/>
      <c r="G73" s="66"/>
      <c r="H73" s="12"/>
      <c r="I73" s="7" t="str">
        <f>IFNA(CONCATENATE(VLOOKUP($G73,export_items!$B:$V,2,0)," @",VLOOKUP($G73,export_items!$B:$V,21,0)),"")</f>
        <v/>
      </c>
      <c r="J73" s="7"/>
      <c r="K73" s="7"/>
      <c r="L73" s="7"/>
      <c r="M73" s="7"/>
      <c r="N73" s="7"/>
      <c r="O73" s="7"/>
      <c r="P73" s="7"/>
      <c r="R73" s="7"/>
      <c r="S73" s="7"/>
      <c r="T73" s="7"/>
      <c r="U73" s="7"/>
      <c r="V73" s="7"/>
      <c r="W73" s="7"/>
      <c r="X73" s="7"/>
      <c r="Y73" s="7"/>
    </row>
    <row r="74">
      <c r="A74" s="33" t="s">
        <v>191</v>
      </c>
      <c r="B74" s="33" t="s">
        <v>1</v>
      </c>
      <c r="C74" s="33" t="s">
        <v>2</v>
      </c>
      <c r="D74" s="33" t="s">
        <v>5</v>
      </c>
      <c r="E74" s="11"/>
      <c r="F74" s="12"/>
      <c r="G74" s="66"/>
      <c r="H74" s="12"/>
      <c r="I74" s="7" t="str">
        <f>IFNA(CONCATENATE(VLOOKUP($G74,export_items!$B:$V,2,0)," @",VLOOKUP($G74,export_items!$B:$V,21,0)),"")</f>
        <v/>
      </c>
      <c r="J74" s="7"/>
      <c r="K74" s="7"/>
      <c r="L74" s="7"/>
      <c r="M74" s="7"/>
      <c r="N74" s="7"/>
      <c r="O74" s="7"/>
      <c r="P74" s="7"/>
      <c r="R74" s="7"/>
      <c r="S74" s="7"/>
      <c r="T74" s="7"/>
      <c r="U74" s="7"/>
      <c r="V74" s="7"/>
      <c r="W74" s="7"/>
      <c r="X74" s="7"/>
      <c r="Y74" s="7"/>
    </row>
    <row r="75">
      <c r="A75" s="9" t="s">
        <v>69</v>
      </c>
      <c r="B75" s="9">
        <v>850.0</v>
      </c>
      <c r="C75" s="16">
        <f>B75/10</f>
        <v>85</v>
      </c>
      <c r="D75" s="15">
        <v>90.0</v>
      </c>
      <c r="E75" s="11"/>
      <c r="F75" s="12">
        <v>11298.0</v>
      </c>
      <c r="G75" s="12">
        <v>11092.0</v>
      </c>
      <c r="H75" s="7" t="str">
        <f>CONCATENATE(VLOOKUP($F75,export_items!$B:$V,2,0)," @",VLOOKUP($F75,export_items!$B:$V,21,0))</f>
        <v>ตับก้อน 10kg/ลัง(85) @850</v>
      </c>
      <c r="I75" s="7" t="str">
        <f>IFNA(CONCATENATE(VLOOKUP($G75,export_items!$B:$V,2,0)," @",VLOOKUP($G75,export_items!$B:$V,21,0)),"")</f>
        <v>ตับก้อนถุง 1kg(90) @90</v>
      </c>
      <c r="J75" s="7"/>
      <c r="K75" s="7"/>
      <c r="L75" s="7"/>
      <c r="M75" s="7"/>
      <c r="N75" s="7"/>
      <c r="O75" s="7"/>
      <c r="R75" s="7"/>
      <c r="S75" s="7"/>
      <c r="T75" s="7"/>
      <c r="U75" s="7"/>
      <c r="V75" s="7"/>
      <c r="W75" s="7"/>
      <c r="X75" s="7"/>
      <c r="Y75" s="7"/>
    </row>
    <row r="76">
      <c r="A76" s="9" t="s">
        <v>71</v>
      </c>
      <c r="B76" s="9">
        <v>90.0</v>
      </c>
      <c r="C76" s="16"/>
      <c r="D76" s="15"/>
      <c r="E76" s="11"/>
      <c r="F76" s="12">
        <v>10293.0</v>
      </c>
      <c r="G76" s="41"/>
      <c r="H76" s="7" t="str">
        <f>CONCATENATE(VLOOKUP($F76,export_items!$B:$V,2,0)," @",VLOOKUP($F76,export_items!$B:$V,21,0))</f>
        <v>ตับสไลด์ ถุง 1kg @90</v>
      </c>
      <c r="I76" s="7" t="str">
        <f>IFNA(CONCATENATE(VLOOKUP($G76,export_items!$B:$V,2,0)," @",VLOOKUP($G76,export_items!$B:$V,21,0)),"")</f>
        <v/>
      </c>
      <c r="J76" s="7"/>
      <c r="K76" s="7"/>
      <c r="L76" s="7"/>
      <c r="M76" s="7"/>
      <c r="N76" s="7"/>
      <c r="O76" s="7"/>
      <c r="R76" s="7"/>
      <c r="S76" s="7"/>
      <c r="T76" s="7"/>
      <c r="U76" s="7"/>
      <c r="V76" s="7"/>
      <c r="W76" s="7"/>
      <c r="X76" s="7"/>
      <c r="Y76" s="7"/>
    </row>
    <row r="77">
      <c r="A77" s="9" t="s">
        <v>73</v>
      </c>
      <c r="B77" s="9">
        <v>900.0</v>
      </c>
      <c r="C77" s="16">
        <f>B77/10</f>
        <v>90</v>
      </c>
      <c r="D77" s="15">
        <v>90.0</v>
      </c>
      <c r="E77" s="11"/>
      <c r="F77" s="12">
        <v>10059.0</v>
      </c>
      <c r="G77" s="41">
        <v>10017.0</v>
      </c>
      <c r="H77" s="7" t="str">
        <f>CONCATENATE(VLOOKUP($F77,export_items!$B:$V,2,0)," @",VLOOKUP($F77,export_items!$B:$V,21,0))</f>
        <v>จี้หมู ถุง  10 กก.(90) @900</v>
      </c>
      <c r="I77" s="7" t="str">
        <f>IFNA(CONCATENATE(VLOOKUP($G77,export_items!$B:$V,2,0)," @",VLOOKUP($G77,export_items!$B:$V,21,0)),"")</f>
        <v>จี้หมู ถุง 1กก. @90</v>
      </c>
      <c r="J77" s="7"/>
      <c r="K77" s="7"/>
      <c r="L77" s="7"/>
      <c r="M77" s="7"/>
      <c r="N77" s="7"/>
      <c r="O77" s="7"/>
      <c r="R77" s="7"/>
      <c r="S77" s="7"/>
      <c r="T77" s="7"/>
      <c r="U77" s="7"/>
      <c r="V77" s="7"/>
      <c r="W77" s="7"/>
      <c r="X77" s="7"/>
      <c r="Y77" s="7"/>
    </row>
    <row r="78">
      <c r="A78" s="9" t="s">
        <v>75</v>
      </c>
      <c r="B78" s="9">
        <v>95.0</v>
      </c>
      <c r="C78" s="16"/>
      <c r="D78" s="15"/>
      <c r="E78" s="11"/>
      <c r="F78" s="12">
        <v>10332.0</v>
      </c>
      <c r="H78" s="7" t="str">
        <f>CONCATENATE(VLOOKUP($F78,export_items!$B:$V,2,0)," @",VLOOKUP($F78,export_items!$B:$V,21,0))</f>
        <v>จี้หมูสไลด์แพ็ค 1Kg @95</v>
      </c>
      <c r="I78" s="7" t="str">
        <f>IFNA(CONCATENATE(VLOOKUP($G78,export_items!$B:$V,2,0)," @",VLOOKUP($G78,export_items!$B:$V,21,0)),"")</f>
        <v/>
      </c>
      <c r="J78" s="7"/>
      <c r="K78" s="7"/>
      <c r="L78" s="7"/>
      <c r="M78" s="7"/>
      <c r="N78" s="7"/>
      <c r="O78" s="7"/>
      <c r="R78" s="7"/>
      <c r="S78" s="7"/>
      <c r="T78" s="7"/>
      <c r="U78" s="7"/>
      <c r="V78" s="7"/>
      <c r="W78" s="7"/>
      <c r="X78" s="7"/>
      <c r="Y78" s="7"/>
    </row>
    <row r="79">
      <c r="A79" s="10"/>
      <c r="B79" s="10"/>
      <c r="C79" s="10"/>
      <c r="D79" s="23"/>
      <c r="E79" s="11"/>
      <c r="F79" s="12"/>
      <c r="H79" s="7"/>
      <c r="I79" s="7" t="str">
        <f>IFNA(CONCATENATE(VLOOKUP($G79,export_items!$B:$V,2,0)," @",VLOOKUP($G79,export_items!$B:$V,21,0)),"")</f>
        <v/>
      </c>
      <c r="J79" s="7"/>
      <c r="K79" s="7"/>
      <c r="L79" s="7"/>
      <c r="M79" s="7"/>
      <c r="N79" s="7"/>
      <c r="O79" s="7"/>
      <c r="R79" s="7"/>
      <c r="S79" s="7"/>
      <c r="T79" s="7"/>
      <c r="U79" s="7"/>
      <c r="V79" s="7"/>
      <c r="W79" s="7"/>
      <c r="X79" s="7"/>
      <c r="Y79" s="7"/>
    </row>
    <row r="80">
      <c r="A80" s="1" t="s">
        <v>192</v>
      </c>
      <c r="B80" s="1" t="s">
        <v>1</v>
      </c>
      <c r="C80" s="1" t="s">
        <v>2</v>
      </c>
      <c r="D80" s="1" t="s">
        <v>5</v>
      </c>
      <c r="E80" s="11"/>
      <c r="F80" s="12" t="s">
        <v>3</v>
      </c>
      <c r="G80" s="66"/>
      <c r="H80" s="7" t="str">
        <f>CONCATENATE(VLOOKUP($F80,export_items!$B:$V,2,0)," @",VLOOKUP($F80,export_items!$B:$V,21,0))</f>
        <v>#N/A</v>
      </c>
      <c r="I80" s="7" t="str">
        <f>IFNA(CONCATENATE(VLOOKUP($G80,export_items!$B:$V,2,0)," @",VLOOKUP($G80,export_items!$B:$V,21,0)),"")</f>
        <v/>
      </c>
      <c r="J80" s="7"/>
      <c r="K80" s="7"/>
      <c r="L80" s="7"/>
      <c r="M80" s="7"/>
      <c r="N80" s="7"/>
      <c r="O80" s="7"/>
      <c r="R80" s="7"/>
      <c r="S80" s="7"/>
      <c r="T80" s="7"/>
      <c r="U80" s="7"/>
      <c r="V80" s="7"/>
      <c r="W80" s="7"/>
      <c r="X80" s="7"/>
      <c r="Y80" s="7"/>
    </row>
    <row r="81">
      <c r="A81" s="9" t="s">
        <v>79</v>
      </c>
      <c r="B81" s="9">
        <v>950.0</v>
      </c>
      <c r="C81" s="10">
        <f>B81/10</f>
        <v>95</v>
      </c>
      <c r="D81" s="15">
        <v>105.0</v>
      </c>
      <c r="E81" s="11"/>
      <c r="F81" s="12">
        <v>10383.0</v>
      </c>
      <c r="G81" s="66">
        <v>11006.0</v>
      </c>
      <c r="H81" s="7" t="str">
        <f>CONCATENATE(VLOOKUP($F81,export_items!$B:$V,2,0)," @",VLOOKUP($F81,export_items!$B:$V,21,0))</f>
        <v>ยำสาหร่าย  (ลัง) @950</v>
      </c>
      <c r="I81" s="7" t="str">
        <f>IFNA(CONCATENATE(VLOOKUP($G81,export_items!$B:$V,2,0)," @",VLOOKUP($G81,export_items!$B:$V,21,0)),"")</f>
        <v>ยำสาหร่าย  แพ็ค 1kg @105</v>
      </c>
      <c r="J81" s="7"/>
      <c r="K81" s="7"/>
      <c r="L81" s="7"/>
      <c r="M81" s="7"/>
      <c r="N81" s="7"/>
      <c r="O81" s="7"/>
      <c r="R81" s="7"/>
      <c r="S81" s="7"/>
      <c r="T81" s="7"/>
      <c r="U81" s="7"/>
      <c r="V81" s="7"/>
      <c r="W81" s="7"/>
      <c r="X81" s="7"/>
      <c r="Y81" s="7"/>
    </row>
    <row r="82">
      <c r="A82" s="9" t="s">
        <v>81</v>
      </c>
      <c r="B82" s="30">
        <v>1180.0</v>
      </c>
      <c r="C82" s="10">
        <f>B82/8</f>
        <v>147.5</v>
      </c>
      <c r="D82" s="15">
        <v>170.0</v>
      </c>
      <c r="E82" s="11"/>
      <c r="F82" s="12">
        <v>11493.0</v>
      </c>
      <c r="G82" s="66">
        <v>20143.0</v>
      </c>
      <c r="H82" s="7" t="str">
        <f>CONCATENATE(VLOOKUP($F82,export_items!$B:$V,2,0)," @",VLOOKUP($F82,export_items!$B:$V,21,0))</f>
        <v>เห็ดแห้ง 500 กรัม * 8 แพ็ค  (ลัง) @1180</v>
      </c>
      <c r="I82" s="7" t="str">
        <f>IFNA(CONCATENATE(VLOOKUP($G82,export_items!$B:$V,2,0)," @",VLOOKUP($G82,export_items!$B:$V,21,0)),"")</f>
        <v>เห็ดแห้งตราฟินิกซ์500g (ใหญ่) @170</v>
      </c>
      <c r="J82" s="7"/>
      <c r="K82" s="7"/>
      <c r="L82" s="7"/>
      <c r="M82" s="7"/>
      <c r="N82" s="7"/>
      <c r="O82" s="7"/>
      <c r="R82" s="7"/>
      <c r="S82" s="7"/>
      <c r="T82" s="7"/>
      <c r="U82" s="7"/>
      <c r="V82" s="7"/>
      <c r="W82" s="7"/>
      <c r="X82" s="7"/>
      <c r="Y82" s="7"/>
    </row>
    <row r="83">
      <c r="A83" s="9" t="s">
        <v>83</v>
      </c>
      <c r="B83" s="9">
        <v>840.0</v>
      </c>
      <c r="C83" s="10">
        <f t="shared" ref="C83:C84" si="7">B83/4</f>
        <v>210</v>
      </c>
      <c r="D83" s="15">
        <v>215.0</v>
      </c>
      <c r="E83" s="11"/>
      <c r="F83" s="12">
        <v>10364.0</v>
      </c>
      <c r="G83" s="41">
        <v>10357.0</v>
      </c>
      <c r="H83" s="7" t="str">
        <f>CONCATENATE(VLOOKUP($F83,export_items!$B:$V,2,0)," @",VLOOKUP($F83,export_items!$B:$V,21,0))</f>
        <v>น้ำจิ้มแชมป์ เล็ก (ลัง) @840</v>
      </c>
      <c r="I83" s="7" t="str">
        <f>IFNA(CONCATENATE(VLOOKUP($G83,export_items!$B:$V,2,0)," @",VLOOKUP($G83,export_items!$B:$V,21,0)),"")</f>
        <v>น้ําจิ้มแชมป์  เล็ก 1*12ขวด(แพ็ค) @215</v>
      </c>
      <c r="J83" s="7"/>
      <c r="K83" s="7"/>
      <c r="L83" s="7"/>
      <c r="M83" s="7"/>
      <c r="N83" s="7"/>
      <c r="O83" s="7"/>
      <c r="R83" s="7"/>
      <c r="S83" s="7"/>
      <c r="T83" s="7"/>
      <c r="U83" s="7"/>
      <c r="V83" s="7"/>
      <c r="W83" s="7"/>
      <c r="X83" s="7"/>
      <c r="Y83" s="7"/>
    </row>
    <row r="84">
      <c r="A84" s="9" t="s">
        <v>85</v>
      </c>
      <c r="B84" s="9">
        <v>800.0</v>
      </c>
      <c r="C84" s="10">
        <f t="shared" si="7"/>
        <v>200</v>
      </c>
      <c r="D84" s="15">
        <v>225.0</v>
      </c>
      <c r="E84" s="11"/>
      <c r="F84" s="12">
        <v>10324.0</v>
      </c>
      <c r="G84" s="41">
        <v>10199.0</v>
      </c>
      <c r="H84" s="7" t="str">
        <f>CONCATENATE(VLOOKUP($F84,export_items!$B:$V,2,0)," @",VLOOKUP($F84,export_items!$B:$V,21,0))</f>
        <v>น้ำจิ้มแชมป์ กลาง (ลัง) @800</v>
      </c>
      <c r="I84" s="7" t="str">
        <f>IFNA(CONCATENATE(VLOOKUP($G84,export_items!$B:$V,2,0)," @",VLOOKUP($G84,export_items!$B:$V,21,0)),"")</f>
        <v>น้ําจิ้มแชมป์  กลาง 1*6ขวด(แพ็ค) @225</v>
      </c>
      <c r="J84" s="7"/>
      <c r="K84" s="7"/>
      <c r="L84" s="7"/>
      <c r="M84" s="7"/>
      <c r="N84" s="7"/>
      <c r="O84" s="7"/>
      <c r="R84" s="7"/>
      <c r="S84" s="7"/>
      <c r="T84" s="7"/>
      <c r="U84" s="7"/>
      <c r="V84" s="7"/>
      <c r="W84" s="7"/>
      <c r="X84" s="7"/>
      <c r="Y84" s="7"/>
    </row>
    <row r="85">
      <c r="A85" s="9" t="s">
        <v>87</v>
      </c>
      <c r="B85" s="9">
        <v>780.0</v>
      </c>
      <c r="C85" s="10">
        <f>B85/2</f>
        <v>390</v>
      </c>
      <c r="D85" s="15">
        <v>405.0</v>
      </c>
      <c r="E85" s="11"/>
      <c r="F85" s="12">
        <v>10367.0</v>
      </c>
      <c r="G85" s="41">
        <v>10366.0</v>
      </c>
      <c r="H85" s="7" t="str">
        <f>CONCATENATE(VLOOKUP($F85,export_items!$B:$V,2,0)," @",VLOOKUP($F85,export_items!$B:$V,21,0))</f>
        <v>น้ำจิ้มแชมป์ ใหญ่ (ลัง) @780</v>
      </c>
      <c r="I85" s="7" t="str">
        <f>IFNA(CONCATENATE(VLOOKUP($G85,export_items!$B:$V,2,0)," @",VLOOKUP($G85,export_items!$B:$V,21,0)),"")</f>
        <v>น้ำจิ้มแชมป์  ใหญ่ 1*6ขวด(แพ็ค) @405</v>
      </c>
      <c r="J85" s="7"/>
      <c r="K85" s="7"/>
      <c r="L85" s="7"/>
      <c r="M85" s="7"/>
      <c r="N85" s="7"/>
      <c r="O85" s="7"/>
      <c r="R85" s="7"/>
      <c r="S85" s="7"/>
      <c r="T85" s="7"/>
      <c r="U85" s="7"/>
      <c r="V85" s="7"/>
      <c r="W85" s="7"/>
      <c r="X85" s="7"/>
      <c r="Y85" s="7"/>
    </row>
    <row r="86">
      <c r="A86" s="9" t="s">
        <v>88</v>
      </c>
      <c r="B86" s="9">
        <v>820.0</v>
      </c>
      <c r="C86" s="10">
        <f>B86/4</f>
        <v>205</v>
      </c>
      <c r="D86" s="15">
        <v>210.0</v>
      </c>
      <c r="E86" s="11"/>
      <c r="F86" s="12">
        <v>10117.0</v>
      </c>
      <c r="G86" s="41">
        <v>10050.0</v>
      </c>
      <c r="H86" s="7" t="str">
        <f>CONCATENATE(VLOOKUP($F86,export_items!$B:$V,2,0)," @",VLOOKUP($F86,export_items!$B:$V,21,0))</f>
        <v>น้ำจิ้มแม่อมร  (ลัง) @820</v>
      </c>
      <c r="I86" s="7" t="str">
        <f>IFNA(CONCATENATE(VLOOKUP($G86,export_items!$B:$V,2,0)," @",VLOOKUP($G86,export_items!$B:$V,21,0)),"")</f>
        <v>น้ําจิ้มแม่อมร1*6 (แพ็ค) @210</v>
      </c>
      <c r="J86" s="7"/>
      <c r="K86" s="7"/>
      <c r="L86" s="7"/>
      <c r="M86" s="7"/>
      <c r="N86" s="7"/>
      <c r="O86" s="7"/>
      <c r="R86" s="7"/>
      <c r="S86" s="7"/>
      <c r="T86" s="7"/>
      <c r="U86" s="7"/>
      <c r="V86" s="7"/>
      <c r="W86" s="7"/>
      <c r="X86" s="7"/>
      <c r="Y86" s="7"/>
    </row>
    <row r="87">
      <c r="A87" s="37"/>
      <c r="B87" s="37"/>
      <c r="C87" s="37"/>
      <c r="D87" s="36"/>
      <c r="E87" s="11"/>
      <c r="F87" s="12"/>
      <c r="G87" s="11"/>
      <c r="H87" s="7"/>
      <c r="I87" s="7" t="str">
        <f>IFNA(CONCATENATE(VLOOKUP($G87,export_items!$B:$V,2,0)," @",VLOOKUP($G87,export_items!$B:$V,21,0)),"")</f>
        <v/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33" t="s">
        <v>193</v>
      </c>
      <c r="B88" s="33" t="s">
        <v>1</v>
      </c>
      <c r="C88" s="33" t="s">
        <v>2</v>
      </c>
      <c r="D88" s="33" t="s">
        <v>5</v>
      </c>
      <c r="E88" s="11"/>
      <c r="F88" s="12" t="s">
        <v>3</v>
      </c>
      <c r="H88" s="7" t="str">
        <f>CONCATENATE(VLOOKUP($F88,export_items!$B:$V,2,0)," @",VLOOKUP($F88,export_items!$B:$V,21,0))</f>
        <v>#N/A</v>
      </c>
      <c r="I88" s="7" t="str">
        <f>IFNA(CONCATENATE(VLOOKUP($G88,export_items!$B:$V,2,0)," @",VLOOKUP($G88,export_items!$B:$V,21,0)),"")</f>
        <v/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9" t="s">
        <v>90</v>
      </c>
      <c r="B89" s="30">
        <v>1420.0</v>
      </c>
      <c r="C89" s="10">
        <f t="shared" ref="C89:C90" si="8">B89/10</f>
        <v>142</v>
      </c>
      <c r="D89" s="15">
        <v>145.0</v>
      </c>
      <c r="E89" s="11"/>
      <c r="F89" s="12">
        <v>10194.0</v>
      </c>
      <c r="G89" s="41">
        <v>10082.0</v>
      </c>
      <c r="H89" s="7" t="str">
        <f>CONCATENATE(VLOOKUP($F89,export_items!$B:$V,2,0)," @",VLOOKUP($F89,export_items!$B:$V,21,0))</f>
        <v>เบคอน แพ็ค1กก *ยาว* (ลัง) -142 @1420</v>
      </c>
      <c r="I89" s="7" t="str">
        <f>IFNA(CONCATENATE(VLOOKUP($G89,export_items!$B:$V,2,0)," @",VLOOKUP($G89,export_items!$B:$V,21,0)),"")</f>
        <v>เบคอน แพ็ค1กก (ยาว) @145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9" t="s">
        <v>92</v>
      </c>
      <c r="B90" s="9">
        <v>775.0</v>
      </c>
      <c r="C90" s="10">
        <f t="shared" si="8"/>
        <v>77.5</v>
      </c>
      <c r="D90" s="15">
        <v>85.0</v>
      </c>
      <c r="E90" s="11"/>
      <c r="F90" s="12">
        <v>11395.0</v>
      </c>
      <c r="G90" s="41">
        <v>11225.0</v>
      </c>
      <c r="H90" s="7" t="str">
        <f>CONCATENATE(VLOOKUP($F90,export_items!$B:$V,2,0)," @",VLOOKUP($F90,export_items!$B:$V,21,0))</f>
        <v>T เบคอน 10*500 กรัม (หิ้ว) @775</v>
      </c>
      <c r="I90" s="7" t="str">
        <f>IFNA(CONCATENATE(VLOOKUP($G90,export_items!$B:$V,2,0)," @",VLOOKUP($G90,export_items!$B:$V,21,0)),"")</f>
        <v>T เบคอน แพ็ค 500 g @85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9" t="s">
        <v>94</v>
      </c>
      <c r="B91" s="9">
        <v>700.0</v>
      </c>
      <c r="C91" s="16">
        <v>70.0</v>
      </c>
      <c r="D91" s="15"/>
      <c r="E91" s="11"/>
      <c r="F91" s="12">
        <v>11574.0</v>
      </c>
      <c r="G91" s="66"/>
      <c r="H91" s="7" t="str">
        <f>CONCATENATE(VLOOKUP($F91,export_items!$B:$V,2,0)," @",VLOOKUP($F91,export_items!$B:$V,21,0))</f>
        <v>เบคอนสูตร2 500g*10แพ็ค (หิ้ว)-70 @700</v>
      </c>
      <c r="I91" s="7" t="str">
        <f>IFNA(CONCATENATE(VLOOKUP($G91,export_items!$B:$V,2,0)," @",VLOOKUP($G91,export_items!$B:$V,21,0)),"")</f>
        <v/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9" t="s">
        <v>96</v>
      </c>
      <c r="B92" s="9">
        <v>70.0</v>
      </c>
      <c r="C92" s="16">
        <v>70.0</v>
      </c>
      <c r="D92" s="15"/>
      <c r="E92" s="11"/>
      <c r="F92" s="12">
        <v>11406.0</v>
      </c>
      <c r="G92" s="66"/>
      <c r="H92" s="7" t="str">
        <f>CONCATENATE(VLOOKUP($F92,export_items!$B:$V,2,0)," @",VLOOKUP($F92,export_items!$B:$V,21,0))</f>
        <v>มันหั่นเต๋า 1 กก(70) @70</v>
      </c>
      <c r="I92" s="7" t="str">
        <f>IFNA(CONCATENATE(VLOOKUP($G92,export_items!$B:$V,2,0)," @",VLOOKUP($G92,export_items!$B:$V,21,0)),"")</f>
        <v/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E93" s="11"/>
      <c r="F93" s="12"/>
      <c r="G93" s="11"/>
      <c r="H93" s="7"/>
      <c r="I93" s="7" t="str">
        <f>IFNA(CONCATENATE(VLOOKUP($G93,export_items!$B:$V,2,0)," @",VLOOKUP($G93,export_items!$B:$V,21,0)),"")</f>
        <v/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37"/>
      <c r="B94" s="37"/>
      <c r="C94" s="37"/>
      <c r="D94" s="36"/>
      <c r="E94" s="11"/>
      <c r="F94" s="12"/>
      <c r="G94" s="11"/>
      <c r="H94" s="12"/>
      <c r="I94" s="7" t="str">
        <f>IFNA(CONCATENATE(VLOOKUP($G94,export_items!$B:$V,2,0)," @",VLOOKUP($G94,export_items!$B:$V,21,0)),"")</f>
        <v/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37"/>
      <c r="B95" s="37"/>
      <c r="C95" s="37"/>
      <c r="D95" s="36"/>
      <c r="E95" s="11"/>
      <c r="F95" s="12"/>
      <c r="G95" s="11"/>
      <c r="H95" s="12"/>
      <c r="I95" s="7" t="str">
        <f>IFNA(CONCATENATE(VLOOKUP($G95,export_items!$B:$V,2,0)," @",VLOOKUP($G95,export_items!$B:$V,21,0)),"")</f>
        <v/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37"/>
      <c r="B96" s="37"/>
      <c r="C96" s="37"/>
      <c r="D96" s="36"/>
      <c r="E96" s="11"/>
      <c r="F96" s="12"/>
      <c r="G96" s="11"/>
      <c r="H96" s="12"/>
      <c r="I96" s="7" t="str">
        <f>IFNA(CONCATENATE(VLOOKUP($G96,export_items!$B:$V,2,0)," @",VLOOKUP($G96,export_items!$B:$V,21,0)),"")</f>
        <v/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37"/>
      <c r="B97" s="37"/>
      <c r="C97" s="37"/>
      <c r="D97" s="36"/>
      <c r="E97" s="11"/>
      <c r="F97" s="12"/>
      <c r="G97" s="11"/>
      <c r="H97" s="12"/>
      <c r="I97" s="7" t="str">
        <f>IFNA(CONCATENATE(VLOOKUP($G97,export_items!$B:$V,2,0)," @",VLOOKUP($G97,export_items!$B:$V,21,0)),"")</f>
        <v/>
      </c>
      <c r="J97" s="7"/>
      <c r="K97" s="7"/>
      <c r="L97" s="7"/>
      <c r="M97" s="7"/>
      <c r="N97" s="7"/>
      <c r="O97" s="7"/>
      <c r="R97" s="7"/>
      <c r="S97" s="7"/>
      <c r="T97" s="7"/>
      <c r="U97" s="7"/>
      <c r="V97" s="7"/>
      <c r="W97" s="7"/>
      <c r="X97" s="7"/>
      <c r="Y97" s="7"/>
    </row>
    <row r="98">
      <c r="A98" s="33" t="s">
        <v>194</v>
      </c>
      <c r="B98" s="33" t="s">
        <v>1</v>
      </c>
      <c r="C98" s="33" t="s">
        <v>2</v>
      </c>
      <c r="D98" s="2"/>
      <c r="E98" s="11"/>
      <c r="F98" s="12" t="s">
        <v>3</v>
      </c>
      <c r="G98" s="11"/>
      <c r="H98" s="7" t="str">
        <f>CONCATENATE(VLOOKUP($F98,export_items!$B:$V,2,0)," @",VLOOKUP($F98,export_items!$B:$V,21,0))</f>
        <v>#N/A</v>
      </c>
      <c r="I98" s="7" t="str">
        <f>IFNA(CONCATENATE(VLOOKUP($G98,export_items!$B:$V,2,0)," @",VLOOKUP($G98,export_items!$B:$V,21,0)),"")</f>
        <v/>
      </c>
      <c r="R98" s="7"/>
      <c r="S98" s="7"/>
      <c r="T98" s="7"/>
      <c r="U98" s="7"/>
      <c r="V98" s="7"/>
      <c r="W98" s="7"/>
      <c r="X98" s="7"/>
      <c r="Y98" s="7"/>
    </row>
    <row r="99">
      <c r="A99" s="9" t="s">
        <v>89</v>
      </c>
      <c r="B99" s="9">
        <v>187.0</v>
      </c>
      <c r="C99" s="10"/>
      <c r="D99" s="2"/>
      <c r="E99" s="11"/>
      <c r="F99" s="12">
        <v>10564.0</v>
      </c>
      <c r="G99" s="11"/>
      <c r="H99" s="7" t="str">
        <f>CONCATENATE(VLOOKUP($F99,export_items!$B:$V,2,0)," @",VLOOKUP($F99,export_items!$B:$V,21,0))</f>
        <v>อาเจน 180/200  (ชั่ง) - 187 @187</v>
      </c>
      <c r="I99" s="7" t="str">
        <f>IFNA(CONCATENATE(VLOOKUP($G99,export_items!$B:$V,2,0)," @",VLOOKUP($G99,export_items!$B:$V,21,0)),"")</f>
        <v/>
      </c>
      <c r="R99" s="7"/>
      <c r="S99" s="7"/>
      <c r="T99" s="7"/>
      <c r="U99" s="7"/>
      <c r="V99" s="7"/>
      <c r="W99" s="7"/>
      <c r="X99" s="7"/>
      <c r="Y99" s="7"/>
    </row>
    <row r="100">
      <c r="A100" s="9" t="s">
        <v>91</v>
      </c>
      <c r="B100" s="9">
        <v>197.0</v>
      </c>
      <c r="C100" s="10"/>
      <c r="D100" s="2"/>
      <c r="E100" s="11"/>
      <c r="F100" s="12">
        <v>10387.0</v>
      </c>
      <c r="G100" s="11"/>
      <c r="H100" s="7" t="str">
        <f>CONCATENATE(VLOOKUP($F100,export_items!$B:$V,2,0)," @",VLOOKUP($F100,export_items!$B:$V,21,0))</f>
        <v>อาเจน 180/200 (ปั่น) -197 @197</v>
      </c>
      <c r="I100" s="7" t="str">
        <f>IFNA(CONCATENATE(VLOOKUP($G100,export_items!$B:$V,2,0)," @",VLOOKUP($G100,export_items!$B:$V,21,0)),"")</f>
        <v/>
      </c>
      <c r="R100" s="7"/>
      <c r="S100" s="7"/>
      <c r="T100" s="7"/>
      <c r="U100" s="7"/>
      <c r="V100" s="7"/>
      <c r="W100" s="7"/>
      <c r="X100" s="7"/>
      <c r="Y100" s="7"/>
    </row>
    <row r="101">
      <c r="A101" s="9" t="s">
        <v>93</v>
      </c>
      <c r="B101" s="9">
        <v>189.0</v>
      </c>
      <c r="C101" s="10"/>
      <c r="D101" s="2"/>
      <c r="E101" s="11"/>
      <c r="F101" s="12">
        <v>10046.0</v>
      </c>
      <c r="G101" s="11"/>
      <c r="H101" s="7" t="str">
        <f>CONCATENATE(VLOOKUP($F101,export_items!$B:$V,2,0)," @",VLOOKUP($F101,export_items!$B:$V,21,0))</f>
        <v>อาเจน S (ชั่ง) - 189 @189</v>
      </c>
      <c r="I101" s="7" t="str">
        <f>IFNA(CONCATENATE(VLOOKUP($G101,export_items!$B:$V,2,0)," @",VLOOKUP($G101,export_items!$B:$V,21,0)),"")</f>
        <v/>
      </c>
      <c r="R101" s="7"/>
      <c r="S101" s="7"/>
      <c r="T101" s="7"/>
      <c r="U101" s="7"/>
      <c r="V101" s="7"/>
      <c r="W101" s="7"/>
      <c r="X101" s="7"/>
      <c r="Y101" s="7"/>
    </row>
    <row r="102">
      <c r="A102" s="9" t="s">
        <v>95</v>
      </c>
      <c r="B102" s="9">
        <v>198.0</v>
      </c>
      <c r="C102" s="10"/>
      <c r="D102" s="2"/>
      <c r="E102" s="11"/>
      <c r="F102" s="12">
        <v>1046.0</v>
      </c>
      <c r="G102" s="11"/>
      <c r="H102" s="7" t="str">
        <f>CONCATENATE(VLOOKUP($F102,export_items!$B:$V,2,0)," @",VLOOKUP($F102,export_items!$B:$V,21,0))</f>
        <v>อาเจน S *ปั่น* - 198 @198</v>
      </c>
      <c r="I102" s="7" t="str">
        <f>IFNA(CONCATENATE(VLOOKUP($G102,export_items!$B:$V,2,0)," @",VLOOKUP($G102,export_items!$B:$V,21,0)),"")</f>
        <v/>
      </c>
      <c r="R102" s="7"/>
      <c r="S102" s="7"/>
      <c r="T102" s="7"/>
      <c r="U102" s="7"/>
      <c r="V102" s="7"/>
      <c r="W102" s="7"/>
      <c r="X102" s="7"/>
      <c r="Y102" s="7"/>
    </row>
    <row r="103">
      <c r="A103" s="9" t="s">
        <v>97</v>
      </c>
      <c r="B103" s="30">
        <v>1300.0</v>
      </c>
      <c r="C103" s="10">
        <f>B103/10</f>
        <v>130</v>
      </c>
      <c r="D103" s="2"/>
      <c r="E103" s="11"/>
      <c r="F103" s="12">
        <v>10563.0</v>
      </c>
      <c r="G103" s="11"/>
      <c r="H103" s="7" t="str">
        <f>CONCATENATE(VLOOKUP($F103,export_items!$B:$V,2,0)," @",VLOOKUP($F103,export_items!$B:$V,21,0))</f>
        <v>หมึกเมก้า 10 กก (ลัง) - 130 @1300</v>
      </c>
      <c r="I103" s="7" t="str">
        <f>IFNA(CONCATENATE(VLOOKUP($G103,export_items!$B:$V,2,0)," @",VLOOKUP($G103,export_items!$B:$V,21,0)),"")</f>
        <v/>
      </c>
      <c r="R103" s="7"/>
      <c r="S103" s="7"/>
      <c r="T103" s="7"/>
      <c r="U103" s="7"/>
      <c r="V103" s="7"/>
      <c r="W103" s="7"/>
      <c r="X103" s="7"/>
      <c r="Y103" s="7"/>
    </row>
    <row r="104">
      <c r="A104" s="9" t="s">
        <v>98</v>
      </c>
      <c r="B104" s="9">
        <v>590.0</v>
      </c>
      <c r="C104" s="16">
        <v>59.0</v>
      </c>
      <c r="D104" s="2"/>
      <c r="E104" s="11"/>
      <c r="F104" s="12">
        <v>11611.0</v>
      </c>
      <c r="G104" s="11"/>
      <c r="H104" s="7" t="str">
        <f>CONCATENATE(VLOOKUP($F104,export_items!$B:$V,2,0)," @",VLOOKUP($F104,export_items!$B:$V,21,0))</f>
        <v>คอเปรู 100/300 10kg/ก้อน(59) @590</v>
      </c>
      <c r="I104" s="7" t="str">
        <f>IFNA(CONCATENATE(VLOOKUP($G104,export_items!$B:$V,2,0)," @",VLOOKUP($G104,export_items!$B:$V,21,0)),"")</f>
        <v/>
      </c>
      <c r="R104" s="7"/>
      <c r="S104" s="7"/>
      <c r="T104" s="7"/>
      <c r="U104" s="7"/>
      <c r="V104" s="7"/>
      <c r="W104" s="7"/>
      <c r="X104" s="7"/>
      <c r="Y104" s="7"/>
    </row>
    <row r="105">
      <c r="A105" s="9" t="s">
        <v>99</v>
      </c>
      <c r="B105" s="9">
        <v>443.0</v>
      </c>
      <c r="C105" s="42">
        <f>B105/7.5</f>
        <v>59.06666667</v>
      </c>
      <c r="D105" s="2"/>
      <c r="E105" s="11"/>
      <c r="F105" s="12">
        <v>10025.0</v>
      </c>
      <c r="G105" s="11"/>
      <c r="H105" s="7" t="str">
        <f>CONCATENATE(VLOOKUP($F105,export_items!$B:$V,2,0)," @",VLOOKUP($F105,export_items!$B:$V,21,0))</f>
        <v>คอเปรู 500up ก้อน 7.5 kg  (59) @443</v>
      </c>
      <c r="I105" s="7" t="str">
        <f>IFNA(CONCATENATE(VLOOKUP($G105,export_items!$B:$V,2,0)," @",VLOOKUP($G105,export_items!$B:$V,21,0)),"")</f>
        <v/>
      </c>
      <c r="R105" s="7"/>
      <c r="S105" s="7"/>
      <c r="T105" s="7"/>
      <c r="U105" s="7"/>
      <c r="V105" s="7"/>
      <c r="W105" s="7"/>
      <c r="X105" s="7"/>
      <c r="Y105" s="7"/>
    </row>
    <row r="106">
      <c r="A106" s="9" t="s">
        <v>101</v>
      </c>
      <c r="B106" s="30">
        <v>980.0</v>
      </c>
      <c r="C106" s="42">
        <f>B106/10</f>
        <v>98</v>
      </c>
      <c r="D106" s="2"/>
      <c r="E106" s="11"/>
      <c r="F106" s="12">
        <v>11148.0</v>
      </c>
      <c r="G106" s="11"/>
      <c r="H106" s="7" t="str">
        <f>CONCATENATE(VLOOKUP($F106,export_items!$B:$V,2,0)," @",VLOOKUP($F106,export_items!$B:$V,21,0))</f>
        <v>หัวเบบี๋ (กระสอบเขียว) 10กก-98 @980</v>
      </c>
      <c r="I106" s="7" t="str">
        <f>IFNA(CONCATENATE(VLOOKUP($G106,export_items!$B:$V,2,0)," @",VLOOKUP($G106,export_items!$B:$V,21,0)),"")</f>
        <v/>
      </c>
      <c r="R106" s="7"/>
      <c r="S106" s="7"/>
      <c r="T106" s="7"/>
      <c r="U106" s="7"/>
      <c r="V106" s="7"/>
      <c r="W106" s="7"/>
      <c r="X106" s="7"/>
      <c r="Y106" s="7"/>
    </row>
    <row r="107">
      <c r="A107" s="9" t="s">
        <v>103</v>
      </c>
      <c r="B107" s="30">
        <v>1440.0</v>
      </c>
      <c r="C107" s="16">
        <f t="shared" ref="C107:C108" si="9">B107/8</f>
        <v>180</v>
      </c>
      <c r="D107" s="2"/>
      <c r="E107" s="11"/>
      <c r="F107" s="12">
        <v>11523.0</v>
      </c>
      <c r="G107" s="11"/>
      <c r="H107" s="7" t="str">
        <f>CONCATENATE(VLOOKUP($F107,export_items!$B:$V,2,0)," @",VLOOKUP($F107,export_items!$B:$V,21,0))</f>
        <v>ปูม้า 100/150 (ผู้)ลัง8Kg-180 @1440</v>
      </c>
      <c r="I107" s="7" t="str">
        <f>IFNA(CONCATENATE(VLOOKUP($G107,export_items!$B:$V,2,0)," @",VLOOKUP($G107,export_items!$B:$V,21,0)),"")</f>
        <v/>
      </c>
      <c r="R107" s="7"/>
      <c r="S107" s="7"/>
      <c r="T107" s="7"/>
      <c r="U107" s="7"/>
      <c r="V107" s="7"/>
      <c r="W107" s="7"/>
      <c r="X107" s="7"/>
      <c r="Y107" s="7"/>
    </row>
    <row r="108">
      <c r="A108" s="9" t="s">
        <v>105</v>
      </c>
      <c r="B108" s="30">
        <v>1064.0</v>
      </c>
      <c r="C108" s="10">
        <f t="shared" si="9"/>
        <v>133</v>
      </c>
      <c r="D108" s="2"/>
      <c r="E108" s="11"/>
      <c r="F108" s="12">
        <v>10881.0</v>
      </c>
      <c r="G108" s="11"/>
      <c r="H108" s="7" t="str">
        <f>CONCATENATE(VLOOKUP($F108,export_items!$B:$V,2,0)," @",VLOOKUP($F108,export_items!$B:$V,21,0))</f>
        <v>ปูม้า 60/80 เมีย 8 กก.  (ลัง) - 133 @1064</v>
      </c>
      <c r="I108" s="7" t="str">
        <f>IFNA(CONCATENATE(VLOOKUP($G108,export_items!$B:$V,2,0)," @",VLOOKUP($G108,export_items!$B:$V,21,0)),"")</f>
        <v/>
      </c>
      <c r="R108" s="7"/>
      <c r="S108" s="7"/>
      <c r="T108" s="7"/>
      <c r="U108" s="7"/>
      <c r="V108" s="7"/>
      <c r="W108" s="7"/>
      <c r="X108" s="7"/>
      <c r="Y108" s="7"/>
    </row>
    <row r="109">
      <c r="A109" s="9" t="s">
        <v>107</v>
      </c>
      <c r="B109" s="30">
        <v>1380.0</v>
      </c>
      <c r="C109" s="10">
        <f>B109/12</f>
        <v>115</v>
      </c>
      <c r="D109" s="2"/>
      <c r="E109" s="11"/>
      <c r="F109" s="12">
        <v>11575.0</v>
      </c>
      <c r="G109" s="11"/>
      <c r="H109" s="7" t="str">
        <f>CONCATENATE(VLOOKUP($F109,export_items!$B:$V,2,0)," @",VLOOKUP($F109,export_items!$B:$V,21,0))</f>
        <v>หอยหวาน  50/80  12 กก. (ลัง) - 115 @1380</v>
      </c>
      <c r="I109" s="7" t="str">
        <f>IFNA(CONCATENATE(VLOOKUP($G109,export_items!$B:$V,2,0)," @",VLOOKUP($G109,export_items!$B:$V,21,0)),"")</f>
        <v/>
      </c>
      <c r="R109" s="7"/>
      <c r="S109" s="7"/>
      <c r="T109" s="7"/>
      <c r="U109" s="7"/>
      <c r="V109" s="7"/>
      <c r="W109" s="7"/>
      <c r="X109" s="7"/>
      <c r="Y109" s="7"/>
    </row>
    <row r="110">
      <c r="A110" s="9" t="s">
        <v>109</v>
      </c>
      <c r="B110" s="30">
        <v>1450.0</v>
      </c>
      <c r="C110" s="10">
        <f t="shared" ref="C110:C117" si="10">B110/10</f>
        <v>145</v>
      </c>
      <c r="D110" s="2"/>
      <c r="E110" s="11"/>
      <c r="F110" s="12">
        <v>10078.0</v>
      </c>
      <c r="G110" s="11"/>
      <c r="H110" s="7" t="str">
        <f>CONCATENATE(VLOOKUP($F110,export_items!$B:$V,2,0)," @",VLOOKUP($F110,export_items!$B:$V,21,0))</f>
        <v>หอยหวาน 30/50 10 กก. (ลัง) - 145 @1450</v>
      </c>
      <c r="I110" s="7" t="str">
        <f>IFNA(CONCATENATE(VLOOKUP($G110,export_items!$B:$V,2,0)," @",VLOOKUP($G110,export_items!$B:$V,21,0)),"")</f>
        <v/>
      </c>
      <c r="R110" s="7"/>
      <c r="S110" s="7"/>
      <c r="T110" s="7"/>
      <c r="U110" s="7"/>
      <c r="V110" s="7"/>
      <c r="W110" s="7"/>
      <c r="X110" s="7"/>
      <c r="Y110" s="7"/>
    </row>
    <row r="111">
      <c r="A111" s="9" t="s">
        <v>111</v>
      </c>
      <c r="B111" s="30">
        <v>1480.0</v>
      </c>
      <c r="C111" s="10">
        <f t="shared" si="10"/>
        <v>148</v>
      </c>
      <c r="D111" s="2"/>
      <c r="E111" s="11"/>
      <c r="F111" s="12">
        <v>10064.0</v>
      </c>
      <c r="G111" s="11"/>
      <c r="H111" s="7" t="str">
        <f>CONCATENATE(VLOOKUP($F111,export_items!$B:$V,2,0)," @",VLOOKUP($F111,export_items!$B:$V,21,0))</f>
        <v>หอยหวาน 10/20 10 กก. (ลัง) - 148 @1480</v>
      </c>
      <c r="I111" s="7" t="str">
        <f>IFNA(CONCATENATE(VLOOKUP($G111,export_items!$B:$V,2,0)," @",VLOOKUP($G111,export_items!$B:$V,21,0)),"")</f>
        <v/>
      </c>
      <c r="R111" s="7"/>
      <c r="S111" s="7"/>
      <c r="T111" s="7"/>
      <c r="U111" s="7"/>
      <c r="V111" s="7"/>
      <c r="W111" s="7"/>
      <c r="X111" s="7"/>
      <c r="Y111" s="7"/>
    </row>
    <row r="112">
      <c r="A112" s="9" t="s">
        <v>113</v>
      </c>
      <c r="B112" s="9">
        <v>850.0</v>
      </c>
      <c r="C112" s="10">
        <f t="shared" si="10"/>
        <v>85</v>
      </c>
      <c r="D112" s="2"/>
      <c r="E112" s="11"/>
      <c r="F112" s="12">
        <v>10039.0</v>
      </c>
      <c r="G112" s="11"/>
      <c r="H112" s="7" t="str">
        <f>CONCATENATE(VLOOKUP($F112,export_items!$B:$V,2,0)," @",VLOOKUP($F112,export_items!$B:$V,21,0))</f>
        <v>เนื้อหอยชิลี  (ลัง) - 85 @850</v>
      </c>
      <c r="I112" s="7" t="str">
        <f>IFNA(CONCATENATE(VLOOKUP($G112,export_items!$B:$V,2,0)," @",VLOOKUP($G112,export_items!$B:$V,21,0)),"")</f>
        <v/>
      </c>
      <c r="R112" s="7"/>
      <c r="S112" s="7"/>
      <c r="T112" s="7"/>
      <c r="U112" s="7"/>
      <c r="V112" s="7"/>
      <c r="W112" s="7"/>
      <c r="X112" s="7"/>
      <c r="Y112" s="7"/>
    </row>
    <row r="113">
      <c r="A113" s="9" t="s">
        <v>115</v>
      </c>
      <c r="B113" s="9">
        <v>690.0</v>
      </c>
      <c r="C113" s="10">
        <f t="shared" si="10"/>
        <v>69</v>
      </c>
      <c r="D113" s="2"/>
      <c r="E113" s="11"/>
      <c r="F113" s="12">
        <v>10295.0</v>
      </c>
      <c r="G113" s="11"/>
      <c r="H113" s="7" t="str">
        <f>CONCATENATE(VLOOKUP($F113,export_items!$B:$V,2,0)," @",VLOOKUP($F113,export_items!$B:$V,21,0))</f>
        <v>หอยภู่ชิลี L ฝาเดียว  (ลัง) - 69 @690</v>
      </c>
      <c r="I113" s="7" t="str">
        <f>IFNA(CONCATENATE(VLOOKUP($G113,export_items!$B:$V,2,0)," @",VLOOKUP($G113,export_items!$B:$V,21,0)),"")</f>
        <v/>
      </c>
      <c r="R113" s="7"/>
      <c r="S113" s="7"/>
      <c r="T113" s="7"/>
      <c r="U113" s="7"/>
      <c r="V113" s="7"/>
      <c r="W113" s="7"/>
      <c r="X113" s="7"/>
      <c r="Y113" s="7"/>
    </row>
    <row r="114">
      <c r="A114" s="9" t="s">
        <v>117</v>
      </c>
      <c r="B114" s="9">
        <v>490.0</v>
      </c>
      <c r="C114" s="10">
        <f t="shared" si="10"/>
        <v>49</v>
      </c>
      <c r="D114" s="2"/>
      <c r="E114" s="11"/>
      <c r="F114" s="12">
        <v>10031.0</v>
      </c>
      <c r="G114" s="11"/>
      <c r="H114" s="7" t="str">
        <f>CONCATENATE(VLOOKUP($F114,export_items!$B:$V,2,0)," @",VLOOKUP($F114,export_items!$B:$V,21,0))</f>
        <v>หอยภู่ชิลี L (ลังเหลือง)  (ลัง) - 49 @490</v>
      </c>
      <c r="I114" s="7" t="str">
        <f>IFNA(CONCATENATE(VLOOKUP($G114,export_items!$B:$V,2,0)," @",VLOOKUP($G114,export_items!$B:$V,21,0)),"")</f>
        <v/>
      </c>
      <c r="R114" s="7"/>
      <c r="S114" s="7"/>
      <c r="T114" s="7"/>
      <c r="U114" s="7"/>
      <c r="V114" s="7"/>
      <c r="W114" s="7"/>
      <c r="X114" s="7"/>
      <c r="Y114" s="7"/>
    </row>
    <row r="115">
      <c r="A115" s="9" t="s">
        <v>119</v>
      </c>
      <c r="B115" s="30">
        <v>1100.0</v>
      </c>
      <c r="C115" s="10">
        <f t="shared" si="10"/>
        <v>110</v>
      </c>
      <c r="D115" s="2"/>
      <c r="E115" s="11"/>
      <c r="F115" s="12">
        <v>10297.0</v>
      </c>
      <c r="G115" s="11"/>
      <c r="H115" s="7" t="str">
        <f>CONCATENATE(VLOOKUP($F115,export_items!$B:$V,2,0)," @",VLOOKUP($F115,export_items!$B:$V,21,0))</f>
        <v>เนื้อหอยแครง  (ลัง) - 110 @1100</v>
      </c>
      <c r="I115" s="7" t="str">
        <f>IFNA(CONCATENATE(VLOOKUP($G115,export_items!$B:$V,2,0)," @",VLOOKUP($G115,export_items!$B:$V,21,0)),"")</f>
        <v/>
      </c>
      <c r="R115" s="7"/>
      <c r="S115" s="7"/>
      <c r="T115" s="7"/>
      <c r="U115" s="7"/>
      <c r="V115" s="7"/>
      <c r="W115" s="7"/>
      <c r="X115" s="7"/>
      <c r="Y115" s="7"/>
    </row>
    <row r="116">
      <c r="A116" s="9" t="s">
        <v>121</v>
      </c>
      <c r="B116" s="9">
        <v>920.0</v>
      </c>
      <c r="C116" s="10">
        <f t="shared" si="10"/>
        <v>92</v>
      </c>
      <c r="D116" s="2"/>
      <c r="E116" s="11"/>
      <c r="F116" s="12">
        <v>11450.0</v>
      </c>
      <c r="G116" s="11"/>
      <c r="H116" s="7" t="str">
        <f>CONCATENATE(VLOOKUP($F116,export_items!$B:$V,2,0)," @",VLOOKUP($F116,export_items!$B:$V,21,0))</f>
        <v>เนื้อหอยเชลล์  (ลัง) - 92 @920</v>
      </c>
      <c r="I116" s="7" t="str">
        <f>IFNA(CONCATENATE(VLOOKUP($G116,export_items!$B:$V,2,0)," @",VLOOKUP($G116,export_items!$B:$V,21,0)),"")</f>
        <v/>
      </c>
      <c r="R116" s="7"/>
      <c r="S116" s="7"/>
      <c r="T116" s="7"/>
      <c r="U116" s="7"/>
      <c r="V116" s="7"/>
      <c r="W116" s="7"/>
      <c r="X116" s="7"/>
      <c r="Y116" s="7"/>
    </row>
    <row r="117">
      <c r="A117" s="9" t="s">
        <v>123</v>
      </c>
      <c r="B117" s="9">
        <v>980.0</v>
      </c>
      <c r="C117" s="10">
        <f t="shared" si="10"/>
        <v>98</v>
      </c>
      <c r="D117" s="2"/>
      <c r="E117" s="11"/>
      <c r="F117" s="12">
        <v>10012.0</v>
      </c>
      <c r="G117" s="11"/>
      <c r="H117" s="7" t="str">
        <f>CONCATENATE(VLOOKUP($F117,export_items!$B:$V,2,0)," @",VLOOKUP($F117,export_items!$B:$V,21,0))</f>
        <v>หอยเชลล์ฝาเดียว  (ลัง) - 98 @980</v>
      </c>
      <c r="I117" s="7" t="str">
        <f>IFNA(CONCATENATE(VLOOKUP($G117,export_items!$B:$V,2,0)," @",VLOOKUP($G117,export_items!$B:$V,21,0)),"")</f>
        <v/>
      </c>
      <c r="R117" s="7"/>
      <c r="S117" s="7"/>
      <c r="T117" s="7"/>
      <c r="U117" s="7"/>
      <c r="V117" s="7"/>
      <c r="W117" s="7"/>
      <c r="X117" s="7"/>
      <c r="Y117" s="7"/>
    </row>
    <row r="118">
      <c r="A118" s="9" t="s">
        <v>86</v>
      </c>
      <c r="B118" s="9">
        <v>450.0</v>
      </c>
      <c r="C118" s="10">
        <f>B118/5</f>
        <v>90</v>
      </c>
      <c r="D118" s="2"/>
      <c r="E118" s="11"/>
      <c r="F118" s="12">
        <v>10468.0</v>
      </c>
      <c r="G118" s="11"/>
      <c r="H118" s="7" t="str">
        <f>CONCATENATE(VLOOKUP($F118,export_items!$B:$V,2,0)," @",VLOOKUP($F118,export_items!$B:$V,21,0))</f>
        <v>แมงกะพรุนจืด 5 กก.(หิ้ว) - 90 @450</v>
      </c>
      <c r="I118" s="7" t="str">
        <f>IFNA(CONCATENATE(VLOOKUP($G118,export_items!$B:$V,2,0)," @",VLOOKUP($G118,export_items!$B:$V,21,0)),"")</f>
        <v/>
      </c>
      <c r="R118" s="7"/>
      <c r="S118" s="7"/>
      <c r="T118" s="7"/>
      <c r="U118" s="7"/>
      <c r="V118" s="7"/>
      <c r="W118" s="7"/>
      <c r="X118" s="7"/>
      <c r="Y118" s="7"/>
    </row>
    <row r="119">
      <c r="A119" s="9" t="s">
        <v>126</v>
      </c>
      <c r="B119" s="9">
        <v>730.0</v>
      </c>
      <c r="C119" s="10"/>
      <c r="D119" s="2"/>
      <c r="E119" s="11"/>
      <c r="F119" s="12">
        <v>10126.0</v>
      </c>
      <c r="G119" s="11"/>
      <c r="H119" s="7" t="str">
        <f>CONCATENATE(VLOOKUP($F119,export_items!$B:$V,2,0)," @",VLOOKUP($F119,export_items!$B:$V,21,0))</f>
        <v>กระพรุน ผ่า ถัง - 730 @730</v>
      </c>
      <c r="I119" s="7" t="str">
        <f>IFNA(CONCATENATE(VLOOKUP($G119,export_items!$B:$V,2,0)," @",VLOOKUP($G119,export_items!$B:$V,21,0)),"")</f>
        <v/>
      </c>
      <c r="R119" s="7"/>
      <c r="S119" s="7"/>
      <c r="T119" s="7"/>
      <c r="U119" s="7"/>
      <c r="V119" s="7"/>
      <c r="W119" s="7"/>
      <c r="X119" s="7"/>
      <c r="Y119" s="7"/>
    </row>
    <row r="120">
      <c r="A120" s="9" t="s">
        <v>128</v>
      </c>
      <c r="B120" s="9">
        <v>980.0</v>
      </c>
      <c r="C120" s="10"/>
      <c r="D120" s="2"/>
      <c r="E120" s="11"/>
      <c r="F120" s="12">
        <v>10125.0</v>
      </c>
      <c r="G120" s="11"/>
      <c r="H120" s="7" t="str">
        <f>CONCATENATE(VLOOKUP($F120,export_items!$B:$V,2,0)," @",VLOOKUP($F120,export_items!$B:$V,21,0))</f>
        <v>แมงกะพรุน A ถัง @980</v>
      </c>
      <c r="I120" s="7" t="str">
        <f>IFNA(CONCATENATE(VLOOKUP($G120,export_items!$B:$V,2,0)," @",VLOOKUP($G120,export_items!$B:$V,21,0)),"")</f>
        <v/>
      </c>
      <c r="R120" s="7"/>
      <c r="S120" s="7"/>
      <c r="T120" s="7"/>
      <c r="U120" s="7"/>
      <c r="V120" s="7"/>
      <c r="W120" s="7"/>
      <c r="X120" s="7"/>
      <c r="Y120" s="7"/>
    </row>
    <row r="121">
      <c r="A121" s="26"/>
      <c r="B121" s="26"/>
      <c r="C121" s="26"/>
      <c r="D121" s="2"/>
      <c r="E121" s="11"/>
      <c r="F121" s="12"/>
      <c r="G121" s="11"/>
      <c r="H121" s="7" t="str">
        <f>CONCATENATE(VLOOKUP($F121,export_items!$B:$V,2,0)," @",VLOOKUP($F121,export_items!$B:$V,21,0))</f>
        <v>#N/A</v>
      </c>
      <c r="I121" s="7" t="str">
        <f>IFNA(CONCATENATE(VLOOKUP($G121,export_items!$B:$V,2,0)," @",VLOOKUP($G121,export_items!$B:$V,21,0)),"")</f>
        <v/>
      </c>
      <c r="R121" s="7"/>
      <c r="S121" s="7"/>
      <c r="T121" s="7"/>
      <c r="U121" s="7"/>
      <c r="V121" s="7"/>
      <c r="W121" s="7"/>
      <c r="X121" s="7"/>
      <c r="Y121" s="7"/>
    </row>
    <row r="122">
      <c r="A122" s="1" t="s">
        <v>131</v>
      </c>
      <c r="B122" s="1" t="s">
        <v>1</v>
      </c>
      <c r="C122" s="1" t="s">
        <v>2</v>
      </c>
      <c r="D122" s="2"/>
      <c r="E122" s="11"/>
      <c r="F122" s="12" t="s">
        <v>3</v>
      </c>
      <c r="G122" s="11"/>
      <c r="H122" s="7" t="str">
        <f>CONCATENATE(VLOOKUP($F122,export_items!$B:$V,2,0)," @",VLOOKUP($F122,export_items!$B:$V,21,0))</f>
        <v>#N/A</v>
      </c>
      <c r="I122" s="7" t="str">
        <f>IFNA(CONCATENATE(VLOOKUP($G122,export_items!$B:$V,2,0)," @",VLOOKUP($G122,export_items!$B:$V,21,0)),"")</f>
        <v/>
      </c>
      <c r="R122" s="7"/>
      <c r="S122" s="7"/>
      <c r="T122" s="7"/>
      <c r="U122" s="7"/>
      <c r="V122" s="7"/>
      <c r="W122" s="7"/>
      <c r="X122" s="7"/>
      <c r="Y122" s="7"/>
    </row>
    <row r="123">
      <c r="A123" s="9" t="s">
        <v>133</v>
      </c>
      <c r="B123" s="9">
        <v>150.0</v>
      </c>
      <c r="C123" s="10"/>
      <c r="D123" s="2"/>
      <c r="E123" s="11"/>
      <c r="F123" s="12">
        <v>10213.0</v>
      </c>
      <c r="G123" s="11"/>
      <c r="H123" s="7" t="str">
        <f>CONCATENATE(VLOOKUP($F123,export_items!$B:$V,2,0)," @",VLOOKUP($F123,export_items!$B:$V,21,0))</f>
        <v>วุ้นเส้นหงส์ 25*200 กรัม/หิ้ว @150</v>
      </c>
      <c r="I123" s="7" t="str">
        <f>IFNA(CONCATENATE(VLOOKUP($G123,export_items!$B:$V,2,0)," @",VLOOKUP($G123,export_items!$B:$V,21,0)),"")</f>
        <v/>
      </c>
      <c r="R123" s="7"/>
      <c r="S123" s="7"/>
      <c r="T123" s="7"/>
      <c r="U123" s="7"/>
      <c r="V123" s="7"/>
      <c r="W123" s="7"/>
      <c r="X123" s="7"/>
      <c r="Y123" s="7"/>
    </row>
    <row r="124">
      <c r="A124" s="9" t="s">
        <v>135</v>
      </c>
      <c r="B124" s="9">
        <v>140.0</v>
      </c>
      <c r="C124" s="10"/>
      <c r="D124" s="2"/>
      <c r="E124" s="11"/>
      <c r="F124" s="12">
        <v>10214.0</v>
      </c>
      <c r="G124" s="11"/>
      <c r="H124" s="7" t="str">
        <f>CONCATENATE(VLOOKUP($F124,export_items!$B:$V,2,0)," @",VLOOKUP($F124,export_items!$B:$V,21,0))</f>
        <v>วุ้นเส้นหงส์ 10*500 กรัม/หิ้ว @140</v>
      </c>
      <c r="I124" s="7" t="str">
        <f>IFNA(CONCATENATE(VLOOKUP($G124,export_items!$B:$V,2,0)," @",VLOOKUP($G124,export_items!$B:$V,21,0)),"")</f>
        <v/>
      </c>
      <c r="R124" s="7"/>
      <c r="S124" s="7"/>
      <c r="T124" s="7"/>
      <c r="U124" s="7"/>
      <c r="V124" s="7"/>
      <c r="W124" s="7"/>
      <c r="X124" s="7"/>
      <c r="Y124" s="7"/>
    </row>
    <row r="125">
      <c r="A125" s="9" t="s">
        <v>137</v>
      </c>
      <c r="B125" s="9">
        <v>160.0</v>
      </c>
      <c r="C125" s="10"/>
      <c r="D125" s="2"/>
      <c r="E125" s="11"/>
      <c r="F125" s="12">
        <v>10319.0</v>
      </c>
      <c r="G125" s="11"/>
      <c r="H125" s="7" t="str">
        <f>CONCATENATE(VLOOKUP($F125,export_items!$B:$V,2,0)," @",VLOOKUP($F125,export_items!$B:$V,21,0))</f>
        <v>วุ้นเส้นกิเลน 25*200 กรัม/หิ้ว @160</v>
      </c>
      <c r="I125" s="7" t="str">
        <f>IFNA(CONCATENATE(VLOOKUP($G125,export_items!$B:$V,2,0)," @",VLOOKUP($G125,export_items!$B:$V,21,0)),"")</f>
        <v/>
      </c>
      <c r="R125" s="7"/>
      <c r="S125" s="7"/>
      <c r="T125" s="7"/>
      <c r="U125" s="7"/>
      <c r="V125" s="7"/>
      <c r="W125" s="7"/>
      <c r="X125" s="7"/>
      <c r="Y125" s="7"/>
    </row>
    <row r="126">
      <c r="A126" s="9" t="s">
        <v>139</v>
      </c>
      <c r="B126" s="9">
        <v>150.0</v>
      </c>
      <c r="C126" s="10"/>
      <c r="D126" s="2"/>
      <c r="E126" s="11"/>
      <c r="F126" s="12">
        <v>10323.0</v>
      </c>
      <c r="G126" s="11"/>
      <c r="H126" s="7" t="str">
        <f>CONCATENATE(VLOOKUP($F126,export_items!$B:$V,2,0)," @",VLOOKUP($F126,export_items!$B:$V,21,0))</f>
        <v>วุ้นเส้นกิเลน 10*500 กรัม/หิ้ว @150</v>
      </c>
      <c r="I126" s="7" t="str">
        <f>IFNA(CONCATENATE(VLOOKUP($G126,export_items!$B:$V,2,0)," @",VLOOKUP($G126,export_items!$B:$V,21,0)),"")</f>
        <v/>
      </c>
      <c r="R126" s="7"/>
      <c r="S126" s="7"/>
      <c r="T126" s="7"/>
      <c r="U126" s="7"/>
      <c r="V126" s="7"/>
      <c r="W126" s="7"/>
      <c r="X126" s="7"/>
      <c r="Y126" s="7"/>
    </row>
    <row r="127">
      <c r="A127" s="9" t="s">
        <v>141</v>
      </c>
      <c r="B127" s="9">
        <v>235.0</v>
      </c>
      <c r="C127" s="10"/>
      <c r="D127" s="8"/>
      <c r="E127" s="11"/>
      <c r="F127" s="12">
        <v>10037.0</v>
      </c>
      <c r="G127" s="11"/>
      <c r="H127" s="7" t="str">
        <f>CONCATENATE(VLOOKUP($F127,export_items!$B:$V,2,0)," @",VLOOKUP($F127,export_items!$B:$V,21,0))</f>
        <v>วุ้นเส้นเกาหลี 10*500 กรัม/หิ้ว @235</v>
      </c>
      <c r="I127" s="7" t="str">
        <f>IFNA(CONCATENATE(VLOOKUP($G127,export_items!$B:$V,2,0)," @",VLOOKUP($G127,export_items!$B:$V,21,0)),"")</f>
        <v/>
      </c>
      <c r="R127" s="7"/>
      <c r="S127" s="7"/>
      <c r="T127" s="7"/>
      <c r="U127" s="7"/>
      <c r="V127" s="7"/>
      <c r="W127" s="7"/>
      <c r="X127" s="7"/>
      <c r="Y127" s="7"/>
    </row>
    <row r="128">
      <c r="A128" s="9" t="s">
        <v>143</v>
      </c>
      <c r="B128" s="9">
        <v>550.0</v>
      </c>
      <c r="C128" s="10">
        <f>B128/10</f>
        <v>55</v>
      </c>
      <c r="D128" s="8"/>
      <c r="E128" s="11"/>
      <c r="F128" s="12">
        <v>10219.0</v>
      </c>
      <c r="G128" s="11"/>
      <c r="H128" s="7" t="str">
        <f>CONCATENATE(VLOOKUP($F128,export_items!$B:$V,2,0)," @",VLOOKUP($F128,export_items!$B:$V,21,0))</f>
        <v>วุ้นเส้น แห้ง ห่อใหญ่ 10กก @550</v>
      </c>
      <c r="I128" s="7" t="str">
        <f>IFNA(CONCATENATE(VLOOKUP($G128,export_items!$B:$V,2,0)," @",VLOOKUP($G128,export_items!$B:$V,21,0)),"")</f>
        <v/>
      </c>
      <c r="R128" s="7"/>
      <c r="S128" s="7"/>
      <c r="T128" s="7"/>
      <c r="U128" s="7"/>
      <c r="V128" s="7"/>
      <c r="W128" s="7"/>
      <c r="X128" s="7"/>
      <c r="Y128" s="7"/>
    </row>
    <row r="129">
      <c r="A129" s="9" t="s">
        <v>145</v>
      </c>
      <c r="B129" s="9">
        <v>120.0</v>
      </c>
      <c r="C129" s="10"/>
      <c r="D129" s="8"/>
      <c r="E129" s="11"/>
      <c r="F129" s="12">
        <v>10259.0</v>
      </c>
      <c r="G129" s="7"/>
      <c r="H129" s="7" t="str">
        <f>CONCATENATE(VLOOKUP($F129,export_items!$B:$V,2,0)," @",VLOOKUP($F129,export_items!$B:$V,21,0))</f>
        <v>วากาเมะ A 100 กรัม (ยาว) @120</v>
      </c>
      <c r="I129" s="7" t="str">
        <f>IFNA(CONCATENATE(VLOOKUP($G129,export_items!$B:$V,2,0)," @",VLOOKUP($G129,export_items!$B:$V,21,0)),"")</f>
        <v/>
      </c>
      <c r="R129" s="7"/>
      <c r="S129" s="7"/>
      <c r="T129" s="7"/>
      <c r="U129" s="7"/>
      <c r="V129" s="7"/>
      <c r="W129" s="7"/>
      <c r="X129" s="7"/>
      <c r="Y129" s="7"/>
    </row>
    <row r="130">
      <c r="A130" s="9" t="s">
        <v>147</v>
      </c>
      <c r="B130" s="9">
        <v>90.0</v>
      </c>
      <c r="C130" s="10"/>
      <c r="D130" s="8"/>
      <c r="E130" s="11"/>
      <c r="F130" s="12">
        <v>11380.0</v>
      </c>
      <c r="G130" s="7"/>
      <c r="H130" s="7" t="str">
        <f>CONCATENATE(VLOOKUP($F130,export_items!$B:$V,2,0)," @",VLOOKUP($F130,export_items!$B:$V,21,0))</f>
        <v>วากาเมะ 100 กรัม (สั้น) @90</v>
      </c>
      <c r="I130" s="7" t="str">
        <f>IFNA(CONCATENATE(VLOOKUP($G130,export_items!$B:$V,2,0)," @",VLOOKUP($G130,export_items!$B:$V,21,0)),"")</f>
        <v/>
      </c>
      <c r="R130" s="7"/>
      <c r="S130" s="7"/>
      <c r="T130" s="7"/>
      <c r="U130" s="7"/>
      <c r="V130" s="7"/>
      <c r="W130" s="7"/>
      <c r="X130" s="7"/>
      <c r="Y130" s="7"/>
    </row>
    <row r="131">
      <c r="A131" s="9" t="s">
        <v>149</v>
      </c>
      <c r="B131" s="9">
        <v>400.0</v>
      </c>
      <c r="C131" s="10">
        <f>B131/5</f>
        <v>80</v>
      </c>
      <c r="D131" s="8"/>
      <c r="E131" s="11"/>
      <c r="F131" s="12">
        <v>10393.0</v>
      </c>
      <c r="G131" s="7"/>
      <c r="H131" s="7" t="str">
        <f>CONCATENATE(VLOOKUP($F131,export_items!$B:$V,2,0)," @",VLOOKUP($F131,export_items!$B:$V,21,0))</f>
        <v>เห็ดออรินจิ 5 กก. (ลัง) @400</v>
      </c>
      <c r="I131" s="7" t="str">
        <f>IFNA(CONCATENATE(VLOOKUP($G131,export_items!$B:$V,2,0)," @",VLOOKUP($G131,export_items!$B:$V,21,0)),"")</f>
        <v/>
      </c>
      <c r="R131" s="7"/>
      <c r="S131" s="7"/>
      <c r="T131" s="7"/>
      <c r="U131" s="7"/>
      <c r="V131" s="7"/>
      <c r="W131" s="7"/>
      <c r="X131" s="7"/>
      <c r="Y131" s="7"/>
    </row>
    <row r="132">
      <c r="A132" s="9" t="s">
        <v>151</v>
      </c>
      <c r="B132" s="9">
        <v>285.0</v>
      </c>
      <c r="C132" s="10">
        <f>B132/25</f>
        <v>11.4</v>
      </c>
      <c r="D132" s="8"/>
      <c r="E132" s="11"/>
      <c r="F132" s="12">
        <v>10510.0</v>
      </c>
      <c r="G132" s="7"/>
      <c r="H132" s="7" t="str">
        <f>CONCATENATE(VLOOKUP($F132,export_items!$B:$V,2,0)," @",VLOOKUP($F132,export_items!$B:$V,21,0))</f>
        <v>เห็ดเข็มทอง 25*200 กรัม  (ลัง) @285</v>
      </c>
      <c r="I132" s="7" t="str">
        <f>IFNA(CONCATENATE(VLOOKUP($G132,export_items!$B:$V,2,0)," @",VLOOKUP($G132,export_items!$B:$V,21,0)),"")</f>
        <v/>
      </c>
      <c r="R132" s="7"/>
      <c r="S132" s="7"/>
      <c r="T132" s="7"/>
      <c r="U132" s="7"/>
      <c r="V132" s="7"/>
      <c r="W132" s="7"/>
      <c r="X132" s="7"/>
      <c r="Y132" s="7"/>
    </row>
    <row r="133">
      <c r="A133" s="9" t="s">
        <v>153</v>
      </c>
      <c r="B133" s="9">
        <v>490.0</v>
      </c>
      <c r="C133" s="10">
        <f>B133/10</f>
        <v>49</v>
      </c>
      <c r="D133" s="8"/>
      <c r="E133" s="11"/>
      <c r="F133" s="12">
        <v>11261.0</v>
      </c>
      <c r="G133" s="7"/>
      <c r="H133" s="7" t="str">
        <f>CONCATENATE(VLOOKUP($F133,export_items!$B:$V,2,0)," @",VLOOKUP($F133,export_items!$B:$V,21,0))</f>
        <v>เห็ดเข็มทอง 10 กก.  (ลัง) - 49 @490</v>
      </c>
      <c r="I133" s="7" t="str">
        <f>IFNA(CONCATENATE(VLOOKUP($G133,export_items!$B:$V,2,0)," @",VLOOKUP($G133,export_items!$B:$V,21,0)),"")</f>
        <v/>
      </c>
      <c r="R133" s="7"/>
      <c r="S133" s="7"/>
      <c r="T133" s="7"/>
      <c r="U133" s="7"/>
      <c r="V133" s="7"/>
      <c r="W133" s="7"/>
      <c r="X133" s="7"/>
      <c r="Y133" s="7"/>
    </row>
    <row r="134">
      <c r="A134" s="8"/>
      <c r="B134" s="8"/>
      <c r="C134" s="8"/>
      <c r="D134" s="8"/>
      <c r="E134" s="7"/>
      <c r="F134" s="7"/>
      <c r="G134" s="7"/>
      <c r="H134" s="7"/>
      <c r="I134" s="7" t="str">
        <f>IFNA(CONCATENATE(VLOOKUP($G134,export_items!$B:$V,2,0)," @",VLOOKUP($G134,export_items!$B:$V,21,0)),"")</f>
        <v/>
      </c>
      <c r="R134" s="7"/>
      <c r="S134" s="7"/>
      <c r="T134" s="7"/>
      <c r="U134" s="7"/>
      <c r="V134" s="7"/>
      <c r="W134" s="7"/>
      <c r="X134" s="7"/>
      <c r="Y134" s="7"/>
    </row>
    <row r="135">
      <c r="A135" s="1" t="s">
        <v>195</v>
      </c>
      <c r="B135" s="1" t="s">
        <v>1</v>
      </c>
      <c r="C135" s="1" t="s">
        <v>2</v>
      </c>
      <c r="D135" s="8"/>
      <c r="E135" s="72"/>
      <c r="F135" s="73" t="s">
        <v>3</v>
      </c>
      <c r="G135" s="70"/>
      <c r="H135" s="70"/>
      <c r="I135" s="7" t="str">
        <f>IFNA(CONCATENATE(VLOOKUP($G135,export_items!$B:$V,2,0)," @",VLOOKUP($G135,export_items!$B:$V,21,0)),"")</f>
        <v/>
      </c>
      <c r="R135" s="7"/>
      <c r="S135" s="7"/>
      <c r="T135" s="7"/>
      <c r="U135" s="7"/>
      <c r="V135" s="7"/>
      <c r="W135" s="7"/>
      <c r="X135" s="7"/>
      <c r="Y135" s="7"/>
    </row>
    <row r="136">
      <c r="A136" s="9" t="s">
        <v>155</v>
      </c>
      <c r="B136" s="9">
        <v>740.0</v>
      </c>
      <c r="C136" s="10">
        <f t="shared" ref="C136:C138" si="11">B136/10</f>
        <v>74</v>
      </c>
      <c r="D136" s="8"/>
      <c r="E136" s="74"/>
      <c r="F136" s="75">
        <v>10113.0</v>
      </c>
      <c r="G136" s="70"/>
      <c r="H136" s="76" t="str">
        <f>CONCATENATE(VLOOKUP($F136,export_items!$B:$V,2,0)," @",VLOOKUP($F136,export_items!$B:$V,21,0))</f>
        <v>หมูบด ชนัญญา ลัง 10Kg @740</v>
      </c>
      <c r="I136" s="7" t="str">
        <f>IFNA(CONCATENATE(VLOOKUP($G136,export_items!$B:$V,2,0)," @",VLOOKUP($G136,export_items!$B:$V,21,0)),"")</f>
        <v/>
      </c>
      <c r="R136" s="7"/>
      <c r="S136" s="7"/>
      <c r="T136" s="7"/>
      <c r="U136" s="7"/>
      <c r="V136" s="7"/>
      <c r="W136" s="7"/>
      <c r="X136" s="7"/>
      <c r="Y136" s="7"/>
    </row>
    <row r="137">
      <c r="A137" s="9" t="s">
        <v>157</v>
      </c>
      <c r="B137" s="9">
        <v>650.0</v>
      </c>
      <c r="C137" s="10">
        <f t="shared" si="11"/>
        <v>65</v>
      </c>
      <c r="D137" s="8"/>
      <c r="E137" s="74"/>
      <c r="F137" s="75">
        <v>10414.0</v>
      </c>
      <c r="G137" s="70"/>
      <c r="H137" s="76" t="str">
        <f>CONCATENATE(VLOOKUP($F137,export_items!$B:$V,2,0)," @",VLOOKUP($F137,export_items!$B:$V,21,0))</f>
        <v>หมูบด อนามัย  1*10 kg (ลัง) @650</v>
      </c>
      <c r="I137" s="7" t="str">
        <f>IFNA(CONCATENATE(VLOOKUP($G137,export_items!$B:$V,2,0)," @",VLOOKUP($G137,export_items!$B:$V,21,0)),"")</f>
        <v/>
      </c>
      <c r="R137" s="7"/>
      <c r="S137" s="7"/>
      <c r="T137" s="7"/>
      <c r="U137" s="7"/>
      <c r="V137" s="7"/>
      <c r="W137" s="7"/>
      <c r="X137" s="7"/>
      <c r="Y137" s="7"/>
    </row>
    <row r="138">
      <c r="A138" s="9" t="s">
        <v>159</v>
      </c>
      <c r="B138" s="9">
        <v>680.0</v>
      </c>
      <c r="C138" s="10">
        <f t="shared" si="11"/>
        <v>68</v>
      </c>
      <c r="D138" s="8"/>
      <c r="E138" s="74"/>
      <c r="F138" s="75">
        <v>10114.0</v>
      </c>
      <c r="G138" s="70"/>
      <c r="H138" s="76" t="str">
        <f>CONCATENATE(VLOOKUP($F138,export_items!$B:$V,2,0)," @",VLOOKUP($F138,export_items!$B:$V,21,0))</f>
        <v>หมูบด อนามัย 500g1*20แพ็ค (ลัง) @680</v>
      </c>
      <c r="I138" s="7" t="str">
        <f>IFNA(CONCATENATE(VLOOKUP($G138,export_items!$B:$V,2,0)," @",VLOOKUP($G138,export_items!$B:$V,21,0)),"")</f>
        <v/>
      </c>
      <c r="R138" s="7"/>
      <c r="S138" s="7"/>
      <c r="T138" s="7"/>
      <c r="U138" s="7"/>
      <c r="V138" s="7"/>
      <c r="W138" s="7"/>
      <c r="X138" s="7"/>
      <c r="Y138" s="7"/>
    </row>
    <row r="139">
      <c r="A139" s="9" t="s">
        <v>161</v>
      </c>
      <c r="B139" s="9">
        <v>475.0</v>
      </c>
      <c r="C139" s="10">
        <f>B139/5</f>
        <v>95</v>
      </c>
      <c r="D139" s="8"/>
      <c r="E139" s="74"/>
      <c r="F139" s="75">
        <v>10296.0</v>
      </c>
      <c r="G139" s="70"/>
      <c r="H139" s="76" t="str">
        <f>CONCATENATE(VLOOKUP($F139,export_items!$B:$V,2,0)," @",VLOOKUP($F139,export_items!$B:$V,21,0))</f>
        <v>เป็ดบด 5*1 Kg หิ้ว(95) @475</v>
      </c>
      <c r="I139" s="7" t="str">
        <f>IFNA(CONCATENATE(VLOOKUP($G139,export_items!$B:$V,2,0)," @",VLOOKUP($G139,export_items!$B:$V,21,0)),"")</f>
        <v/>
      </c>
      <c r="R139" s="7"/>
      <c r="S139" s="7"/>
      <c r="T139" s="7"/>
      <c r="U139" s="7"/>
      <c r="V139" s="7"/>
      <c r="W139" s="7"/>
      <c r="X139" s="7"/>
      <c r="Y139" s="7"/>
    </row>
    <row r="140">
      <c r="A140" s="9" t="s">
        <v>163</v>
      </c>
      <c r="B140" s="9">
        <v>900.0</v>
      </c>
      <c r="C140" s="10">
        <f>B140/12</f>
        <v>75</v>
      </c>
      <c r="D140" s="8"/>
      <c r="E140" s="74"/>
      <c r="F140" s="75">
        <v>11467.0</v>
      </c>
      <c r="G140" s="70"/>
      <c r="H140" s="76" t="str">
        <f>CONCATENATE(VLOOKUP($F140,export_items!$B:$V,2,0)," @",VLOOKUP($F140,export_items!$B:$V,21,0))</f>
        <v>หนังเป็ด 1*12 (ลัง) @900</v>
      </c>
      <c r="I140" s="7" t="str">
        <f>IFNA(CONCATENATE(VLOOKUP($G140,export_items!$B:$V,2,0)," @",VLOOKUP($G140,export_items!$B:$V,21,0)),"")</f>
        <v/>
      </c>
      <c r="R140" s="7"/>
      <c r="S140" s="7"/>
      <c r="T140" s="7"/>
      <c r="U140" s="7"/>
      <c r="V140" s="7"/>
      <c r="W140" s="7"/>
      <c r="X140" s="7"/>
      <c r="Y140" s="7"/>
    </row>
    <row r="141">
      <c r="A141" s="9" t="s">
        <v>165</v>
      </c>
      <c r="B141" s="77">
        <v>170.0</v>
      </c>
      <c r="C141" s="16">
        <v>170.0</v>
      </c>
      <c r="D141" s="8"/>
      <c r="E141" s="74"/>
      <c r="F141" s="75">
        <v>11191.0</v>
      </c>
      <c r="G141" s="70"/>
      <c r="H141" s="76" t="str">
        <f>CONCATENATE(VLOOKUP($F141,export_items!$B:$V,2,0)," @",VLOOKUP($F141,export_items!$B:$V,21,0))</f>
        <v>หมูป่า แพ็ค 1 กก @170</v>
      </c>
      <c r="I141" s="7" t="str">
        <f>IFNA(CONCATENATE(VLOOKUP($G141,export_items!$B:$V,2,0)," @",VLOOKUP($G141,export_items!$B:$V,21,0)),"")</f>
        <v/>
      </c>
      <c r="R141" s="7"/>
      <c r="S141" s="7"/>
      <c r="T141" s="7"/>
      <c r="U141" s="7"/>
      <c r="V141" s="7"/>
      <c r="W141" s="7"/>
      <c r="X141" s="7"/>
      <c r="Y141" s="7"/>
    </row>
    <row r="142">
      <c r="A142" s="9" t="s">
        <v>167</v>
      </c>
      <c r="B142" s="9">
        <v>375.0</v>
      </c>
      <c r="C142" s="16">
        <v>75.0</v>
      </c>
      <c r="D142" s="8"/>
      <c r="E142" s="74"/>
      <c r="F142" s="75">
        <v>10422.0</v>
      </c>
      <c r="G142" s="70"/>
      <c r="H142" s="76" t="str">
        <f>CONCATENATE(VLOOKUP($F142,export_items!$B:$V,2,0)," @",VLOOKUP($F142,export_items!$B:$V,21,0))</f>
        <v>หน้ากากหมู 5 Kg (75) @375</v>
      </c>
      <c r="I142" s="7" t="str">
        <f>IFNA(CONCATENATE(VLOOKUP($G142,export_items!$B:$V,2,0)," @",VLOOKUP($G142,export_items!$B:$V,21,0)),"")</f>
        <v/>
      </c>
      <c r="R142" s="7"/>
      <c r="S142" s="7"/>
      <c r="T142" s="7"/>
      <c r="U142" s="7"/>
      <c r="V142" s="7"/>
      <c r="W142" s="7"/>
      <c r="X142" s="7"/>
      <c r="Y142" s="7"/>
    </row>
    <row r="143">
      <c r="A143" s="56" t="s">
        <v>169</v>
      </c>
      <c r="B143" s="9">
        <v>730.0</v>
      </c>
      <c r="C143" s="10">
        <f>B143/20</f>
        <v>36.5</v>
      </c>
      <c r="D143" s="8"/>
      <c r="E143" s="74"/>
      <c r="F143" s="75">
        <v>11073.0</v>
      </c>
      <c r="G143" s="70"/>
      <c r="H143" s="76" t="str">
        <f>CONCATENATE(VLOOKUP($F143,export_items!$B:$V,2,0)," @",VLOOKUP($F143,export_items!$B:$V,21,0))</f>
        <v>ยออุบล-ก้าวหน้า  20 แท่ง (หิ้ว) @730</v>
      </c>
      <c r="I143" s="7" t="str">
        <f>IFNA(CONCATENATE(VLOOKUP($G143,export_items!$B:$V,2,0)," @",VLOOKUP($G143,export_items!$B:$V,21,0)),"")</f>
        <v/>
      </c>
      <c r="R143" s="7"/>
      <c r="S143" s="7"/>
      <c r="T143" s="7"/>
      <c r="U143" s="7"/>
      <c r="V143" s="7"/>
      <c r="W143" s="7"/>
      <c r="X143" s="7"/>
      <c r="Y143" s="7"/>
    </row>
    <row r="144">
      <c r="A144" s="9" t="s">
        <v>171</v>
      </c>
      <c r="B144" s="57"/>
      <c r="C144" s="9">
        <v>179.0</v>
      </c>
      <c r="D144" s="8"/>
      <c r="E144" s="74"/>
      <c r="F144" s="75">
        <v>11026.0</v>
      </c>
      <c r="G144" s="70"/>
      <c r="H144" s="76" t="str">
        <f>CONCATENATE(VLOOKUP($F144,export_items!$B:$V,2,0)," @",VLOOKUP($F144,export_items!$B:$V,21,0))</f>
        <v>สามชั้นแผ่น (เบทาโกร) -179 @179</v>
      </c>
      <c r="I144" s="7" t="str">
        <f>IFNA(CONCATENATE(VLOOKUP($G144,export_items!$B:$V,2,0)," @",VLOOKUP($G144,export_items!$B:$V,21,0)),"")</f>
        <v/>
      </c>
      <c r="R144" s="7"/>
      <c r="S144" s="7"/>
      <c r="T144" s="7"/>
      <c r="U144" s="7"/>
      <c r="V144" s="7"/>
      <c r="W144" s="7"/>
      <c r="X144" s="7"/>
      <c r="Y144" s="7"/>
    </row>
    <row r="145">
      <c r="A145" s="9" t="s">
        <v>173</v>
      </c>
      <c r="B145" s="9">
        <v>750.0</v>
      </c>
      <c r="C145" s="10">
        <f>B145/10</f>
        <v>75</v>
      </c>
      <c r="D145" s="8"/>
      <c r="E145" s="7"/>
      <c r="F145" s="41">
        <v>10049.0</v>
      </c>
      <c r="G145" s="7"/>
      <c r="H145" s="76" t="str">
        <f>CONCATENATE(VLOOKUP($F145,export_items!$B:$V,2,0)," @",VLOOKUP($F145,export_items!$B:$V,21,0))</f>
        <v>ดักแด้  ลัง 10Kg (75) @750</v>
      </c>
      <c r="I145" s="7" t="str">
        <f>IFNA(CONCATENATE(VLOOKUP($G145,export_items!$B:$V,2,0)," @",VLOOKUP($G145,export_items!$B:$V,21,0)),"")</f>
        <v/>
      </c>
      <c r="J145" s="7"/>
      <c r="K145" s="7"/>
      <c r="L145" s="7"/>
      <c r="M145" s="7"/>
      <c r="N145" s="7"/>
      <c r="O145" s="7"/>
      <c r="R145" s="7"/>
      <c r="S145" s="7"/>
      <c r="T145" s="7"/>
      <c r="U145" s="7"/>
      <c r="V145" s="7"/>
      <c r="W145" s="7"/>
      <c r="X145" s="7"/>
      <c r="Y145" s="7"/>
    </row>
    <row r="146">
      <c r="A146" s="1" t="s">
        <v>196</v>
      </c>
      <c r="B146" s="1" t="s">
        <v>1</v>
      </c>
      <c r="C146" s="1" t="s">
        <v>2</v>
      </c>
      <c r="D146" s="1" t="s">
        <v>5</v>
      </c>
      <c r="E146" s="11"/>
      <c r="F146" s="12" t="s">
        <v>3</v>
      </c>
      <c r="G146" s="66"/>
      <c r="H146" s="7"/>
      <c r="I146" s="7" t="str">
        <f>IFNA(CONCATENATE(VLOOKUP($G146,export_items!$B:$V,2,0)," @",VLOOKUP($G146,export_items!$B:$V,21,0)),"")</f>
        <v/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9" t="s">
        <v>100</v>
      </c>
      <c r="B147" s="9">
        <v>460.0</v>
      </c>
      <c r="C147" s="10">
        <f t="shared" ref="C147:C149" si="12">B147/10</f>
        <v>46</v>
      </c>
      <c r="D147" s="23"/>
      <c r="E147" s="11"/>
      <c r="F147" s="12">
        <v>11051.0</v>
      </c>
      <c r="G147" s="66"/>
      <c r="H147" s="7" t="str">
        <f>CONCATENATE(VLOOKUP($F147,export_items!$B:$V,2,0)," @",VLOOKUP($F147,export_items!$B:$V,21,0))</f>
        <v>เต้าหู้หมู ถุงม่วง 500 กรัม (หิ้ว) @460</v>
      </c>
      <c r="I147" s="7" t="str">
        <f>IFNA(CONCATENATE(VLOOKUP($G147,export_items!$B:$V,2,0)," @",VLOOKUP($G147,export_items!$B:$V,21,0)),"")</f>
        <v/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9" t="s">
        <v>102</v>
      </c>
      <c r="B148" s="9">
        <v>365.0</v>
      </c>
      <c r="C148" s="10">
        <f t="shared" si="12"/>
        <v>36.5</v>
      </c>
      <c r="D148" s="23"/>
      <c r="E148" s="11"/>
      <c r="F148" s="12">
        <v>10754.0</v>
      </c>
      <c r="G148" s="66"/>
      <c r="H148" s="7" t="str">
        <f>CONCATENATE(VLOOKUP($F148,export_items!$B:$V,2,0)," @",VLOOKUP($F148,export_items!$B:$V,21,0))</f>
        <v>เต้าหู้ปลา แพนด้าฟ้า 500 กรัม (หิ้ว) @365</v>
      </c>
      <c r="I148" s="7" t="str">
        <f>IFNA(CONCATENATE(VLOOKUP($G148,export_items!$B:$V,2,0)," @",VLOOKUP($G148,export_items!$B:$V,21,0)),"")</f>
        <v/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9" t="s">
        <v>104</v>
      </c>
      <c r="B149" s="9">
        <v>75.0</v>
      </c>
      <c r="C149" s="10">
        <f t="shared" si="12"/>
        <v>7.5</v>
      </c>
      <c r="D149" s="23"/>
      <c r="E149" s="11"/>
      <c r="F149" s="12">
        <v>10787.0</v>
      </c>
      <c r="G149" s="66"/>
      <c r="H149" s="7" t="str">
        <f>CONCATENATE(VLOOKUP($F149,export_items!$B:$V,2,0)," @",VLOOKUP($F149,export_items!$B:$V,21,0))</f>
        <v>เต้าหู้ไข่ 10 หลอด(แพ็ค) - 75 @75</v>
      </c>
      <c r="I149" s="7" t="str">
        <f>IFNA(CONCATENATE(VLOOKUP($G149,export_items!$B:$V,2,0)," @",VLOOKUP($G149,export_items!$B:$V,21,0)),"")</f>
        <v/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9" t="s">
        <v>106</v>
      </c>
      <c r="B150" s="9">
        <v>90.0</v>
      </c>
      <c r="C150" s="16">
        <v>90.0</v>
      </c>
      <c r="D150" s="15"/>
      <c r="E150" s="11"/>
      <c r="F150" s="66">
        <v>10863.0</v>
      </c>
      <c r="H150" s="7" t="str">
        <f>CONCATENATE(VLOOKUP($F150,export_items!$B:$V,2,0)," @",VLOOKUP($F150,export_items!$B:$V,21,0))</f>
        <v>แฮมหมูเหลี่ยม 1กก @90</v>
      </c>
      <c r="I150" s="7" t="str">
        <f>IFNA(CONCATENATE(VLOOKUP($G150,export_items!$B:$V,2,0)," @",VLOOKUP($G150,export_items!$B:$V,21,0)),"")</f>
        <v/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9" t="s">
        <v>108</v>
      </c>
      <c r="B151" s="9">
        <v>590.0</v>
      </c>
      <c r="C151" s="10">
        <f>B151/10</f>
        <v>59</v>
      </c>
      <c r="D151" s="15">
        <v>65.0</v>
      </c>
      <c r="E151" s="11"/>
      <c r="F151" s="12">
        <v>11317.0</v>
      </c>
      <c r="G151" s="41">
        <v>11316.0</v>
      </c>
      <c r="H151" s="7" t="str">
        <f>CONCATENATE(VLOOKUP($F151,export_items!$B:$V,2,0)," @",VLOOKUP($F151,export_items!$B:$V,21,0))</f>
        <v>กุ้งพันสาหร่าย แครปโตะ 500 กรัม (ลัง) @590</v>
      </c>
      <c r="I151" s="7" t="str">
        <f>IFNA(CONCATENATE(VLOOKUP($G151,export_items!$B:$V,2,0)," @",VLOOKUP($G151,export_items!$B:$V,21,0)),"")</f>
        <v>กุ้งพันสาหร่าย แครปโตะ500g /แพ็ค @65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9" t="s">
        <v>110</v>
      </c>
      <c r="B152" s="30">
        <v>2400.0</v>
      </c>
      <c r="C152" s="10">
        <f t="shared" ref="C152:C169" si="13">B152/20</f>
        <v>120</v>
      </c>
      <c r="D152" s="15">
        <v>140.0</v>
      </c>
      <c r="E152" s="11"/>
      <c r="F152" s="12">
        <v>10096.0</v>
      </c>
      <c r="G152" s="66">
        <v>10095.0</v>
      </c>
      <c r="H152" s="7" t="str">
        <f>CONCATENATE(VLOOKUP($F152,export_items!$B:$V,2,0)," @",VLOOKUP($F152,export_items!$B:$V,21,0))</f>
        <v>ชีสยืด ถุงม่วง 400 กรัม (ลัง) @2400</v>
      </c>
      <c r="I152" s="7" t="str">
        <f>IFNA(CONCATENATE(VLOOKUP($G152,export_items!$B:$V,2,0)," @",VLOOKUP($G152,export_items!$B:$V,21,0)),"")</f>
        <v>ชีสยืด ถุงม่วง 400 กรัม 1แพ็ค @140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9" t="s">
        <v>112</v>
      </c>
      <c r="B153" s="30">
        <v>1240.0</v>
      </c>
      <c r="C153" s="10">
        <f t="shared" si="13"/>
        <v>62</v>
      </c>
      <c r="D153" s="46">
        <v>70.0</v>
      </c>
      <c r="E153" s="11"/>
      <c r="F153" s="12">
        <v>10094.0</v>
      </c>
      <c r="G153" s="66">
        <v>10093.0</v>
      </c>
      <c r="H153" s="7" t="str">
        <f>CONCATENATE(VLOOKUP($F153,export_items!$B:$V,2,0)," @",VLOOKUP($F153,export_items!$B:$V,21,0))</f>
        <v>ชีสยืด ถุงม่วง 200 กรัม (ลัง) @1240</v>
      </c>
      <c r="I153" s="7" t="str">
        <f>IFNA(CONCATENATE(VLOOKUP($G153,export_items!$B:$V,2,0)," @",VLOOKUP($G153,export_items!$B:$V,21,0)),"")</f>
        <v>ชีสยืด ถุงม่วง 200 กรัม 1แพ็ค @70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9" t="s">
        <v>114</v>
      </c>
      <c r="B154" s="9">
        <v>880.0</v>
      </c>
      <c r="C154" s="10">
        <f t="shared" si="13"/>
        <v>44</v>
      </c>
      <c r="D154" s="15">
        <v>53.0</v>
      </c>
      <c r="E154" s="11"/>
      <c r="F154" s="12">
        <v>10002.0</v>
      </c>
      <c r="G154" s="66">
        <v>10001.0</v>
      </c>
      <c r="H154" s="7" t="str">
        <f>CONCATENATE(VLOOKUP($F154,export_items!$B:$V,2,0)," @",VLOOKUP($F154,export_items!$B:$V,21,0))</f>
        <v>ปูอัด A 500 กรัม (ลัง) @880</v>
      </c>
      <c r="I154" s="7" t="str">
        <f>IFNA(CONCATENATE(VLOOKUP($G154,export_items!$B:$V,2,0)," @",VLOOKUP($G154,export_items!$B:$V,21,0)),"")</f>
        <v>ปูอัด A ถุง 500g @53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9" t="s">
        <v>116</v>
      </c>
      <c r="B155" s="30">
        <v>1050.0</v>
      </c>
      <c r="C155" s="10">
        <f t="shared" si="13"/>
        <v>52.5</v>
      </c>
      <c r="D155" s="15">
        <v>63.0</v>
      </c>
      <c r="E155" s="11"/>
      <c r="F155" s="12">
        <v>10399.0</v>
      </c>
      <c r="G155" s="66">
        <v>10400.0</v>
      </c>
      <c r="H155" s="7" t="str">
        <f>CONCATENATE(VLOOKUP($F155,export_items!$B:$V,2,0)," @",VLOOKUP($F155,export_items!$B:$V,21,0))</f>
        <v>ลูกชิ้นแฟนซี 500 กรัม (ลัง) @1050</v>
      </c>
      <c r="I155" s="7" t="str">
        <f>IFNA(CONCATENATE(VLOOKUP($G155,export_items!$B:$V,2,0)," @",VLOOKUP($G155,export_items!$B:$V,21,0)),"")</f>
        <v>ลูกชิ้นแฟนซี 500g (แพ็ค) @63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9" t="s">
        <v>118</v>
      </c>
      <c r="B156" s="9">
        <v>900.0</v>
      </c>
      <c r="C156" s="10">
        <f t="shared" si="13"/>
        <v>45</v>
      </c>
      <c r="D156" s="15">
        <v>50.0</v>
      </c>
      <c r="E156" s="11"/>
      <c r="F156" s="12">
        <v>11435.0</v>
      </c>
      <c r="G156" s="66">
        <v>11375.0</v>
      </c>
      <c r="H156" s="7" t="str">
        <f>CONCATENATE(VLOOKUP($F156,export_items!$B:$V,2,0)," @",VLOOKUP($F156,export_items!$B:$V,21,0))</f>
        <v>ปูอัด สมชาย 450 กรัม (ลัง) @900</v>
      </c>
      <c r="I156" s="7" t="str">
        <f>IFNA(CONCATENATE(VLOOKUP($G156,export_items!$B:$V,2,0)," @",VLOOKUP($G156,export_items!$B:$V,21,0)),"")</f>
        <v>ปูอัด สมชาย 450g @50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9" t="s">
        <v>120</v>
      </c>
      <c r="B157" s="30">
        <v>1400.0</v>
      </c>
      <c r="C157" s="10">
        <f t="shared" si="13"/>
        <v>70</v>
      </c>
      <c r="D157" s="15">
        <v>75.0</v>
      </c>
      <c r="E157" s="11"/>
      <c r="F157" s="12">
        <v>10231.0</v>
      </c>
      <c r="G157" s="66">
        <v>10127.0</v>
      </c>
      <c r="H157" s="7" t="str">
        <f>CONCATENATE(VLOOKUP($F157,export_items!$B:$V,2,0)," @",VLOOKUP($F157,export_items!$B:$V,21,0))</f>
        <v>ปูอัด เบนโตะ 500 กรัม (ลัง) @1400</v>
      </c>
      <c r="I157" s="7" t="str">
        <f>IFNA(CONCATENATE(VLOOKUP($G157,export_items!$B:$V,2,0)," @",VLOOKUP($G157,export_items!$B:$V,21,0)),"")</f>
        <v>ปูอัด เบนโตะ 500g @75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9" t="s">
        <v>122</v>
      </c>
      <c r="B158" s="30">
        <v>1000.0</v>
      </c>
      <c r="C158" s="10">
        <f t="shared" si="13"/>
        <v>50</v>
      </c>
      <c r="D158" s="15">
        <v>53.0</v>
      </c>
      <c r="E158" s="11"/>
      <c r="F158" s="12">
        <v>10845.0</v>
      </c>
      <c r="G158" s="66">
        <v>10844.0</v>
      </c>
      <c r="H158" s="7" t="str">
        <f>CONCATENATE(VLOOKUP($F158,export_items!$B:$V,2,0)," @",VLOOKUP($F158,export_items!$B:$V,21,0))</f>
        <v>คานิจัง 500 กรัม (ลัง) @1000</v>
      </c>
      <c r="I158" s="7" t="str">
        <f>IFNA(CONCATENATE(VLOOKUP($G158,export_items!$B:$V,2,0)," @",VLOOKUP($G158,export_items!$B:$V,21,0)),"")</f>
        <v>คานิจัง 500g @53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9" t="s">
        <v>124</v>
      </c>
      <c r="B159" s="30">
        <v>1250.0</v>
      </c>
      <c r="C159" s="10">
        <f t="shared" si="13"/>
        <v>62.5</v>
      </c>
      <c r="D159" s="15">
        <v>65.0</v>
      </c>
      <c r="E159" s="11"/>
      <c r="F159" s="12">
        <v>10360.0</v>
      </c>
      <c r="G159" s="66">
        <v>10359.0</v>
      </c>
      <c r="H159" s="7" t="str">
        <f>CONCATENATE(VLOOKUP($F159,export_items!$B:$V,2,0)," @",VLOOKUP($F159,export_items!$B:$V,21,0))</f>
        <v>ปูอัดเมก้าแครบ 12 ชิ้น 500 กรัม (ลัง) @1250</v>
      </c>
      <c r="I159" s="7" t="str">
        <f>IFNA(CONCATENATE(VLOOKUP($G159,export_items!$B:$V,2,0)," @",VLOOKUP($G159,export_items!$B:$V,21,0)),"")</f>
        <v>ปูอัดเมก้าเครบ12ชิ้น 500g @65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9" t="s">
        <v>125</v>
      </c>
      <c r="B160" s="30">
        <v>1270.0</v>
      </c>
      <c r="C160" s="10">
        <f t="shared" si="13"/>
        <v>63.5</v>
      </c>
      <c r="D160" s="15">
        <v>65.0</v>
      </c>
      <c r="E160" s="11"/>
      <c r="F160" s="12">
        <v>11422.0</v>
      </c>
      <c r="G160" s="66">
        <v>11220.0</v>
      </c>
      <c r="H160" s="7" t="str">
        <f>CONCATENATE(VLOOKUP($F160,export_items!$B:$V,2,0)," @",VLOOKUP($F160,export_items!$B:$V,21,0))</f>
        <v>ปูอัดทูโทนไส้ชีส 500 กรัม (ลัง) @1270</v>
      </c>
      <c r="I160" s="7" t="str">
        <f>IFNA(CONCATENATE(VLOOKUP($G160,export_items!$B:$V,2,0)," @",VLOOKUP($G160,export_items!$B:$V,21,0)),"")</f>
        <v>ปูอัดทูโทนไส้ซีส 500g @65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9" t="s">
        <v>127</v>
      </c>
      <c r="B161" s="30">
        <v>1280.0</v>
      </c>
      <c r="C161" s="10">
        <f t="shared" si="13"/>
        <v>64</v>
      </c>
      <c r="D161" s="15">
        <v>70.0</v>
      </c>
      <c r="E161" s="11"/>
      <c r="F161" s="12">
        <v>10288.0</v>
      </c>
      <c r="G161" s="66">
        <v>10133.0</v>
      </c>
      <c r="H161" s="7" t="str">
        <f>CONCATENATE(VLOOKUP($F161,export_items!$B:$V,2,0)," @",VLOOKUP($F161,export_items!$B:$V,21,0))</f>
        <v>ซูซูฟิชเคก 500 กรัม (ลัง) @1280</v>
      </c>
      <c r="I161" s="7" t="str">
        <f>IFNA(CONCATENATE(VLOOKUP($G161,export_items!$B:$V,2,0)," @",VLOOKUP($G161,export_items!$B:$V,21,0)),"")</f>
        <v>ซูซูฟิชเคก ถุง 500 g ถุง @70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9" t="s">
        <v>129</v>
      </c>
      <c r="B162" s="30">
        <v>1480.0</v>
      </c>
      <c r="C162" s="10">
        <f t="shared" si="13"/>
        <v>74</v>
      </c>
      <c r="D162" s="15">
        <v>80.0</v>
      </c>
      <c r="E162" s="11"/>
      <c r="F162" s="12">
        <v>10289.0</v>
      </c>
      <c r="G162" s="66">
        <v>10143.0</v>
      </c>
      <c r="H162" s="7" t="str">
        <f>CONCATENATE(VLOOKUP($F162,export_items!$B:$V,2,0)," @",VLOOKUP($F162,export_items!$B:$V,21,0))</f>
        <v>ซาลาเปาครีมชีส 500 กรัม (ลัง) @1480</v>
      </c>
      <c r="I162" s="7" t="str">
        <f>IFNA(CONCATENATE(VLOOKUP($G162,export_items!$B:$V,2,0)," @",VLOOKUP($G162,export_items!$B:$V,21,0)),"")</f>
        <v>ซาลาเปาครีมชีส  แพ็ค 500g @80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9" t="s">
        <v>130</v>
      </c>
      <c r="B163" s="30">
        <v>1550.0</v>
      </c>
      <c r="C163" s="10">
        <f t="shared" si="13"/>
        <v>77.5</v>
      </c>
      <c r="D163" s="15">
        <v>89.0</v>
      </c>
      <c r="E163" s="11"/>
      <c r="F163" s="12">
        <v>10899.0</v>
      </c>
      <c r="G163" s="66">
        <v>10673.0</v>
      </c>
      <c r="H163" s="7" t="str">
        <f>CONCATENATE(VLOOKUP($F163,export_items!$B:$V,2,0)," @",VLOOKUP($F163,export_items!$B:$V,21,0))</f>
        <v>คอมโบฟิชบัน 500 กรัม (ลัง) @1550</v>
      </c>
      <c r="I163" s="7" t="str">
        <f>IFNA(CONCATENATE(VLOOKUP($G163,export_items!$B:$V,2,0)," @",VLOOKUP($G163,export_items!$B:$V,21,0)),"")</f>
        <v>คอมโบฟิชบัน แพ็ค 500 g @89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9" t="s">
        <v>132</v>
      </c>
      <c r="B164" s="30">
        <v>1580.0</v>
      </c>
      <c r="C164" s="10">
        <f t="shared" si="13"/>
        <v>79</v>
      </c>
      <c r="D164" s="15">
        <v>85.0</v>
      </c>
      <c r="E164" s="11"/>
      <c r="F164" s="12">
        <v>11262.0</v>
      </c>
      <c r="G164" s="66">
        <v>10674.0</v>
      </c>
      <c r="H164" s="7" t="str">
        <f>CONCATENATE(VLOOKUP($F164,export_items!$B:$V,2,0)," @",VLOOKUP($F164,export_items!$B:$V,21,0))</f>
        <v>เปาทูโทนไข่กุ้ง 500 กรัม (ลัง) @1580</v>
      </c>
      <c r="I164" s="7" t="str">
        <f>IFNA(CONCATENATE(VLOOKUP($G164,export_items!$B:$V,2,0)," @",VLOOKUP($G164,export_items!$B:$V,21,0)),"")</f>
        <v>เปาทูโทนไข่กุ้ง 500g @85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9" t="s">
        <v>134</v>
      </c>
      <c r="B165" s="30">
        <v>1420.0</v>
      </c>
      <c r="C165" s="10">
        <f t="shared" si="13"/>
        <v>71</v>
      </c>
      <c r="D165" s="15">
        <v>77.0</v>
      </c>
      <c r="E165" s="11"/>
      <c r="F165" s="12">
        <v>11505.0</v>
      </c>
      <c r="G165" s="66">
        <v>11096.0</v>
      </c>
      <c r="H165" s="7" t="str">
        <f>CONCATENATE(VLOOKUP($F165,export_items!$B:$V,2,0)," @",VLOOKUP($F165,export_items!$B:$V,21,0))</f>
        <v>แองกรี้เบิร์ด 500 กรัม (ลัง) @1420</v>
      </c>
      <c r="I165" s="7" t="str">
        <f>IFNA(CONCATENATE(VLOOKUP($G165,export_items!$B:$V,2,0)," @",VLOOKUP($G165,export_items!$B:$V,21,0)),"")</f>
        <v>ลูกชิ้นแองกรี้เบิร์ด 500g @77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9" t="s">
        <v>136</v>
      </c>
      <c r="B166" s="30">
        <v>1120.0</v>
      </c>
      <c r="C166" s="10">
        <f t="shared" si="13"/>
        <v>56</v>
      </c>
      <c r="D166" s="15">
        <v>60.0</v>
      </c>
      <c r="E166" s="11"/>
      <c r="F166" s="12">
        <v>10228.0</v>
      </c>
      <c r="G166" s="66">
        <v>10137.0</v>
      </c>
      <c r="H166" s="7" t="str">
        <f>CONCATENATE(VLOOKUP($F166,export_items!$B:$V,2,0)," @",VLOOKUP($F166,export_items!$B:$V,21,0))</f>
        <v>กุ้งแม็กนั่ม 500 กรัม (ลัง) @1120</v>
      </c>
      <c r="I166" s="7" t="str">
        <f>IFNA(CONCATENATE(VLOOKUP($G166,export_items!$B:$V,2,0)," @",VLOOKUP($G166,export_items!$B:$V,21,0)),"")</f>
        <v>กุ้งแม็กนั่ม 500 g ถุง @60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9" t="s">
        <v>138</v>
      </c>
      <c r="B167" s="30">
        <v>1120.0</v>
      </c>
      <c r="C167" s="10">
        <f t="shared" si="13"/>
        <v>56</v>
      </c>
      <c r="D167" s="15">
        <v>60.0</v>
      </c>
      <c r="E167" s="11"/>
      <c r="F167" s="12">
        <v>10230.0</v>
      </c>
      <c r="G167" s="66">
        <v>10141.0</v>
      </c>
      <c r="H167" s="7" t="str">
        <f>CONCATENATE(VLOOKUP($F167,export_items!$B:$V,2,0)," @",VLOOKUP($F167,export_items!$B:$V,21,0))</f>
        <v>ก้ามมหาชัย 500 กรัม (ลัง) @1120</v>
      </c>
      <c r="I167" s="7" t="str">
        <f>IFNA(CONCATENATE(VLOOKUP($G167,export_items!$B:$V,2,0)," @",VLOOKUP($G167,export_items!$B:$V,21,0)),"")</f>
        <v>ก้ามมหาชัย 500 g ถุง @60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9" t="s">
        <v>140</v>
      </c>
      <c r="B168" s="30">
        <v>1430.0</v>
      </c>
      <c r="C168" s="10">
        <f t="shared" si="13"/>
        <v>71.5</v>
      </c>
      <c r="D168" s="15">
        <v>75.0</v>
      </c>
      <c r="E168" s="11"/>
      <c r="F168" s="12">
        <v>10329.0</v>
      </c>
      <c r="G168" s="66">
        <v>11522.0</v>
      </c>
      <c r="H168" s="7" t="str">
        <f>CONCATENATE(VLOOKUP($F168,export_items!$B:$V,2,0)," @",VLOOKUP($F168,export_items!$B:$V,21,0))</f>
        <v>ฟองเต้าหู้ซีฟู้ด pfp 500 กรัม (ลัง) @1430</v>
      </c>
      <c r="I168" s="7" t="str">
        <f>IFNA(CONCATENATE(VLOOKUP($G168,export_items!$B:$V,2,0)," @",VLOOKUP($G168,export_items!$B:$V,21,0)),"")</f>
        <v>ฟองเต้าหู้ซีฟู้ด pfp 500 g @75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9" t="s">
        <v>142</v>
      </c>
      <c r="B169" s="30">
        <v>1470.0</v>
      </c>
      <c r="C169" s="10">
        <f t="shared" si="13"/>
        <v>73.5</v>
      </c>
      <c r="D169" s="15">
        <v>82.0</v>
      </c>
      <c r="E169" s="11"/>
      <c r="F169" s="12">
        <v>11539.0</v>
      </c>
      <c r="G169" s="66">
        <v>11534.0</v>
      </c>
      <c r="H169" s="7" t="str">
        <f>CONCATENATE(VLOOKUP($F169,export_items!$B:$V,2,0)," @",VLOOKUP($F169,export_items!$B:$V,21,0))</f>
        <v>เต้าหู้ชีส pfp 500 กรัม (ลัง) @1470</v>
      </c>
      <c r="I169" s="7" t="str">
        <f>IFNA(CONCATENATE(VLOOKUP($G169,export_items!$B:$V,2,0)," @",VLOOKUP($G169,export_items!$B:$V,21,0)),"")</f>
        <v>เต้าหู้ชีส pfp 500กรัม @82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9" t="s">
        <v>144</v>
      </c>
      <c r="B170" s="9">
        <v>684.0</v>
      </c>
      <c r="C170" s="10">
        <f>B170/12</f>
        <v>57</v>
      </c>
      <c r="D170" s="15">
        <v>64.0</v>
      </c>
      <c r="E170" s="11"/>
      <c r="F170" s="12">
        <v>10376.0</v>
      </c>
      <c r="G170" s="66">
        <v>10206.0</v>
      </c>
      <c r="H170" s="7" t="str">
        <f>CONCATENATE(VLOOKUP($F170,export_items!$B:$V,2,0)," @",VLOOKUP($F170,export_items!$B:$V,21,0))</f>
        <v>เส้นแก้วคาวา 12 กก. (ลัง) - 57 @684</v>
      </c>
      <c r="I170" s="7" t="str">
        <f>IFNA(CONCATENATE(VLOOKUP($G170,export_items!$B:$V,2,0)," @",VLOOKUP($G170,export_items!$B:$V,21,0)),"")</f>
        <v>เส้นแก้วคาวา 1กก(64) @64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9" t="s">
        <v>146</v>
      </c>
      <c r="B171" s="9">
        <v>230.0</v>
      </c>
      <c r="C171" s="10">
        <f t="shared" ref="C171:C174" si="14">B171/10</f>
        <v>23</v>
      </c>
      <c r="D171" s="15">
        <v>25.0</v>
      </c>
      <c r="E171" s="11"/>
      <c r="F171" s="12">
        <v>31474.0</v>
      </c>
      <c r="G171" s="66">
        <v>11474.0</v>
      </c>
      <c r="H171" s="7" t="str">
        <f>CONCATENATE(VLOOKUP($F171,export_items!$B:$V,2,0)," @",VLOOKUP($F171,export_items!$B:$V,21,0))</f>
        <v>เส้นหนึบ 10แพ็ค/หิ้ว @230</v>
      </c>
      <c r="I171" s="7" t="str">
        <f>IFNA(CONCATENATE(VLOOKUP($G171,export_items!$B:$V,2,0)," @",VLOOKUP($G171,export_items!$B:$V,21,0)),"")</f>
        <v>เส้นหนึบ แพ็ค @25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9" t="s">
        <v>148</v>
      </c>
      <c r="B172" s="9">
        <v>530.0</v>
      </c>
      <c r="C172" s="10">
        <f t="shared" si="14"/>
        <v>53</v>
      </c>
      <c r="D172" s="15">
        <v>60.0</v>
      </c>
      <c r="E172" s="11"/>
      <c r="F172" s="12">
        <v>10435.0</v>
      </c>
      <c r="G172" s="66">
        <v>20146.0</v>
      </c>
      <c r="H172" s="7" t="str">
        <f>CONCATENATE(VLOOKUP($F172,export_items!$B:$V,2,0)," @",VLOOKUP($F172,export_items!$B:$V,21,0))</f>
        <v>บุกขาว (ลัง) @530</v>
      </c>
      <c r="I172" s="7" t="str">
        <f>IFNA(CONCATENATE(VLOOKUP($G172,export_items!$B:$V,2,0)," @",VLOOKUP($G172,export_items!$B:$V,21,0)),"")</f>
        <v>บุกขาว 1Kg @60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9" t="s">
        <v>150</v>
      </c>
      <c r="B173" s="9">
        <v>670.0</v>
      </c>
      <c r="C173" s="10">
        <f t="shared" si="14"/>
        <v>67</v>
      </c>
      <c r="D173" s="15">
        <v>74.0</v>
      </c>
      <c r="E173" s="11"/>
      <c r="F173" s="12">
        <v>10417.0</v>
      </c>
      <c r="G173" s="66">
        <v>20147.0</v>
      </c>
      <c r="H173" s="7" t="str">
        <f>CONCATENATE(VLOOKUP($F173,export_items!$B:$V,2,0)," @",VLOOKUP($F173,export_items!$B:$V,21,0))</f>
        <v>บุกไข่  (ลัง) @670</v>
      </c>
      <c r="I173" s="7" t="str">
        <f>IFNA(CONCATENATE(VLOOKUP($G173,export_items!$B:$V,2,0)," @",VLOOKUP($G173,export_items!$B:$V,21,0)),"")</f>
        <v>บุกไข่ 1Kg @74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9" t="s">
        <v>152</v>
      </c>
      <c r="B174" s="9">
        <v>830.0</v>
      </c>
      <c r="C174" s="10">
        <f t="shared" si="14"/>
        <v>83</v>
      </c>
      <c r="D174" s="17">
        <v>85.0</v>
      </c>
      <c r="E174" s="11"/>
      <c r="F174" s="12">
        <v>11553.0</v>
      </c>
      <c r="G174" s="66">
        <v>11513.0</v>
      </c>
      <c r="H174" s="7" t="str">
        <f>CONCATENATE(VLOOKUP($F174,export_items!$B:$V,2,0)," @",VLOOKUP($F174,export_items!$B:$V,21,0))</f>
        <v>บุกม้วน (ลัง) @830</v>
      </c>
      <c r="I174" s="7" t="str">
        <f>IFNA(CONCATENATE(VLOOKUP($G174,export_items!$B:$V,2,0)," @",VLOOKUP($G174,export_items!$B:$V,21,0)),"")</f>
        <v>บุกม้วน 1 Kg @85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9" t="s">
        <v>154</v>
      </c>
      <c r="B175" s="9">
        <v>500.0</v>
      </c>
      <c r="C175" s="10">
        <f>B175/40</f>
        <v>12.5</v>
      </c>
      <c r="D175" s="23"/>
      <c r="E175" s="11"/>
      <c r="F175" s="12">
        <v>10837.0</v>
      </c>
      <c r="G175" s="66"/>
      <c r="H175" s="7" t="str">
        <f>CONCATENATE(VLOOKUP($F175,export_items!$B:$V,2,0)," @",VLOOKUP($F175,export_items!$B:$V,21,0))</f>
        <v>ตะเกียบ 40 แพ็ค  (ลัง) @500</v>
      </c>
      <c r="I175" s="7" t="str">
        <f>IFNA(CONCATENATE(VLOOKUP($G175,export_items!$B:$V,2,0)," @",VLOOKUP($G175,export_items!$B:$V,21,0)),"")</f>
        <v/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/>
      <c r="B176" s="8"/>
      <c r="C176" s="8"/>
      <c r="D176" s="47"/>
      <c r="E176" s="7"/>
      <c r="F176" s="7"/>
      <c r="G176" s="7"/>
      <c r="H176" s="7"/>
      <c r="I176" s="7" t="str">
        <f>IFNA(CONCATENATE(VLOOKUP($G176,export_items!$B:$V,2,0)," @",VLOOKUP($G176,export_items!$B:$V,21,0)),"")</f>
        <v/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50" t="s">
        <v>176</v>
      </c>
      <c r="B177" s="50" t="s">
        <v>1</v>
      </c>
      <c r="C177" s="50" t="s">
        <v>2</v>
      </c>
      <c r="D177" s="47"/>
      <c r="E177" s="78"/>
      <c r="F177" s="79" t="s">
        <v>3</v>
      </c>
      <c r="G177" s="80"/>
      <c r="H177" s="7"/>
      <c r="I177" s="7" t="str">
        <f>IFNA(CONCATENATE(VLOOKUP($G177,export_items!$B:$V,2,0)," @",VLOOKUP($G177,export_items!$B:$V,21,0)),"")</f>
        <v/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51" t="s">
        <v>156</v>
      </c>
      <c r="B178" s="52">
        <v>850.0</v>
      </c>
      <c r="C178" s="53">
        <f t="shared" ref="C178:C180" si="15">B178/10</f>
        <v>85</v>
      </c>
      <c r="D178" s="47"/>
      <c r="E178" s="74"/>
      <c r="F178" s="75">
        <v>10555.0</v>
      </c>
      <c r="G178" s="80"/>
      <c r="H178" s="7" t="str">
        <f>CONCATENATE(VLOOKUP($F178,export_items!$B:$V,2,0)," @",VLOOKUP($F178,export_items!$B:$V,21,0))</f>
        <v>ปลาทู 4/6 10Kg  (ลัง) @850</v>
      </c>
      <c r="I178" s="7" t="str">
        <f>IFNA(CONCATENATE(VLOOKUP($G178,export_items!$B:$V,2,0)," @",VLOOKUP($G178,export_items!$B:$V,21,0)),"")</f>
        <v/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51" t="s">
        <v>158</v>
      </c>
      <c r="B179" s="52">
        <v>690.0</v>
      </c>
      <c r="C179" s="53">
        <f t="shared" si="15"/>
        <v>69</v>
      </c>
      <c r="D179" s="47"/>
      <c r="E179" s="74"/>
      <c r="F179" s="75">
        <v>10074.0</v>
      </c>
      <c r="G179" s="80"/>
      <c r="H179" s="7" t="str">
        <f>CONCATENATE(VLOOKUP($F179,export_items!$B:$V,2,0)," @",VLOOKUP($F179,export_items!$B:$V,21,0))</f>
        <v>ปลาทูตาโต 10Kg @690</v>
      </c>
      <c r="I179" s="7" t="str">
        <f>IFNA(CONCATENATE(VLOOKUP($G179,export_items!$B:$V,2,0)," @",VLOOKUP($G179,export_items!$B:$V,21,0)),"")</f>
        <v/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51" t="s">
        <v>160</v>
      </c>
      <c r="B180" s="52">
        <v>850.0</v>
      </c>
      <c r="C180" s="53">
        <f t="shared" si="15"/>
        <v>85</v>
      </c>
      <c r="D180" s="47"/>
      <c r="E180" s="74"/>
      <c r="F180" s="75">
        <v>10779.0</v>
      </c>
      <c r="G180" s="80"/>
      <c r="H180" s="7" t="str">
        <f>CONCATENATE(VLOOKUP($F180,export_items!$B:$V,2,0)," @",VLOOKUP($F180,export_items!$B:$V,21,0))</f>
        <v>ซาบะ ลัง 10 กก(85) @850</v>
      </c>
      <c r="I180" s="7" t="str">
        <f>IFNA(CONCATENATE(VLOOKUP($G180,export_items!$B:$V,2,0)," @",VLOOKUP($G180,export_items!$B:$V,21,0)),"")</f>
        <v/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51" t="s">
        <v>162</v>
      </c>
      <c r="B181" s="52">
        <v>1160.0</v>
      </c>
      <c r="C181" s="53">
        <f t="shared" ref="C181:C182" si="16">B181/8</f>
        <v>145</v>
      </c>
      <c r="D181" s="47"/>
      <c r="E181" s="74"/>
      <c r="F181" s="75">
        <v>10890.0</v>
      </c>
      <c r="G181" s="80"/>
      <c r="H181" s="7" t="str">
        <f>CONCATENATE(VLOOKUP($F181,export_items!$B:$V,2,0)," @",VLOOKUP($F181,export_items!$B:$V,21,0))</f>
        <v>ปูม้า 60/80 ผู้ 8 กก. (ลัง) - 145 @1160</v>
      </c>
      <c r="I181" s="7" t="str">
        <f>IFNA(CONCATENATE(VLOOKUP($G181,export_items!$B:$V,2,0)," @",VLOOKUP($G181,export_items!$B:$V,21,0)),"")</f>
        <v/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51" t="s">
        <v>164</v>
      </c>
      <c r="B182" s="52">
        <v>1064.0</v>
      </c>
      <c r="C182" s="53">
        <f t="shared" si="16"/>
        <v>133</v>
      </c>
      <c r="D182" s="47"/>
      <c r="E182" s="74"/>
      <c r="F182" s="75">
        <v>10881.0</v>
      </c>
      <c r="G182" s="80"/>
      <c r="H182" s="7" t="str">
        <f>CONCATENATE(VLOOKUP($F182,export_items!$B:$V,2,0)," @",VLOOKUP($F182,export_items!$B:$V,21,0))</f>
        <v>ปูม้า 60/80 เมีย 8 กก.  (ลัง) - 133 @1064</v>
      </c>
      <c r="I182" s="7" t="str">
        <f>IFNA(CONCATENATE(VLOOKUP($G182,export_items!$B:$V,2,0)," @",VLOOKUP($G182,export_items!$B:$V,21,0)),"")</f>
        <v/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51" t="s">
        <v>166</v>
      </c>
      <c r="B183" s="52">
        <v>1280.0</v>
      </c>
      <c r="C183" s="53">
        <f>round(B183/12,0)</f>
        <v>107</v>
      </c>
      <c r="D183" s="47"/>
      <c r="E183" s="74"/>
      <c r="F183" s="75">
        <v>10153.0</v>
      </c>
      <c r="G183" s="80"/>
      <c r="H183" s="7" t="str">
        <f>CONCATENATE(VLOOKUP($F183,export_items!$B:$V,2,0)," @",VLOOKUP($F183,export_items!$B:$V,21,0))</f>
        <v>ปูตัด (ปูดาว)  12 กล่อง  (ลัง) @1280</v>
      </c>
      <c r="I183" s="7" t="str">
        <f>IFNA(CONCATENATE(VLOOKUP($G183,export_items!$B:$V,2,0)," @",VLOOKUP($G183,export_items!$B:$V,21,0)),"")</f>
        <v/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51" t="s">
        <v>168</v>
      </c>
      <c r="B184" s="52">
        <v>540.0</v>
      </c>
      <c r="C184" s="53">
        <f>B184/10</f>
        <v>54</v>
      </c>
      <c r="D184" s="47"/>
      <c r="E184" s="74"/>
      <c r="F184" s="75">
        <v>11268.0</v>
      </c>
      <c r="G184" s="80"/>
      <c r="H184" s="7" t="str">
        <f>CONCATENATE(VLOOKUP($F184,export_items!$B:$V,2,0)," @",VLOOKUP($F184,export_items!$B:$V,21,0))</f>
        <v>หอยแมลงภู่ต้ม (ใหญ่)10*500g(หิ้ว)-54 @540</v>
      </c>
      <c r="I184" s="7" t="str">
        <f>IFNA(CONCATENATE(VLOOKUP($G184,export_items!$B:$V,2,0)," @",VLOOKUP($G184,export_items!$B:$V,21,0)),"")</f>
        <v/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1" t="s">
        <v>170</v>
      </c>
      <c r="B185" s="52">
        <v>440.0</v>
      </c>
      <c r="C185" s="53">
        <f>B185/20</f>
        <v>22</v>
      </c>
      <c r="D185" s="47"/>
      <c r="E185" s="82"/>
      <c r="F185" s="83">
        <v>10820.0</v>
      </c>
      <c r="G185" s="80"/>
      <c r="H185" s="7" t="str">
        <f>CONCATENATE(VLOOKUP($F185,export_items!$B:$V,2,0)," @",VLOOKUP($F185,export_items!$B:$V,21,0))</f>
        <v>หอยดองเล็ก1*20 ขวด (หิ้ว)-22 @440</v>
      </c>
      <c r="I185" s="7" t="str">
        <f>IFNA(CONCATENATE(VLOOKUP($G185,export_items!$B:$V,2,0)," @",VLOOKUP($G185,export_items!$B:$V,21,0)),"")</f>
        <v/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51" t="s">
        <v>172</v>
      </c>
      <c r="B186" s="52">
        <v>420.0</v>
      </c>
      <c r="C186" s="53">
        <f>B186/12</f>
        <v>35</v>
      </c>
      <c r="D186" s="47"/>
      <c r="E186" s="84"/>
      <c r="F186" s="84">
        <v>11287.0</v>
      </c>
      <c r="G186" s="70"/>
      <c r="H186" s="7" t="str">
        <f>CONCATENATE(VLOOKUP($F186,export_items!$B:$V,2,0)," @",VLOOKUP($F186,export_items!$B:$V,21,0))</f>
        <v>หอยดองใหญ่1*12ขวด (หิ้ว)-35 @420</v>
      </c>
      <c r="I186" s="7" t="str">
        <f>IFNA(CONCATENATE(VLOOKUP($G186,export_items!$B:$V,2,0)," @",VLOOKUP($G186,export_items!$B:$V,21,0)),"")</f>
        <v/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51" t="s">
        <v>174</v>
      </c>
      <c r="B187" s="52"/>
      <c r="C187" s="53">
        <v>68.0</v>
      </c>
      <c r="D187" s="47"/>
      <c r="E187" s="11"/>
      <c r="F187" s="12">
        <v>11036.0</v>
      </c>
      <c r="G187" s="7"/>
      <c r="H187" s="7" t="str">
        <f>CONCATENATE(VLOOKUP($F187,export_items!$B:$V,2,0)," @",VLOOKUP($F187,export_items!$B:$V,21,0))</f>
        <v>ปลาดุกหั่นชิ้น 1Kg @68</v>
      </c>
      <c r="I187" s="7" t="str">
        <f>IFNA(CONCATENATE(VLOOKUP($G187,export_items!$B:$V,2,0)," @",VLOOKUP($G187,export_items!$B:$V,21,0)),"")</f>
        <v/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/>
      <c r="B188" s="8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" t="s">
        <v>197</v>
      </c>
      <c r="B189" s="1" t="s">
        <v>1</v>
      </c>
      <c r="C189" s="1" t="s">
        <v>2</v>
      </c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9" t="s">
        <v>15</v>
      </c>
      <c r="B190" s="52">
        <v>170.0</v>
      </c>
      <c r="C190" s="85">
        <f t="shared" ref="C190:C199" si="17">B190</f>
        <v>170</v>
      </c>
      <c r="D190" s="8"/>
      <c r="E190" s="7"/>
      <c r="F190" s="12">
        <v>11299.0</v>
      </c>
      <c r="G190" s="7"/>
      <c r="H190" s="7" t="str">
        <f>CONCATENATE(VLOOKUP($F190,export_items!$B:$V,2,0)," @",VLOOKUP($F190,export_items!$B:$V,21,0))</f>
        <v>สามชั้นแท่ง เบทาโกร (170) @170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6" t="s">
        <v>27</v>
      </c>
      <c r="B191" s="52">
        <v>160.0</v>
      </c>
      <c r="C191" s="85">
        <f t="shared" si="17"/>
        <v>160</v>
      </c>
      <c r="D191" s="8"/>
      <c r="E191" s="7"/>
      <c r="F191" s="12">
        <v>11178.0</v>
      </c>
      <c r="G191" s="7"/>
      <c r="H191" s="7" t="str">
        <f>CONCATENATE(VLOOKUP($F191,export_items!$B:$V,2,0)," @",VLOOKUP($F191,export_items!$B:$V,21,0))</f>
        <v>สันคอแท่ง เบทาโกร (160) @160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9" t="s">
        <v>36</v>
      </c>
      <c r="B192" s="52">
        <v>125.0</v>
      </c>
      <c r="C192" s="85">
        <f t="shared" si="17"/>
        <v>125</v>
      </c>
      <c r="D192" s="8"/>
      <c r="E192" s="7"/>
      <c r="F192" s="12">
        <v>11173.0</v>
      </c>
      <c r="G192" s="7"/>
      <c r="H192" s="7" t="str">
        <f>CONCATENATE(VLOOKUP($F192,export_items!$B:$V,2,0)," @",VLOOKUP($F192,export_items!$B:$V,21,0))</f>
        <v>สันนอกแท่ง เบ (ชั่่ง) -125 @125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9" t="s">
        <v>40</v>
      </c>
      <c r="B193" s="52">
        <v>290.0</v>
      </c>
      <c r="C193" s="85">
        <f t="shared" si="17"/>
        <v>290</v>
      </c>
      <c r="D193" s="8"/>
      <c r="E193" s="7"/>
      <c r="F193" s="12">
        <v>10715.0</v>
      </c>
      <c r="G193" s="7"/>
      <c r="H193" s="7" t="str">
        <f>CONCATENATE(VLOOKUP($F193,export_items!$B:$V,2,0)," @",VLOOKUP($F193,export_items!$B:$V,21,0))</f>
        <v>เนื้อเสือออส -290 @290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9" t="s">
        <v>42</v>
      </c>
      <c r="B194" s="52">
        <v>208.0</v>
      </c>
      <c r="C194" s="85">
        <f t="shared" si="17"/>
        <v>208</v>
      </c>
      <c r="D194" s="8"/>
      <c r="E194" s="7"/>
      <c r="F194" s="12">
        <v>11327.0</v>
      </c>
      <c r="G194" s="7"/>
      <c r="H194" s="7" t="str">
        <f>CONCATENATE(VLOOKUP($F194,export_items!$B:$V,2,0)," @",VLOOKUP($F194,export_items!$B:$V,21,0))</f>
        <v>เนื้อน่องลาย โคขุน  (208) @208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9" t="s">
        <v>44</v>
      </c>
      <c r="B195" s="52">
        <v>187.0</v>
      </c>
      <c r="C195" s="85">
        <f t="shared" si="17"/>
        <v>187</v>
      </c>
      <c r="D195" s="8"/>
      <c r="E195" s="7"/>
      <c r="F195" s="12">
        <v>10424.0</v>
      </c>
      <c r="G195" s="7"/>
      <c r="H195" s="7" t="str">
        <f>CONCATENATE(VLOOKUP($F195,export_items!$B:$V,2,0)," @",VLOOKUP($F195,export_items!$B:$V,21,0))</f>
        <v>สันคอ โคขุน(187) @187</v>
      </c>
      <c r="I195" s="8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9" t="s">
        <v>45</v>
      </c>
      <c r="B196" s="52">
        <v>197.0</v>
      </c>
      <c r="C196" s="85">
        <f t="shared" si="17"/>
        <v>197</v>
      </c>
      <c r="D196" s="8"/>
      <c r="E196" s="7"/>
      <c r="F196" s="12">
        <v>11509.0</v>
      </c>
      <c r="G196" s="7"/>
      <c r="H196" s="7" t="str">
        <f>CONCATENATE(VLOOKUP($F196,export_items!$B:$V,2,0)," @",VLOOKUP($F196,export_items!$B:$V,21,0))</f>
        <v>ใบพาย (เต็ม) โคขุน (197) @197</v>
      </c>
      <c r="I196" s="8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9" t="s">
        <v>46</v>
      </c>
      <c r="B197" s="52">
        <v>225.0</v>
      </c>
      <c r="C197" s="85">
        <f t="shared" si="17"/>
        <v>225</v>
      </c>
      <c r="D197" s="8"/>
      <c r="E197" s="7"/>
      <c r="F197" s="12">
        <v>11186.0</v>
      </c>
      <c r="G197" s="7"/>
      <c r="H197" s="7" t="str">
        <f>CONCATENATE(VLOOKUP($F197,export_items!$B:$V,2,0)," @",VLOOKUP($F197,export_items!$B:$V,21,0))</f>
        <v>ใบพาย (ใบไม้)โคขุน 225 @225</v>
      </c>
      <c r="I197" s="8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16" t="s">
        <v>47</v>
      </c>
      <c r="B198" s="52">
        <v>205.0</v>
      </c>
      <c r="C198" s="85">
        <f t="shared" si="17"/>
        <v>205</v>
      </c>
      <c r="D198" s="8"/>
      <c r="E198" s="7"/>
      <c r="F198" s="12">
        <v>10088.0</v>
      </c>
      <c r="G198" s="7"/>
      <c r="H198" s="7" t="str">
        <f>CONCATENATE(VLOOKUP($F198,export_items!$B:$V,2,0)," @",VLOOKUP($F198,export_items!$B:$V,21,0))</f>
        <v>เสือ โคขุน(205) @205</v>
      </c>
      <c r="I198" s="8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9" t="s">
        <v>48</v>
      </c>
      <c r="B199" s="52">
        <v>198.0</v>
      </c>
      <c r="C199" s="85">
        <f t="shared" si="17"/>
        <v>198</v>
      </c>
      <c r="D199" s="8"/>
      <c r="E199" s="7"/>
      <c r="F199" s="12">
        <v>10751.0</v>
      </c>
      <c r="G199" s="7"/>
      <c r="H199" s="7" t="str">
        <f>CONCATENATE(VLOOKUP($F199,export_items!$B:$V,2,0)," @",VLOOKUP($F199,export_items!$B:$V,21,0))</f>
        <v>ริบอาย โคขุน  (198) @198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/>
      <c r="B200" s="8"/>
      <c r="C200" s="8"/>
      <c r="D200" s="8"/>
      <c r="E200" s="7"/>
      <c r="F200" s="7"/>
      <c r="G200" s="7"/>
      <c r="H200" s="7" t="str">
        <f>CONCATENATE(VLOOKUP($F200,export_items!$B:$V,2,0)," @",VLOOKUP($F200,export_items!$B:$V,21,0))</f>
        <v>#N/A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8"/>
      <c r="C201" s="8"/>
      <c r="D201" s="8"/>
      <c r="E201" s="7"/>
      <c r="F201" s="7"/>
      <c r="G201" s="7"/>
      <c r="H201" s="7" t="str">
        <f>CONCATENATE(VLOOKUP($F201,export_items!$B:$V,2,0)," @",VLOOKUP($F201,export_items!$B:$V,21,0))</f>
        <v>#N/A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33" t="s">
        <v>198</v>
      </c>
      <c r="B202" s="1" t="s">
        <v>1</v>
      </c>
      <c r="C202" s="1" t="s">
        <v>2</v>
      </c>
      <c r="D202" s="8"/>
      <c r="E202" s="7"/>
      <c r="F202" s="4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9" t="s">
        <v>93</v>
      </c>
      <c r="B203" s="52">
        <v>189.0</v>
      </c>
      <c r="C203" s="16"/>
      <c r="D203" s="8"/>
      <c r="E203" s="7"/>
      <c r="F203" s="12">
        <v>10046.0</v>
      </c>
      <c r="G203" s="7"/>
      <c r="H203" s="7" t="str">
        <f>CONCATENATE(VLOOKUP($F203,export_items!$B:$V,2,0)," @",VLOOKUP($F203,export_items!$B:$V,21,0))</f>
        <v>อาเจน S (ชั่ง) - 189 @189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9" t="s">
        <v>89</v>
      </c>
      <c r="B204" s="52">
        <v>187.0</v>
      </c>
      <c r="C204" s="16"/>
      <c r="D204" s="8"/>
      <c r="E204" s="7"/>
      <c r="F204" s="12">
        <v>10564.0</v>
      </c>
      <c r="G204" s="7"/>
      <c r="H204" s="7" t="str">
        <f>CONCATENATE(VLOOKUP($F204,export_items!$B:$V,2,0)," @",VLOOKUP($F204,export_items!$B:$V,21,0))</f>
        <v>อาเจน 180/200  (ชั่ง) - 187 @187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9" t="s">
        <v>98</v>
      </c>
      <c r="B205" s="52">
        <v>590.0</v>
      </c>
      <c r="C205" s="16">
        <v>59.0</v>
      </c>
      <c r="D205" s="8"/>
      <c r="E205" s="7"/>
      <c r="F205" s="12">
        <v>11611.0</v>
      </c>
      <c r="G205" s="7"/>
      <c r="H205" s="7" t="str">
        <f>CONCATENATE(VLOOKUP($F205,export_items!$B:$V,2,0)," @",VLOOKUP($F205,export_items!$B:$V,21,0))</f>
        <v>คอเปรู 100/300 10kg/ก้อน(59) @590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9" t="s">
        <v>99</v>
      </c>
      <c r="B206" s="52">
        <v>443.0</v>
      </c>
      <c r="C206" s="16">
        <v>59.0</v>
      </c>
      <c r="D206" s="8"/>
      <c r="E206" s="7"/>
      <c r="F206" s="12">
        <v>10025.0</v>
      </c>
      <c r="G206" s="7"/>
      <c r="H206" s="7" t="str">
        <f>CONCATENATE(VLOOKUP($F206,export_items!$B:$V,2,0)," @",VLOOKUP($F206,export_items!$B:$V,21,0))</f>
        <v>คอเปรู 500up ก้อน 7.5 kg  (59) @443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9" t="s">
        <v>101</v>
      </c>
      <c r="B207" s="52">
        <v>980.0</v>
      </c>
      <c r="C207" s="16"/>
      <c r="D207" s="8"/>
      <c r="E207" s="7"/>
      <c r="F207" s="12">
        <v>11148.0</v>
      </c>
      <c r="G207" s="7"/>
      <c r="H207" s="7" t="str">
        <f>CONCATENATE(VLOOKUP($F207,export_items!$B:$V,2,0)," @",VLOOKUP($F207,export_items!$B:$V,21,0))</f>
        <v>หัวเบบี๋ (กระสอบเขียว) 10กก-98 @980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9" t="s">
        <v>97</v>
      </c>
      <c r="B208" s="52">
        <v>1300.0</v>
      </c>
      <c r="C208" s="16">
        <f>B208/10</f>
        <v>130</v>
      </c>
      <c r="D208" s="8"/>
      <c r="E208" s="7"/>
      <c r="F208" s="12">
        <v>10563.0</v>
      </c>
      <c r="G208" s="7"/>
      <c r="H208" s="7" t="str">
        <f>CONCATENATE(VLOOKUP($F208,export_items!$B:$V,2,0)," @",VLOOKUP($F208,export_items!$B:$V,21,0))</f>
        <v>หมึกเมก้า 10 กก (ลัง) - 130 @1300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9" t="s">
        <v>178</v>
      </c>
      <c r="B209" s="52">
        <v>100.0</v>
      </c>
      <c r="C209" s="16"/>
      <c r="D209" s="8"/>
      <c r="E209" s="7"/>
      <c r="F209" s="41">
        <v>10170.0</v>
      </c>
      <c r="G209" s="7"/>
      <c r="H209" s="7" t="str">
        <f>CONCATENATE(VLOOKUP($F209,export_items!$B:$V,2,0)," @",VLOOKUP($F209,export_items!$B:$V,21,0))</f>
        <v>ไข่แท่ง 5ดาว 1 กก @100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9" t="s">
        <v>179</v>
      </c>
      <c r="B210" s="52">
        <v>2750.0</v>
      </c>
      <c r="C210" s="16"/>
      <c r="D210" s="8"/>
      <c r="E210" s="7"/>
      <c r="F210" s="41">
        <v>10183.0</v>
      </c>
      <c r="G210" s="7"/>
      <c r="H210" s="7" t="str">
        <f>CONCATENATE(VLOOKUP($F210,export_items!$B:$V,2,0)," @",VLOOKUP($F210,export_items!$B:$V,21,0))</f>
        <v>ไข่อาเจน A 1*10 (ลัง)-275 @2750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9" t="s">
        <v>181</v>
      </c>
      <c r="B211" s="52">
        <v>280.0</v>
      </c>
      <c r="C211" s="16"/>
      <c r="D211" s="8"/>
      <c r="E211" s="7"/>
      <c r="F211" s="41">
        <v>10191.0</v>
      </c>
      <c r="G211" s="7"/>
      <c r="H211" s="7" t="str">
        <f>CONCATENATE(VLOOKUP($F211,export_items!$B:$V,2,0)," @",VLOOKUP($F211,export_items!$B:$V,21,0))</f>
        <v>ไข่อาเจน A แพ็ค 1 กก-280 @280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9" t="s">
        <v>182</v>
      </c>
      <c r="B212" s="52">
        <v>110.0</v>
      </c>
      <c r="C212" s="16"/>
      <c r="D212" s="8"/>
      <c r="E212" s="7"/>
      <c r="F212" s="41">
        <v>10913.0</v>
      </c>
      <c r="G212" s="7"/>
      <c r="H212" s="7" t="str">
        <f>CONCATENATE(VLOOKUP($F212,export_items!$B:$V,2,0)," @",VLOOKUP($F212,export_items!$B:$V,21,0))</f>
        <v>ปลาไข่ แพ็ค1Kg-110 @110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9" t="s">
        <v>183</v>
      </c>
      <c r="B213" s="52">
        <v>220.0</v>
      </c>
      <c r="C213" s="16"/>
      <c r="D213" s="8"/>
      <c r="E213" s="7"/>
      <c r="F213" s="41">
        <v>10432.0</v>
      </c>
      <c r="G213" s="7"/>
      <c r="H213" s="7" t="str">
        <f>CONCATENATE(VLOOKUP($F213,export_items!$B:$V,2,0)," @",VLOOKUP($F213,export_items!$B:$V,21,0))</f>
        <v>ไม้เสียบ เบอร์ 3*9(ลัง) @220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9" t="s">
        <v>184</v>
      </c>
      <c r="B214" s="52">
        <v>130.0</v>
      </c>
      <c r="C214" s="16"/>
      <c r="D214" s="8"/>
      <c r="E214" s="7"/>
      <c r="F214" s="41">
        <v>10326.0</v>
      </c>
      <c r="G214" s="7"/>
      <c r="H214" s="7" t="str">
        <f>CONCATENATE(VLOOKUP($F214,export_items!$B:$V,2,0)," @",VLOOKUP($F214,export_items!$B:$V,21,0))</f>
        <v>เกลือ กระสอบ (130) @130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8"/>
      <c r="C215" s="8"/>
      <c r="D215" s="8"/>
      <c r="E215" s="7"/>
      <c r="F215" s="7"/>
      <c r="G215" s="7"/>
      <c r="H215" s="7" t="str">
        <f>CONCATENATE(VLOOKUP($F215,export_items!$B:$V,2,0)," @",VLOOKUP($F215,export_items!$B:$V,21,0))</f>
        <v>#N/A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" t="s">
        <v>199</v>
      </c>
      <c r="B216" s="1" t="s">
        <v>1</v>
      </c>
      <c r="C216" s="1" t="s">
        <v>2</v>
      </c>
      <c r="D216" s="8"/>
      <c r="E216" s="7"/>
      <c r="F216" s="11"/>
      <c r="G216" s="1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51" t="s">
        <v>105</v>
      </c>
      <c r="B217" s="52">
        <v>1064.0</v>
      </c>
      <c r="C217" s="53">
        <f>B217/8</f>
        <v>133</v>
      </c>
      <c r="D217" s="8"/>
      <c r="E217" s="7"/>
      <c r="F217" s="12">
        <v>10881.0</v>
      </c>
      <c r="G217" s="11"/>
      <c r="H217" s="7" t="str">
        <f>CONCATENATE(VLOOKUP($F217,export_items!$B:$V,2,0)," @",VLOOKUP($F217,export_items!$B:$V,21,0))</f>
        <v>ปูม้า 60/80 เมีย 8 กก.  (ลัง) - 133 @1064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51" t="s">
        <v>6</v>
      </c>
      <c r="B218" s="65">
        <v>540.0</v>
      </c>
      <c r="C218" s="53">
        <f t="shared" ref="C218:C221" si="18">B218/10</f>
        <v>54</v>
      </c>
      <c r="D218" s="8"/>
      <c r="E218" s="7"/>
      <c r="F218" s="12">
        <v>10122.0</v>
      </c>
      <c r="G218" s="66">
        <v>10121.0</v>
      </c>
      <c r="H218" s="7" t="str">
        <f>CONCATENATE(VLOOKUP($F218,export_items!$B:$V,2,0)," @",VLOOKUP($F218,export_items!$B:$V,21,0))</f>
        <v>หมึกบั้ง A (ลัง) - 54 @540</v>
      </c>
      <c r="I218" s="7" t="str">
        <f>IFNA(CONCATENATE(VLOOKUP($G218,export_items!$B:$V,2,0)," @",VLOOKUP($G218,export_items!$B:$V,21,0)),"")</f>
        <v>(S) หมึกบั้งA  แพ็ค 1Kg @68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7" t="s">
        <v>8</v>
      </c>
      <c r="B219" s="65">
        <v>590.0</v>
      </c>
      <c r="C219" s="53">
        <f t="shared" si="18"/>
        <v>59</v>
      </c>
      <c r="D219" s="8"/>
      <c r="E219" s="7"/>
      <c r="F219" s="12">
        <v>11359.0</v>
      </c>
      <c r="G219" s="66">
        <v>11357.0</v>
      </c>
      <c r="H219" s="7" t="str">
        <f>CONCATENATE(VLOOKUP($F219,export_items!$B:$V,2,0)," @",VLOOKUP($F219,export_items!$B:$V,21,0))</f>
        <v>หมึกวง (ลัง) - 59 @590</v>
      </c>
      <c r="I219" s="7" t="str">
        <f>IFNA(CONCATENATE(VLOOKUP($G219,export_items!$B:$V,2,0)," @",VLOOKUP($G219,export_items!$B:$V,21,0)),"")</f>
        <v>(S) หมึกวง แพ็ค  1kg(65) @65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51" t="s">
        <v>113</v>
      </c>
      <c r="B220" s="65">
        <v>850.0</v>
      </c>
      <c r="C220" s="53">
        <f t="shared" si="18"/>
        <v>85</v>
      </c>
      <c r="D220" s="8"/>
      <c r="E220" s="7"/>
      <c r="F220" s="7">
        <v>10039.0</v>
      </c>
      <c r="G220" s="7"/>
      <c r="H220" s="7" t="str">
        <f>CONCATENATE(VLOOKUP($F220,export_items!$B:$V,2,0)," @",VLOOKUP($F220,export_items!$B:$V,21,0))</f>
        <v>เนื้อหอยชิลี  (ลัง) - 85 @850</v>
      </c>
      <c r="I220" s="7" t="str">
        <f>IFNA(CONCATENATE(VLOOKUP($G220,export_items!$B:$V,2,0)," @",VLOOKUP($G220,export_items!$B:$V,21,0)),"")</f>
        <v/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51" t="s">
        <v>119</v>
      </c>
      <c r="B221" s="52">
        <v>1100.0</v>
      </c>
      <c r="C221" s="53">
        <f t="shared" si="18"/>
        <v>110</v>
      </c>
      <c r="D221" s="8"/>
      <c r="E221" s="7"/>
      <c r="F221" s="7">
        <v>10297.0</v>
      </c>
      <c r="G221" s="7"/>
      <c r="H221" s="7" t="str">
        <f>CONCATENATE(VLOOKUP($F221,export_items!$B:$V,2,0)," @",VLOOKUP($F221,export_items!$B:$V,21,0))</f>
        <v>เนื้อหอยแครง  (ลัง) - 110 @1100</v>
      </c>
      <c r="I221" s="7" t="str">
        <f>IFNA(CONCATENATE(VLOOKUP($G221,export_items!$B:$V,2,0)," @",VLOOKUP($G221,export_items!$B:$V,21,0)),"")</f>
        <v/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51" t="s">
        <v>86</v>
      </c>
      <c r="B222" s="65">
        <v>450.0</v>
      </c>
      <c r="C222" s="53">
        <f>B222/5</f>
        <v>90</v>
      </c>
      <c r="D222" s="8"/>
      <c r="E222" s="7"/>
      <c r="F222" s="7">
        <v>10468.0</v>
      </c>
      <c r="G222" s="7"/>
      <c r="H222" s="7" t="str">
        <f>CONCATENATE(VLOOKUP($F222,export_items!$B:$V,2,0)," @",VLOOKUP($F222,export_items!$B:$V,21,0))</f>
        <v>แมงกะพรุนจืด 5 กก.(หิ้ว) - 90 @450</v>
      </c>
      <c r="I222" s="7" t="str">
        <f>IFNA(CONCATENATE(VLOOKUP($G222,export_items!$B:$V,2,0)," @",VLOOKUP($G222,export_items!$B:$V,21,0)),"")</f>
        <v/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51" t="s">
        <v>79</v>
      </c>
      <c r="B223" s="65">
        <v>950.0</v>
      </c>
      <c r="C223" s="53">
        <f>B223/10</f>
        <v>95</v>
      </c>
      <c r="D223" s="8"/>
      <c r="E223" s="7"/>
      <c r="F223" s="12">
        <v>10383.0</v>
      </c>
      <c r="G223" s="66">
        <v>11006.0</v>
      </c>
      <c r="H223" s="7" t="str">
        <f>CONCATENATE(VLOOKUP($F223,export_items!$B:$V,2,0)," @",VLOOKUP($F223,export_items!$B:$V,21,0))</f>
        <v>ยำสาหร่าย  (ลัง) @950</v>
      </c>
      <c r="I223" s="7" t="str">
        <f>IFNA(CONCATENATE(VLOOKUP($G223,export_items!$B:$V,2,0)," @",VLOOKUP($G223,export_items!$B:$V,21,0)),"")</f>
        <v>ยำสาหร่าย  แพ็ค 1kg @105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51" t="s">
        <v>81</v>
      </c>
      <c r="B224" s="52">
        <v>1180.0</v>
      </c>
      <c r="C224" s="53">
        <f>B224/8</f>
        <v>147.5</v>
      </c>
      <c r="D224" s="8"/>
      <c r="E224" s="7"/>
      <c r="F224" s="12">
        <v>11493.0</v>
      </c>
      <c r="G224" s="66">
        <v>20143.0</v>
      </c>
      <c r="H224" s="7" t="str">
        <f>CONCATENATE(VLOOKUP($F224,export_items!$B:$V,2,0)," @",VLOOKUP($F224,export_items!$B:$V,21,0))</f>
        <v>เห็ดแห้ง 500 กรัม * 8 แพ็ค  (ลัง) @1180</v>
      </c>
      <c r="I224" s="7" t="str">
        <f>IFNA(CONCATENATE(VLOOKUP($G224,export_items!$B:$V,2,0)," @",VLOOKUP($G224,export_items!$B:$V,21,0)),"")</f>
        <v>เห็ดแห้งตราฟินิกซ์500g (ใหญ่) @170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51" t="s">
        <v>180</v>
      </c>
      <c r="B225" s="52">
        <v>220.0</v>
      </c>
      <c r="C225" s="53">
        <f>B225/20</f>
        <v>11</v>
      </c>
      <c r="D225" s="8"/>
      <c r="E225" s="7"/>
      <c r="F225" s="41">
        <v>10418.0</v>
      </c>
      <c r="G225" s="7"/>
      <c r="H225" s="7" t="str">
        <f>CONCATENATE(VLOOKUP($F225,export_items!$B:$V,2,0)," @",VLOOKUP($F225,export_items!$B:$V,21,0))</f>
        <v>สาหร่ายแผ่นกลม (ฟินิกซ์)20แพ็ค/หิ้ว @220</v>
      </c>
      <c r="I225" s="7" t="str">
        <f>IFNA(CONCATENATE(VLOOKUP($G225,export_items!$B:$V,2,0)," @",VLOOKUP($G225,export_items!$B:$V,21,0)),"")</f>
        <v/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8"/>
      <c r="C226" s="8"/>
      <c r="D226" s="8"/>
      <c r="E226" s="7"/>
      <c r="F226" s="7"/>
      <c r="G226" s="7"/>
      <c r="H226" s="7" t="str">
        <f>CONCATENATE(VLOOKUP($F226,export_items!$B:$V,2,0)," @",VLOOKUP($F226,export_items!$B:$V,21,0))</f>
        <v>#N/A</v>
      </c>
      <c r="I226" s="7" t="str">
        <f>IFNA(CONCATENATE(VLOOKUP($G226,export_items!$B:$V,2,0)," @",VLOOKUP($G226,export_items!$B:$V,21,0)),"")</f>
        <v/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8"/>
      <c r="C227" s="8"/>
      <c r="D227" s="8"/>
      <c r="E227" s="7"/>
      <c r="F227" s="7"/>
      <c r="G227" s="7"/>
      <c r="H227" s="7" t="str">
        <f>CONCATENATE(VLOOKUP($F227,export_items!$B:$V,2,0)," @",VLOOKUP($F227,export_items!$B:$V,21,0))</f>
        <v>#N/A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8"/>
      <c r="C228" s="8"/>
      <c r="D228" s="8"/>
      <c r="E228" s="7"/>
      <c r="F228" s="7"/>
      <c r="G228" s="7"/>
      <c r="H228" s="7" t="str">
        <f>CONCATENATE(VLOOKUP($F228,export_items!$B:$V,2,0)," @",VLOOKUP($F228,export_items!$B:$V,21,0))</f>
        <v>#N/A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8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8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8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8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8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8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8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8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8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8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8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8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8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8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8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8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8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8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8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8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8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8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8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8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8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8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8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8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8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8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8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8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8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8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8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8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8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8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8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8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8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8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8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8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8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8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8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8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8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8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8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8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8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8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8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8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8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8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8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8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8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8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8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8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8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8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8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8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8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8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8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8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8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8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8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8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8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8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8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8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8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8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8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8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8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8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8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8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8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8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8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8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8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8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8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8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8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8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8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8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8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8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8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8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8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8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8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8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8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8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8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8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8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8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8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8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8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8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8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8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8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8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8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8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8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8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8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8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8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8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8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8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8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8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8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8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8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8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8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8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8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8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8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8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8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8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8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8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8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8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8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8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8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8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8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8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8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8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8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8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8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8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8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8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8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8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8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8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8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8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8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8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8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8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8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8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8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8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8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8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8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8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8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8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8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8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8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8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8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8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8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8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8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8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8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8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8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8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8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8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8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8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8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8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8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8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8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8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8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8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8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8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8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8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8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8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8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8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8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8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8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8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8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8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8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8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8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8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8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8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8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8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8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8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8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8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8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8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8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8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8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8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8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8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8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8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8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8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8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8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8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8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8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8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8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8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8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8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8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8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8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8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8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8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8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8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8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8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8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8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8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8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8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8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8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8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8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8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8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8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8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8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8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8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8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8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8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8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8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8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8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8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8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8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8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8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8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8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8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8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8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8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8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8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8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8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8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8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8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8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8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8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8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8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8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8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8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8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8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8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8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8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8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8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8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8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8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8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8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8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8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8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8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8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8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8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8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8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8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8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8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8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8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8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8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8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8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8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8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8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8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8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8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8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8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8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8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8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8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8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8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8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8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8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8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8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8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8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8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8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8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8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8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8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8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8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8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8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8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8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8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8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8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8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8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8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8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8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8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8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8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8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8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8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8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8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8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8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8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8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8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8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8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8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8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8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8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8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8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8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8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8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8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8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8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8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8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8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8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8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8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8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8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8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8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8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8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8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8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8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8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8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8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8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8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8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8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8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8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8"/>
      <c r="B1000" s="8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8"/>
      <c r="B1001" s="8"/>
      <c r="C1001" s="8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8"/>
      <c r="B1002" s="8"/>
      <c r="C1002" s="8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8"/>
      <c r="B1003" s="8"/>
      <c r="C1003" s="8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8"/>
      <c r="B1004" s="8"/>
      <c r="C1004" s="8"/>
      <c r="D1004" s="8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8"/>
      <c r="B1005" s="8"/>
      <c r="C1005" s="8"/>
      <c r="D1005" s="8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8"/>
      <c r="B1006" s="8"/>
      <c r="C1006" s="8"/>
      <c r="D1006" s="8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8"/>
      <c r="B1007" s="8"/>
      <c r="C1007" s="8"/>
      <c r="D1007" s="8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8"/>
      <c r="B1008" s="8"/>
      <c r="C1008" s="8"/>
      <c r="D1008" s="8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8"/>
      <c r="B1009" s="8"/>
      <c r="C1009" s="8"/>
      <c r="D1009" s="8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8"/>
      <c r="B1010" s="8"/>
      <c r="C1010" s="8"/>
      <c r="D1010" s="8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8"/>
      <c r="B1011" s="8"/>
      <c r="C1011" s="8"/>
      <c r="D1011" s="8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8"/>
      <c r="B1012" s="8"/>
      <c r="C1012" s="8"/>
      <c r="D1012" s="8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8"/>
      <c r="B1013" s="8"/>
      <c r="C1013" s="8"/>
      <c r="D1013" s="8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8"/>
      <c r="B1014" s="8"/>
      <c r="C1014" s="8"/>
      <c r="D1014" s="8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8"/>
      <c r="B1015" s="8"/>
      <c r="C1015" s="8"/>
      <c r="D1015" s="8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8"/>
      <c r="B1016" s="8"/>
      <c r="C1016" s="8"/>
      <c r="D1016" s="8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8"/>
      <c r="B1017" s="8"/>
      <c r="C1017" s="8"/>
      <c r="D1017" s="8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8"/>
      <c r="B1018" s="8"/>
      <c r="C1018" s="8"/>
      <c r="D1018" s="8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8"/>
      <c r="B1019" s="8"/>
      <c r="C1019" s="8"/>
      <c r="D1019" s="8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8"/>
      <c r="B1020" s="8"/>
      <c r="C1020" s="8"/>
      <c r="D1020" s="8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>
      <c r="A1021" s="8"/>
      <c r="B1021" s="8"/>
      <c r="C1021" s="8"/>
      <c r="D1021" s="8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>
      <c r="A1022" s="8"/>
      <c r="B1022" s="8"/>
      <c r="C1022" s="8"/>
      <c r="D1022" s="8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>
      <c r="A1023" s="8"/>
      <c r="B1023" s="8"/>
      <c r="C1023" s="8"/>
      <c r="D1023" s="8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>
      <c r="A1024" s="8"/>
      <c r="B1024" s="8"/>
      <c r="C1024" s="8"/>
      <c r="D1024" s="8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>
      <c r="A1025" s="8"/>
      <c r="B1025" s="8"/>
      <c r="C1025" s="8"/>
      <c r="D1025" s="8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>
      <c r="A1026" s="8"/>
      <c r="B1026" s="8"/>
      <c r="C1026" s="8"/>
      <c r="D1026" s="8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>
      <c r="A1027" s="8"/>
      <c r="B1027" s="8"/>
      <c r="C1027" s="8"/>
      <c r="D1027" s="8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>
      <c r="A1028" s="8"/>
      <c r="B1028" s="8"/>
      <c r="C1028" s="8"/>
      <c r="D1028" s="8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>
      <c r="A1029" s="8"/>
      <c r="B1029" s="8"/>
      <c r="C1029" s="8"/>
      <c r="D1029" s="8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>
      <c r="A1030" s="8"/>
      <c r="B1030" s="8"/>
      <c r="C1030" s="8"/>
      <c r="D1030" s="8"/>
      <c r="E1030" s="7"/>
      <c r="F1030" s="7"/>
      <c r="G1030" s="7"/>
      <c r="I1030" s="7"/>
      <c r="J1030" s="7"/>
      <c r="K1030" s="7"/>
      <c r="L1030" s="7"/>
      <c r="M1030" s="7"/>
      <c r="N1030" s="7"/>
      <c r="O1030" s="7"/>
      <c r="R1030" s="7"/>
      <c r="S1030" s="7"/>
      <c r="T1030" s="7"/>
      <c r="U1030" s="7"/>
      <c r="V1030" s="7"/>
      <c r="W1030" s="7"/>
      <c r="X1030" s="7"/>
      <c r="Y1030" s="7"/>
    </row>
    <row r="1031">
      <c r="A1031" s="8"/>
      <c r="B1031" s="8"/>
      <c r="C1031" s="8"/>
      <c r="D1031" s="8"/>
      <c r="E1031" s="7"/>
      <c r="F1031" s="7"/>
      <c r="G1031" s="7"/>
      <c r="J1031" s="7"/>
      <c r="K1031" s="7"/>
      <c r="L1031" s="7"/>
      <c r="M1031" s="7"/>
      <c r="N1031" s="7"/>
      <c r="O1031" s="7"/>
      <c r="R1031" s="7"/>
      <c r="S1031" s="7"/>
      <c r="T1031" s="7"/>
      <c r="U1031" s="7"/>
      <c r="V1031" s="7"/>
      <c r="W1031" s="7"/>
      <c r="X1031" s="7"/>
      <c r="Y1031" s="7"/>
    </row>
    <row r="1032">
      <c r="A1032" s="8"/>
      <c r="B1032" s="8"/>
      <c r="C1032" s="8"/>
      <c r="D1032" s="8"/>
      <c r="E1032" s="7"/>
      <c r="F1032" s="7"/>
      <c r="G1032" s="7"/>
      <c r="J1032" s="7"/>
      <c r="K1032" s="7"/>
      <c r="L1032" s="7"/>
      <c r="M1032" s="7"/>
      <c r="N1032" s="7"/>
      <c r="O1032" s="7"/>
      <c r="R1032" s="7"/>
      <c r="S1032" s="7"/>
      <c r="T1032" s="7"/>
      <c r="U1032" s="7"/>
      <c r="V1032" s="7"/>
      <c r="W1032" s="7"/>
      <c r="X1032" s="7"/>
      <c r="Y1032" s="7"/>
    </row>
    <row r="1033">
      <c r="A1033" s="8"/>
      <c r="B1033" s="8"/>
      <c r="C1033" s="8"/>
      <c r="D1033" s="8"/>
      <c r="E1033" s="7"/>
      <c r="F1033" s="7"/>
      <c r="G1033" s="7"/>
      <c r="J1033" s="7"/>
      <c r="K1033" s="7"/>
      <c r="L1033" s="7"/>
      <c r="M1033" s="7"/>
      <c r="N1033" s="7"/>
      <c r="O1033" s="7"/>
      <c r="R1033" s="7"/>
      <c r="S1033" s="7"/>
      <c r="T1033" s="7"/>
      <c r="U1033" s="7"/>
      <c r="V1033" s="7"/>
      <c r="W1033" s="7"/>
      <c r="X1033" s="7"/>
      <c r="Y1033" s="7"/>
    </row>
    <row r="1034">
      <c r="A1034" s="8"/>
      <c r="B1034" s="8"/>
      <c r="C1034" s="8"/>
      <c r="D1034" s="8"/>
      <c r="E1034" s="7"/>
      <c r="F1034" s="7"/>
      <c r="G1034" s="7"/>
      <c r="J1034" s="7"/>
      <c r="K1034" s="7"/>
      <c r="L1034" s="7"/>
      <c r="M1034" s="7"/>
      <c r="N1034" s="7"/>
      <c r="O1034" s="7"/>
      <c r="R1034" s="7"/>
      <c r="S1034" s="7"/>
      <c r="T1034" s="7"/>
      <c r="U1034" s="7"/>
      <c r="V1034" s="7"/>
      <c r="W1034" s="7"/>
      <c r="X1034" s="7"/>
      <c r="Y1034" s="7"/>
    </row>
    <row r="1035">
      <c r="A1035" s="8"/>
      <c r="B1035" s="8"/>
      <c r="C1035" s="8"/>
      <c r="D1035" s="8"/>
      <c r="E1035" s="7"/>
      <c r="F1035" s="7"/>
      <c r="G1035" s="7"/>
      <c r="J1035" s="7"/>
      <c r="K1035" s="7"/>
      <c r="L1035" s="7"/>
      <c r="M1035" s="7"/>
      <c r="N1035" s="7"/>
      <c r="O1035" s="7"/>
      <c r="R1035" s="7"/>
      <c r="S1035" s="7"/>
      <c r="T1035" s="7"/>
      <c r="U1035" s="7"/>
      <c r="V1035" s="7"/>
      <c r="W1035" s="7"/>
      <c r="X1035" s="7"/>
      <c r="Y1035" s="7"/>
    </row>
    <row r="1036">
      <c r="A1036" s="8"/>
      <c r="B1036" s="8"/>
      <c r="C1036" s="8"/>
      <c r="D1036" s="8"/>
      <c r="E1036" s="7"/>
      <c r="F1036" s="7"/>
      <c r="G1036" s="7"/>
      <c r="J1036" s="7"/>
      <c r="K1036" s="7"/>
      <c r="L1036" s="7"/>
      <c r="M1036" s="7"/>
      <c r="N1036" s="7"/>
      <c r="O1036" s="7"/>
      <c r="R1036" s="7"/>
      <c r="S1036" s="7"/>
      <c r="T1036" s="7"/>
      <c r="U1036" s="7"/>
      <c r="V1036" s="7"/>
      <c r="W1036" s="7"/>
      <c r="X1036" s="7"/>
      <c r="Y1036" s="7"/>
    </row>
    <row r="1037">
      <c r="A1037" s="8"/>
      <c r="B1037" s="8"/>
      <c r="C1037" s="8"/>
      <c r="D1037" s="8"/>
      <c r="E1037" s="7"/>
      <c r="F1037" s="7"/>
      <c r="G1037" s="7"/>
      <c r="J1037" s="7"/>
      <c r="K1037" s="7"/>
      <c r="L1037" s="7"/>
      <c r="M1037" s="7"/>
      <c r="N1037" s="7"/>
      <c r="O1037" s="7"/>
      <c r="R1037" s="7"/>
      <c r="S1037" s="7"/>
      <c r="T1037" s="7"/>
      <c r="U1037" s="7"/>
      <c r="V1037" s="7"/>
      <c r="W1037" s="7"/>
      <c r="X1037" s="7"/>
      <c r="Y1037" s="7"/>
    </row>
    <row r="1038">
      <c r="A1038" s="8"/>
      <c r="B1038" s="8"/>
      <c r="C1038" s="8"/>
      <c r="D1038" s="8"/>
      <c r="E1038" s="7"/>
      <c r="F1038" s="7"/>
      <c r="G1038" s="7"/>
      <c r="J1038" s="7"/>
      <c r="K1038" s="7"/>
      <c r="L1038" s="7"/>
      <c r="M1038" s="7"/>
      <c r="N1038" s="7"/>
      <c r="O1038" s="7"/>
      <c r="R1038" s="7"/>
      <c r="S1038" s="7"/>
      <c r="T1038" s="7"/>
      <c r="U1038" s="7"/>
      <c r="V1038" s="7"/>
      <c r="W1038" s="7"/>
      <c r="X1038" s="7"/>
      <c r="Y1038" s="7"/>
    </row>
    <row r="1039">
      <c r="D1039" s="8"/>
      <c r="E1039" s="7"/>
      <c r="F1039" s="7"/>
      <c r="G1039" s="7"/>
      <c r="J1039" s="7"/>
      <c r="K1039" s="7"/>
      <c r="L1039" s="7"/>
      <c r="M1039" s="7"/>
      <c r="N1039" s="7"/>
      <c r="O1039" s="7"/>
      <c r="R1039" s="7"/>
      <c r="S1039" s="7"/>
      <c r="T1039" s="7"/>
      <c r="U1039" s="7"/>
      <c r="V1039" s="7"/>
      <c r="W1039" s="7"/>
      <c r="X1039" s="7"/>
      <c r="Y1039" s="7"/>
    </row>
    <row r="1040">
      <c r="D1040" s="8"/>
      <c r="E1040" s="7"/>
      <c r="F1040" s="7"/>
      <c r="G1040" s="7"/>
      <c r="J1040" s="7"/>
      <c r="K1040" s="7"/>
      <c r="L1040" s="7"/>
      <c r="M1040" s="7"/>
      <c r="N1040" s="7"/>
      <c r="O1040" s="7"/>
      <c r="R1040" s="7"/>
      <c r="S1040" s="7"/>
      <c r="T1040" s="7"/>
      <c r="U1040" s="7"/>
      <c r="V1040" s="7"/>
      <c r="W1040" s="7"/>
      <c r="X1040" s="7"/>
      <c r="Y1040" s="7"/>
    </row>
    <row r="1041">
      <c r="D1041" s="8"/>
      <c r="F1041" s="7"/>
      <c r="G1041" s="7"/>
      <c r="R1041" s="7"/>
      <c r="S1041" s="7"/>
      <c r="T1041" s="7"/>
      <c r="U1041" s="7"/>
      <c r="V1041" s="7"/>
      <c r="W1041" s="7"/>
      <c r="X1041" s="7"/>
      <c r="Y1041" s="7"/>
    </row>
    <row r="1042">
      <c r="D1042" s="8"/>
      <c r="G1042" s="7"/>
      <c r="R1042" s="7"/>
      <c r="S1042" s="7"/>
      <c r="T1042" s="7"/>
      <c r="U1042" s="7"/>
      <c r="V1042" s="7"/>
      <c r="W1042" s="7"/>
      <c r="X1042" s="7"/>
      <c r="Y1042" s="7"/>
    </row>
    <row r="1043">
      <c r="D1043" s="8"/>
      <c r="G1043" s="7"/>
      <c r="R1043" s="7"/>
      <c r="S1043" s="7"/>
      <c r="T1043" s="7"/>
      <c r="U1043" s="7"/>
      <c r="V1043" s="7"/>
      <c r="W1043" s="7"/>
      <c r="X1043" s="7"/>
      <c r="Y1043" s="7"/>
    </row>
  </sheetData>
  <conditionalFormatting sqref="B2:B1043">
    <cfRule type="expression" dxfId="0" priority="1">
      <formula>AND(ISNUMBER($B2), IFERROR($B2 &lt;&gt; VALUE(REGEXEXTRACT($H2, "@\s*([0-9.]+)")), FALSE))</formula>
    </cfRule>
  </conditionalFormatting>
  <conditionalFormatting sqref="D2:D1043">
    <cfRule type="expression" dxfId="0" priority="2" stopIfTrue="1">
      <formula>AND(ISNUMBER($D2), IFERROR($D2 &lt;&gt; VALUE(REGEXEXTRACT($I2, "@\s*([0-9.]+)")), FALSE))</formula>
    </cfRule>
  </conditionalFormatting>
  <printOptions horizontalCentered="1"/>
  <pageMargins bottom="0.0" footer="0.0" header="0.0" left="0.25" right="0.25" top="0.07902238026698276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2" max="2" width="6.75"/>
    <col customWidth="1" min="3" max="3" width="8.63"/>
    <col customWidth="1" min="4" max="4" width="6.38"/>
    <col customWidth="1" min="5" max="5" width="36.5"/>
    <col customWidth="1" min="6" max="6" width="7.0"/>
    <col customWidth="1" min="7" max="7" width="8.63"/>
    <col customWidth="1" min="8" max="8" width="9.25"/>
  </cols>
  <sheetData>
    <row r="1" ht="117.75" customHeight="1">
      <c r="A1" s="6" t="str">
        <f>CONCATENATE( "ข้อมูล ณ วันที่ ", CHAR(10), TEXT(TODAY(), "dd/mm/yyyy"), CHAR(10),"ราคาอาจมีการเปลี่ยนแปลง")</f>
        <v>ข้อมูล ณ วันที่ 
30/10/2026
ราคาอาจมีการเปลี่ยนแปลง</v>
      </c>
    </row>
    <row r="2">
      <c r="A2" s="1" t="str">
        <f t="array" ref="A2:C31">Pork1</f>
        <v>🥩 หมวดเนื้อหมู และเนื้อวัว (สไลด์/หมัก)</v>
      </c>
      <c r="B2" s="1" t="s">
        <v>1</v>
      </c>
      <c r="C2" s="1" t="s">
        <v>2</v>
      </c>
      <c r="D2" s="2"/>
      <c r="E2" s="1" t="str">
        <f t="array" ref="E2:H18">Pices</f>
        <v>🦑 หมวดอาหารทะเล (หมึก ปลา ชิ้น)</v>
      </c>
      <c r="F2" s="1" t="s">
        <v>1</v>
      </c>
      <c r="G2" s="1" t="s">
        <v>2</v>
      </c>
      <c r="H2" s="1" t="s">
        <v>5</v>
      </c>
    </row>
    <row r="3">
      <c r="A3" s="9" t="s">
        <v>4</v>
      </c>
      <c r="B3" s="9">
        <v>590.0</v>
      </c>
      <c r="C3" s="10">
        <v>118.0</v>
      </c>
      <c r="D3" s="2"/>
      <c r="E3" s="9" t="s">
        <v>6</v>
      </c>
      <c r="F3" s="9">
        <v>540.0</v>
      </c>
      <c r="G3" s="10">
        <v>54.0</v>
      </c>
      <c r="H3" s="15">
        <v>68.0</v>
      </c>
    </row>
    <row r="4">
      <c r="A4" s="9" t="s">
        <v>7</v>
      </c>
      <c r="B4" s="9">
        <v>765.0</v>
      </c>
      <c r="C4" s="16">
        <v>153.0</v>
      </c>
      <c r="D4" s="2"/>
      <c r="E4" s="16" t="s">
        <v>8</v>
      </c>
      <c r="F4" s="9">
        <v>590.0</v>
      </c>
      <c r="G4" s="10">
        <v>59.0</v>
      </c>
      <c r="H4" s="17">
        <v>65.0</v>
      </c>
    </row>
    <row r="5">
      <c r="A5" s="9" t="s">
        <v>9</v>
      </c>
      <c r="B5" s="9">
        <v>525.0</v>
      </c>
      <c r="C5" s="10">
        <v>105.0</v>
      </c>
      <c r="D5" s="2"/>
      <c r="E5" s="9" t="s">
        <v>10</v>
      </c>
      <c r="F5" s="9">
        <v>550.0</v>
      </c>
      <c r="G5" s="10">
        <v>55.0</v>
      </c>
      <c r="H5" s="15">
        <v>63.0</v>
      </c>
    </row>
    <row r="6">
      <c r="A6" s="9" t="s">
        <v>11</v>
      </c>
      <c r="B6" s="9">
        <v>490.0</v>
      </c>
      <c r="C6" s="10">
        <v>98.0</v>
      </c>
      <c r="D6" s="2"/>
      <c r="E6" s="9" t="s">
        <v>12</v>
      </c>
      <c r="F6" s="9">
        <v>600.0</v>
      </c>
      <c r="G6" s="10">
        <v>60.0</v>
      </c>
      <c r="H6" s="15">
        <v>70.0</v>
      </c>
    </row>
    <row r="7">
      <c r="A7" s="9" t="s">
        <v>13</v>
      </c>
      <c r="B7" s="9">
        <v>375.0</v>
      </c>
      <c r="C7" s="10">
        <v>75.0</v>
      </c>
      <c r="D7" s="2"/>
      <c r="E7" s="9" t="s">
        <v>14</v>
      </c>
      <c r="F7" s="9">
        <v>570.0</v>
      </c>
      <c r="G7" s="10">
        <v>57.0</v>
      </c>
      <c r="H7" s="15">
        <v>60.0</v>
      </c>
    </row>
    <row r="8">
      <c r="A8" s="9" t="s">
        <v>16</v>
      </c>
      <c r="B8" s="9">
        <v>400.0</v>
      </c>
      <c r="C8" s="10">
        <v>80.0</v>
      </c>
      <c r="D8" s="2"/>
      <c r="E8" s="9" t="s">
        <v>17</v>
      </c>
      <c r="F8" s="9">
        <v>630.0</v>
      </c>
      <c r="G8" s="10">
        <v>63.0</v>
      </c>
      <c r="H8" s="15">
        <v>70.0</v>
      </c>
    </row>
    <row r="9">
      <c r="A9" s="9" t="s">
        <v>18</v>
      </c>
      <c r="B9" s="9">
        <v>725.0</v>
      </c>
      <c r="C9" s="10">
        <v>145.0</v>
      </c>
      <c r="D9" s="2"/>
      <c r="E9" s="9" t="s">
        <v>19</v>
      </c>
      <c r="F9" s="9">
        <v>610.0</v>
      </c>
      <c r="G9" s="10">
        <v>61.0</v>
      </c>
      <c r="H9" s="15">
        <v>69.0</v>
      </c>
    </row>
    <row r="10">
      <c r="A10" s="9" t="s">
        <v>20</v>
      </c>
      <c r="B10" s="9">
        <v>490.0</v>
      </c>
      <c r="C10" s="10">
        <v>98.0</v>
      </c>
      <c r="D10" s="2"/>
      <c r="E10" s="9" t="s">
        <v>21</v>
      </c>
      <c r="F10" s="9">
        <v>770.0</v>
      </c>
      <c r="G10" s="10">
        <v>77.0</v>
      </c>
      <c r="H10" s="15">
        <v>85.0</v>
      </c>
    </row>
    <row r="11">
      <c r="A11" s="9" t="s">
        <v>22</v>
      </c>
      <c r="B11" s="9">
        <v>475.0</v>
      </c>
      <c r="C11" s="10">
        <v>95.0</v>
      </c>
      <c r="D11" s="2"/>
      <c r="E11" s="16" t="s">
        <v>23</v>
      </c>
      <c r="F11" s="9">
        <v>630.0</v>
      </c>
      <c r="G11" s="10">
        <v>63.0</v>
      </c>
      <c r="H11" s="15"/>
    </row>
    <row r="12">
      <c r="A12" s="9" t="s">
        <v>24</v>
      </c>
      <c r="B12" s="9">
        <v>475.0</v>
      </c>
      <c r="C12" s="16">
        <v>95.0</v>
      </c>
      <c r="D12" s="2"/>
      <c r="E12" s="9" t="s">
        <v>25</v>
      </c>
      <c r="F12" s="9">
        <v>830.0</v>
      </c>
      <c r="G12" s="10">
        <v>83.0</v>
      </c>
      <c r="H12" s="23"/>
    </row>
    <row r="13">
      <c r="A13" s="9" t="s">
        <v>26</v>
      </c>
      <c r="B13" s="9">
        <v>475.0</v>
      </c>
      <c r="C13" s="10">
        <v>95.0</v>
      </c>
      <c r="D13" s="2"/>
      <c r="E13" s="9" t="s">
        <v>28</v>
      </c>
      <c r="F13" s="9">
        <v>390.0</v>
      </c>
      <c r="G13" s="10">
        <v>39.0</v>
      </c>
      <c r="H13" s="23"/>
    </row>
    <row r="14">
      <c r="A14" s="9" t="s">
        <v>29</v>
      </c>
      <c r="B14" s="9">
        <v>550.0</v>
      </c>
      <c r="C14" s="10">
        <v>110.0</v>
      </c>
      <c r="D14" s="2"/>
      <c r="E14" s="9" t="s">
        <v>30</v>
      </c>
      <c r="F14" s="9">
        <v>470.0</v>
      </c>
      <c r="G14" s="10">
        <v>47.0</v>
      </c>
      <c r="H14" s="23"/>
    </row>
    <row r="15">
      <c r="A15" s="9" t="s">
        <v>31</v>
      </c>
      <c r="B15" s="9">
        <v>550.0</v>
      </c>
      <c r="C15" s="10">
        <v>110.0</v>
      </c>
      <c r="D15" s="2"/>
      <c r="E15" s="9" t="s">
        <v>32</v>
      </c>
      <c r="F15" s="9">
        <v>680.0</v>
      </c>
      <c r="G15" s="10">
        <v>68.0</v>
      </c>
      <c r="H15" s="15">
        <v>70.0</v>
      </c>
    </row>
    <row r="16">
      <c r="A16" s="9" t="s">
        <v>33</v>
      </c>
      <c r="B16" s="9">
        <v>475.0</v>
      </c>
      <c r="C16" s="10">
        <v>95.0</v>
      </c>
      <c r="D16" s="2"/>
      <c r="E16" s="9" t="s">
        <v>34</v>
      </c>
      <c r="F16" s="9">
        <v>560.0</v>
      </c>
      <c r="G16" s="10">
        <v>56.0</v>
      </c>
      <c r="H16" s="23"/>
    </row>
    <row r="17">
      <c r="A17" s="9" t="s">
        <v>35</v>
      </c>
      <c r="B17" s="9">
        <v>560.0</v>
      </c>
      <c r="C17" s="10">
        <v>112.0</v>
      </c>
      <c r="D17" s="2"/>
      <c r="E17" s="9" t="s">
        <v>37</v>
      </c>
      <c r="F17" s="9">
        <v>650.0</v>
      </c>
      <c r="G17" s="10">
        <v>65.0</v>
      </c>
      <c r="H17" s="15">
        <v>85.0</v>
      </c>
    </row>
    <row r="18">
      <c r="A18" s="9" t="s">
        <v>38</v>
      </c>
      <c r="B18" s="9">
        <v>525.0</v>
      </c>
      <c r="C18" s="10">
        <v>105.0</v>
      </c>
      <c r="D18" s="2"/>
      <c r="E18" s="9" t="s">
        <v>39</v>
      </c>
      <c r="F18" s="9">
        <v>840.0</v>
      </c>
      <c r="G18" s="10">
        <v>84.0</v>
      </c>
      <c r="H18" s="15">
        <v>90.0</v>
      </c>
    </row>
    <row r="19">
      <c r="A19" s="9" t="s">
        <v>41</v>
      </c>
      <c r="B19" s="9">
        <v>650.0</v>
      </c>
      <c r="C19" s="10">
        <v>130.0</v>
      </c>
      <c r="D19" s="2"/>
      <c r="E19" s="26"/>
      <c r="F19" s="26"/>
      <c r="G19" s="26"/>
      <c r="H19" s="28"/>
    </row>
    <row r="20">
      <c r="A20" s="9" t="s">
        <v>43</v>
      </c>
      <c r="B20" s="9">
        <v>725.0</v>
      </c>
      <c r="C20" s="10">
        <v>145.0</v>
      </c>
      <c r="D20" s="2"/>
      <c r="E20" s="1" t="str">
        <f t="array" ref="E20:H31">Fried</f>
        <v>🍟 หมวดของทานเล่น และของทอด</v>
      </c>
      <c r="F20" s="1" t="s">
        <v>1</v>
      </c>
      <c r="G20" s="1" t="s">
        <v>2</v>
      </c>
      <c r="H20" s="1" t="s">
        <v>5</v>
      </c>
    </row>
    <row r="21">
      <c r="A21" s="9" t="s">
        <v>49</v>
      </c>
      <c r="B21" s="9">
        <v>675.0</v>
      </c>
      <c r="C21" s="10">
        <v>135.0</v>
      </c>
      <c r="D21" s="2"/>
      <c r="E21" s="9" t="s">
        <v>50</v>
      </c>
      <c r="F21" s="30">
        <v>1000.0</v>
      </c>
      <c r="G21" s="10">
        <v>100.0</v>
      </c>
      <c r="H21" s="15">
        <v>105.0</v>
      </c>
    </row>
    <row r="22">
      <c r="A22" s="9" t="s">
        <v>51</v>
      </c>
      <c r="B22" s="30">
        <v>925.0</v>
      </c>
      <c r="C22" s="10">
        <v>185.0</v>
      </c>
      <c r="D22" s="2"/>
      <c r="E22" s="9" t="s">
        <v>52</v>
      </c>
      <c r="F22" s="9">
        <v>630.0</v>
      </c>
      <c r="G22" s="10">
        <v>63.0</v>
      </c>
      <c r="H22" s="15">
        <v>65.0</v>
      </c>
    </row>
    <row r="23">
      <c r="A23" s="9" t="s">
        <v>53</v>
      </c>
      <c r="B23" s="30">
        <v>740.0</v>
      </c>
      <c r="C23" s="10">
        <v>148.0</v>
      </c>
      <c r="D23" s="31"/>
      <c r="E23" s="9" t="s">
        <v>54</v>
      </c>
      <c r="F23" s="30">
        <v>1180.0</v>
      </c>
      <c r="G23" s="32">
        <v>36.875</v>
      </c>
      <c r="H23" s="15">
        <v>48.0</v>
      </c>
    </row>
    <row r="24">
      <c r="A24" s="9" t="s">
        <v>55</v>
      </c>
      <c r="B24" s="9">
        <v>595.0</v>
      </c>
      <c r="C24" s="10">
        <v>119.0</v>
      </c>
      <c r="D24" s="2"/>
      <c r="E24" s="9" t="s">
        <v>56</v>
      </c>
      <c r="F24" s="9">
        <v>530.0</v>
      </c>
      <c r="G24" s="10">
        <v>53.0</v>
      </c>
      <c r="H24" s="15">
        <v>70.0</v>
      </c>
    </row>
    <row r="25">
      <c r="A25" s="9" t="s">
        <v>57</v>
      </c>
      <c r="B25" s="9">
        <v>715.0</v>
      </c>
      <c r="C25" s="10">
        <v>143.0</v>
      </c>
      <c r="D25" s="2"/>
      <c r="E25" s="9" t="s">
        <v>58</v>
      </c>
      <c r="F25" s="9">
        <v>530.0</v>
      </c>
      <c r="G25" s="10">
        <v>53.0</v>
      </c>
      <c r="H25" s="15">
        <v>70.0</v>
      </c>
    </row>
    <row r="26">
      <c r="A26" s="9" t="s">
        <v>59</v>
      </c>
      <c r="B26" s="9">
        <v>740.0</v>
      </c>
      <c r="C26" s="10">
        <v>148.0</v>
      </c>
      <c r="D26" s="2"/>
      <c r="E26" s="9" t="s">
        <v>60</v>
      </c>
      <c r="F26" s="9">
        <v>530.0</v>
      </c>
      <c r="G26" s="10">
        <v>53.0</v>
      </c>
      <c r="H26" s="15">
        <v>70.0</v>
      </c>
    </row>
    <row r="27">
      <c r="A27" s="9" t="s">
        <v>61</v>
      </c>
      <c r="B27" s="9">
        <v>190.0</v>
      </c>
      <c r="C27" s="10">
        <v>95.0</v>
      </c>
      <c r="D27" s="2"/>
      <c r="E27" s="9" t="s">
        <v>62</v>
      </c>
      <c r="F27" s="9">
        <v>1150.0</v>
      </c>
      <c r="G27" s="10">
        <v>115.0</v>
      </c>
      <c r="H27" s="15">
        <v>120.0</v>
      </c>
    </row>
    <row r="28">
      <c r="A28" s="9" t="s">
        <v>63</v>
      </c>
      <c r="B28" s="9">
        <v>400.0</v>
      </c>
      <c r="C28" s="10">
        <v>80.0</v>
      </c>
      <c r="D28" s="2"/>
      <c r="E28" s="9" t="s">
        <v>64</v>
      </c>
      <c r="F28" s="9">
        <v>800.0</v>
      </c>
      <c r="G28" s="10">
        <v>100.0</v>
      </c>
      <c r="H28" s="23"/>
    </row>
    <row r="29">
      <c r="A29" s="9" t="s">
        <v>65</v>
      </c>
      <c r="B29" s="9">
        <v>980.0</v>
      </c>
      <c r="C29" s="10">
        <v>98.0</v>
      </c>
      <c r="D29" s="2"/>
      <c r="E29" s="9" t="s">
        <v>66</v>
      </c>
      <c r="F29" s="30">
        <v>1120.0</v>
      </c>
      <c r="G29" s="10">
        <v>112.0</v>
      </c>
      <c r="H29" s="23"/>
    </row>
    <row r="30">
      <c r="A30" s="9" t="s">
        <v>67</v>
      </c>
      <c r="B30" s="9">
        <v>900.0</v>
      </c>
      <c r="C30" s="10">
        <v>90.0</v>
      </c>
      <c r="D30" s="2"/>
      <c r="E30" s="9" t="s">
        <v>68</v>
      </c>
      <c r="F30" s="30">
        <v>1120.0</v>
      </c>
      <c r="G30" s="10">
        <v>80.0</v>
      </c>
      <c r="H30" s="15">
        <v>85.0</v>
      </c>
    </row>
    <row r="31" ht="17.25" customHeight="1">
      <c r="A31" s="9"/>
      <c r="B31" s="9"/>
      <c r="C31" s="10"/>
      <c r="D31" s="2"/>
      <c r="E31" s="9"/>
      <c r="F31" s="30"/>
      <c r="G31" s="10"/>
      <c r="H31" s="15"/>
    </row>
    <row r="32">
      <c r="A32" s="26"/>
      <c r="B32" s="26"/>
      <c r="C32" s="26"/>
      <c r="D32" s="2"/>
      <c r="E32" s="33" t="str">
        <f t="array" ref="E32:H37">InPork</f>
        <v>🥓 หมวดเครื่องในหมู</v>
      </c>
      <c r="F32" s="33" t="s">
        <v>1</v>
      </c>
      <c r="G32" s="33" t="s">
        <v>2</v>
      </c>
      <c r="H32" s="33" t="s">
        <v>5</v>
      </c>
    </row>
    <row r="33">
      <c r="A33" s="1" t="str">
        <f t="array" ref="A33:C43">Nammmm</f>
        <v>🥗 หมวดเครื่องใน และของยำ</v>
      </c>
      <c r="B33" s="1" t="s">
        <v>1</v>
      </c>
      <c r="C33" s="1" t="s">
        <v>2</v>
      </c>
      <c r="D33" s="2"/>
      <c r="E33" s="9" t="s">
        <v>69</v>
      </c>
      <c r="F33" s="9">
        <v>850.0</v>
      </c>
      <c r="G33" s="16">
        <v>85.0</v>
      </c>
      <c r="H33" s="15">
        <v>90.0</v>
      </c>
    </row>
    <row r="34">
      <c r="A34" s="9" t="s">
        <v>70</v>
      </c>
      <c r="B34" s="9">
        <v>300.0</v>
      </c>
      <c r="C34" s="10">
        <v>60.0</v>
      </c>
      <c r="D34" s="2"/>
      <c r="E34" s="9" t="s">
        <v>71</v>
      </c>
      <c r="F34" s="9">
        <v>90.0</v>
      </c>
      <c r="G34" s="16"/>
      <c r="H34" s="15"/>
    </row>
    <row r="35">
      <c r="A35" s="9" t="s">
        <v>72</v>
      </c>
      <c r="B35" s="9">
        <v>515.0</v>
      </c>
      <c r="C35" s="16">
        <v>103.0</v>
      </c>
      <c r="D35" s="2"/>
      <c r="E35" s="9" t="s">
        <v>73</v>
      </c>
      <c r="F35" s="9">
        <v>900.0</v>
      </c>
      <c r="G35" s="16">
        <v>90.0</v>
      </c>
      <c r="H35" s="15">
        <v>90.0</v>
      </c>
    </row>
    <row r="36">
      <c r="A36" s="9" t="s">
        <v>74</v>
      </c>
      <c r="B36" s="9">
        <v>515.0</v>
      </c>
      <c r="C36" s="10">
        <v>103.0</v>
      </c>
      <c r="D36" s="2"/>
      <c r="E36" s="9" t="s">
        <v>75</v>
      </c>
      <c r="F36" s="9">
        <v>95.0</v>
      </c>
      <c r="G36" s="16"/>
      <c r="H36" s="15"/>
    </row>
    <row r="37" ht="18.0" customHeight="1">
      <c r="A37" s="9" t="s">
        <v>76</v>
      </c>
      <c r="B37" s="9">
        <v>690.0</v>
      </c>
      <c r="C37" s="10">
        <v>138.0</v>
      </c>
      <c r="D37" s="2"/>
      <c r="E37" s="10"/>
      <c r="F37" s="10"/>
      <c r="G37" s="10"/>
      <c r="H37" s="23"/>
    </row>
    <row r="38">
      <c r="A38" s="9" t="s">
        <v>77</v>
      </c>
      <c r="B38" s="9">
        <v>775.0</v>
      </c>
      <c r="C38" s="10">
        <v>155.0</v>
      </c>
      <c r="D38" s="2"/>
      <c r="E38" s="1" t="str">
        <f t="array" ref="E38:H45">Source</f>
        <v>🍄 หมวดเห็ด สาหร่าย และน้ำจิ้ม</v>
      </c>
      <c r="F38" s="1" t="s">
        <v>1</v>
      </c>
      <c r="G38" s="1" t="s">
        <v>2</v>
      </c>
      <c r="H38" s="1" t="s">
        <v>5</v>
      </c>
    </row>
    <row r="39">
      <c r="A39" s="9" t="s">
        <v>78</v>
      </c>
      <c r="B39" s="9">
        <v>660.0</v>
      </c>
      <c r="C39" s="10">
        <v>132.0</v>
      </c>
      <c r="D39" s="36"/>
      <c r="E39" s="9" t="s">
        <v>79</v>
      </c>
      <c r="F39" s="9">
        <v>950.0</v>
      </c>
      <c r="G39" s="10">
        <v>95.0</v>
      </c>
      <c r="H39" s="15">
        <v>105.0</v>
      </c>
    </row>
    <row r="40">
      <c r="A40" s="9" t="s">
        <v>80</v>
      </c>
      <c r="B40" s="9">
        <v>590.0</v>
      </c>
      <c r="C40" s="10">
        <v>118.0</v>
      </c>
      <c r="D40" s="2"/>
      <c r="E40" s="9" t="s">
        <v>81</v>
      </c>
      <c r="F40" s="30">
        <v>1180.0</v>
      </c>
      <c r="G40" s="10">
        <v>147.5</v>
      </c>
      <c r="H40" s="15">
        <v>170.0</v>
      </c>
    </row>
    <row r="41">
      <c r="A41" s="9" t="s">
        <v>82</v>
      </c>
      <c r="B41" s="9">
        <v>725.0</v>
      </c>
      <c r="C41" s="10">
        <v>145.0</v>
      </c>
      <c r="D41" s="2"/>
      <c r="E41" s="9" t="s">
        <v>83</v>
      </c>
      <c r="F41" s="9">
        <v>840.0</v>
      </c>
      <c r="G41" s="10">
        <v>210.0</v>
      </c>
      <c r="H41" s="15">
        <v>215.0</v>
      </c>
    </row>
    <row r="42">
      <c r="A42" s="9" t="s">
        <v>84</v>
      </c>
      <c r="B42" s="9">
        <v>780.0</v>
      </c>
      <c r="C42" s="10">
        <v>78.0</v>
      </c>
      <c r="D42" s="2"/>
      <c r="E42" s="9" t="s">
        <v>85</v>
      </c>
      <c r="F42" s="9">
        <v>800.0</v>
      </c>
      <c r="G42" s="10">
        <v>200.0</v>
      </c>
      <c r="H42" s="15">
        <v>225.0</v>
      </c>
    </row>
    <row r="43">
      <c r="A43" s="9" t="s">
        <v>86</v>
      </c>
      <c r="B43" s="9">
        <v>450.0</v>
      </c>
      <c r="C43" s="10">
        <v>90.0</v>
      </c>
      <c r="D43" s="2"/>
      <c r="E43" s="9" t="s">
        <v>87</v>
      </c>
      <c r="F43" s="9">
        <v>780.0</v>
      </c>
      <c r="G43" s="10">
        <v>390.0</v>
      </c>
      <c r="H43" s="15">
        <v>405.0</v>
      </c>
    </row>
    <row r="44">
      <c r="D44" s="2"/>
      <c r="E44" s="9" t="s">
        <v>88</v>
      </c>
      <c r="F44" s="9">
        <v>820.0</v>
      </c>
      <c r="G44" s="10">
        <v>205.0</v>
      </c>
      <c r="H44" s="15">
        <v>210.0</v>
      </c>
    </row>
    <row r="45">
      <c r="A45" s="37"/>
      <c r="B45" s="37"/>
      <c r="C45" s="37"/>
      <c r="D45" s="36"/>
      <c r="E45" s="37"/>
      <c r="F45" s="37"/>
      <c r="G45" s="37"/>
      <c r="H45" s="38"/>
    </row>
    <row r="46">
      <c r="A46" s="37"/>
      <c r="B46" s="37"/>
      <c r="C46" s="37"/>
      <c r="D46" s="36"/>
      <c r="E46" s="37"/>
      <c r="F46" s="37"/>
      <c r="G46" s="37"/>
      <c r="H46" s="38"/>
    </row>
    <row r="47">
      <c r="A47" s="37"/>
      <c r="B47" s="37"/>
      <c r="C47" s="37"/>
      <c r="D47" s="36"/>
      <c r="E47" s="37"/>
      <c r="F47" s="37"/>
      <c r="G47" s="37"/>
      <c r="H47" s="38"/>
    </row>
    <row r="48">
      <c r="A48" s="33" t="str">
        <f t="array" ref="A48:C71">Fresh</f>
        <v>🦑 หมวดอาหารทะเล (หมึก ปู หอย กะพรุน)</v>
      </c>
      <c r="B48" s="33" t="s">
        <v>1</v>
      </c>
      <c r="C48" s="33" t="s">
        <v>2</v>
      </c>
      <c r="D48" s="2"/>
      <c r="E48" s="33" t="str">
        <f t="array" ref="E48:H52">Beacon</f>
        <v>🥓 หมวดเบคอน และมันหมู</v>
      </c>
      <c r="F48" s="33" t="s">
        <v>1</v>
      </c>
      <c r="G48" s="33" t="s">
        <v>2</v>
      </c>
      <c r="H48" s="33" t="s">
        <v>5</v>
      </c>
    </row>
    <row r="49">
      <c r="A49" s="9" t="s">
        <v>89</v>
      </c>
      <c r="B49" s="9">
        <v>187.0</v>
      </c>
      <c r="C49" s="10"/>
      <c r="D49" s="2"/>
      <c r="E49" s="9" t="s">
        <v>90</v>
      </c>
      <c r="F49" s="30">
        <v>1420.0</v>
      </c>
      <c r="G49" s="10">
        <v>142.0</v>
      </c>
      <c r="H49" s="15">
        <v>145.0</v>
      </c>
    </row>
    <row r="50">
      <c r="A50" s="9" t="s">
        <v>91</v>
      </c>
      <c r="B50" s="9">
        <v>197.0</v>
      </c>
      <c r="C50" s="10"/>
      <c r="D50" s="2"/>
      <c r="E50" s="9" t="s">
        <v>92</v>
      </c>
      <c r="F50" s="9">
        <v>775.0</v>
      </c>
      <c r="G50" s="10">
        <v>77.5</v>
      </c>
      <c r="H50" s="15">
        <v>85.0</v>
      </c>
    </row>
    <row r="51">
      <c r="A51" s="9" t="s">
        <v>93</v>
      </c>
      <c r="B51" s="9">
        <v>189.0</v>
      </c>
      <c r="C51" s="10"/>
      <c r="D51" s="2"/>
      <c r="E51" s="9" t="s">
        <v>94</v>
      </c>
      <c r="F51" s="9">
        <v>700.0</v>
      </c>
      <c r="G51" s="10">
        <v>70.0</v>
      </c>
      <c r="H51" s="23"/>
    </row>
    <row r="52">
      <c r="A52" s="9" t="s">
        <v>95</v>
      </c>
      <c r="B52" s="9">
        <v>198.0</v>
      </c>
      <c r="C52" s="10"/>
      <c r="D52" s="2"/>
      <c r="E52" s="9" t="s">
        <v>96</v>
      </c>
      <c r="F52" s="9">
        <v>70.0</v>
      </c>
      <c r="G52" s="16">
        <v>70.0</v>
      </c>
      <c r="H52" s="15"/>
    </row>
    <row r="53">
      <c r="A53" s="9" t="s">
        <v>97</v>
      </c>
      <c r="B53" s="30">
        <v>1300.0</v>
      </c>
      <c r="C53" s="10">
        <v>130.0</v>
      </c>
      <c r="D53" s="2"/>
      <c r="E53" s="26"/>
      <c r="F53" s="26"/>
      <c r="G53" s="26"/>
      <c r="H53" s="28"/>
    </row>
    <row r="54">
      <c r="A54" s="9" t="s">
        <v>98</v>
      </c>
      <c r="B54" s="9">
        <v>590.0</v>
      </c>
      <c r="C54" s="16">
        <v>59.0</v>
      </c>
      <c r="D54" s="2"/>
      <c r="E54" s="1" t="str">
        <f t="array" ref="E54:H84">ball</f>
        <v>🍢 หมวดลูกชิ้น เต้าหู้ ปูอัด และ บุก</v>
      </c>
      <c r="F54" s="1" t="s">
        <v>1</v>
      </c>
      <c r="G54" s="1" t="s">
        <v>2</v>
      </c>
      <c r="H54" s="1" t="s">
        <v>5</v>
      </c>
    </row>
    <row r="55">
      <c r="A55" s="9" t="s">
        <v>99</v>
      </c>
      <c r="B55" s="9">
        <v>443.0</v>
      </c>
      <c r="C55" s="42">
        <v>59.06666666666667</v>
      </c>
      <c r="D55" s="2"/>
      <c r="E55" s="9" t="s">
        <v>100</v>
      </c>
      <c r="F55" s="9">
        <v>460.0</v>
      </c>
      <c r="G55" s="10">
        <v>46.0</v>
      </c>
      <c r="H55" s="23"/>
    </row>
    <row r="56">
      <c r="A56" s="9" t="s">
        <v>101</v>
      </c>
      <c r="B56" s="30">
        <v>980.0</v>
      </c>
      <c r="C56" s="42">
        <v>98.0</v>
      </c>
      <c r="D56" s="2"/>
      <c r="E56" s="9" t="s">
        <v>102</v>
      </c>
      <c r="F56" s="9">
        <v>365.0</v>
      </c>
      <c r="G56" s="10">
        <v>36.5</v>
      </c>
      <c r="H56" s="23"/>
    </row>
    <row r="57">
      <c r="A57" s="9" t="s">
        <v>103</v>
      </c>
      <c r="B57" s="30">
        <v>1440.0</v>
      </c>
      <c r="C57" s="10">
        <v>180.0</v>
      </c>
      <c r="D57" s="2"/>
      <c r="E57" s="9" t="s">
        <v>104</v>
      </c>
      <c r="F57" s="9">
        <v>75.0</v>
      </c>
      <c r="G57" s="10">
        <v>7.5</v>
      </c>
      <c r="H57" s="23"/>
    </row>
    <row r="58">
      <c r="A58" s="9" t="s">
        <v>105</v>
      </c>
      <c r="B58" s="30">
        <v>1064.0</v>
      </c>
      <c r="C58" s="42">
        <v>133.0</v>
      </c>
      <c r="D58" s="2"/>
      <c r="E58" s="9" t="s">
        <v>106</v>
      </c>
      <c r="F58" s="9">
        <v>90.0</v>
      </c>
      <c r="G58" s="16">
        <v>90.0</v>
      </c>
      <c r="H58" s="15"/>
    </row>
    <row r="59">
      <c r="A59" s="9" t="s">
        <v>107</v>
      </c>
      <c r="B59" s="30">
        <v>1380.0</v>
      </c>
      <c r="C59" s="10">
        <v>115.0</v>
      </c>
      <c r="D59" s="2"/>
      <c r="E59" s="9" t="s">
        <v>108</v>
      </c>
      <c r="F59" s="9">
        <v>590.0</v>
      </c>
      <c r="G59" s="10">
        <v>59.0</v>
      </c>
      <c r="H59" s="15">
        <v>65.0</v>
      </c>
    </row>
    <row r="60">
      <c r="A60" s="9" t="s">
        <v>109</v>
      </c>
      <c r="B60" s="30">
        <v>1450.0</v>
      </c>
      <c r="C60" s="10">
        <v>145.0</v>
      </c>
      <c r="D60" s="2"/>
      <c r="E60" s="9" t="s">
        <v>110</v>
      </c>
      <c r="F60" s="30">
        <v>2400.0</v>
      </c>
      <c r="G60" s="10">
        <v>120.0</v>
      </c>
      <c r="H60" s="15">
        <v>140.0</v>
      </c>
    </row>
    <row r="61">
      <c r="A61" s="9" t="s">
        <v>111</v>
      </c>
      <c r="B61" s="30">
        <v>1480.0</v>
      </c>
      <c r="C61" s="10">
        <v>148.0</v>
      </c>
      <c r="D61" s="2"/>
      <c r="E61" s="9" t="s">
        <v>112</v>
      </c>
      <c r="F61" s="30">
        <v>1240.0</v>
      </c>
      <c r="G61" s="10">
        <v>62.0</v>
      </c>
      <c r="H61" s="46">
        <v>70.0</v>
      </c>
    </row>
    <row r="62">
      <c r="A62" s="9" t="s">
        <v>113</v>
      </c>
      <c r="B62" s="9">
        <v>850.0</v>
      </c>
      <c r="C62" s="10">
        <v>85.0</v>
      </c>
      <c r="D62" s="2"/>
      <c r="E62" s="9" t="s">
        <v>114</v>
      </c>
      <c r="F62" s="9">
        <v>880.0</v>
      </c>
      <c r="G62" s="10">
        <v>44.0</v>
      </c>
      <c r="H62" s="15">
        <v>53.0</v>
      </c>
    </row>
    <row r="63">
      <c r="A63" s="9" t="s">
        <v>115</v>
      </c>
      <c r="B63" s="9">
        <v>690.0</v>
      </c>
      <c r="C63" s="10">
        <v>69.0</v>
      </c>
      <c r="D63" s="2"/>
      <c r="E63" s="9" t="s">
        <v>116</v>
      </c>
      <c r="F63" s="30">
        <v>1050.0</v>
      </c>
      <c r="G63" s="10">
        <v>52.5</v>
      </c>
      <c r="H63" s="15">
        <v>63.0</v>
      </c>
    </row>
    <row r="64">
      <c r="A64" s="9" t="s">
        <v>117</v>
      </c>
      <c r="B64" s="9">
        <v>490.0</v>
      </c>
      <c r="C64" s="10">
        <v>49.0</v>
      </c>
      <c r="D64" s="2"/>
      <c r="E64" s="9" t="s">
        <v>118</v>
      </c>
      <c r="F64" s="9">
        <v>900.0</v>
      </c>
      <c r="G64" s="10">
        <v>45.0</v>
      </c>
      <c r="H64" s="15">
        <v>50.0</v>
      </c>
    </row>
    <row r="65">
      <c r="A65" s="9" t="s">
        <v>119</v>
      </c>
      <c r="B65" s="30">
        <v>1100.0</v>
      </c>
      <c r="C65" s="10">
        <v>110.0</v>
      </c>
      <c r="D65" s="2"/>
      <c r="E65" s="9" t="s">
        <v>120</v>
      </c>
      <c r="F65" s="30">
        <v>1400.0</v>
      </c>
      <c r="G65" s="10">
        <v>70.0</v>
      </c>
      <c r="H65" s="15">
        <v>75.0</v>
      </c>
    </row>
    <row r="66">
      <c r="A66" s="9" t="s">
        <v>121</v>
      </c>
      <c r="B66" s="9">
        <v>920.0</v>
      </c>
      <c r="C66" s="10">
        <v>92.0</v>
      </c>
      <c r="D66" s="2"/>
      <c r="E66" s="9" t="s">
        <v>122</v>
      </c>
      <c r="F66" s="30">
        <v>1000.0</v>
      </c>
      <c r="G66" s="10">
        <v>50.0</v>
      </c>
      <c r="H66" s="15">
        <v>53.0</v>
      </c>
    </row>
    <row r="67">
      <c r="A67" s="9" t="s">
        <v>123</v>
      </c>
      <c r="B67" s="9">
        <v>980.0</v>
      </c>
      <c r="C67" s="10">
        <v>98.0</v>
      </c>
      <c r="D67" s="2"/>
      <c r="E67" s="9" t="s">
        <v>124</v>
      </c>
      <c r="F67" s="30">
        <v>1250.0</v>
      </c>
      <c r="G67" s="10">
        <v>62.5</v>
      </c>
      <c r="H67" s="15">
        <v>65.0</v>
      </c>
    </row>
    <row r="68">
      <c r="A68" s="9" t="s">
        <v>86</v>
      </c>
      <c r="B68" s="9">
        <v>450.0</v>
      </c>
      <c r="C68" s="10">
        <v>90.0</v>
      </c>
      <c r="D68" s="2"/>
      <c r="E68" s="9" t="s">
        <v>125</v>
      </c>
      <c r="F68" s="30">
        <v>1270.0</v>
      </c>
      <c r="G68" s="10">
        <v>63.5</v>
      </c>
      <c r="H68" s="15">
        <v>65.0</v>
      </c>
    </row>
    <row r="69">
      <c r="A69" s="9" t="s">
        <v>126</v>
      </c>
      <c r="B69" s="9">
        <v>730.0</v>
      </c>
      <c r="C69" s="10"/>
      <c r="D69" s="2"/>
      <c r="E69" s="9" t="s">
        <v>127</v>
      </c>
      <c r="F69" s="30">
        <v>1280.0</v>
      </c>
      <c r="G69" s="10">
        <v>64.0</v>
      </c>
      <c r="H69" s="15">
        <v>70.0</v>
      </c>
    </row>
    <row r="70">
      <c r="A70" s="9" t="s">
        <v>128</v>
      </c>
      <c r="B70" s="9">
        <v>980.0</v>
      </c>
      <c r="C70" s="10"/>
      <c r="D70" s="2"/>
      <c r="E70" s="9" t="s">
        <v>129</v>
      </c>
      <c r="F70" s="30">
        <v>1480.0</v>
      </c>
      <c r="G70" s="10">
        <v>74.0</v>
      </c>
      <c r="H70" s="15">
        <v>80.0</v>
      </c>
    </row>
    <row r="71">
      <c r="A71" s="26"/>
      <c r="B71" s="26"/>
      <c r="C71" s="26"/>
      <c r="D71" s="2"/>
      <c r="E71" s="9" t="s">
        <v>130</v>
      </c>
      <c r="F71" s="30">
        <v>1550.0</v>
      </c>
      <c r="G71" s="10">
        <v>77.5</v>
      </c>
      <c r="H71" s="15">
        <v>89.0</v>
      </c>
    </row>
    <row r="72">
      <c r="A72" s="1" t="s">
        <v>131</v>
      </c>
      <c r="B72" s="1" t="s">
        <v>1</v>
      </c>
      <c r="C72" s="1" t="s">
        <v>2</v>
      </c>
      <c r="D72" s="2"/>
      <c r="E72" s="9" t="s">
        <v>132</v>
      </c>
      <c r="F72" s="30">
        <v>1580.0</v>
      </c>
      <c r="G72" s="10">
        <v>79.0</v>
      </c>
      <c r="H72" s="15">
        <v>85.0</v>
      </c>
    </row>
    <row r="73">
      <c r="A73" s="9" t="s">
        <v>133</v>
      </c>
      <c r="B73" s="9">
        <v>150.0</v>
      </c>
      <c r="C73" s="10"/>
      <c r="D73" s="2"/>
      <c r="E73" s="9" t="s">
        <v>134</v>
      </c>
      <c r="F73" s="30">
        <v>1420.0</v>
      </c>
      <c r="G73" s="10">
        <v>71.0</v>
      </c>
      <c r="H73" s="15">
        <v>77.0</v>
      </c>
    </row>
    <row r="74">
      <c r="A74" s="9" t="s">
        <v>135</v>
      </c>
      <c r="B74" s="9">
        <v>140.0</v>
      </c>
      <c r="C74" s="10"/>
      <c r="D74" s="2"/>
      <c r="E74" s="9" t="s">
        <v>136</v>
      </c>
      <c r="F74" s="30">
        <v>1120.0</v>
      </c>
      <c r="G74" s="10">
        <v>56.0</v>
      </c>
      <c r="H74" s="15">
        <v>60.0</v>
      </c>
    </row>
    <row r="75">
      <c r="A75" s="9" t="s">
        <v>137</v>
      </c>
      <c r="B75" s="9">
        <v>160.0</v>
      </c>
      <c r="C75" s="10"/>
      <c r="D75" s="2"/>
      <c r="E75" s="9" t="s">
        <v>138</v>
      </c>
      <c r="F75" s="30">
        <v>1120.0</v>
      </c>
      <c r="G75" s="10">
        <v>56.0</v>
      </c>
      <c r="H75" s="15">
        <v>60.0</v>
      </c>
    </row>
    <row r="76">
      <c r="A76" s="9" t="s">
        <v>139</v>
      </c>
      <c r="B76" s="9">
        <v>150.0</v>
      </c>
      <c r="C76" s="10"/>
      <c r="D76" s="2"/>
      <c r="E76" s="9" t="s">
        <v>140</v>
      </c>
      <c r="F76" s="30">
        <v>1430.0</v>
      </c>
      <c r="G76" s="10">
        <v>71.5</v>
      </c>
      <c r="H76" s="15">
        <v>75.0</v>
      </c>
    </row>
    <row r="77">
      <c r="A77" s="9" t="s">
        <v>141</v>
      </c>
      <c r="B77" s="9">
        <v>235.0</v>
      </c>
      <c r="C77" s="10"/>
      <c r="D77" s="8"/>
      <c r="E77" s="9" t="s">
        <v>142</v>
      </c>
      <c r="F77" s="30">
        <v>1470.0</v>
      </c>
      <c r="G77" s="10">
        <v>73.5</v>
      </c>
      <c r="H77" s="15">
        <v>82.0</v>
      </c>
    </row>
    <row r="78">
      <c r="A78" s="9" t="s">
        <v>143</v>
      </c>
      <c r="B78" s="9">
        <v>550.0</v>
      </c>
      <c r="C78" s="10">
        <f>B78/10</f>
        <v>55</v>
      </c>
      <c r="D78" s="8"/>
      <c r="E78" s="9" t="s">
        <v>144</v>
      </c>
      <c r="F78" s="9">
        <v>684.0</v>
      </c>
      <c r="G78" s="10">
        <v>57.0</v>
      </c>
      <c r="H78" s="15">
        <v>64.0</v>
      </c>
    </row>
    <row r="79">
      <c r="A79" s="9" t="s">
        <v>145</v>
      </c>
      <c r="B79" s="9">
        <v>120.0</v>
      </c>
      <c r="C79" s="10"/>
      <c r="D79" s="8"/>
      <c r="E79" s="9" t="s">
        <v>146</v>
      </c>
      <c r="F79" s="9">
        <v>230.0</v>
      </c>
      <c r="G79" s="10">
        <v>23.0</v>
      </c>
      <c r="H79" s="15">
        <v>25.0</v>
      </c>
    </row>
    <row r="80">
      <c r="A80" s="9" t="s">
        <v>147</v>
      </c>
      <c r="B80" s="9">
        <v>90.0</v>
      </c>
      <c r="C80" s="10"/>
      <c r="D80" s="8"/>
      <c r="E80" s="9" t="s">
        <v>148</v>
      </c>
      <c r="F80" s="9">
        <v>530.0</v>
      </c>
      <c r="G80" s="10">
        <v>53.0</v>
      </c>
      <c r="H80" s="15">
        <v>60.0</v>
      </c>
    </row>
    <row r="81">
      <c r="A81" s="9" t="s">
        <v>149</v>
      </c>
      <c r="B81" s="9">
        <v>400.0</v>
      </c>
      <c r="C81" s="10">
        <f>B81/5</f>
        <v>80</v>
      </c>
      <c r="D81" s="8"/>
      <c r="E81" s="9" t="s">
        <v>150</v>
      </c>
      <c r="F81" s="9">
        <v>670.0</v>
      </c>
      <c r="G81" s="10">
        <v>67.0</v>
      </c>
      <c r="H81" s="15">
        <v>74.0</v>
      </c>
    </row>
    <row r="82">
      <c r="A82" s="9" t="s">
        <v>151</v>
      </c>
      <c r="B82" s="9">
        <v>285.0</v>
      </c>
      <c r="C82" s="10">
        <f>B82/25</f>
        <v>11.4</v>
      </c>
      <c r="D82" s="8"/>
      <c r="E82" s="9" t="s">
        <v>152</v>
      </c>
      <c r="F82" s="9">
        <v>830.0</v>
      </c>
      <c r="G82" s="10">
        <v>83.0</v>
      </c>
      <c r="H82" s="15">
        <v>85.0</v>
      </c>
    </row>
    <row r="83">
      <c r="A83" s="9" t="s">
        <v>153</v>
      </c>
      <c r="B83" s="9">
        <v>490.0</v>
      </c>
      <c r="C83" s="10">
        <f>B83/10</f>
        <v>49</v>
      </c>
      <c r="D83" s="8"/>
      <c r="E83" s="9" t="s">
        <v>154</v>
      </c>
      <c r="F83" s="9">
        <v>500.0</v>
      </c>
      <c r="G83" s="10">
        <v>12.5</v>
      </c>
      <c r="H83" s="23"/>
    </row>
    <row r="84">
      <c r="A84" s="8"/>
      <c r="B84" s="8"/>
      <c r="C84" s="8"/>
      <c r="D84" s="8"/>
      <c r="E84" s="8"/>
      <c r="F84" s="8"/>
      <c r="G84" s="8"/>
      <c r="H84" s="47"/>
    </row>
    <row r="85">
      <c r="A85" s="1" t="str">
        <f t="array" ref="A85:C95">meat</f>
        <v>🥩 หมวดเนื้อหมู เนื้อเป็ด</v>
      </c>
      <c r="B85" s="1" t="s">
        <v>1</v>
      </c>
      <c r="C85" s="1" t="s">
        <v>2</v>
      </c>
      <c r="D85" s="8"/>
      <c r="E85" s="50" t="str">
        <f t="array" ref="E85:H96">Fish</f>
        <v>🦑 หมวดอาหารทะเล (หมึก ปลา ชิ้น)</v>
      </c>
      <c r="F85" s="50" t="s">
        <v>1</v>
      </c>
      <c r="G85" s="50" t="s">
        <v>2</v>
      </c>
      <c r="H85" s="47"/>
    </row>
    <row r="86">
      <c r="A86" s="9" t="s">
        <v>155</v>
      </c>
      <c r="B86" s="9">
        <v>740.0</v>
      </c>
      <c r="C86" s="10">
        <v>74.0</v>
      </c>
      <c r="D86" s="8"/>
      <c r="E86" s="51" t="s">
        <v>156</v>
      </c>
      <c r="F86" s="52">
        <v>850.0</v>
      </c>
      <c r="G86" s="53">
        <v>85.0</v>
      </c>
      <c r="H86" s="47"/>
    </row>
    <row r="87">
      <c r="A87" s="9" t="s">
        <v>157</v>
      </c>
      <c r="B87" s="9">
        <v>650.0</v>
      </c>
      <c r="C87" s="10">
        <v>65.0</v>
      </c>
      <c r="D87" s="8"/>
      <c r="E87" s="51" t="s">
        <v>158</v>
      </c>
      <c r="F87" s="52">
        <v>690.0</v>
      </c>
      <c r="G87" s="53">
        <v>69.0</v>
      </c>
      <c r="H87" s="47"/>
    </row>
    <row r="88">
      <c r="A88" s="9" t="s">
        <v>159</v>
      </c>
      <c r="B88" s="9">
        <v>680.0</v>
      </c>
      <c r="C88" s="10">
        <v>68.0</v>
      </c>
      <c r="D88" s="8"/>
      <c r="E88" s="51" t="s">
        <v>160</v>
      </c>
      <c r="F88" s="55">
        <v>850.0</v>
      </c>
      <c r="G88" s="53">
        <v>85.0</v>
      </c>
      <c r="H88" s="47"/>
    </row>
    <row r="89">
      <c r="A89" s="9" t="s">
        <v>161</v>
      </c>
      <c r="B89" s="9">
        <v>475.0</v>
      </c>
      <c r="C89" s="10">
        <v>95.0</v>
      </c>
      <c r="D89" s="8"/>
      <c r="E89" s="51" t="s">
        <v>162</v>
      </c>
      <c r="F89" s="55">
        <v>1160.0</v>
      </c>
      <c r="G89" s="53">
        <v>145.0</v>
      </c>
      <c r="H89" s="47"/>
    </row>
    <row r="90">
      <c r="A90" s="9" t="s">
        <v>163</v>
      </c>
      <c r="B90" s="9">
        <v>900.0</v>
      </c>
      <c r="C90" s="10">
        <v>75.0</v>
      </c>
      <c r="D90" s="8"/>
      <c r="E90" s="51" t="s">
        <v>164</v>
      </c>
      <c r="F90" s="52">
        <v>1064.0</v>
      </c>
      <c r="G90" s="53">
        <v>133.0</v>
      </c>
      <c r="H90" s="47"/>
    </row>
    <row r="91">
      <c r="A91" s="9" t="s">
        <v>165</v>
      </c>
      <c r="B91" s="9">
        <v>170.0</v>
      </c>
      <c r="C91" s="16">
        <v>170.0</v>
      </c>
      <c r="D91" s="8"/>
      <c r="E91" s="51" t="s">
        <v>166</v>
      </c>
      <c r="F91" s="52">
        <v>1280.0</v>
      </c>
      <c r="G91" s="53">
        <v>107.0</v>
      </c>
      <c r="H91" s="47"/>
    </row>
    <row r="92">
      <c r="A92" s="9" t="s">
        <v>167</v>
      </c>
      <c r="B92" s="9">
        <v>375.0</v>
      </c>
      <c r="C92" s="16">
        <v>75.0</v>
      </c>
      <c r="D92" s="8"/>
      <c r="E92" s="51" t="s">
        <v>168</v>
      </c>
      <c r="F92" s="52">
        <v>540.0</v>
      </c>
      <c r="G92" s="53">
        <v>54.0</v>
      </c>
      <c r="H92" s="47"/>
    </row>
    <row r="93">
      <c r="A93" s="56" t="s">
        <v>169</v>
      </c>
      <c r="B93" s="9">
        <v>730.0</v>
      </c>
      <c r="C93" s="10">
        <v>36.5</v>
      </c>
      <c r="D93" s="8"/>
      <c r="E93" s="51" t="s">
        <v>170</v>
      </c>
      <c r="F93" s="52">
        <v>440.0</v>
      </c>
      <c r="G93" s="53">
        <v>22.0</v>
      </c>
      <c r="H93" s="47"/>
    </row>
    <row r="94">
      <c r="A94" s="9" t="s">
        <v>171</v>
      </c>
      <c r="B94" s="57"/>
      <c r="C94" s="9">
        <v>179.0</v>
      </c>
      <c r="D94" s="8"/>
      <c r="E94" s="51" t="s">
        <v>172</v>
      </c>
      <c r="F94" s="52">
        <v>420.0</v>
      </c>
      <c r="G94" s="53">
        <v>35.0</v>
      </c>
      <c r="H94" s="47"/>
    </row>
    <row r="95">
      <c r="A95" s="10" t="s">
        <v>173</v>
      </c>
      <c r="B95" s="10">
        <v>750.0</v>
      </c>
      <c r="C95" s="10">
        <v>75.0</v>
      </c>
      <c r="D95" s="8"/>
      <c r="E95" s="51" t="s">
        <v>174</v>
      </c>
      <c r="F95" s="58"/>
      <c r="G95" s="53">
        <v>68.0</v>
      </c>
      <c r="H95" s="47"/>
    </row>
    <row r="96">
      <c r="A96" s="8"/>
      <c r="B96" s="8"/>
      <c r="C96" s="8"/>
      <c r="D96" s="8"/>
      <c r="E96" s="8"/>
      <c r="F96" s="8"/>
      <c r="G96" s="8"/>
      <c r="H96" s="47"/>
    </row>
    <row r="97">
      <c r="A97" s="8"/>
      <c r="B97" s="8"/>
      <c r="C97" s="8"/>
      <c r="D97" s="8"/>
      <c r="E97" s="8"/>
      <c r="F97" s="8"/>
      <c r="G97" s="8"/>
      <c r="H97" s="47"/>
    </row>
    <row r="98">
      <c r="A98" s="8"/>
      <c r="B98" s="8"/>
      <c r="C98" s="8"/>
      <c r="D98" s="8"/>
      <c r="E98" s="8"/>
      <c r="F98" s="8"/>
      <c r="G98" s="8"/>
      <c r="H98" s="47"/>
    </row>
    <row r="99">
      <c r="A99" s="8"/>
      <c r="B99" s="8"/>
      <c r="C99" s="8"/>
      <c r="D99" s="8"/>
      <c r="E99" s="8"/>
      <c r="F99" s="8"/>
      <c r="G99" s="8"/>
      <c r="H99" s="47"/>
    </row>
    <row r="100">
      <c r="A100" s="8"/>
      <c r="B100" s="8"/>
      <c r="C100" s="8"/>
      <c r="D100" s="8"/>
      <c r="E100" s="8"/>
      <c r="F100" s="8"/>
      <c r="G100" s="8"/>
      <c r="H100" s="47"/>
    </row>
    <row r="101">
      <c r="A101" s="8"/>
      <c r="B101" s="8"/>
      <c r="C101" s="8"/>
      <c r="D101" s="8"/>
      <c r="E101" s="8"/>
      <c r="F101" s="8"/>
      <c r="G101" s="8"/>
      <c r="H101" s="47"/>
    </row>
    <row r="102">
      <c r="A102" s="8"/>
      <c r="B102" s="8"/>
      <c r="C102" s="8"/>
      <c r="D102" s="8"/>
      <c r="E102" s="8"/>
      <c r="F102" s="8"/>
      <c r="G102" s="8"/>
      <c r="H102" s="47"/>
    </row>
    <row r="103">
      <c r="A103" s="8"/>
      <c r="B103" s="8"/>
      <c r="C103" s="8"/>
      <c r="D103" s="8"/>
      <c r="E103" s="8"/>
      <c r="F103" s="8"/>
      <c r="G103" s="8"/>
      <c r="H103" s="47"/>
    </row>
    <row r="104">
      <c r="A104" s="8"/>
      <c r="B104" s="8"/>
      <c r="C104" s="8"/>
      <c r="D104" s="8"/>
      <c r="E104" s="8"/>
      <c r="F104" s="8"/>
      <c r="G104" s="8"/>
      <c r="H104" s="47"/>
    </row>
    <row r="105">
      <c r="A105" s="8"/>
      <c r="B105" s="8"/>
      <c r="C105" s="8"/>
      <c r="D105" s="8"/>
      <c r="E105" s="8"/>
      <c r="F105" s="8"/>
      <c r="G105" s="8"/>
      <c r="H105" s="47"/>
    </row>
    <row r="106">
      <c r="A106" s="8"/>
      <c r="B106" s="8"/>
      <c r="C106" s="8"/>
      <c r="D106" s="8"/>
      <c r="E106" s="8"/>
      <c r="F106" s="8"/>
      <c r="G106" s="8"/>
      <c r="H106" s="47"/>
    </row>
    <row r="107">
      <c r="A107" s="8"/>
      <c r="B107" s="8"/>
      <c r="C107" s="8"/>
      <c r="D107" s="8"/>
      <c r="E107" s="8"/>
      <c r="F107" s="8"/>
      <c r="G107" s="8"/>
      <c r="H107" s="47"/>
    </row>
    <row r="108">
      <c r="A108" s="8"/>
      <c r="B108" s="8"/>
      <c r="C108" s="8"/>
      <c r="D108" s="8"/>
      <c r="E108" s="8"/>
      <c r="F108" s="8"/>
      <c r="G108" s="8"/>
      <c r="H108" s="47"/>
    </row>
    <row r="109">
      <c r="A109" s="8"/>
      <c r="B109" s="8"/>
      <c r="C109" s="8"/>
      <c r="D109" s="8"/>
      <c r="E109" s="8"/>
      <c r="F109" s="8"/>
      <c r="G109" s="8"/>
      <c r="H109" s="47"/>
    </row>
    <row r="110">
      <c r="A110" s="8"/>
      <c r="B110" s="8"/>
      <c r="C110" s="8"/>
      <c r="D110" s="8"/>
      <c r="E110" s="8"/>
      <c r="F110" s="8"/>
      <c r="G110" s="8"/>
      <c r="H110" s="47"/>
    </row>
    <row r="111">
      <c r="A111" s="8"/>
      <c r="B111" s="8"/>
      <c r="C111" s="8"/>
      <c r="D111" s="8"/>
      <c r="E111" s="8"/>
      <c r="F111" s="8"/>
      <c r="G111" s="8"/>
      <c r="H111" s="47"/>
    </row>
    <row r="112">
      <c r="A112" s="8"/>
      <c r="B112" s="8"/>
      <c r="C112" s="8"/>
      <c r="D112" s="8"/>
      <c r="E112" s="8"/>
      <c r="F112" s="8"/>
      <c r="G112" s="8"/>
      <c r="H112" s="47"/>
    </row>
    <row r="113">
      <c r="A113" s="8"/>
      <c r="B113" s="8"/>
      <c r="C113" s="8"/>
      <c r="D113" s="8"/>
      <c r="E113" s="8"/>
      <c r="F113" s="8"/>
      <c r="G113" s="8"/>
      <c r="H113" s="47"/>
    </row>
    <row r="114">
      <c r="A114" s="8"/>
      <c r="B114" s="8"/>
      <c r="C114" s="8"/>
      <c r="D114" s="8"/>
      <c r="E114" s="8"/>
      <c r="F114" s="8"/>
      <c r="G114" s="8"/>
      <c r="H114" s="47"/>
    </row>
    <row r="115">
      <c r="A115" s="8"/>
      <c r="B115" s="8"/>
      <c r="C115" s="8"/>
      <c r="D115" s="8"/>
      <c r="E115" s="8"/>
      <c r="F115" s="8"/>
      <c r="G115" s="8"/>
      <c r="H115" s="47"/>
    </row>
    <row r="116">
      <c r="A116" s="8"/>
      <c r="B116" s="8"/>
      <c r="C116" s="8"/>
      <c r="D116" s="8"/>
      <c r="E116" s="8"/>
      <c r="F116" s="8"/>
      <c r="G116" s="8"/>
      <c r="H116" s="47"/>
    </row>
    <row r="117">
      <c r="A117" s="8"/>
      <c r="B117" s="8"/>
      <c r="C117" s="8"/>
      <c r="D117" s="8"/>
      <c r="E117" s="8"/>
      <c r="F117" s="8"/>
      <c r="G117" s="8"/>
      <c r="H117" s="47"/>
    </row>
    <row r="118">
      <c r="A118" s="8"/>
      <c r="B118" s="8"/>
      <c r="C118" s="8"/>
      <c r="D118" s="8"/>
      <c r="E118" s="8"/>
      <c r="F118" s="8"/>
      <c r="G118" s="8"/>
      <c r="H118" s="47"/>
    </row>
    <row r="119">
      <c r="A119" s="8"/>
      <c r="B119" s="8"/>
      <c r="C119" s="8"/>
      <c r="D119" s="8"/>
      <c r="E119" s="8"/>
      <c r="F119" s="8"/>
      <c r="G119" s="8"/>
      <c r="H119" s="47"/>
    </row>
    <row r="120">
      <c r="A120" s="8"/>
      <c r="B120" s="8"/>
      <c r="C120" s="8"/>
      <c r="D120" s="8"/>
      <c r="E120" s="8"/>
      <c r="F120" s="8"/>
      <c r="G120" s="8"/>
      <c r="H120" s="47"/>
    </row>
    <row r="121">
      <c r="A121" s="8"/>
      <c r="B121" s="8"/>
      <c r="C121" s="8"/>
      <c r="D121" s="8"/>
      <c r="E121" s="8"/>
      <c r="F121" s="8"/>
      <c r="G121" s="8"/>
      <c r="H121" s="47"/>
    </row>
    <row r="122">
      <c r="A122" s="8"/>
      <c r="B122" s="8"/>
      <c r="C122" s="8"/>
      <c r="D122" s="8"/>
      <c r="E122" s="8"/>
      <c r="F122" s="8"/>
      <c r="G122" s="8"/>
      <c r="H122" s="47"/>
    </row>
    <row r="123">
      <c r="A123" s="8"/>
      <c r="B123" s="8"/>
      <c r="C123" s="8"/>
      <c r="D123" s="8"/>
      <c r="E123" s="8"/>
      <c r="F123" s="8"/>
      <c r="G123" s="8"/>
      <c r="H123" s="47"/>
    </row>
    <row r="124">
      <c r="A124" s="8"/>
      <c r="B124" s="8"/>
      <c r="C124" s="8"/>
      <c r="D124" s="8"/>
      <c r="E124" s="8"/>
      <c r="F124" s="8"/>
      <c r="G124" s="8"/>
      <c r="H124" s="47"/>
    </row>
    <row r="125">
      <c r="A125" s="8"/>
      <c r="B125" s="8"/>
      <c r="C125" s="8"/>
      <c r="D125" s="8"/>
      <c r="E125" s="8"/>
      <c r="F125" s="8"/>
      <c r="G125" s="8"/>
      <c r="H125" s="47"/>
    </row>
    <row r="126">
      <c r="A126" s="8"/>
      <c r="B126" s="8"/>
      <c r="C126" s="8"/>
      <c r="D126" s="8"/>
      <c r="E126" s="8"/>
      <c r="F126" s="8"/>
      <c r="G126" s="8"/>
      <c r="H126" s="47"/>
    </row>
    <row r="127">
      <c r="A127" s="8"/>
      <c r="B127" s="8"/>
      <c r="C127" s="8"/>
      <c r="D127" s="8"/>
      <c r="E127" s="8"/>
      <c r="F127" s="8"/>
      <c r="G127" s="8"/>
      <c r="H127" s="47"/>
    </row>
    <row r="128">
      <c r="A128" s="8"/>
      <c r="B128" s="8"/>
      <c r="C128" s="8"/>
      <c r="D128" s="8"/>
      <c r="E128" s="8"/>
      <c r="F128" s="8"/>
      <c r="G128" s="8"/>
      <c r="H128" s="47"/>
    </row>
    <row r="129">
      <c r="A129" s="8"/>
      <c r="B129" s="8"/>
      <c r="C129" s="8"/>
      <c r="D129" s="8"/>
      <c r="E129" s="8"/>
      <c r="F129" s="8"/>
      <c r="G129" s="8"/>
      <c r="H129" s="47"/>
    </row>
    <row r="130">
      <c r="A130" s="8"/>
      <c r="B130" s="8"/>
      <c r="C130" s="8"/>
      <c r="D130" s="8"/>
      <c r="E130" s="8"/>
      <c r="F130" s="8"/>
      <c r="G130" s="8"/>
      <c r="H130" s="47"/>
    </row>
    <row r="131">
      <c r="A131" s="8"/>
      <c r="B131" s="8"/>
      <c r="C131" s="8"/>
      <c r="D131" s="8"/>
      <c r="E131" s="8"/>
      <c r="F131" s="8"/>
      <c r="G131" s="8"/>
      <c r="H131" s="47"/>
    </row>
    <row r="132">
      <c r="A132" s="8"/>
      <c r="B132" s="8"/>
      <c r="C132" s="8"/>
      <c r="D132" s="8"/>
      <c r="E132" s="8"/>
      <c r="F132" s="8"/>
      <c r="G132" s="8"/>
      <c r="H132" s="47"/>
    </row>
    <row r="133">
      <c r="A133" s="8"/>
      <c r="B133" s="8"/>
      <c r="C133" s="8"/>
      <c r="D133" s="8"/>
      <c r="E133" s="8"/>
      <c r="F133" s="8"/>
      <c r="G133" s="8"/>
      <c r="H133" s="47"/>
    </row>
    <row r="134">
      <c r="A134" s="8"/>
      <c r="B134" s="8"/>
      <c r="C134" s="8"/>
      <c r="D134" s="8"/>
      <c r="E134" s="8"/>
      <c r="F134" s="8"/>
      <c r="G134" s="8"/>
      <c r="H134" s="47"/>
    </row>
    <row r="135">
      <c r="A135" s="8"/>
      <c r="B135" s="8"/>
      <c r="C135" s="8"/>
      <c r="D135" s="8"/>
      <c r="E135" s="8"/>
      <c r="F135" s="8"/>
      <c r="G135" s="8"/>
      <c r="H135" s="47"/>
    </row>
    <row r="136">
      <c r="A136" s="8"/>
      <c r="B136" s="8"/>
      <c r="C136" s="8"/>
      <c r="D136" s="8"/>
      <c r="E136" s="8"/>
      <c r="F136" s="8"/>
      <c r="G136" s="8"/>
      <c r="H136" s="47"/>
    </row>
    <row r="137">
      <c r="A137" s="8"/>
      <c r="B137" s="8"/>
      <c r="C137" s="8"/>
      <c r="D137" s="8"/>
      <c r="E137" s="8"/>
      <c r="F137" s="8"/>
      <c r="G137" s="8"/>
      <c r="H137" s="47"/>
    </row>
    <row r="138">
      <c r="A138" s="8"/>
      <c r="B138" s="8"/>
      <c r="C138" s="8"/>
      <c r="D138" s="8"/>
      <c r="E138" s="8"/>
      <c r="F138" s="8"/>
      <c r="G138" s="8"/>
      <c r="H138" s="47"/>
    </row>
    <row r="139">
      <c r="A139" s="8"/>
      <c r="B139" s="8"/>
      <c r="C139" s="8"/>
      <c r="D139" s="8"/>
      <c r="E139" s="8"/>
      <c r="F139" s="8"/>
      <c r="G139" s="8"/>
      <c r="H139" s="47"/>
    </row>
    <row r="140">
      <c r="A140" s="8"/>
      <c r="B140" s="8"/>
      <c r="C140" s="8"/>
      <c r="D140" s="8"/>
      <c r="E140" s="8"/>
      <c r="F140" s="8"/>
      <c r="G140" s="8"/>
      <c r="H140" s="47"/>
    </row>
    <row r="141">
      <c r="A141" s="8"/>
      <c r="B141" s="8"/>
      <c r="C141" s="8"/>
      <c r="D141" s="8"/>
      <c r="E141" s="8"/>
      <c r="F141" s="8"/>
      <c r="G141" s="8"/>
      <c r="H141" s="47"/>
    </row>
    <row r="142">
      <c r="A142" s="8"/>
      <c r="B142" s="8"/>
      <c r="C142" s="8"/>
      <c r="D142" s="8"/>
      <c r="E142" s="8"/>
      <c r="F142" s="8"/>
      <c r="G142" s="8"/>
      <c r="H142" s="47"/>
    </row>
    <row r="143">
      <c r="A143" s="8"/>
      <c r="B143" s="8"/>
      <c r="C143" s="8"/>
      <c r="D143" s="8"/>
      <c r="E143" s="8"/>
      <c r="F143" s="8"/>
      <c r="G143" s="8"/>
      <c r="H143" s="47"/>
    </row>
    <row r="144">
      <c r="A144" s="8"/>
      <c r="B144" s="8"/>
      <c r="C144" s="8"/>
      <c r="D144" s="8"/>
      <c r="E144" s="8"/>
      <c r="F144" s="8"/>
      <c r="G144" s="8"/>
      <c r="H144" s="47"/>
    </row>
    <row r="145">
      <c r="A145" s="8"/>
      <c r="B145" s="8"/>
      <c r="C145" s="8"/>
      <c r="D145" s="8"/>
      <c r="E145" s="8"/>
      <c r="F145" s="8"/>
      <c r="G145" s="8"/>
      <c r="H145" s="47"/>
    </row>
    <row r="146">
      <c r="A146" s="8"/>
      <c r="B146" s="8"/>
      <c r="C146" s="8"/>
      <c r="D146" s="8"/>
      <c r="E146" s="8"/>
      <c r="F146" s="8"/>
      <c r="G146" s="8"/>
      <c r="H146" s="47"/>
    </row>
    <row r="147">
      <c r="A147" s="8"/>
      <c r="B147" s="8"/>
      <c r="C147" s="8"/>
      <c r="D147" s="8"/>
      <c r="E147" s="8"/>
      <c r="F147" s="8"/>
      <c r="G147" s="8"/>
      <c r="H147" s="47"/>
    </row>
    <row r="148">
      <c r="A148" s="8"/>
      <c r="B148" s="8"/>
      <c r="C148" s="8"/>
      <c r="D148" s="8"/>
      <c r="E148" s="8"/>
      <c r="F148" s="8"/>
      <c r="G148" s="8"/>
      <c r="H148" s="47"/>
    </row>
    <row r="149">
      <c r="A149" s="8"/>
      <c r="B149" s="8"/>
      <c r="C149" s="8"/>
      <c r="D149" s="8"/>
      <c r="E149" s="8"/>
      <c r="F149" s="8"/>
      <c r="G149" s="8"/>
      <c r="H149" s="47"/>
    </row>
    <row r="150">
      <c r="A150" s="8"/>
      <c r="B150" s="8"/>
      <c r="C150" s="8"/>
      <c r="D150" s="8"/>
      <c r="E150" s="8"/>
      <c r="F150" s="8"/>
      <c r="G150" s="8"/>
      <c r="H150" s="47"/>
    </row>
    <row r="151">
      <c r="A151" s="8"/>
      <c r="B151" s="8"/>
      <c r="C151" s="8"/>
      <c r="D151" s="8"/>
      <c r="E151" s="8"/>
      <c r="F151" s="8"/>
      <c r="G151" s="8"/>
      <c r="H151" s="47"/>
    </row>
    <row r="152">
      <c r="A152" s="8"/>
      <c r="B152" s="8"/>
      <c r="C152" s="8"/>
      <c r="D152" s="8"/>
      <c r="E152" s="8"/>
      <c r="F152" s="8"/>
      <c r="G152" s="8"/>
      <c r="H152" s="47"/>
    </row>
    <row r="153">
      <c r="A153" s="8"/>
      <c r="B153" s="8"/>
      <c r="C153" s="8"/>
      <c r="D153" s="8"/>
      <c r="E153" s="8"/>
      <c r="F153" s="8"/>
      <c r="G153" s="8"/>
      <c r="H153" s="47"/>
    </row>
    <row r="154">
      <c r="A154" s="8"/>
      <c r="B154" s="8"/>
      <c r="C154" s="8"/>
      <c r="D154" s="8"/>
      <c r="E154" s="8"/>
      <c r="F154" s="8"/>
      <c r="G154" s="8"/>
      <c r="H154" s="47"/>
    </row>
    <row r="155">
      <c r="A155" s="8"/>
      <c r="B155" s="8"/>
      <c r="C155" s="8"/>
      <c r="D155" s="8"/>
      <c r="E155" s="8"/>
      <c r="F155" s="8"/>
      <c r="G155" s="8"/>
      <c r="H155" s="47"/>
    </row>
    <row r="156">
      <c r="A156" s="8"/>
      <c r="B156" s="8"/>
      <c r="C156" s="8"/>
      <c r="D156" s="8"/>
      <c r="E156" s="8"/>
      <c r="F156" s="8"/>
      <c r="G156" s="8"/>
      <c r="H156" s="47"/>
    </row>
    <row r="157">
      <c r="A157" s="8"/>
      <c r="B157" s="8"/>
      <c r="C157" s="8"/>
      <c r="D157" s="8"/>
      <c r="E157" s="8"/>
      <c r="F157" s="8"/>
      <c r="G157" s="8"/>
      <c r="H157" s="47"/>
    </row>
    <row r="158">
      <c r="A158" s="8"/>
      <c r="B158" s="8"/>
      <c r="C158" s="8"/>
      <c r="D158" s="8"/>
      <c r="E158" s="8"/>
      <c r="F158" s="8"/>
      <c r="G158" s="8"/>
      <c r="H158" s="47"/>
    </row>
    <row r="159">
      <c r="A159" s="8"/>
      <c r="B159" s="8"/>
      <c r="C159" s="8"/>
      <c r="D159" s="8"/>
      <c r="E159" s="8"/>
      <c r="F159" s="8"/>
      <c r="G159" s="8"/>
      <c r="H159" s="47"/>
    </row>
    <row r="160">
      <c r="A160" s="8"/>
      <c r="B160" s="8"/>
      <c r="C160" s="8"/>
      <c r="D160" s="8"/>
      <c r="E160" s="8"/>
      <c r="F160" s="8"/>
      <c r="G160" s="8"/>
      <c r="H160" s="47"/>
    </row>
    <row r="161">
      <c r="A161" s="8"/>
      <c r="B161" s="8"/>
      <c r="C161" s="8"/>
      <c r="D161" s="8"/>
      <c r="E161" s="8"/>
      <c r="F161" s="8"/>
      <c r="G161" s="8"/>
      <c r="H161" s="47"/>
    </row>
    <row r="162">
      <c r="A162" s="8"/>
      <c r="B162" s="8"/>
      <c r="C162" s="8"/>
      <c r="D162" s="8"/>
      <c r="E162" s="8"/>
      <c r="F162" s="8"/>
      <c r="G162" s="8"/>
      <c r="H162" s="47"/>
    </row>
    <row r="163">
      <c r="A163" s="8"/>
      <c r="B163" s="8"/>
      <c r="C163" s="8"/>
      <c r="D163" s="8"/>
      <c r="E163" s="8"/>
      <c r="F163" s="8"/>
      <c r="G163" s="8"/>
      <c r="H163" s="47"/>
    </row>
    <row r="164">
      <c r="A164" s="8"/>
      <c r="B164" s="8"/>
      <c r="C164" s="8"/>
      <c r="D164" s="8"/>
      <c r="E164" s="8"/>
      <c r="F164" s="8"/>
      <c r="G164" s="8"/>
      <c r="H164" s="47"/>
    </row>
    <row r="165">
      <c r="A165" s="8"/>
      <c r="B165" s="8"/>
      <c r="C165" s="8"/>
      <c r="D165" s="8"/>
      <c r="E165" s="8"/>
      <c r="F165" s="8"/>
      <c r="G165" s="8"/>
      <c r="H165" s="47"/>
    </row>
    <row r="166">
      <c r="A166" s="8"/>
      <c r="B166" s="8"/>
      <c r="C166" s="8"/>
      <c r="D166" s="8"/>
      <c r="E166" s="8"/>
      <c r="F166" s="8"/>
      <c r="G166" s="8"/>
      <c r="H166" s="47"/>
    </row>
    <row r="167">
      <c r="A167" s="8"/>
      <c r="B167" s="8"/>
      <c r="C167" s="8"/>
      <c r="D167" s="8"/>
      <c r="E167" s="8"/>
      <c r="F167" s="8"/>
      <c r="G167" s="8"/>
      <c r="H167" s="47"/>
    </row>
    <row r="168">
      <c r="A168" s="8"/>
      <c r="B168" s="8"/>
      <c r="C168" s="8"/>
      <c r="D168" s="8"/>
      <c r="E168" s="8"/>
      <c r="F168" s="8"/>
      <c r="G168" s="8"/>
      <c r="H168" s="47"/>
    </row>
    <row r="169">
      <c r="A169" s="8"/>
      <c r="B169" s="8"/>
      <c r="C169" s="8"/>
      <c r="D169" s="8"/>
      <c r="E169" s="8"/>
      <c r="F169" s="8"/>
      <c r="G169" s="8"/>
      <c r="H169" s="47"/>
    </row>
    <row r="170">
      <c r="A170" s="8"/>
      <c r="B170" s="8"/>
      <c r="C170" s="8"/>
      <c r="D170" s="8"/>
      <c r="E170" s="8"/>
      <c r="F170" s="8"/>
      <c r="G170" s="8"/>
      <c r="H170" s="47"/>
    </row>
    <row r="171">
      <c r="A171" s="8"/>
      <c r="B171" s="8"/>
      <c r="C171" s="8"/>
      <c r="D171" s="8"/>
      <c r="E171" s="8"/>
      <c r="F171" s="8"/>
      <c r="G171" s="8"/>
      <c r="H171" s="47"/>
    </row>
    <row r="172">
      <c r="A172" s="8"/>
      <c r="B172" s="8"/>
      <c r="C172" s="8"/>
      <c r="D172" s="8"/>
      <c r="E172" s="8"/>
      <c r="F172" s="8"/>
      <c r="G172" s="8"/>
      <c r="H172" s="47"/>
    </row>
    <row r="173">
      <c r="A173" s="8"/>
      <c r="B173" s="8"/>
      <c r="C173" s="8"/>
      <c r="D173" s="8"/>
      <c r="E173" s="8"/>
      <c r="F173" s="8"/>
      <c r="G173" s="8"/>
      <c r="H173" s="47"/>
    </row>
    <row r="174">
      <c r="A174" s="8"/>
      <c r="B174" s="8"/>
      <c r="C174" s="8"/>
      <c r="D174" s="8"/>
      <c r="E174" s="8"/>
      <c r="F174" s="8"/>
      <c r="G174" s="8"/>
      <c r="H174" s="47"/>
    </row>
    <row r="175">
      <c r="A175" s="8"/>
      <c r="B175" s="8"/>
      <c r="C175" s="8"/>
      <c r="D175" s="8"/>
      <c r="E175" s="8"/>
      <c r="F175" s="8"/>
      <c r="G175" s="8"/>
      <c r="H175" s="47"/>
    </row>
    <row r="176">
      <c r="A176" s="8"/>
      <c r="B176" s="8"/>
      <c r="C176" s="8"/>
      <c r="D176" s="8"/>
      <c r="E176" s="8"/>
      <c r="F176" s="8"/>
      <c r="G176" s="8"/>
      <c r="H176" s="47"/>
    </row>
    <row r="177">
      <c r="A177" s="8"/>
      <c r="B177" s="8"/>
      <c r="C177" s="8"/>
      <c r="D177" s="8"/>
      <c r="E177" s="8"/>
      <c r="F177" s="8"/>
      <c r="G177" s="8"/>
      <c r="H177" s="47"/>
    </row>
    <row r="178">
      <c r="A178" s="8"/>
      <c r="B178" s="8"/>
      <c r="C178" s="8"/>
      <c r="D178" s="8"/>
      <c r="E178" s="8"/>
      <c r="F178" s="8"/>
      <c r="G178" s="8"/>
      <c r="H178" s="47"/>
    </row>
    <row r="179">
      <c r="A179" s="8"/>
      <c r="B179" s="8"/>
      <c r="C179" s="8"/>
      <c r="D179" s="8"/>
      <c r="E179" s="8"/>
      <c r="F179" s="8"/>
      <c r="G179" s="8"/>
      <c r="H179" s="47"/>
    </row>
    <row r="180">
      <c r="A180" s="8"/>
      <c r="B180" s="8"/>
      <c r="C180" s="8"/>
      <c r="D180" s="8"/>
      <c r="E180" s="8"/>
      <c r="F180" s="8"/>
      <c r="G180" s="8"/>
      <c r="H180" s="47"/>
    </row>
    <row r="181">
      <c r="A181" s="8"/>
      <c r="B181" s="8"/>
      <c r="C181" s="8"/>
      <c r="D181" s="8"/>
      <c r="E181" s="8"/>
      <c r="F181" s="8"/>
      <c r="G181" s="8"/>
      <c r="H181" s="47"/>
    </row>
    <row r="182">
      <c r="A182" s="8"/>
      <c r="B182" s="8"/>
      <c r="C182" s="8"/>
      <c r="D182" s="8"/>
      <c r="E182" s="8"/>
      <c r="F182" s="8"/>
      <c r="G182" s="8"/>
      <c r="H182" s="47"/>
    </row>
    <row r="183">
      <c r="A183" s="8"/>
      <c r="B183" s="8"/>
      <c r="C183" s="8"/>
      <c r="D183" s="8"/>
      <c r="E183" s="8"/>
      <c r="F183" s="8"/>
      <c r="G183" s="8"/>
      <c r="H183" s="47"/>
    </row>
    <row r="184">
      <c r="A184" s="8"/>
      <c r="B184" s="8"/>
      <c r="C184" s="8"/>
      <c r="D184" s="8"/>
      <c r="E184" s="8"/>
      <c r="F184" s="8"/>
      <c r="G184" s="8"/>
      <c r="H184" s="47"/>
    </row>
    <row r="185">
      <c r="A185" s="8"/>
      <c r="B185" s="8"/>
      <c r="C185" s="8"/>
      <c r="D185" s="8"/>
      <c r="E185" s="8"/>
      <c r="F185" s="8"/>
      <c r="G185" s="8"/>
      <c r="H185" s="47"/>
    </row>
    <row r="186">
      <c r="A186" s="8"/>
      <c r="B186" s="8"/>
      <c r="C186" s="8"/>
      <c r="D186" s="8"/>
      <c r="E186" s="8"/>
      <c r="F186" s="8"/>
      <c r="G186" s="8"/>
      <c r="H186" s="47"/>
    </row>
    <row r="187">
      <c r="A187" s="8"/>
      <c r="B187" s="8"/>
      <c r="C187" s="8"/>
      <c r="D187" s="8"/>
      <c r="E187" s="8"/>
      <c r="F187" s="8"/>
      <c r="G187" s="8"/>
      <c r="H187" s="47"/>
    </row>
    <row r="188">
      <c r="A188" s="8"/>
      <c r="B188" s="8"/>
      <c r="C188" s="8"/>
      <c r="D188" s="8"/>
      <c r="E188" s="8"/>
      <c r="F188" s="8"/>
      <c r="G188" s="8"/>
      <c r="H188" s="47"/>
    </row>
    <row r="189">
      <c r="A189" s="8"/>
      <c r="B189" s="8"/>
      <c r="C189" s="8"/>
      <c r="D189" s="8"/>
      <c r="E189" s="8"/>
      <c r="F189" s="8"/>
      <c r="G189" s="8"/>
      <c r="H189" s="47"/>
    </row>
    <row r="190">
      <c r="A190" s="8"/>
      <c r="B190" s="8"/>
      <c r="C190" s="8"/>
      <c r="D190" s="8"/>
      <c r="E190" s="8"/>
      <c r="F190" s="8"/>
      <c r="G190" s="8"/>
      <c r="H190" s="47"/>
    </row>
    <row r="191">
      <c r="A191" s="8"/>
      <c r="B191" s="8"/>
      <c r="C191" s="8"/>
      <c r="D191" s="8"/>
      <c r="E191" s="8"/>
      <c r="F191" s="8"/>
      <c r="G191" s="8"/>
      <c r="H191" s="47"/>
    </row>
    <row r="192">
      <c r="A192" s="8"/>
      <c r="B192" s="8"/>
      <c r="C192" s="8"/>
      <c r="D192" s="8"/>
      <c r="E192" s="8"/>
      <c r="F192" s="8"/>
      <c r="G192" s="8"/>
      <c r="H192" s="47"/>
    </row>
    <row r="193">
      <c r="A193" s="8"/>
      <c r="B193" s="8"/>
      <c r="C193" s="8"/>
      <c r="D193" s="8"/>
      <c r="E193" s="8"/>
      <c r="F193" s="8"/>
      <c r="G193" s="8"/>
      <c r="H193" s="47"/>
    </row>
    <row r="194">
      <c r="A194" s="8"/>
      <c r="B194" s="8"/>
      <c r="C194" s="8"/>
      <c r="D194" s="8"/>
      <c r="E194" s="8"/>
      <c r="F194" s="8"/>
      <c r="G194" s="8"/>
      <c r="H194" s="47"/>
    </row>
    <row r="195">
      <c r="A195" s="8"/>
      <c r="B195" s="8"/>
      <c r="C195" s="8"/>
      <c r="D195" s="8"/>
      <c r="E195" s="8"/>
      <c r="F195" s="8"/>
      <c r="G195" s="8"/>
      <c r="H195" s="47"/>
    </row>
    <row r="196">
      <c r="A196" s="8"/>
      <c r="B196" s="8"/>
      <c r="C196" s="8"/>
      <c r="D196" s="8"/>
      <c r="E196" s="8"/>
      <c r="F196" s="8"/>
      <c r="G196" s="8"/>
      <c r="H196" s="47"/>
    </row>
    <row r="197">
      <c r="A197" s="8"/>
      <c r="B197" s="8"/>
      <c r="C197" s="8"/>
      <c r="D197" s="8"/>
      <c r="E197" s="8"/>
      <c r="F197" s="8"/>
      <c r="G197" s="8"/>
      <c r="H197" s="47"/>
    </row>
    <row r="198">
      <c r="A198" s="8"/>
      <c r="B198" s="8"/>
      <c r="C198" s="8"/>
      <c r="D198" s="8"/>
      <c r="E198" s="8"/>
      <c r="F198" s="8"/>
      <c r="G198" s="8"/>
      <c r="H198" s="47"/>
    </row>
    <row r="199">
      <c r="A199" s="8"/>
      <c r="B199" s="8"/>
      <c r="C199" s="8"/>
      <c r="D199" s="8"/>
      <c r="E199" s="8"/>
      <c r="F199" s="8"/>
      <c r="G199" s="8"/>
      <c r="H199" s="47"/>
    </row>
    <row r="200">
      <c r="A200" s="8"/>
      <c r="B200" s="8"/>
      <c r="C200" s="8"/>
      <c r="D200" s="8"/>
      <c r="E200" s="8"/>
      <c r="F200" s="8"/>
      <c r="G200" s="8"/>
      <c r="H200" s="47"/>
    </row>
    <row r="201">
      <c r="A201" s="8"/>
      <c r="B201" s="8"/>
      <c r="C201" s="8"/>
      <c r="D201" s="8"/>
      <c r="E201" s="8"/>
      <c r="F201" s="8"/>
      <c r="G201" s="8"/>
      <c r="H201" s="47"/>
    </row>
    <row r="202">
      <c r="A202" s="8"/>
      <c r="B202" s="8"/>
      <c r="C202" s="8"/>
      <c r="D202" s="8"/>
      <c r="E202" s="8"/>
      <c r="F202" s="8"/>
      <c r="G202" s="8"/>
      <c r="H202" s="47"/>
    </row>
    <row r="203">
      <c r="A203" s="8"/>
      <c r="B203" s="8"/>
      <c r="C203" s="8"/>
      <c r="D203" s="8"/>
      <c r="E203" s="8"/>
      <c r="F203" s="8"/>
      <c r="G203" s="8"/>
      <c r="H203" s="47"/>
    </row>
    <row r="204">
      <c r="A204" s="8"/>
      <c r="B204" s="8"/>
      <c r="C204" s="8"/>
      <c r="D204" s="8"/>
      <c r="E204" s="8"/>
      <c r="F204" s="8"/>
      <c r="G204" s="8"/>
      <c r="H204" s="47"/>
    </row>
    <row r="205">
      <c r="A205" s="8"/>
      <c r="B205" s="8"/>
      <c r="C205" s="8"/>
      <c r="D205" s="8"/>
      <c r="E205" s="8"/>
      <c r="F205" s="8"/>
      <c r="G205" s="8"/>
      <c r="H205" s="47"/>
    </row>
    <row r="206">
      <c r="A206" s="8"/>
      <c r="B206" s="8"/>
      <c r="C206" s="8"/>
      <c r="D206" s="8"/>
      <c r="E206" s="8"/>
      <c r="F206" s="8"/>
      <c r="G206" s="8"/>
      <c r="H206" s="47"/>
    </row>
    <row r="207">
      <c r="A207" s="8"/>
      <c r="B207" s="8"/>
      <c r="C207" s="8"/>
      <c r="D207" s="8"/>
      <c r="E207" s="8"/>
      <c r="F207" s="8"/>
      <c r="G207" s="8"/>
      <c r="H207" s="47"/>
    </row>
    <row r="208">
      <c r="A208" s="8"/>
      <c r="B208" s="8"/>
      <c r="C208" s="8"/>
      <c r="D208" s="8"/>
      <c r="E208" s="8"/>
      <c r="F208" s="8"/>
      <c r="G208" s="8"/>
      <c r="H208" s="47"/>
    </row>
    <row r="209">
      <c r="A209" s="8"/>
      <c r="B209" s="8"/>
      <c r="C209" s="8"/>
      <c r="D209" s="8"/>
      <c r="E209" s="8"/>
      <c r="F209" s="8"/>
      <c r="G209" s="8"/>
      <c r="H209" s="47"/>
    </row>
    <row r="210">
      <c r="A210" s="8"/>
      <c r="B210" s="8"/>
      <c r="C210" s="8"/>
      <c r="D210" s="8"/>
      <c r="E210" s="8"/>
      <c r="F210" s="8"/>
      <c r="G210" s="8"/>
      <c r="H210" s="47"/>
    </row>
    <row r="211">
      <c r="A211" s="8"/>
      <c r="B211" s="8"/>
      <c r="C211" s="8"/>
      <c r="D211" s="8"/>
      <c r="E211" s="8"/>
      <c r="F211" s="8"/>
      <c r="G211" s="8"/>
      <c r="H211" s="47"/>
    </row>
    <row r="212">
      <c r="A212" s="8"/>
      <c r="B212" s="8"/>
      <c r="C212" s="8"/>
      <c r="D212" s="8"/>
      <c r="E212" s="8"/>
      <c r="F212" s="8"/>
      <c r="G212" s="8"/>
      <c r="H212" s="47"/>
    </row>
    <row r="213">
      <c r="A213" s="8"/>
      <c r="B213" s="8"/>
      <c r="C213" s="8"/>
      <c r="D213" s="8"/>
      <c r="E213" s="8"/>
      <c r="F213" s="8"/>
      <c r="G213" s="8"/>
      <c r="H213" s="47"/>
    </row>
    <row r="214">
      <c r="A214" s="8"/>
      <c r="B214" s="8"/>
      <c r="C214" s="8"/>
      <c r="D214" s="8"/>
      <c r="E214" s="8"/>
      <c r="F214" s="8"/>
      <c r="G214" s="8"/>
      <c r="H214" s="47"/>
    </row>
    <row r="215">
      <c r="A215" s="8"/>
      <c r="B215" s="8"/>
      <c r="C215" s="8"/>
      <c r="D215" s="8"/>
      <c r="E215" s="8"/>
      <c r="F215" s="8"/>
      <c r="G215" s="8"/>
      <c r="H215" s="47"/>
    </row>
    <row r="216">
      <c r="A216" s="8"/>
      <c r="B216" s="8"/>
      <c r="C216" s="8"/>
      <c r="D216" s="8"/>
      <c r="E216" s="8"/>
      <c r="F216" s="8"/>
      <c r="G216" s="8"/>
      <c r="H216" s="47"/>
    </row>
    <row r="217">
      <c r="A217" s="8"/>
      <c r="B217" s="8"/>
      <c r="C217" s="8"/>
      <c r="D217" s="8"/>
      <c r="E217" s="8"/>
      <c r="F217" s="8"/>
      <c r="G217" s="8"/>
      <c r="H217" s="47"/>
    </row>
    <row r="218">
      <c r="A218" s="8"/>
      <c r="B218" s="8"/>
      <c r="C218" s="8"/>
      <c r="D218" s="8"/>
      <c r="E218" s="8"/>
      <c r="F218" s="8"/>
      <c r="G218" s="8"/>
      <c r="H218" s="47"/>
    </row>
    <row r="219">
      <c r="A219" s="8"/>
      <c r="B219" s="8"/>
      <c r="C219" s="8"/>
      <c r="D219" s="8"/>
      <c r="E219" s="8"/>
      <c r="F219" s="8"/>
      <c r="G219" s="8"/>
      <c r="H219" s="47"/>
    </row>
    <row r="220">
      <c r="A220" s="8"/>
      <c r="B220" s="8"/>
      <c r="C220" s="8"/>
      <c r="D220" s="8"/>
      <c r="E220" s="8"/>
      <c r="F220" s="8"/>
      <c r="G220" s="8"/>
      <c r="H220" s="47"/>
    </row>
    <row r="221">
      <c r="A221" s="8"/>
      <c r="B221" s="8"/>
      <c r="C221" s="8"/>
      <c r="D221" s="8"/>
      <c r="E221" s="8"/>
      <c r="F221" s="8"/>
      <c r="G221" s="8"/>
      <c r="H221" s="47"/>
    </row>
    <row r="222">
      <c r="A222" s="8"/>
      <c r="B222" s="8"/>
      <c r="C222" s="8"/>
      <c r="D222" s="8"/>
      <c r="E222" s="8"/>
      <c r="F222" s="8"/>
      <c r="G222" s="8"/>
      <c r="H222" s="47"/>
    </row>
    <row r="223">
      <c r="A223" s="8"/>
      <c r="B223" s="8"/>
      <c r="C223" s="8"/>
      <c r="D223" s="8"/>
      <c r="E223" s="8"/>
      <c r="F223" s="8"/>
      <c r="G223" s="8"/>
      <c r="H223" s="47"/>
    </row>
    <row r="224">
      <c r="A224" s="8"/>
      <c r="B224" s="8"/>
      <c r="C224" s="8"/>
      <c r="D224" s="8"/>
      <c r="E224" s="8"/>
      <c r="F224" s="8"/>
      <c r="G224" s="8"/>
      <c r="H224" s="47"/>
    </row>
    <row r="225">
      <c r="A225" s="8"/>
      <c r="B225" s="8"/>
      <c r="C225" s="8"/>
      <c r="D225" s="8"/>
      <c r="E225" s="8"/>
      <c r="F225" s="8"/>
      <c r="G225" s="8"/>
      <c r="H225" s="47"/>
    </row>
    <row r="226">
      <c r="A226" s="8"/>
      <c r="B226" s="8"/>
      <c r="C226" s="8"/>
      <c r="D226" s="8"/>
      <c r="E226" s="8"/>
      <c r="F226" s="8"/>
      <c r="G226" s="8"/>
      <c r="H226" s="47"/>
    </row>
    <row r="227">
      <c r="A227" s="8"/>
      <c r="B227" s="8"/>
      <c r="C227" s="8"/>
      <c r="D227" s="8"/>
      <c r="E227" s="8"/>
      <c r="F227" s="8"/>
      <c r="G227" s="8"/>
      <c r="H227" s="47"/>
    </row>
    <row r="228">
      <c r="A228" s="8"/>
      <c r="B228" s="8"/>
      <c r="C228" s="8"/>
      <c r="D228" s="8"/>
      <c r="E228" s="8"/>
      <c r="F228" s="8"/>
      <c r="G228" s="8"/>
      <c r="H228" s="47"/>
    </row>
    <row r="229">
      <c r="A229" s="8"/>
      <c r="B229" s="8"/>
      <c r="C229" s="8"/>
      <c r="D229" s="8"/>
      <c r="E229" s="8"/>
      <c r="F229" s="8"/>
      <c r="G229" s="8"/>
      <c r="H229" s="47"/>
    </row>
    <row r="230">
      <c r="A230" s="8"/>
      <c r="B230" s="8"/>
      <c r="C230" s="8"/>
      <c r="D230" s="8"/>
      <c r="E230" s="8"/>
      <c r="F230" s="8"/>
      <c r="G230" s="8"/>
      <c r="H230" s="47"/>
    </row>
    <row r="231">
      <c r="A231" s="8"/>
      <c r="B231" s="8"/>
      <c r="C231" s="8"/>
      <c r="D231" s="8"/>
      <c r="E231" s="8"/>
      <c r="F231" s="8"/>
      <c r="G231" s="8"/>
      <c r="H231" s="47"/>
    </row>
    <row r="232">
      <c r="A232" s="8"/>
      <c r="B232" s="8"/>
      <c r="C232" s="8"/>
      <c r="D232" s="8"/>
      <c r="E232" s="8"/>
      <c r="F232" s="8"/>
      <c r="G232" s="8"/>
      <c r="H232" s="47"/>
    </row>
    <row r="233">
      <c r="A233" s="8"/>
      <c r="B233" s="8"/>
      <c r="C233" s="8"/>
      <c r="D233" s="8"/>
      <c r="E233" s="8"/>
      <c r="F233" s="8"/>
      <c r="G233" s="8"/>
      <c r="H233" s="47"/>
    </row>
    <row r="234">
      <c r="A234" s="8"/>
      <c r="B234" s="8"/>
      <c r="C234" s="8"/>
      <c r="D234" s="8"/>
      <c r="E234" s="8"/>
      <c r="F234" s="8"/>
      <c r="G234" s="8"/>
      <c r="H234" s="47"/>
    </row>
    <row r="235">
      <c r="A235" s="8"/>
      <c r="B235" s="8"/>
      <c r="C235" s="8"/>
      <c r="D235" s="8"/>
      <c r="E235" s="8"/>
      <c r="F235" s="8"/>
      <c r="G235" s="8"/>
      <c r="H235" s="47"/>
    </row>
    <row r="236">
      <c r="A236" s="8"/>
      <c r="B236" s="8"/>
      <c r="C236" s="8"/>
      <c r="D236" s="8"/>
      <c r="E236" s="8"/>
      <c r="F236" s="8"/>
      <c r="G236" s="8"/>
      <c r="H236" s="47"/>
    </row>
    <row r="237">
      <c r="A237" s="8"/>
      <c r="B237" s="8"/>
      <c r="C237" s="8"/>
      <c r="D237" s="8"/>
      <c r="E237" s="8"/>
      <c r="F237" s="8"/>
      <c r="G237" s="8"/>
      <c r="H237" s="47"/>
    </row>
    <row r="238">
      <c r="A238" s="8"/>
      <c r="B238" s="8"/>
      <c r="C238" s="8"/>
      <c r="D238" s="8"/>
      <c r="E238" s="8"/>
      <c r="F238" s="8"/>
      <c r="G238" s="8"/>
      <c r="H238" s="47"/>
    </row>
    <row r="239">
      <c r="A239" s="8"/>
      <c r="B239" s="8"/>
      <c r="C239" s="8"/>
      <c r="D239" s="8"/>
      <c r="E239" s="8"/>
      <c r="F239" s="8"/>
      <c r="G239" s="8"/>
      <c r="H239" s="47"/>
    </row>
    <row r="240">
      <c r="A240" s="8"/>
      <c r="B240" s="8"/>
      <c r="C240" s="8"/>
      <c r="D240" s="8"/>
      <c r="E240" s="8"/>
      <c r="F240" s="8"/>
      <c r="G240" s="8"/>
      <c r="H240" s="47"/>
    </row>
    <row r="241">
      <c r="A241" s="8"/>
      <c r="B241" s="8"/>
      <c r="C241" s="8"/>
      <c r="D241" s="8"/>
      <c r="E241" s="8"/>
      <c r="F241" s="8"/>
      <c r="G241" s="8"/>
      <c r="H241" s="47"/>
    </row>
    <row r="242">
      <c r="A242" s="8"/>
      <c r="B242" s="8"/>
      <c r="C242" s="8"/>
      <c r="D242" s="8"/>
      <c r="E242" s="8"/>
      <c r="F242" s="8"/>
      <c r="G242" s="8"/>
      <c r="H242" s="47"/>
    </row>
    <row r="243">
      <c r="A243" s="8"/>
      <c r="B243" s="8"/>
      <c r="C243" s="8"/>
      <c r="D243" s="8"/>
      <c r="E243" s="8"/>
      <c r="F243" s="8"/>
      <c r="G243" s="8"/>
      <c r="H243" s="47"/>
    </row>
    <row r="244">
      <c r="A244" s="8"/>
      <c r="B244" s="8"/>
      <c r="C244" s="8"/>
      <c r="D244" s="8"/>
      <c r="E244" s="8"/>
      <c r="F244" s="8"/>
      <c r="G244" s="8"/>
      <c r="H244" s="47"/>
    </row>
    <row r="245">
      <c r="A245" s="8"/>
      <c r="B245" s="8"/>
      <c r="C245" s="8"/>
      <c r="D245" s="8"/>
      <c r="E245" s="8"/>
      <c r="F245" s="8"/>
      <c r="G245" s="8"/>
      <c r="H245" s="47"/>
    </row>
    <row r="246">
      <c r="A246" s="8"/>
      <c r="B246" s="8"/>
      <c r="C246" s="8"/>
      <c r="D246" s="8"/>
      <c r="E246" s="8"/>
      <c r="F246" s="8"/>
      <c r="G246" s="8"/>
      <c r="H246" s="47"/>
    </row>
    <row r="247">
      <c r="A247" s="8"/>
      <c r="B247" s="8"/>
      <c r="C247" s="8"/>
      <c r="D247" s="8"/>
      <c r="E247" s="8"/>
      <c r="F247" s="8"/>
      <c r="G247" s="8"/>
      <c r="H247" s="47"/>
    </row>
    <row r="248">
      <c r="A248" s="8"/>
      <c r="B248" s="8"/>
      <c r="C248" s="8"/>
      <c r="D248" s="8"/>
      <c r="E248" s="8"/>
      <c r="F248" s="8"/>
      <c r="G248" s="8"/>
      <c r="H248" s="47"/>
    </row>
    <row r="249">
      <c r="A249" s="8"/>
      <c r="B249" s="8"/>
      <c r="C249" s="8"/>
      <c r="D249" s="8"/>
      <c r="E249" s="8"/>
      <c r="F249" s="8"/>
      <c r="G249" s="8"/>
      <c r="H249" s="47"/>
    </row>
    <row r="250">
      <c r="A250" s="8"/>
      <c r="B250" s="8"/>
      <c r="C250" s="8"/>
      <c r="D250" s="8"/>
      <c r="E250" s="8"/>
      <c r="F250" s="8"/>
      <c r="G250" s="8"/>
      <c r="H250" s="47"/>
    </row>
    <row r="251">
      <c r="A251" s="8"/>
      <c r="B251" s="8"/>
      <c r="C251" s="8"/>
      <c r="D251" s="8"/>
      <c r="E251" s="8"/>
      <c r="F251" s="8"/>
      <c r="G251" s="8"/>
      <c r="H251" s="47"/>
    </row>
    <row r="252">
      <c r="A252" s="8"/>
      <c r="B252" s="8"/>
      <c r="C252" s="8"/>
      <c r="D252" s="8"/>
      <c r="E252" s="8"/>
      <c r="F252" s="8"/>
      <c r="G252" s="8"/>
      <c r="H252" s="47"/>
    </row>
    <row r="253">
      <c r="A253" s="8"/>
      <c r="B253" s="8"/>
      <c r="C253" s="8"/>
      <c r="D253" s="8"/>
      <c r="E253" s="8"/>
      <c r="F253" s="8"/>
      <c r="G253" s="8"/>
      <c r="H253" s="47"/>
    </row>
    <row r="254">
      <c r="A254" s="8"/>
      <c r="B254" s="8"/>
      <c r="C254" s="8"/>
      <c r="D254" s="8"/>
      <c r="E254" s="8"/>
      <c r="F254" s="8"/>
      <c r="G254" s="8"/>
      <c r="H254" s="47"/>
    </row>
    <row r="255">
      <c r="A255" s="8"/>
      <c r="B255" s="8"/>
      <c r="C255" s="8"/>
      <c r="D255" s="8"/>
      <c r="E255" s="8"/>
      <c r="F255" s="8"/>
      <c r="G255" s="8"/>
      <c r="H255" s="47"/>
    </row>
    <row r="256">
      <c r="A256" s="8"/>
      <c r="B256" s="8"/>
      <c r="C256" s="8"/>
      <c r="D256" s="8"/>
      <c r="E256" s="8"/>
      <c r="F256" s="8"/>
      <c r="G256" s="8"/>
      <c r="H256" s="47"/>
    </row>
    <row r="257">
      <c r="A257" s="8"/>
      <c r="B257" s="8"/>
      <c r="C257" s="8"/>
      <c r="D257" s="8"/>
      <c r="E257" s="8"/>
      <c r="F257" s="8"/>
      <c r="G257" s="8"/>
      <c r="H257" s="47"/>
    </row>
    <row r="258">
      <c r="A258" s="8"/>
      <c r="B258" s="8"/>
      <c r="C258" s="8"/>
      <c r="D258" s="8"/>
      <c r="E258" s="8"/>
      <c r="F258" s="8"/>
      <c r="G258" s="8"/>
      <c r="H258" s="47"/>
    </row>
    <row r="259">
      <c r="A259" s="8"/>
      <c r="B259" s="8"/>
      <c r="C259" s="8"/>
      <c r="D259" s="8"/>
      <c r="E259" s="8"/>
      <c r="F259" s="8"/>
      <c r="G259" s="8"/>
      <c r="H259" s="47"/>
    </row>
    <row r="260">
      <c r="A260" s="8"/>
      <c r="B260" s="8"/>
      <c r="C260" s="8"/>
      <c r="D260" s="8"/>
      <c r="E260" s="8"/>
      <c r="F260" s="8"/>
      <c r="G260" s="8"/>
      <c r="H260" s="47"/>
    </row>
    <row r="261">
      <c r="A261" s="8"/>
      <c r="B261" s="8"/>
      <c r="C261" s="8"/>
      <c r="D261" s="8"/>
      <c r="E261" s="8"/>
      <c r="F261" s="8"/>
      <c r="G261" s="8"/>
      <c r="H261" s="47"/>
    </row>
    <row r="262">
      <c r="A262" s="8"/>
      <c r="B262" s="8"/>
      <c r="C262" s="8"/>
      <c r="D262" s="8"/>
      <c r="E262" s="8"/>
      <c r="F262" s="8"/>
      <c r="G262" s="8"/>
      <c r="H262" s="47"/>
    </row>
    <row r="263">
      <c r="A263" s="8"/>
      <c r="B263" s="8"/>
      <c r="C263" s="8"/>
      <c r="D263" s="8"/>
      <c r="E263" s="8"/>
      <c r="F263" s="8"/>
      <c r="G263" s="8"/>
      <c r="H263" s="47"/>
    </row>
    <row r="264">
      <c r="A264" s="8"/>
      <c r="B264" s="8"/>
      <c r="C264" s="8"/>
      <c r="D264" s="8"/>
      <c r="E264" s="8"/>
      <c r="F264" s="8"/>
      <c r="G264" s="8"/>
      <c r="H264" s="47"/>
    </row>
    <row r="265">
      <c r="A265" s="8"/>
      <c r="B265" s="8"/>
      <c r="C265" s="8"/>
      <c r="D265" s="8"/>
      <c r="E265" s="8"/>
      <c r="F265" s="8"/>
      <c r="G265" s="8"/>
      <c r="H265" s="47"/>
    </row>
    <row r="266">
      <c r="A266" s="8"/>
      <c r="B266" s="8"/>
      <c r="C266" s="8"/>
      <c r="D266" s="8"/>
      <c r="E266" s="8"/>
      <c r="F266" s="8"/>
      <c r="G266" s="8"/>
      <c r="H266" s="47"/>
    </row>
    <row r="267">
      <c r="A267" s="8"/>
      <c r="B267" s="8"/>
      <c r="C267" s="8"/>
      <c r="D267" s="8"/>
      <c r="E267" s="8"/>
      <c r="F267" s="8"/>
      <c r="G267" s="8"/>
      <c r="H267" s="47"/>
    </row>
    <row r="268">
      <c r="A268" s="8"/>
      <c r="B268" s="8"/>
      <c r="C268" s="8"/>
      <c r="D268" s="8"/>
      <c r="E268" s="8"/>
      <c r="F268" s="8"/>
      <c r="G268" s="8"/>
      <c r="H268" s="47"/>
    </row>
    <row r="269">
      <c r="A269" s="8"/>
      <c r="B269" s="8"/>
      <c r="C269" s="8"/>
      <c r="D269" s="8"/>
      <c r="E269" s="8"/>
      <c r="F269" s="8"/>
      <c r="G269" s="8"/>
      <c r="H269" s="47"/>
    </row>
    <row r="270">
      <c r="A270" s="8"/>
      <c r="B270" s="8"/>
      <c r="C270" s="8"/>
      <c r="D270" s="8"/>
      <c r="E270" s="8"/>
      <c r="F270" s="8"/>
      <c r="G270" s="8"/>
      <c r="H270" s="47"/>
    </row>
    <row r="271">
      <c r="A271" s="8"/>
      <c r="B271" s="8"/>
      <c r="C271" s="8"/>
      <c r="D271" s="8"/>
      <c r="E271" s="8"/>
      <c r="F271" s="8"/>
      <c r="G271" s="8"/>
      <c r="H271" s="47"/>
    </row>
    <row r="272">
      <c r="A272" s="8"/>
      <c r="B272" s="8"/>
      <c r="C272" s="8"/>
      <c r="D272" s="8"/>
      <c r="E272" s="8"/>
      <c r="F272" s="8"/>
      <c r="G272" s="8"/>
      <c r="H272" s="47"/>
    </row>
    <row r="273">
      <c r="A273" s="8"/>
      <c r="B273" s="8"/>
      <c r="C273" s="8"/>
      <c r="D273" s="8"/>
      <c r="E273" s="8"/>
      <c r="F273" s="8"/>
      <c r="G273" s="8"/>
      <c r="H273" s="47"/>
    </row>
    <row r="274">
      <c r="A274" s="8"/>
      <c r="B274" s="8"/>
      <c r="C274" s="8"/>
      <c r="D274" s="8"/>
      <c r="E274" s="8"/>
      <c r="F274" s="8"/>
      <c r="G274" s="8"/>
      <c r="H274" s="47"/>
    </row>
    <row r="275">
      <c r="A275" s="8"/>
      <c r="B275" s="8"/>
      <c r="C275" s="8"/>
      <c r="D275" s="8"/>
      <c r="E275" s="8"/>
      <c r="F275" s="8"/>
      <c r="G275" s="8"/>
      <c r="H275" s="47"/>
    </row>
    <row r="276">
      <c r="A276" s="8"/>
      <c r="B276" s="8"/>
      <c r="C276" s="8"/>
      <c r="D276" s="8"/>
      <c r="E276" s="8"/>
      <c r="F276" s="8"/>
      <c r="G276" s="8"/>
      <c r="H276" s="47"/>
    </row>
    <row r="277">
      <c r="A277" s="8"/>
      <c r="B277" s="8"/>
      <c r="C277" s="8"/>
      <c r="D277" s="8"/>
      <c r="E277" s="8"/>
      <c r="F277" s="8"/>
      <c r="G277" s="8"/>
      <c r="H277" s="47"/>
    </row>
    <row r="278">
      <c r="A278" s="8"/>
      <c r="B278" s="8"/>
      <c r="C278" s="8"/>
      <c r="D278" s="8"/>
      <c r="E278" s="8"/>
      <c r="F278" s="8"/>
      <c r="G278" s="8"/>
      <c r="H278" s="47"/>
    </row>
    <row r="279">
      <c r="A279" s="8"/>
      <c r="B279" s="8"/>
      <c r="C279" s="8"/>
      <c r="D279" s="8"/>
      <c r="E279" s="8"/>
      <c r="F279" s="8"/>
      <c r="G279" s="8"/>
      <c r="H279" s="47"/>
    </row>
    <row r="280">
      <c r="A280" s="8"/>
      <c r="B280" s="8"/>
      <c r="C280" s="8"/>
      <c r="D280" s="8"/>
      <c r="E280" s="8"/>
      <c r="F280" s="8"/>
      <c r="G280" s="8"/>
      <c r="H280" s="47"/>
    </row>
    <row r="281">
      <c r="A281" s="8"/>
      <c r="B281" s="8"/>
      <c r="C281" s="8"/>
      <c r="D281" s="8"/>
      <c r="E281" s="8"/>
      <c r="F281" s="8"/>
      <c r="G281" s="8"/>
      <c r="H281" s="47"/>
    </row>
    <row r="282">
      <c r="A282" s="8"/>
      <c r="B282" s="8"/>
      <c r="C282" s="8"/>
      <c r="D282" s="8"/>
      <c r="E282" s="8"/>
      <c r="F282" s="8"/>
      <c r="G282" s="8"/>
      <c r="H282" s="47"/>
    </row>
    <row r="283">
      <c r="A283" s="8"/>
      <c r="B283" s="8"/>
      <c r="C283" s="8"/>
      <c r="D283" s="8"/>
      <c r="E283" s="8"/>
      <c r="F283" s="8"/>
      <c r="G283" s="8"/>
      <c r="H283" s="47"/>
    </row>
    <row r="284">
      <c r="A284" s="8"/>
      <c r="B284" s="8"/>
      <c r="C284" s="8"/>
      <c r="D284" s="8"/>
      <c r="E284" s="8"/>
      <c r="F284" s="8"/>
      <c r="G284" s="8"/>
      <c r="H284" s="47"/>
    </row>
    <row r="285">
      <c r="A285" s="8"/>
      <c r="B285" s="8"/>
      <c r="C285" s="8"/>
      <c r="D285" s="8"/>
      <c r="E285" s="8"/>
      <c r="F285" s="8"/>
      <c r="G285" s="8"/>
      <c r="H285" s="47"/>
    </row>
    <row r="286">
      <c r="A286" s="8"/>
      <c r="B286" s="8"/>
      <c r="C286" s="8"/>
      <c r="D286" s="8"/>
      <c r="E286" s="8"/>
      <c r="F286" s="8"/>
      <c r="G286" s="8"/>
      <c r="H286" s="47"/>
    </row>
    <row r="287">
      <c r="A287" s="8"/>
      <c r="B287" s="8"/>
      <c r="C287" s="8"/>
      <c r="D287" s="8"/>
      <c r="E287" s="8"/>
      <c r="F287" s="8"/>
      <c r="G287" s="8"/>
      <c r="H287" s="47"/>
    </row>
    <row r="288">
      <c r="A288" s="8"/>
      <c r="B288" s="8"/>
      <c r="C288" s="8"/>
      <c r="D288" s="8"/>
      <c r="E288" s="8"/>
      <c r="F288" s="8"/>
      <c r="G288" s="8"/>
      <c r="H288" s="47"/>
    </row>
    <row r="289">
      <c r="A289" s="8"/>
      <c r="B289" s="8"/>
      <c r="C289" s="8"/>
      <c r="D289" s="8"/>
      <c r="E289" s="8"/>
      <c r="F289" s="8"/>
      <c r="G289" s="8"/>
      <c r="H289" s="47"/>
    </row>
    <row r="290">
      <c r="A290" s="8"/>
      <c r="B290" s="8"/>
      <c r="C290" s="8"/>
      <c r="D290" s="8"/>
      <c r="E290" s="8"/>
      <c r="F290" s="8"/>
      <c r="G290" s="8"/>
      <c r="H290" s="47"/>
    </row>
    <row r="291">
      <c r="A291" s="8"/>
      <c r="B291" s="8"/>
      <c r="C291" s="8"/>
      <c r="D291" s="8"/>
      <c r="E291" s="8"/>
      <c r="F291" s="8"/>
      <c r="G291" s="8"/>
      <c r="H291" s="47"/>
    </row>
    <row r="292">
      <c r="A292" s="8"/>
      <c r="B292" s="8"/>
      <c r="C292" s="8"/>
      <c r="D292" s="8"/>
      <c r="E292" s="8"/>
      <c r="F292" s="8"/>
      <c r="G292" s="8"/>
      <c r="H292" s="47"/>
    </row>
    <row r="293">
      <c r="A293" s="8"/>
      <c r="B293" s="8"/>
      <c r="C293" s="8"/>
      <c r="D293" s="8"/>
      <c r="E293" s="8"/>
      <c r="F293" s="8"/>
      <c r="G293" s="8"/>
      <c r="H293" s="47"/>
    </row>
    <row r="294">
      <c r="A294" s="8"/>
      <c r="B294" s="8"/>
      <c r="C294" s="8"/>
      <c r="D294" s="8"/>
      <c r="E294" s="8"/>
      <c r="F294" s="8"/>
      <c r="G294" s="8"/>
      <c r="H294" s="47"/>
    </row>
    <row r="295">
      <c r="A295" s="8"/>
      <c r="B295" s="8"/>
      <c r="C295" s="8"/>
      <c r="D295" s="8"/>
      <c r="E295" s="8"/>
      <c r="F295" s="8"/>
      <c r="G295" s="8"/>
      <c r="H295" s="47"/>
    </row>
    <row r="296">
      <c r="A296" s="8"/>
      <c r="B296" s="8"/>
      <c r="C296" s="8"/>
      <c r="D296" s="8"/>
      <c r="E296" s="8"/>
      <c r="F296" s="8"/>
      <c r="G296" s="8"/>
      <c r="H296" s="47"/>
    </row>
    <row r="297">
      <c r="A297" s="8"/>
      <c r="B297" s="8"/>
      <c r="C297" s="8"/>
      <c r="D297" s="8"/>
      <c r="E297" s="8"/>
      <c r="F297" s="8"/>
      <c r="G297" s="8"/>
      <c r="H297" s="47"/>
    </row>
    <row r="298">
      <c r="A298" s="8"/>
      <c r="B298" s="8"/>
      <c r="C298" s="8"/>
      <c r="D298" s="8"/>
      <c r="E298" s="8"/>
      <c r="F298" s="8"/>
      <c r="G298" s="8"/>
      <c r="H298" s="47"/>
    </row>
    <row r="299">
      <c r="A299" s="8"/>
      <c r="B299" s="8"/>
      <c r="C299" s="8"/>
      <c r="D299" s="8"/>
      <c r="E299" s="8"/>
      <c r="F299" s="8"/>
      <c r="G299" s="8"/>
      <c r="H299" s="47"/>
    </row>
    <row r="300">
      <c r="A300" s="8"/>
      <c r="B300" s="8"/>
      <c r="C300" s="8"/>
      <c r="D300" s="8"/>
      <c r="E300" s="8"/>
      <c r="F300" s="8"/>
      <c r="G300" s="8"/>
      <c r="H300" s="47"/>
    </row>
    <row r="301">
      <c r="A301" s="8"/>
      <c r="B301" s="8"/>
      <c r="C301" s="8"/>
      <c r="D301" s="8"/>
      <c r="E301" s="8"/>
      <c r="F301" s="8"/>
      <c r="G301" s="8"/>
      <c r="H301" s="47"/>
    </row>
    <row r="302">
      <c r="A302" s="8"/>
      <c r="B302" s="8"/>
      <c r="C302" s="8"/>
      <c r="D302" s="8"/>
      <c r="E302" s="8"/>
      <c r="F302" s="8"/>
      <c r="G302" s="8"/>
      <c r="H302" s="47"/>
    </row>
    <row r="303">
      <c r="A303" s="8"/>
      <c r="B303" s="8"/>
      <c r="C303" s="8"/>
      <c r="D303" s="8"/>
      <c r="E303" s="8"/>
      <c r="F303" s="8"/>
      <c r="G303" s="8"/>
      <c r="H303" s="47"/>
    </row>
    <row r="304">
      <c r="A304" s="8"/>
      <c r="B304" s="8"/>
      <c r="C304" s="8"/>
      <c r="D304" s="8"/>
      <c r="E304" s="8"/>
      <c r="F304" s="8"/>
      <c r="G304" s="8"/>
      <c r="H304" s="47"/>
    </row>
    <row r="305">
      <c r="A305" s="8"/>
      <c r="B305" s="8"/>
      <c r="C305" s="8"/>
      <c r="D305" s="8"/>
      <c r="E305" s="8"/>
      <c r="F305" s="8"/>
      <c r="G305" s="8"/>
      <c r="H305" s="47"/>
    </row>
    <row r="306">
      <c r="A306" s="8"/>
      <c r="B306" s="8"/>
      <c r="C306" s="8"/>
      <c r="D306" s="8"/>
      <c r="E306" s="8"/>
      <c r="F306" s="8"/>
      <c r="G306" s="8"/>
      <c r="H306" s="47"/>
    </row>
    <row r="307">
      <c r="A307" s="8"/>
      <c r="B307" s="8"/>
      <c r="C307" s="8"/>
      <c r="D307" s="8"/>
      <c r="E307" s="8"/>
      <c r="F307" s="8"/>
      <c r="G307" s="8"/>
      <c r="H307" s="47"/>
    </row>
    <row r="308">
      <c r="A308" s="8"/>
      <c r="B308" s="8"/>
      <c r="C308" s="8"/>
      <c r="D308" s="8"/>
      <c r="E308" s="8"/>
      <c r="F308" s="8"/>
      <c r="G308" s="8"/>
      <c r="H308" s="47"/>
    </row>
    <row r="309">
      <c r="A309" s="8"/>
      <c r="B309" s="8"/>
      <c r="C309" s="8"/>
      <c r="D309" s="8"/>
      <c r="E309" s="8"/>
      <c r="F309" s="8"/>
      <c r="G309" s="8"/>
      <c r="H309" s="47"/>
    </row>
    <row r="310">
      <c r="A310" s="8"/>
      <c r="B310" s="8"/>
      <c r="C310" s="8"/>
      <c r="D310" s="8"/>
      <c r="E310" s="8"/>
      <c r="F310" s="8"/>
      <c r="G310" s="8"/>
      <c r="H310" s="47"/>
    </row>
    <row r="311">
      <c r="A311" s="8"/>
      <c r="B311" s="8"/>
      <c r="C311" s="8"/>
      <c r="D311" s="8"/>
      <c r="E311" s="8"/>
      <c r="F311" s="8"/>
      <c r="G311" s="8"/>
      <c r="H311" s="47"/>
    </row>
    <row r="312">
      <c r="A312" s="8"/>
      <c r="B312" s="8"/>
      <c r="C312" s="8"/>
      <c r="D312" s="8"/>
      <c r="E312" s="8"/>
      <c r="F312" s="8"/>
      <c r="G312" s="8"/>
      <c r="H312" s="47"/>
    </row>
    <row r="313">
      <c r="A313" s="8"/>
      <c r="B313" s="8"/>
      <c r="C313" s="8"/>
      <c r="D313" s="8"/>
      <c r="E313" s="8"/>
      <c r="F313" s="8"/>
      <c r="G313" s="8"/>
      <c r="H313" s="47"/>
    </row>
    <row r="314">
      <c r="A314" s="8"/>
      <c r="B314" s="8"/>
      <c r="C314" s="8"/>
      <c r="D314" s="8"/>
      <c r="E314" s="8"/>
      <c r="F314" s="8"/>
      <c r="G314" s="8"/>
      <c r="H314" s="47"/>
    </row>
    <row r="315">
      <c r="A315" s="8"/>
      <c r="B315" s="8"/>
      <c r="C315" s="8"/>
      <c r="D315" s="8"/>
      <c r="E315" s="8"/>
      <c r="F315" s="8"/>
      <c r="G315" s="8"/>
      <c r="H315" s="47"/>
    </row>
    <row r="316">
      <c r="A316" s="8"/>
      <c r="B316" s="8"/>
      <c r="C316" s="8"/>
      <c r="D316" s="8"/>
      <c r="E316" s="8"/>
      <c r="F316" s="8"/>
      <c r="G316" s="8"/>
      <c r="H316" s="47"/>
    </row>
    <row r="317">
      <c r="A317" s="8"/>
      <c r="B317" s="8"/>
      <c r="C317" s="8"/>
      <c r="D317" s="8"/>
      <c r="E317" s="8"/>
      <c r="F317" s="8"/>
      <c r="G317" s="8"/>
      <c r="H317" s="47"/>
    </row>
    <row r="318">
      <c r="A318" s="8"/>
      <c r="B318" s="8"/>
      <c r="C318" s="8"/>
      <c r="D318" s="8"/>
      <c r="E318" s="8"/>
      <c r="F318" s="8"/>
      <c r="G318" s="8"/>
      <c r="H318" s="47"/>
    </row>
    <row r="319">
      <c r="A319" s="8"/>
      <c r="B319" s="8"/>
      <c r="C319" s="8"/>
      <c r="D319" s="8"/>
      <c r="E319" s="8"/>
      <c r="F319" s="8"/>
      <c r="G319" s="8"/>
      <c r="H319" s="47"/>
    </row>
    <row r="320">
      <c r="A320" s="8"/>
      <c r="B320" s="8"/>
      <c r="C320" s="8"/>
      <c r="D320" s="8"/>
      <c r="E320" s="8"/>
      <c r="F320" s="8"/>
      <c r="G320" s="8"/>
      <c r="H320" s="47"/>
    </row>
    <row r="321">
      <c r="A321" s="8"/>
      <c r="B321" s="8"/>
      <c r="C321" s="8"/>
      <c r="D321" s="8"/>
      <c r="E321" s="8"/>
      <c r="F321" s="8"/>
      <c r="G321" s="8"/>
      <c r="H321" s="47"/>
    </row>
    <row r="322">
      <c r="A322" s="8"/>
      <c r="B322" s="8"/>
      <c r="C322" s="8"/>
      <c r="D322" s="8"/>
      <c r="E322" s="8"/>
      <c r="F322" s="8"/>
      <c r="G322" s="8"/>
      <c r="H322" s="47"/>
    </row>
    <row r="323">
      <c r="A323" s="8"/>
      <c r="B323" s="8"/>
      <c r="C323" s="8"/>
      <c r="D323" s="8"/>
      <c r="E323" s="8"/>
      <c r="F323" s="8"/>
      <c r="G323" s="8"/>
      <c r="H323" s="47"/>
    </row>
    <row r="324">
      <c r="A324" s="8"/>
      <c r="B324" s="8"/>
      <c r="C324" s="8"/>
      <c r="D324" s="8"/>
      <c r="E324" s="8"/>
      <c r="F324" s="8"/>
      <c r="G324" s="8"/>
      <c r="H324" s="47"/>
    </row>
    <row r="325">
      <c r="A325" s="8"/>
      <c r="B325" s="8"/>
      <c r="C325" s="8"/>
      <c r="D325" s="8"/>
      <c r="E325" s="8"/>
      <c r="F325" s="8"/>
      <c r="G325" s="8"/>
      <c r="H325" s="47"/>
    </row>
    <row r="326">
      <c r="A326" s="8"/>
      <c r="B326" s="8"/>
      <c r="C326" s="8"/>
      <c r="D326" s="8"/>
      <c r="E326" s="8"/>
      <c r="F326" s="8"/>
      <c r="G326" s="8"/>
      <c r="H326" s="47"/>
    </row>
    <row r="327">
      <c r="A327" s="8"/>
      <c r="B327" s="8"/>
      <c r="C327" s="8"/>
      <c r="D327" s="8"/>
      <c r="E327" s="8"/>
      <c r="F327" s="8"/>
      <c r="G327" s="8"/>
      <c r="H327" s="47"/>
    </row>
    <row r="328">
      <c r="A328" s="8"/>
      <c r="B328" s="8"/>
      <c r="C328" s="8"/>
      <c r="D328" s="8"/>
      <c r="E328" s="8"/>
      <c r="F328" s="8"/>
      <c r="G328" s="8"/>
      <c r="H328" s="47"/>
    </row>
    <row r="329">
      <c r="A329" s="8"/>
      <c r="B329" s="8"/>
      <c r="C329" s="8"/>
      <c r="D329" s="8"/>
      <c r="E329" s="8"/>
      <c r="F329" s="8"/>
      <c r="G329" s="8"/>
      <c r="H329" s="47"/>
    </row>
    <row r="330">
      <c r="A330" s="8"/>
      <c r="B330" s="8"/>
      <c r="C330" s="8"/>
      <c r="D330" s="8"/>
      <c r="E330" s="8"/>
      <c r="F330" s="8"/>
      <c r="G330" s="8"/>
      <c r="H330" s="47"/>
    </row>
    <row r="331">
      <c r="A331" s="8"/>
      <c r="B331" s="8"/>
      <c r="C331" s="8"/>
      <c r="D331" s="8"/>
      <c r="E331" s="8"/>
      <c r="F331" s="8"/>
      <c r="G331" s="8"/>
      <c r="H331" s="47"/>
    </row>
    <row r="332">
      <c r="A332" s="8"/>
      <c r="B332" s="8"/>
      <c r="C332" s="8"/>
      <c r="D332" s="8"/>
      <c r="E332" s="8"/>
      <c r="F332" s="8"/>
      <c r="G332" s="8"/>
      <c r="H332" s="47"/>
    </row>
    <row r="333">
      <c r="A333" s="8"/>
      <c r="B333" s="8"/>
      <c r="C333" s="8"/>
      <c r="D333" s="8"/>
      <c r="E333" s="8"/>
      <c r="F333" s="8"/>
      <c r="G333" s="8"/>
      <c r="H333" s="47"/>
    </row>
    <row r="334">
      <c r="A334" s="8"/>
      <c r="B334" s="8"/>
      <c r="C334" s="8"/>
      <c r="D334" s="8"/>
      <c r="E334" s="8"/>
      <c r="F334" s="8"/>
      <c r="G334" s="8"/>
      <c r="H334" s="47"/>
    </row>
    <row r="335">
      <c r="A335" s="8"/>
      <c r="B335" s="8"/>
      <c r="C335" s="8"/>
      <c r="D335" s="8"/>
      <c r="E335" s="8"/>
      <c r="F335" s="8"/>
      <c r="G335" s="8"/>
      <c r="H335" s="47"/>
    </row>
    <row r="336">
      <c r="A336" s="8"/>
      <c r="B336" s="8"/>
      <c r="C336" s="8"/>
      <c r="D336" s="8"/>
      <c r="E336" s="8"/>
      <c r="F336" s="8"/>
      <c r="G336" s="8"/>
      <c r="H336" s="47"/>
    </row>
    <row r="337">
      <c r="A337" s="8"/>
      <c r="B337" s="8"/>
      <c r="C337" s="8"/>
      <c r="D337" s="8"/>
      <c r="E337" s="8"/>
      <c r="F337" s="8"/>
      <c r="G337" s="8"/>
      <c r="H337" s="47"/>
    </row>
    <row r="338">
      <c r="A338" s="8"/>
      <c r="B338" s="8"/>
      <c r="C338" s="8"/>
      <c r="D338" s="8"/>
      <c r="E338" s="8"/>
      <c r="F338" s="8"/>
      <c r="G338" s="8"/>
      <c r="H338" s="47"/>
    </row>
    <row r="339">
      <c r="A339" s="8"/>
      <c r="B339" s="8"/>
      <c r="C339" s="8"/>
      <c r="D339" s="8"/>
      <c r="E339" s="8"/>
      <c r="F339" s="8"/>
      <c r="G339" s="8"/>
      <c r="H339" s="47"/>
    </row>
    <row r="340">
      <c r="A340" s="8"/>
      <c r="B340" s="8"/>
      <c r="C340" s="8"/>
      <c r="D340" s="8"/>
      <c r="E340" s="8"/>
      <c r="F340" s="8"/>
      <c r="G340" s="8"/>
      <c r="H340" s="47"/>
    </row>
    <row r="341">
      <c r="A341" s="8"/>
      <c r="B341" s="8"/>
      <c r="C341" s="8"/>
      <c r="D341" s="8"/>
      <c r="E341" s="8"/>
      <c r="F341" s="8"/>
      <c r="G341" s="8"/>
      <c r="H341" s="47"/>
    </row>
    <row r="342">
      <c r="A342" s="8"/>
      <c r="B342" s="8"/>
      <c r="C342" s="8"/>
      <c r="D342" s="8"/>
      <c r="E342" s="8"/>
      <c r="F342" s="8"/>
      <c r="G342" s="8"/>
      <c r="H342" s="47"/>
    </row>
    <row r="343">
      <c r="A343" s="8"/>
      <c r="B343" s="8"/>
      <c r="C343" s="8"/>
      <c r="D343" s="8"/>
      <c r="E343" s="8"/>
      <c r="F343" s="8"/>
      <c r="G343" s="8"/>
      <c r="H343" s="47"/>
    </row>
    <row r="344">
      <c r="A344" s="8"/>
      <c r="B344" s="8"/>
      <c r="C344" s="8"/>
      <c r="D344" s="8"/>
      <c r="E344" s="8"/>
      <c r="F344" s="8"/>
      <c r="G344" s="8"/>
      <c r="H344" s="47"/>
    </row>
    <row r="345">
      <c r="A345" s="8"/>
      <c r="B345" s="8"/>
      <c r="C345" s="8"/>
      <c r="D345" s="8"/>
      <c r="E345" s="8"/>
      <c r="F345" s="8"/>
      <c r="G345" s="8"/>
      <c r="H345" s="47"/>
    </row>
    <row r="346">
      <c r="A346" s="8"/>
      <c r="B346" s="8"/>
      <c r="C346" s="8"/>
      <c r="D346" s="8"/>
      <c r="E346" s="8"/>
      <c r="F346" s="8"/>
      <c r="G346" s="8"/>
      <c r="H346" s="47"/>
    </row>
    <row r="347">
      <c r="A347" s="8"/>
      <c r="B347" s="8"/>
      <c r="C347" s="8"/>
      <c r="D347" s="8"/>
      <c r="E347" s="8"/>
      <c r="F347" s="8"/>
      <c r="G347" s="8"/>
      <c r="H347" s="47"/>
    </row>
    <row r="348">
      <c r="A348" s="8"/>
      <c r="B348" s="8"/>
      <c r="C348" s="8"/>
      <c r="D348" s="8"/>
      <c r="E348" s="8"/>
      <c r="F348" s="8"/>
      <c r="G348" s="8"/>
      <c r="H348" s="47"/>
    </row>
    <row r="349">
      <c r="A349" s="8"/>
      <c r="B349" s="8"/>
      <c r="C349" s="8"/>
      <c r="D349" s="8"/>
      <c r="E349" s="8"/>
      <c r="F349" s="8"/>
      <c r="G349" s="8"/>
      <c r="H349" s="47"/>
    </row>
    <row r="350">
      <c r="A350" s="8"/>
      <c r="B350" s="8"/>
      <c r="C350" s="8"/>
      <c r="D350" s="8"/>
      <c r="E350" s="8"/>
      <c r="F350" s="8"/>
      <c r="G350" s="8"/>
      <c r="H350" s="47"/>
    </row>
    <row r="351">
      <c r="A351" s="8"/>
      <c r="B351" s="8"/>
      <c r="C351" s="8"/>
      <c r="D351" s="8"/>
      <c r="E351" s="8"/>
      <c r="F351" s="8"/>
      <c r="G351" s="8"/>
      <c r="H351" s="47"/>
    </row>
    <row r="352">
      <c r="A352" s="8"/>
      <c r="B352" s="8"/>
      <c r="C352" s="8"/>
      <c r="D352" s="8"/>
      <c r="E352" s="8"/>
      <c r="F352" s="8"/>
      <c r="G352" s="8"/>
      <c r="H352" s="47"/>
    </row>
    <row r="353">
      <c r="A353" s="8"/>
      <c r="B353" s="8"/>
      <c r="C353" s="8"/>
      <c r="D353" s="8"/>
      <c r="E353" s="8"/>
      <c r="F353" s="8"/>
      <c r="G353" s="8"/>
      <c r="H353" s="47"/>
    </row>
    <row r="354">
      <c r="A354" s="8"/>
      <c r="B354" s="8"/>
      <c r="C354" s="8"/>
      <c r="D354" s="8"/>
      <c r="E354" s="8"/>
      <c r="F354" s="8"/>
      <c r="G354" s="8"/>
      <c r="H354" s="47"/>
    </row>
    <row r="355">
      <c r="A355" s="8"/>
      <c r="B355" s="8"/>
      <c r="C355" s="8"/>
      <c r="D355" s="8"/>
      <c r="E355" s="8"/>
      <c r="F355" s="8"/>
      <c r="G355" s="8"/>
      <c r="H355" s="47"/>
    </row>
    <row r="356">
      <c r="A356" s="8"/>
      <c r="B356" s="8"/>
      <c r="C356" s="8"/>
      <c r="D356" s="8"/>
      <c r="E356" s="8"/>
      <c r="F356" s="8"/>
      <c r="G356" s="8"/>
      <c r="H356" s="47"/>
    </row>
    <row r="357">
      <c r="A357" s="8"/>
      <c r="B357" s="8"/>
      <c r="C357" s="8"/>
      <c r="D357" s="8"/>
      <c r="E357" s="8"/>
      <c r="F357" s="8"/>
      <c r="G357" s="8"/>
      <c r="H357" s="47"/>
    </row>
    <row r="358">
      <c r="A358" s="8"/>
      <c r="B358" s="8"/>
      <c r="C358" s="8"/>
      <c r="D358" s="8"/>
      <c r="E358" s="8"/>
      <c r="F358" s="8"/>
      <c r="G358" s="8"/>
      <c r="H358" s="47"/>
    </row>
    <row r="359">
      <c r="A359" s="8"/>
      <c r="B359" s="8"/>
      <c r="C359" s="8"/>
      <c r="D359" s="8"/>
      <c r="E359" s="8"/>
      <c r="F359" s="8"/>
      <c r="G359" s="8"/>
      <c r="H359" s="47"/>
    </row>
    <row r="360">
      <c r="A360" s="8"/>
      <c r="B360" s="8"/>
      <c r="C360" s="8"/>
      <c r="D360" s="8"/>
      <c r="E360" s="8"/>
      <c r="F360" s="8"/>
      <c r="G360" s="8"/>
      <c r="H360" s="47"/>
    </row>
    <row r="361">
      <c r="A361" s="8"/>
      <c r="B361" s="8"/>
      <c r="C361" s="8"/>
      <c r="D361" s="8"/>
      <c r="E361" s="8"/>
      <c r="F361" s="8"/>
      <c r="G361" s="8"/>
      <c r="H361" s="47"/>
    </row>
    <row r="362">
      <c r="A362" s="8"/>
      <c r="B362" s="8"/>
      <c r="C362" s="8"/>
      <c r="D362" s="8"/>
      <c r="E362" s="8"/>
      <c r="F362" s="8"/>
      <c r="G362" s="8"/>
      <c r="H362" s="47"/>
    </row>
    <row r="363">
      <c r="A363" s="8"/>
      <c r="B363" s="8"/>
      <c r="C363" s="8"/>
      <c r="D363" s="8"/>
      <c r="E363" s="8"/>
      <c r="F363" s="8"/>
      <c r="G363" s="8"/>
      <c r="H363" s="47"/>
    </row>
    <row r="364">
      <c r="A364" s="8"/>
      <c r="B364" s="8"/>
      <c r="C364" s="8"/>
      <c r="D364" s="8"/>
      <c r="E364" s="8"/>
      <c r="F364" s="8"/>
      <c r="G364" s="8"/>
      <c r="H364" s="47"/>
    </row>
    <row r="365">
      <c r="A365" s="8"/>
      <c r="B365" s="8"/>
      <c r="C365" s="8"/>
      <c r="D365" s="8"/>
      <c r="E365" s="8"/>
      <c r="F365" s="8"/>
      <c r="G365" s="8"/>
      <c r="H365" s="47"/>
    </row>
    <row r="366">
      <c r="A366" s="8"/>
      <c r="B366" s="8"/>
      <c r="C366" s="8"/>
      <c r="D366" s="8"/>
      <c r="E366" s="8"/>
      <c r="F366" s="8"/>
      <c r="G366" s="8"/>
      <c r="H366" s="47"/>
    </row>
    <row r="367">
      <c r="A367" s="8"/>
      <c r="B367" s="8"/>
      <c r="C367" s="8"/>
      <c r="D367" s="8"/>
      <c r="E367" s="8"/>
      <c r="F367" s="8"/>
      <c r="G367" s="8"/>
      <c r="H367" s="47"/>
    </row>
    <row r="368">
      <c r="A368" s="8"/>
      <c r="B368" s="8"/>
      <c r="C368" s="8"/>
      <c r="D368" s="8"/>
      <c r="E368" s="8"/>
      <c r="F368" s="8"/>
      <c r="G368" s="8"/>
      <c r="H368" s="47"/>
    </row>
    <row r="369">
      <c r="A369" s="8"/>
      <c r="B369" s="8"/>
      <c r="C369" s="8"/>
      <c r="D369" s="8"/>
      <c r="E369" s="8"/>
      <c r="F369" s="8"/>
      <c r="G369" s="8"/>
      <c r="H369" s="47"/>
    </row>
    <row r="370">
      <c r="A370" s="8"/>
      <c r="B370" s="8"/>
      <c r="C370" s="8"/>
      <c r="D370" s="8"/>
      <c r="E370" s="8"/>
      <c r="F370" s="8"/>
      <c r="G370" s="8"/>
      <c r="H370" s="47"/>
    </row>
    <row r="371">
      <c r="A371" s="8"/>
      <c r="B371" s="8"/>
      <c r="C371" s="8"/>
      <c r="D371" s="8"/>
      <c r="E371" s="8"/>
      <c r="F371" s="8"/>
      <c r="G371" s="8"/>
      <c r="H371" s="47"/>
    </row>
    <row r="372">
      <c r="A372" s="8"/>
      <c r="B372" s="8"/>
      <c r="C372" s="8"/>
      <c r="D372" s="8"/>
      <c r="E372" s="8"/>
      <c r="F372" s="8"/>
      <c r="G372" s="8"/>
      <c r="H372" s="47"/>
    </row>
    <row r="373">
      <c r="A373" s="8"/>
      <c r="B373" s="8"/>
      <c r="C373" s="8"/>
      <c r="D373" s="8"/>
      <c r="E373" s="8"/>
      <c r="F373" s="8"/>
      <c r="G373" s="8"/>
      <c r="H373" s="47"/>
    </row>
    <row r="374">
      <c r="A374" s="8"/>
      <c r="B374" s="8"/>
      <c r="C374" s="8"/>
      <c r="D374" s="8"/>
      <c r="E374" s="8"/>
      <c r="F374" s="8"/>
      <c r="G374" s="8"/>
      <c r="H374" s="47"/>
    </row>
    <row r="375">
      <c r="A375" s="8"/>
      <c r="B375" s="8"/>
      <c r="C375" s="8"/>
      <c r="D375" s="8"/>
      <c r="E375" s="8"/>
      <c r="F375" s="8"/>
      <c r="G375" s="8"/>
      <c r="H375" s="47"/>
    </row>
    <row r="376">
      <c r="A376" s="8"/>
      <c r="B376" s="8"/>
      <c r="C376" s="8"/>
      <c r="D376" s="8"/>
      <c r="E376" s="8"/>
      <c r="F376" s="8"/>
      <c r="G376" s="8"/>
      <c r="H376" s="47"/>
    </row>
    <row r="377">
      <c r="A377" s="8"/>
      <c r="B377" s="8"/>
      <c r="C377" s="8"/>
      <c r="D377" s="8"/>
      <c r="E377" s="8"/>
      <c r="F377" s="8"/>
      <c r="G377" s="8"/>
      <c r="H377" s="47"/>
    </row>
    <row r="378">
      <c r="A378" s="8"/>
      <c r="B378" s="8"/>
      <c r="C378" s="8"/>
      <c r="D378" s="8"/>
      <c r="E378" s="8"/>
      <c r="F378" s="8"/>
      <c r="G378" s="8"/>
      <c r="H378" s="47"/>
    </row>
    <row r="379">
      <c r="A379" s="8"/>
      <c r="B379" s="8"/>
      <c r="C379" s="8"/>
      <c r="D379" s="8"/>
      <c r="E379" s="8"/>
      <c r="F379" s="8"/>
      <c r="G379" s="8"/>
      <c r="H379" s="47"/>
    </row>
    <row r="380">
      <c r="A380" s="8"/>
      <c r="B380" s="8"/>
      <c r="C380" s="8"/>
      <c r="D380" s="8"/>
      <c r="E380" s="8"/>
      <c r="F380" s="8"/>
      <c r="G380" s="8"/>
      <c r="H380" s="47"/>
    </row>
    <row r="381">
      <c r="A381" s="8"/>
      <c r="B381" s="8"/>
      <c r="C381" s="8"/>
      <c r="D381" s="8"/>
      <c r="E381" s="8"/>
      <c r="F381" s="8"/>
      <c r="G381" s="8"/>
      <c r="H381" s="47"/>
    </row>
    <row r="382">
      <c r="A382" s="8"/>
      <c r="B382" s="8"/>
      <c r="C382" s="8"/>
      <c r="D382" s="8"/>
      <c r="E382" s="8"/>
      <c r="F382" s="8"/>
      <c r="G382" s="8"/>
      <c r="H382" s="47"/>
    </row>
    <row r="383">
      <c r="A383" s="8"/>
      <c r="B383" s="8"/>
      <c r="C383" s="8"/>
      <c r="D383" s="8"/>
      <c r="E383" s="8"/>
      <c r="F383" s="8"/>
      <c r="G383" s="8"/>
      <c r="H383" s="47"/>
    </row>
    <row r="384">
      <c r="A384" s="8"/>
      <c r="B384" s="8"/>
      <c r="C384" s="8"/>
      <c r="D384" s="8"/>
      <c r="E384" s="8"/>
      <c r="F384" s="8"/>
      <c r="G384" s="8"/>
      <c r="H384" s="47"/>
    </row>
    <row r="385">
      <c r="A385" s="8"/>
      <c r="B385" s="8"/>
      <c r="C385" s="8"/>
      <c r="D385" s="8"/>
      <c r="E385" s="8"/>
      <c r="F385" s="8"/>
      <c r="G385" s="8"/>
      <c r="H385" s="47"/>
    </row>
    <row r="386">
      <c r="A386" s="8"/>
      <c r="B386" s="8"/>
      <c r="C386" s="8"/>
      <c r="D386" s="8"/>
      <c r="E386" s="8"/>
      <c r="F386" s="8"/>
      <c r="G386" s="8"/>
      <c r="H386" s="47"/>
    </row>
    <row r="387">
      <c r="A387" s="8"/>
      <c r="B387" s="8"/>
      <c r="C387" s="8"/>
      <c r="D387" s="8"/>
      <c r="E387" s="8"/>
      <c r="F387" s="8"/>
      <c r="G387" s="8"/>
      <c r="H387" s="47"/>
    </row>
    <row r="388">
      <c r="A388" s="8"/>
      <c r="B388" s="8"/>
      <c r="C388" s="8"/>
      <c r="D388" s="8"/>
      <c r="E388" s="8"/>
      <c r="F388" s="8"/>
      <c r="G388" s="8"/>
      <c r="H388" s="47"/>
    </row>
    <row r="389">
      <c r="A389" s="8"/>
      <c r="B389" s="8"/>
      <c r="C389" s="8"/>
      <c r="D389" s="8"/>
      <c r="E389" s="8"/>
      <c r="F389" s="8"/>
      <c r="G389" s="8"/>
      <c r="H389" s="47"/>
    </row>
    <row r="390">
      <c r="A390" s="8"/>
      <c r="B390" s="8"/>
      <c r="C390" s="8"/>
      <c r="D390" s="8"/>
      <c r="E390" s="8"/>
      <c r="F390" s="8"/>
      <c r="G390" s="8"/>
      <c r="H390" s="47"/>
    </row>
    <row r="391">
      <c r="A391" s="8"/>
      <c r="B391" s="8"/>
      <c r="C391" s="8"/>
      <c r="D391" s="8"/>
      <c r="E391" s="8"/>
      <c r="F391" s="8"/>
      <c r="G391" s="8"/>
      <c r="H391" s="47"/>
    </row>
    <row r="392">
      <c r="A392" s="8"/>
      <c r="B392" s="8"/>
      <c r="C392" s="8"/>
      <c r="D392" s="8"/>
      <c r="E392" s="8"/>
      <c r="F392" s="8"/>
      <c r="G392" s="8"/>
      <c r="H392" s="47"/>
    </row>
    <row r="393">
      <c r="A393" s="8"/>
      <c r="B393" s="8"/>
      <c r="C393" s="8"/>
      <c r="D393" s="8"/>
      <c r="E393" s="8"/>
      <c r="F393" s="8"/>
      <c r="G393" s="8"/>
      <c r="H393" s="47"/>
    </row>
    <row r="394">
      <c r="A394" s="8"/>
      <c r="B394" s="8"/>
      <c r="C394" s="8"/>
      <c r="D394" s="8"/>
      <c r="E394" s="8"/>
      <c r="F394" s="8"/>
      <c r="G394" s="8"/>
      <c r="H394" s="47"/>
    </row>
    <row r="395">
      <c r="A395" s="8"/>
      <c r="B395" s="8"/>
      <c r="C395" s="8"/>
      <c r="D395" s="8"/>
      <c r="E395" s="8"/>
      <c r="F395" s="8"/>
      <c r="G395" s="8"/>
      <c r="H395" s="47"/>
    </row>
    <row r="396">
      <c r="A396" s="8"/>
      <c r="B396" s="8"/>
      <c r="C396" s="8"/>
      <c r="D396" s="8"/>
      <c r="E396" s="8"/>
      <c r="F396" s="8"/>
      <c r="G396" s="8"/>
      <c r="H396" s="47"/>
    </row>
    <row r="397">
      <c r="A397" s="8"/>
      <c r="B397" s="8"/>
      <c r="C397" s="8"/>
      <c r="D397" s="8"/>
      <c r="E397" s="8"/>
      <c r="F397" s="8"/>
      <c r="G397" s="8"/>
      <c r="H397" s="47"/>
    </row>
    <row r="398">
      <c r="A398" s="8"/>
      <c r="B398" s="8"/>
      <c r="C398" s="8"/>
      <c r="D398" s="8"/>
      <c r="E398" s="8"/>
      <c r="F398" s="8"/>
      <c r="G398" s="8"/>
      <c r="H398" s="47"/>
    </row>
    <row r="399">
      <c r="A399" s="8"/>
      <c r="B399" s="8"/>
      <c r="C399" s="8"/>
      <c r="D399" s="8"/>
      <c r="E399" s="8"/>
      <c r="F399" s="8"/>
      <c r="G399" s="8"/>
      <c r="H399" s="47"/>
    </row>
    <row r="400">
      <c r="A400" s="8"/>
      <c r="B400" s="8"/>
      <c r="C400" s="8"/>
      <c r="D400" s="8"/>
      <c r="E400" s="8"/>
      <c r="F400" s="8"/>
      <c r="G400" s="8"/>
      <c r="H400" s="47"/>
    </row>
    <row r="401">
      <c r="A401" s="8"/>
      <c r="B401" s="8"/>
      <c r="C401" s="8"/>
      <c r="D401" s="8"/>
      <c r="E401" s="8"/>
      <c r="F401" s="8"/>
      <c r="G401" s="8"/>
      <c r="H401" s="47"/>
    </row>
    <row r="402">
      <c r="A402" s="8"/>
      <c r="B402" s="8"/>
      <c r="C402" s="8"/>
      <c r="D402" s="8"/>
      <c r="E402" s="8"/>
      <c r="F402" s="8"/>
      <c r="G402" s="8"/>
      <c r="H402" s="47"/>
    </row>
    <row r="403">
      <c r="A403" s="8"/>
      <c r="B403" s="8"/>
      <c r="C403" s="8"/>
      <c r="D403" s="8"/>
      <c r="E403" s="8"/>
      <c r="F403" s="8"/>
      <c r="G403" s="8"/>
      <c r="H403" s="47"/>
    </row>
    <row r="404">
      <c r="A404" s="8"/>
      <c r="B404" s="8"/>
      <c r="C404" s="8"/>
      <c r="D404" s="8"/>
      <c r="E404" s="8"/>
      <c r="F404" s="8"/>
      <c r="G404" s="8"/>
      <c r="H404" s="47"/>
    </row>
    <row r="405">
      <c r="A405" s="8"/>
      <c r="B405" s="8"/>
      <c r="C405" s="8"/>
      <c r="D405" s="8"/>
      <c r="E405" s="8"/>
      <c r="F405" s="8"/>
      <c r="G405" s="8"/>
      <c r="H405" s="47"/>
    </row>
    <row r="406">
      <c r="A406" s="8"/>
      <c r="B406" s="8"/>
      <c r="C406" s="8"/>
      <c r="D406" s="8"/>
      <c r="E406" s="8"/>
      <c r="F406" s="8"/>
      <c r="G406" s="8"/>
      <c r="H406" s="47"/>
    </row>
    <row r="407">
      <c r="A407" s="8"/>
      <c r="B407" s="8"/>
      <c r="C407" s="8"/>
      <c r="D407" s="8"/>
      <c r="E407" s="8"/>
      <c r="F407" s="8"/>
      <c r="G407" s="8"/>
      <c r="H407" s="47"/>
    </row>
    <row r="408">
      <c r="A408" s="8"/>
      <c r="B408" s="8"/>
      <c r="C408" s="8"/>
      <c r="D408" s="8"/>
      <c r="E408" s="8"/>
      <c r="F408" s="8"/>
      <c r="G408" s="8"/>
      <c r="H408" s="47"/>
    </row>
    <row r="409">
      <c r="A409" s="8"/>
      <c r="B409" s="8"/>
      <c r="C409" s="8"/>
      <c r="D409" s="8"/>
      <c r="E409" s="8"/>
      <c r="F409" s="8"/>
      <c r="G409" s="8"/>
      <c r="H409" s="47"/>
    </row>
    <row r="410">
      <c r="A410" s="8"/>
      <c r="B410" s="8"/>
      <c r="C410" s="8"/>
      <c r="D410" s="8"/>
      <c r="E410" s="8"/>
      <c r="F410" s="8"/>
      <c r="G410" s="8"/>
      <c r="H410" s="47"/>
    </row>
    <row r="411">
      <c r="A411" s="8"/>
      <c r="B411" s="8"/>
      <c r="C411" s="8"/>
      <c r="D411" s="8"/>
      <c r="E411" s="8"/>
      <c r="F411" s="8"/>
      <c r="G411" s="8"/>
      <c r="H411" s="47"/>
    </row>
    <row r="412">
      <c r="A412" s="8"/>
      <c r="B412" s="8"/>
      <c r="C412" s="8"/>
      <c r="D412" s="8"/>
      <c r="E412" s="8"/>
      <c r="F412" s="8"/>
      <c r="G412" s="8"/>
      <c r="H412" s="47"/>
    </row>
    <row r="413">
      <c r="A413" s="8"/>
      <c r="B413" s="8"/>
      <c r="C413" s="8"/>
      <c r="D413" s="8"/>
      <c r="E413" s="8"/>
      <c r="F413" s="8"/>
      <c r="G413" s="8"/>
      <c r="H413" s="47"/>
    </row>
    <row r="414">
      <c r="A414" s="8"/>
      <c r="B414" s="8"/>
      <c r="C414" s="8"/>
      <c r="D414" s="8"/>
      <c r="E414" s="8"/>
      <c r="F414" s="8"/>
      <c r="G414" s="8"/>
      <c r="H414" s="47"/>
    </row>
    <row r="415">
      <c r="A415" s="8"/>
      <c r="B415" s="8"/>
      <c r="C415" s="8"/>
      <c r="D415" s="8"/>
      <c r="E415" s="8"/>
      <c r="F415" s="8"/>
      <c r="G415" s="8"/>
      <c r="H415" s="47"/>
    </row>
    <row r="416">
      <c r="A416" s="8"/>
      <c r="B416" s="8"/>
      <c r="C416" s="8"/>
      <c r="D416" s="8"/>
      <c r="E416" s="8"/>
      <c r="F416" s="8"/>
      <c r="G416" s="8"/>
      <c r="H416" s="47"/>
    </row>
    <row r="417">
      <c r="A417" s="8"/>
      <c r="B417" s="8"/>
      <c r="C417" s="8"/>
      <c r="D417" s="8"/>
      <c r="E417" s="8"/>
      <c r="F417" s="8"/>
      <c r="G417" s="8"/>
      <c r="H417" s="47"/>
    </row>
    <row r="418">
      <c r="A418" s="8"/>
      <c r="B418" s="8"/>
      <c r="C418" s="8"/>
      <c r="D418" s="8"/>
      <c r="E418" s="8"/>
      <c r="F418" s="8"/>
      <c r="G418" s="8"/>
      <c r="H418" s="47"/>
    </row>
    <row r="419">
      <c r="A419" s="8"/>
      <c r="B419" s="8"/>
      <c r="C419" s="8"/>
      <c r="D419" s="8"/>
      <c r="E419" s="8"/>
      <c r="F419" s="8"/>
      <c r="G419" s="8"/>
      <c r="H419" s="47"/>
    </row>
    <row r="420">
      <c r="A420" s="8"/>
      <c r="B420" s="8"/>
      <c r="C420" s="8"/>
      <c r="D420" s="8"/>
      <c r="E420" s="8"/>
      <c r="F420" s="8"/>
      <c r="G420" s="8"/>
      <c r="H420" s="47"/>
    </row>
    <row r="421">
      <c r="A421" s="8"/>
      <c r="B421" s="8"/>
      <c r="C421" s="8"/>
      <c r="D421" s="8"/>
      <c r="E421" s="8"/>
      <c r="F421" s="8"/>
      <c r="G421" s="8"/>
      <c r="H421" s="47"/>
    </row>
    <row r="422">
      <c r="A422" s="8"/>
      <c r="B422" s="8"/>
      <c r="C422" s="8"/>
      <c r="D422" s="8"/>
      <c r="E422" s="8"/>
      <c r="F422" s="8"/>
      <c r="G422" s="8"/>
      <c r="H422" s="47"/>
    </row>
    <row r="423">
      <c r="A423" s="8"/>
      <c r="B423" s="8"/>
      <c r="C423" s="8"/>
      <c r="D423" s="8"/>
      <c r="E423" s="8"/>
      <c r="F423" s="8"/>
      <c r="G423" s="8"/>
      <c r="H423" s="47"/>
    </row>
    <row r="424">
      <c r="A424" s="8"/>
      <c r="B424" s="8"/>
      <c r="C424" s="8"/>
      <c r="D424" s="8"/>
      <c r="E424" s="8"/>
      <c r="F424" s="8"/>
      <c r="G424" s="8"/>
      <c r="H424" s="47"/>
    </row>
    <row r="425">
      <c r="A425" s="8"/>
      <c r="B425" s="8"/>
      <c r="C425" s="8"/>
      <c r="D425" s="8"/>
      <c r="E425" s="8"/>
      <c r="F425" s="8"/>
      <c r="G425" s="8"/>
      <c r="H425" s="47"/>
    </row>
    <row r="426">
      <c r="A426" s="8"/>
      <c r="B426" s="8"/>
      <c r="C426" s="8"/>
      <c r="D426" s="8"/>
      <c r="E426" s="8"/>
      <c r="F426" s="8"/>
      <c r="G426" s="8"/>
      <c r="H426" s="47"/>
    </row>
    <row r="427">
      <c r="A427" s="8"/>
      <c r="B427" s="8"/>
      <c r="C427" s="8"/>
      <c r="D427" s="8"/>
      <c r="E427" s="8"/>
      <c r="F427" s="8"/>
      <c r="G427" s="8"/>
      <c r="H427" s="47"/>
    </row>
    <row r="428">
      <c r="A428" s="8"/>
      <c r="B428" s="8"/>
      <c r="C428" s="8"/>
      <c r="D428" s="8"/>
      <c r="E428" s="8"/>
      <c r="F428" s="8"/>
      <c r="G428" s="8"/>
      <c r="H428" s="47"/>
    </row>
    <row r="429">
      <c r="A429" s="8"/>
      <c r="B429" s="8"/>
      <c r="C429" s="8"/>
      <c r="D429" s="8"/>
      <c r="E429" s="8"/>
      <c r="F429" s="8"/>
      <c r="G429" s="8"/>
      <c r="H429" s="47"/>
    </row>
    <row r="430">
      <c r="A430" s="8"/>
      <c r="B430" s="8"/>
      <c r="C430" s="8"/>
      <c r="D430" s="8"/>
      <c r="E430" s="8"/>
      <c r="F430" s="8"/>
      <c r="G430" s="8"/>
      <c r="H430" s="47"/>
    </row>
    <row r="431">
      <c r="A431" s="8"/>
      <c r="B431" s="8"/>
      <c r="C431" s="8"/>
      <c r="D431" s="8"/>
      <c r="E431" s="8"/>
      <c r="F431" s="8"/>
      <c r="G431" s="8"/>
      <c r="H431" s="47"/>
    </row>
    <row r="432">
      <c r="A432" s="8"/>
      <c r="B432" s="8"/>
      <c r="C432" s="8"/>
      <c r="D432" s="8"/>
      <c r="E432" s="8"/>
      <c r="F432" s="8"/>
      <c r="G432" s="8"/>
      <c r="H432" s="47"/>
    </row>
    <row r="433">
      <c r="A433" s="8"/>
      <c r="B433" s="8"/>
      <c r="C433" s="8"/>
      <c r="D433" s="8"/>
      <c r="E433" s="8"/>
      <c r="F433" s="8"/>
      <c r="G433" s="8"/>
      <c r="H433" s="47"/>
    </row>
    <row r="434">
      <c r="A434" s="8"/>
      <c r="B434" s="8"/>
      <c r="C434" s="8"/>
      <c r="D434" s="8"/>
      <c r="E434" s="8"/>
      <c r="F434" s="8"/>
      <c r="G434" s="8"/>
      <c r="H434" s="47"/>
    </row>
    <row r="435">
      <c r="A435" s="8"/>
      <c r="B435" s="8"/>
      <c r="C435" s="8"/>
      <c r="D435" s="8"/>
      <c r="E435" s="8"/>
      <c r="F435" s="8"/>
      <c r="G435" s="8"/>
      <c r="H435" s="47"/>
    </row>
    <row r="436">
      <c r="A436" s="8"/>
      <c r="B436" s="8"/>
      <c r="C436" s="8"/>
      <c r="D436" s="8"/>
      <c r="E436" s="8"/>
      <c r="F436" s="8"/>
      <c r="G436" s="8"/>
      <c r="H436" s="47"/>
    </row>
    <row r="437">
      <c r="A437" s="8"/>
      <c r="B437" s="8"/>
      <c r="C437" s="8"/>
      <c r="D437" s="8"/>
      <c r="E437" s="8"/>
      <c r="F437" s="8"/>
      <c r="G437" s="8"/>
      <c r="H437" s="47"/>
    </row>
    <row r="438">
      <c r="A438" s="8"/>
      <c r="B438" s="8"/>
      <c r="C438" s="8"/>
      <c r="D438" s="8"/>
      <c r="E438" s="8"/>
      <c r="F438" s="8"/>
      <c r="G438" s="8"/>
      <c r="H438" s="47"/>
    </row>
    <row r="439">
      <c r="A439" s="8"/>
      <c r="B439" s="8"/>
      <c r="C439" s="8"/>
      <c r="D439" s="8"/>
      <c r="E439" s="8"/>
      <c r="F439" s="8"/>
      <c r="G439" s="8"/>
      <c r="H439" s="47"/>
    </row>
    <row r="440">
      <c r="A440" s="8"/>
      <c r="B440" s="8"/>
      <c r="C440" s="8"/>
      <c r="D440" s="8"/>
      <c r="E440" s="8"/>
      <c r="F440" s="8"/>
      <c r="G440" s="8"/>
      <c r="H440" s="47"/>
    </row>
    <row r="441">
      <c r="A441" s="8"/>
      <c r="B441" s="8"/>
      <c r="C441" s="8"/>
      <c r="D441" s="8"/>
      <c r="E441" s="8"/>
      <c r="F441" s="8"/>
      <c r="G441" s="8"/>
      <c r="H441" s="47"/>
    </row>
    <row r="442">
      <c r="A442" s="8"/>
      <c r="B442" s="8"/>
      <c r="C442" s="8"/>
      <c r="D442" s="8"/>
      <c r="E442" s="8"/>
      <c r="F442" s="8"/>
      <c r="G442" s="8"/>
      <c r="H442" s="47"/>
    </row>
    <row r="443">
      <c r="A443" s="8"/>
      <c r="B443" s="8"/>
      <c r="C443" s="8"/>
      <c r="D443" s="8"/>
      <c r="E443" s="8"/>
      <c r="F443" s="8"/>
      <c r="G443" s="8"/>
      <c r="H443" s="47"/>
    </row>
    <row r="444">
      <c r="A444" s="8"/>
      <c r="B444" s="8"/>
      <c r="C444" s="8"/>
      <c r="D444" s="8"/>
      <c r="E444" s="8"/>
      <c r="F444" s="8"/>
      <c r="G444" s="8"/>
      <c r="H444" s="47"/>
    </row>
    <row r="445">
      <c r="A445" s="8"/>
      <c r="B445" s="8"/>
      <c r="C445" s="8"/>
      <c r="D445" s="8"/>
      <c r="E445" s="8"/>
      <c r="F445" s="8"/>
      <c r="G445" s="8"/>
      <c r="H445" s="47"/>
    </row>
    <row r="446">
      <c r="A446" s="8"/>
      <c r="B446" s="8"/>
      <c r="C446" s="8"/>
      <c r="D446" s="8"/>
      <c r="E446" s="8"/>
      <c r="F446" s="8"/>
      <c r="G446" s="8"/>
      <c r="H446" s="47"/>
    </row>
    <row r="447">
      <c r="A447" s="8"/>
      <c r="B447" s="8"/>
      <c r="C447" s="8"/>
      <c r="D447" s="8"/>
      <c r="E447" s="8"/>
      <c r="F447" s="8"/>
      <c r="G447" s="8"/>
      <c r="H447" s="47"/>
    </row>
    <row r="448">
      <c r="A448" s="8"/>
      <c r="B448" s="8"/>
      <c r="C448" s="8"/>
      <c r="D448" s="8"/>
      <c r="E448" s="8"/>
      <c r="F448" s="8"/>
      <c r="G448" s="8"/>
      <c r="H448" s="47"/>
    </row>
    <row r="449">
      <c r="A449" s="8"/>
      <c r="B449" s="8"/>
      <c r="C449" s="8"/>
      <c r="D449" s="8"/>
      <c r="E449" s="8"/>
      <c r="F449" s="8"/>
      <c r="G449" s="8"/>
      <c r="H449" s="47"/>
    </row>
    <row r="450">
      <c r="A450" s="8"/>
      <c r="B450" s="8"/>
      <c r="C450" s="8"/>
      <c r="D450" s="8"/>
      <c r="E450" s="8"/>
      <c r="F450" s="8"/>
      <c r="G450" s="8"/>
      <c r="H450" s="47"/>
    </row>
    <row r="451">
      <c r="A451" s="8"/>
      <c r="B451" s="8"/>
      <c r="C451" s="8"/>
      <c r="D451" s="8"/>
      <c r="E451" s="8"/>
      <c r="F451" s="8"/>
      <c r="G451" s="8"/>
      <c r="H451" s="47"/>
    </row>
    <row r="452">
      <c r="A452" s="8"/>
      <c r="B452" s="8"/>
      <c r="C452" s="8"/>
      <c r="D452" s="8"/>
      <c r="E452" s="8"/>
      <c r="F452" s="8"/>
      <c r="G452" s="8"/>
      <c r="H452" s="47"/>
    </row>
    <row r="453">
      <c r="A453" s="8"/>
      <c r="B453" s="8"/>
      <c r="C453" s="8"/>
      <c r="D453" s="8"/>
      <c r="E453" s="8"/>
      <c r="F453" s="8"/>
      <c r="G453" s="8"/>
      <c r="H453" s="47"/>
    </row>
    <row r="454">
      <c r="A454" s="8"/>
      <c r="B454" s="8"/>
      <c r="C454" s="8"/>
      <c r="D454" s="8"/>
      <c r="E454" s="8"/>
      <c r="F454" s="8"/>
      <c r="G454" s="8"/>
      <c r="H454" s="47"/>
    </row>
    <row r="455">
      <c r="A455" s="8"/>
      <c r="B455" s="8"/>
      <c r="C455" s="8"/>
      <c r="D455" s="8"/>
      <c r="E455" s="8"/>
      <c r="F455" s="8"/>
      <c r="G455" s="8"/>
      <c r="H455" s="47"/>
    </row>
    <row r="456">
      <c r="A456" s="8"/>
      <c r="B456" s="8"/>
      <c r="C456" s="8"/>
      <c r="D456" s="8"/>
      <c r="E456" s="8"/>
      <c r="F456" s="8"/>
      <c r="G456" s="8"/>
      <c r="H456" s="47"/>
    </row>
    <row r="457">
      <c r="A457" s="8"/>
      <c r="B457" s="8"/>
      <c r="C457" s="8"/>
      <c r="D457" s="8"/>
      <c r="E457" s="8"/>
      <c r="F457" s="8"/>
      <c r="G457" s="8"/>
      <c r="H457" s="47"/>
    </row>
    <row r="458">
      <c r="A458" s="8"/>
      <c r="B458" s="8"/>
      <c r="C458" s="8"/>
      <c r="D458" s="8"/>
      <c r="E458" s="8"/>
      <c r="F458" s="8"/>
      <c r="G458" s="8"/>
      <c r="H458" s="47"/>
    </row>
    <row r="459">
      <c r="A459" s="8"/>
      <c r="B459" s="8"/>
      <c r="C459" s="8"/>
      <c r="D459" s="8"/>
      <c r="E459" s="8"/>
      <c r="F459" s="8"/>
      <c r="G459" s="8"/>
      <c r="H459" s="47"/>
    </row>
    <row r="460">
      <c r="A460" s="8"/>
      <c r="B460" s="8"/>
      <c r="C460" s="8"/>
      <c r="D460" s="8"/>
      <c r="E460" s="8"/>
      <c r="F460" s="8"/>
      <c r="G460" s="8"/>
      <c r="H460" s="47"/>
    </row>
    <row r="461">
      <c r="A461" s="8"/>
      <c r="B461" s="8"/>
      <c r="C461" s="8"/>
      <c r="D461" s="8"/>
      <c r="E461" s="8"/>
      <c r="F461" s="8"/>
      <c r="G461" s="8"/>
      <c r="H461" s="47"/>
    </row>
    <row r="462">
      <c r="A462" s="8"/>
      <c r="B462" s="8"/>
      <c r="C462" s="8"/>
      <c r="D462" s="8"/>
      <c r="E462" s="8"/>
      <c r="F462" s="8"/>
      <c r="G462" s="8"/>
      <c r="H462" s="47"/>
    </row>
    <row r="463">
      <c r="A463" s="8"/>
      <c r="B463" s="8"/>
      <c r="C463" s="8"/>
      <c r="D463" s="8"/>
      <c r="E463" s="8"/>
      <c r="F463" s="8"/>
      <c r="G463" s="8"/>
      <c r="H463" s="47"/>
    </row>
    <row r="464">
      <c r="A464" s="8"/>
      <c r="B464" s="8"/>
      <c r="C464" s="8"/>
      <c r="D464" s="8"/>
      <c r="E464" s="8"/>
      <c r="F464" s="8"/>
      <c r="G464" s="8"/>
      <c r="H464" s="47"/>
    </row>
    <row r="465">
      <c r="A465" s="8"/>
      <c r="B465" s="8"/>
      <c r="C465" s="8"/>
      <c r="D465" s="8"/>
      <c r="E465" s="8"/>
      <c r="F465" s="8"/>
      <c r="G465" s="8"/>
      <c r="H465" s="47"/>
    </row>
    <row r="466">
      <c r="A466" s="8"/>
      <c r="B466" s="8"/>
      <c r="C466" s="8"/>
      <c r="D466" s="8"/>
      <c r="E466" s="8"/>
      <c r="F466" s="8"/>
      <c r="G466" s="8"/>
      <c r="H466" s="47"/>
    </row>
    <row r="467">
      <c r="A467" s="8"/>
      <c r="B467" s="8"/>
      <c r="C467" s="8"/>
      <c r="D467" s="8"/>
      <c r="E467" s="8"/>
      <c r="F467" s="8"/>
      <c r="G467" s="8"/>
      <c r="H467" s="47"/>
    </row>
    <row r="468">
      <c r="A468" s="8"/>
      <c r="B468" s="8"/>
      <c r="C468" s="8"/>
      <c r="D468" s="8"/>
      <c r="E468" s="8"/>
      <c r="F468" s="8"/>
      <c r="G468" s="8"/>
      <c r="H468" s="47"/>
    </row>
    <row r="469">
      <c r="A469" s="8"/>
      <c r="B469" s="8"/>
      <c r="C469" s="8"/>
      <c r="D469" s="8"/>
      <c r="E469" s="8"/>
      <c r="F469" s="8"/>
      <c r="G469" s="8"/>
      <c r="H469" s="47"/>
    </row>
    <row r="470">
      <c r="A470" s="8"/>
      <c r="B470" s="8"/>
      <c r="C470" s="8"/>
      <c r="D470" s="8"/>
      <c r="E470" s="8"/>
      <c r="F470" s="8"/>
      <c r="G470" s="8"/>
      <c r="H470" s="47"/>
    </row>
    <row r="471">
      <c r="A471" s="8"/>
      <c r="B471" s="8"/>
      <c r="C471" s="8"/>
      <c r="D471" s="8"/>
      <c r="E471" s="8"/>
      <c r="F471" s="8"/>
      <c r="G471" s="8"/>
      <c r="H471" s="47"/>
    </row>
    <row r="472">
      <c r="A472" s="8"/>
      <c r="B472" s="8"/>
      <c r="C472" s="8"/>
      <c r="D472" s="8"/>
      <c r="E472" s="8"/>
      <c r="F472" s="8"/>
      <c r="G472" s="8"/>
      <c r="H472" s="47"/>
    </row>
    <row r="473">
      <c r="A473" s="8"/>
      <c r="B473" s="8"/>
      <c r="C473" s="8"/>
      <c r="D473" s="8"/>
      <c r="E473" s="8"/>
      <c r="F473" s="8"/>
      <c r="G473" s="8"/>
      <c r="H473" s="47"/>
    </row>
    <row r="474">
      <c r="A474" s="8"/>
      <c r="B474" s="8"/>
      <c r="C474" s="8"/>
      <c r="D474" s="8"/>
      <c r="E474" s="8"/>
      <c r="F474" s="8"/>
      <c r="G474" s="8"/>
      <c r="H474" s="47"/>
    </row>
    <row r="475">
      <c r="A475" s="8"/>
      <c r="B475" s="8"/>
      <c r="C475" s="8"/>
      <c r="D475" s="8"/>
      <c r="E475" s="8"/>
      <c r="F475" s="8"/>
      <c r="G475" s="8"/>
      <c r="H475" s="47"/>
    </row>
    <row r="476">
      <c r="A476" s="8"/>
      <c r="B476" s="8"/>
      <c r="C476" s="8"/>
      <c r="D476" s="8"/>
      <c r="E476" s="8"/>
      <c r="F476" s="8"/>
      <c r="G476" s="8"/>
      <c r="H476" s="47"/>
    </row>
    <row r="477">
      <c r="A477" s="8"/>
      <c r="B477" s="8"/>
      <c r="C477" s="8"/>
      <c r="D477" s="8"/>
      <c r="E477" s="8"/>
      <c r="F477" s="8"/>
      <c r="G477" s="8"/>
      <c r="H477" s="47"/>
    </row>
    <row r="478">
      <c r="A478" s="8"/>
      <c r="B478" s="8"/>
      <c r="C478" s="8"/>
      <c r="D478" s="8"/>
      <c r="E478" s="8"/>
      <c r="F478" s="8"/>
      <c r="G478" s="8"/>
      <c r="H478" s="47"/>
    </row>
    <row r="479">
      <c r="A479" s="8"/>
      <c r="B479" s="8"/>
      <c r="C479" s="8"/>
      <c r="D479" s="8"/>
      <c r="E479" s="8"/>
      <c r="F479" s="8"/>
      <c r="G479" s="8"/>
      <c r="H479" s="47"/>
    </row>
    <row r="480">
      <c r="A480" s="8"/>
      <c r="B480" s="8"/>
      <c r="C480" s="8"/>
      <c r="D480" s="8"/>
      <c r="E480" s="8"/>
      <c r="F480" s="8"/>
      <c r="G480" s="8"/>
      <c r="H480" s="47"/>
    </row>
    <row r="481">
      <c r="A481" s="8"/>
      <c r="B481" s="8"/>
      <c r="C481" s="8"/>
      <c r="D481" s="8"/>
      <c r="E481" s="8"/>
      <c r="F481" s="8"/>
      <c r="G481" s="8"/>
      <c r="H481" s="47"/>
    </row>
    <row r="482">
      <c r="A482" s="8"/>
      <c r="B482" s="8"/>
      <c r="C482" s="8"/>
      <c r="D482" s="8"/>
      <c r="E482" s="8"/>
      <c r="F482" s="8"/>
      <c r="G482" s="8"/>
      <c r="H482" s="47"/>
    </row>
    <row r="483">
      <c r="A483" s="8"/>
      <c r="B483" s="8"/>
      <c r="C483" s="8"/>
      <c r="D483" s="8"/>
      <c r="E483" s="8"/>
      <c r="F483" s="8"/>
      <c r="G483" s="8"/>
      <c r="H483" s="47"/>
    </row>
    <row r="484">
      <c r="A484" s="8"/>
      <c r="B484" s="8"/>
      <c r="C484" s="8"/>
      <c r="D484" s="8"/>
      <c r="E484" s="8"/>
      <c r="F484" s="8"/>
      <c r="G484" s="8"/>
      <c r="H484" s="47"/>
    </row>
    <row r="485">
      <c r="A485" s="8"/>
      <c r="B485" s="8"/>
      <c r="C485" s="8"/>
      <c r="D485" s="8"/>
      <c r="E485" s="8"/>
      <c r="F485" s="8"/>
      <c r="G485" s="8"/>
      <c r="H485" s="47"/>
    </row>
    <row r="486">
      <c r="A486" s="8"/>
      <c r="B486" s="8"/>
      <c r="C486" s="8"/>
      <c r="D486" s="8"/>
      <c r="E486" s="8"/>
      <c r="F486" s="8"/>
      <c r="G486" s="8"/>
      <c r="H486" s="47"/>
    </row>
    <row r="487">
      <c r="A487" s="8"/>
      <c r="B487" s="8"/>
      <c r="C487" s="8"/>
      <c r="D487" s="8"/>
      <c r="E487" s="8"/>
      <c r="F487" s="8"/>
      <c r="G487" s="8"/>
      <c r="H487" s="47"/>
    </row>
    <row r="488">
      <c r="A488" s="8"/>
      <c r="B488" s="8"/>
      <c r="C488" s="8"/>
      <c r="D488" s="8"/>
      <c r="E488" s="8"/>
      <c r="F488" s="8"/>
      <c r="G488" s="8"/>
      <c r="H488" s="47"/>
    </row>
    <row r="489">
      <c r="A489" s="8"/>
      <c r="B489" s="8"/>
      <c r="C489" s="8"/>
      <c r="D489" s="8"/>
      <c r="E489" s="8"/>
      <c r="F489" s="8"/>
      <c r="G489" s="8"/>
      <c r="H489" s="47"/>
    </row>
    <row r="490">
      <c r="A490" s="8"/>
      <c r="B490" s="8"/>
      <c r="C490" s="8"/>
      <c r="D490" s="8"/>
      <c r="E490" s="8"/>
      <c r="F490" s="8"/>
      <c r="G490" s="8"/>
      <c r="H490" s="47"/>
    </row>
    <row r="491">
      <c r="A491" s="8"/>
      <c r="B491" s="8"/>
      <c r="C491" s="8"/>
      <c r="D491" s="8"/>
      <c r="E491" s="8"/>
      <c r="F491" s="8"/>
      <c r="G491" s="8"/>
      <c r="H491" s="47"/>
    </row>
    <row r="492">
      <c r="A492" s="8"/>
      <c r="B492" s="8"/>
      <c r="C492" s="8"/>
      <c r="D492" s="8"/>
      <c r="E492" s="8"/>
      <c r="F492" s="8"/>
      <c r="G492" s="8"/>
      <c r="H492" s="47"/>
    </row>
    <row r="493">
      <c r="A493" s="8"/>
      <c r="B493" s="8"/>
      <c r="C493" s="8"/>
      <c r="D493" s="8"/>
      <c r="E493" s="8"/>
      <c r="F493" s="8"/>
      <c r="G493" s="8"/>
      <c r="H493" s="47"/>
    </row>
    <row r="494">
      <c r="A494" s="8"/>
      <c r="B494" s="8"/>
      <c r="C494" s="8"/>
      <c r="D494" s="8"/>
      <c r="E494" s="8"/>
      <c r="F494" s="8"/>
      <c r="G494" s="8"/>
      <c r="H494" s="47"/>
    </row>
    <row r="495">
      <c r="A495" s="8"/>
      <c r="B495" s="8"/>
      <c r="C495" s="8"/>
      <c r="D495" s="8"/>
      <c r="E495" s="8"/>
      <c r="F495" s="8"/>
      <c r="G495" s="8"/>
      <c r="H495" s="47"/>
    </row>
    <row r="496">
      <c r="A496" s="8"/>
      <c r="B496" s="8"/>
      <c r="C496" s="8"/>
      <c r="D496" s="8"/>
      <c r="E496" s="8"/>
      <c r="F496" s="8"/>
      <c r="G496" s="8"/>
      <c r="H496" s="47"/>
    </row>
    <row r="497">
      <c r="A497" s="8"/>
      <c r="B497" s="8"/>
      <c r="C497" s="8"/>
      <c r="D497" s="8"/>
      <c r="E497" s="8"/>
      <c r="F497" s="8"/>
      <c r="G497" s="8"/>
      <c r="H497" s="47"/>
    </row>
    <row r="498">
      <c r="A498" s="8"/>
      <c r="B498" s="8"/>
      <c r="C498" s="8"/>
      <c r="D498" s="8"/>
      <c r="E498" s="8"/>
      <c r="F498" s="8"/>
      <c r="G498" s="8"/>
      <c r="H498" s="47"/>
    </row>
    <row r="499">
      <c r="A499" s="8"/>
      <c r="B499" s="8"/>
      <c r="C499" s="8"/>
      <c r="D499" s="8"/>
      <c r="E499" s="8"/>
      <c r="F499" s="8"/>
      <c r="G499" s="8"/>
      <c r="H499" s="47"/>
    </row>
    <row r="500">
      <c r="A500" s="8"/>
      <c r="B500" s="8"/>
      <c r="C500" s="8"/>
      <c r="D500" s="8"/>
      <c r="E500" s="8"/>
      <c r="F500" s="8"/>
      <c r="G500" s="8"/>
      <c r="H500" s="47"/>
    </row>
    <row r="501">
      <c r="A501" s="8"/>
      <c r="B501" s="8"/>
      <c r="C501" s="8"/>
      <c r="D501" s="8"/>
      <c r="E501" s="8"/>
      <c r="F501" s="8"/>
      <c r="G501" s="8"/>
      <c r="H501" s="47"/>
    </row>
    <row r="502">
      <c r="A502" s="8"/>
      <c r="B502" s="8"/>
      <c r="C502" s="8"/>
      <c r="D502" s="8"/>
      <c r="E502" s="8"/>
      <c r="F502" s="8"/>
      <c r="G502" s="8"/>
      <c r="H502" s="47"/>
    </row>
    <row r="503">
      <c r="A503" s="8"/>
      <c r="B503" s="8"/>
      <c r="C503" s="8"/>
      <c r="D503" s="8"/>
      <c r="E503" s="8"/>
      <c r="F503" s="8"/>
      <c r="G503" s="8"/>
      <c r="H503" s="47"/>
    </row>
    <row r="504">
      <c r="A504" s="8"/>
      <c r="B504" s="8"/>
      <c r="C504" s="8"/>
      <c r="D504" s="8"/>
      <c r="E504" s="8"/>
      <c r="F504" s="8"/>
      <c r="G504" s="8"/>
      <c r="H504" s="47"/>
    </row>
    <row r="505">
      <c r="A505" s="8"/>
      <c r="B505" s="8"/>
      <c r="C505" s="8"/>
      <c r="D505" s="8"/>
      <c r="E505" s="8"/>
      <c r="F505" s="8"/>
      <c r="G505" s="8"/>
      <c r="H505" s="47"/>
    </row>
    <row r="506">
      <c r="A506" s="8"/>
      <c r="B506" s="8"/>
      <c r="C506" s="8"/>
      <c r="D506" s="8"/>
      <c r="E506" s="8"/>
      <c r="F506" s="8"/>
      <c r="G506" s="8"/>
      <c r="H506" s="47"/>
    </row>
    <row r="507">
      <c r="A507" s="8"/>
      <c r="B507" s="8"/>
      <c r="C507" s="8"/>
      <c r="D507" s="8"/>
      <c r="E507" s="8"/>
      <c r="F507" s="8"/>
      <c r="G507" s="8"/>
      <c r="H507" s="47"/>
    </row>
    <row r="508">
      <c r="A508" s="8"/>
      <c r="B508" s="8"/>
      <c r="C508" s="8"/>
      <c r="D508" s="8"/>
      <c r="E508" s="8"/>
      <c r="F508" s="8"/>
      <c r="G508" s="8"/>
      <c r="H508" s="47"/>
    </row>
    <row r="509">
      <c r="A509" s="8"/>
      <c r="B509" s="8"/>
      <c r="C509" s="8"/>
      <c r="D509" s="8"/>
      <c r="E509" s="8"/>
      <c r="F509" s="8"/>
      <c r="G509" s="8"/>
      <c r="H509" s="47"/>
    </row>
    <row r="510">
      <c r="A510" s="8"/>
      <c r="B510" s="8"/>
      <c r="C510" s="8"/>
      <c r="D510" s="8"/>
      <c r="E510" s="8"/>
      <c r="F510" s="8"/>
      <c r="G510" s="8"/>
      <c r="H510" s="47"/>
    </row>
    <row r="511">
      <c r="A511" s="8"/>
      <c r="B511" s="8"/>
      <c r="C511" s="8"/>
      <c r="D511" s="8"/>
      <c r="E511" s="8"/>
      <c r="F511" s="8"/>
      <c r="G511" s="8"/>
      <c r="H511" s="47"/>
    </row>
    <row r="512">
      <c r="A512" s="8"/>
      <c r="B512" s="8"/>
      <c r="C512" s="8"/>
      <c r="D512" s="8"/>
      <c r="E512" s="8"/>
      <c r="F512" s="8"/>
      <c r="G512" s="8"/>
      <c r="H512" s="47"/>
    </row>
    <row r="513">
      <c r="A513" s="8"/>
      <c r="B513" s="8"/>
      <c r="C513" s="8"/>
      <c r="D513" s="8"/>
      <c r="E513" s="8"/>
      <c r="F513" s="8"/>
      <c r="G513" s="8"/>
      <c r="H513" s="47"/>
    </row>
    <row r="514">
      <c r="A514" s="8"/>
      <c r="B514" s="8"/>
      <c r="C514" s="8"/>
      <c r="D514" s="8"/>
      <c r="E514" s="8"/>
      <c r="F514" s="8"/>
      <c r="G514" s="8"/>
      <c r="H514" s="47"/>
    </row>
    <row r="515">
      <c r="A515" s="8"/>
      <c r="B515" s="8"/>
      <c r="C515" s="8"/>
      <c r="D515" s="8"/>
      <c r="E515" s="8"/>
      <c r="F515" s="8"/>
      <c r="G515" s="8"/>
      <c r="H515" s="47"/>
    </row>
    <row r="516">
      <c r="A516" s="8"/>
      <c r="B516" s="8"/>
      <c r="C516" s="8"/>
      <c r="D516" s="8"/>
      <c r="E516" s="8"/>
      <c r="F516" s="8"/>
      <c r="G516" s="8"/>
      <c r="H516" s="47"/>
    </row>
    <row r="517">
      <c r="A517" s="8"/>
      <c r="B517" s="8"/>
      <c r="C517" s="8"/>
      <c r="D517" s="8"/>
      <c r="E517" s="8"/>
      <c r="F517" s="8"/>
      <c r="G517" s="8"/>
      <c r="H517" s="47"/>
    </row>
    <row r="518">
      <c r="A518" s="8"/>
      <c r="B518" s="8"/>
      <c r="C518" s="8"/>
      <c r="D518" s="8"/>
      <c r="E518" s="8"/>
      <c r="F518" s="8"/>
      <c r="G518" s="8"/>
      <c r="H518" s="47"/>
    </row>
    <row r="519">
      <c r="A519" s="8"/>
      <c r="B519" s="8"/>
      <c r="C519" s="8"/>
      <c r="D519" s="8"/>
      <c r="E519" s="8"/>
      <c r="F519" s="8"/>
      <c r="G519" s="8"/>
      <c r="H519" s="47"/>
    </row>
    <row r="520">
      <c r="A520" s="8"/>
      <c r="B520" s="8"/>
      <c r="C520" s="8"/>
      <c r="D520" s="8"/>
      <c r="E520" s="8"/>
      <c r="F520" s="8"/>
      <c r="G520" s="8"/>
      <c r="H520" s="47"/>
    </row>
    <row r="521">
      <c r="A521" s="8"/>
      <c r="B521" s="8"/>
      <c r="C521" s="8"/>
      <c r="D521" s="8"/>
      <c r="E521" s="8"/>
      <c r="F521" s="8"/>
      <c r="G521" s="8"/>
      <c r="H521" s="47"/>
    </row>
    <row r="522">
      <c r="A522" s="8"/>
      <c r="B522" s="8"/>
      <c r="C522" s="8"/>
      <c r="D522" s="8"/>
      <c r="E522" s="8"/>
      <c r="F522" s="8"/>
      <c r="G522" s="8"/>
      <c r="H522" s="47"/>
    </row>
    <row r="523">
      <c r="A523" s="8"/>
      <c r="B523" s="8"/>
      <c r="C523" s="8"/>
      <c r="D523" s="8"/>
      <c r="E523" s="8"/>
      <c r="F523" s="8"/>
      <c r="G523" s="8"/>
      <c r="H523" s="47"/>
    </row>
    <row r="524">
      <c r="A524" s="8"/>
      <c r="B524" s="8"/>
      <c r="C524" s="8"/>
      <c r="D524" s="8"/>
      <c r="E524" s="8"/>
      <c r="F524" s="8"/>
      <c r="G524" s="8"/>
      <c r="H524" s="47"/>
    </row>
    <row r="525">
      <c r="A525" s="8"/>
      <c r="B525" s="8"/>
      <c r="C525" s="8"/>
      <c r="D525" s="8"/>
      <c r="E525" s="8"/>
      <c r="F525" s="8"/>
      <c r="G525" s="8"/>
      <c r="H525" s="47"/>
    </row>
    <row r="526">
      <c r="A526" s="8"/>
      <c r="B526" s="8"/>
      <c r="C526" s="8"/>
      <c r="D526" s="8"/>
      <c r="E526" s="8"/>
      <c r="F526" s="8"/>
      <c r="G526" s="8"/>
      <c r="H526" s="47"/>
    </row>
    <row r="527">
      <c r="A527" s="8"/>
      <c r="B527" s="8"/>
      <c r="C527" s="8"/>
      <c r="D527" s="8"/>
      <c r="E527" s="8"/>
      <c r="F527" s="8"/>
      <c r="G527" s="8"/>
      <c r="H527" s="47"/>
    </row>
    <row r="528">
      <c r="A528" s="8"/>
      <c r="B528" s="8"/>
      <c r="C528" s="8"/>
      <c r="D528" s="8"/>
      <c r="E528" s="8"/>
      <c r="F528" s="8"/>
      <c r="G528" s="8"/>
      <c r="H528" s="47"/>
    </row>
    <row r="529">
      <c r="A529" s="8"/>
      <c r="B529" s="8"/>
      <c r="C529" s="8"/>
      <c r="D529" s="8"/>
      <c r="E529" s="8"/>
      <c r="F529" s="8"/>
      <c r="G529" s="8"/>
      <c r="H529" s="47"/>
    </row>
    <row r="530">
      <c r="A530" s="8"/>
      <c r="B530" s="8"/>
      <c r="C530" s="8"/>
      <c r="D530" s="8"/>
      <c r="E530" s="8"/>
      <c r="F530" s="8"/>
      <c r="G530" s="8"/>
      <c r="H530" s="47"/>
    </row>
    <row r="531">
      <c r="A531" s="8"/>
      <c r="B531" s="8"/>
      <c r="C531" s="8"/>
      <c r="D531" s="8"/>
      <c r="E531" s="8"/>
      <c r="F531" s="8"/>
      <c r="G531" s="8"/>
      <c r="H531" s="47"/>
    </row>
    <row r="532">
      <c r="A532" s="8"/>
      <c r="B532" s="8"/>
      <c r="C532" s="8"/>
      <c r="D532" s="8"/>
      <c r="E532" s="8"/>
      <c r="F532" s="8"/>
      <c r="G532" s="8"/>
      <c r="H532" s="47"/>
    </row>
    <row r="533">
      <c r="A533" s="8"/>
      <c r="B533" s="8"/>
      <c r="C533" s="8"/>
      <c r="D533" s="8"/>
      <c r="E533" s="8"/>
      <c r="F533" s="8"/>
      <c r="G533" s="8"/>
      <c r="H533" s="47"/>
    </row>
    <row r="534">
      <c r="A534" s="8"/>
      <c r="B534" s="8"/>
      <c r="C534" s="8"/>
      <c r="D534" s="8"/>
      <c r="E534" s="8"/>
      <c r="F534" s="8"/>
      <c r="G534" s="8"/>
      <c r="H534" s="47"/>
    </row>
    <row r="535">
      <c r="A535" s="8"/>
      <c r="B535" s="8"/>
      <c r="C535" s="8"/>
      <c r="D535" s="8"/>
      <c r="E535" s="8"/>
      <c r="F535" s="8"/>
      <c r="G535" s="8"/>
      <c r="H535" s="47"/>
    </row>
    <row r="536">
      <c r="A536" s="8"/>
      <c r="B536" s="8"/>
      <c r="C536" s="8"/>
      <c r="D536" s="8"/>
      <c r="E536" s="8"/>
      <c r="F536" s="8"/>
      <c r="G536" s="8"/>
      <c r="H536" s="47"/>
    </row>
    <row r="537">
      <c r="A537" s="8"/>
      <c r="B537" s="8"/>
      <c r="C537" s="8"/>
      <c r="D537" s="8"/>
      <c r="E537" s="8"/>
      <c r="F537" s="8"/>
      <c r="G537" s="8"/>
      <c r="H537" s="47"/>
    </row>
    <row r="538">
      <c r="A538" s="8"/>
      <c r="B538" s="8"/>
      <c r="C538" s="8"/>
      <c r="D538" s="8"/>
      <c r="E538" s="8"/>
      <c r="F538" s="8"/>
      <c r="G538" s="8"/>
      <c r="H538" s="47"/>
    </row>
    <row r="539">
      <c r="A539" s="8"/>
      <c r="B539" s="8"/>
      <c r="C539" s="8"/>
      <c r="D539" s="8"/>
      <c r="E539" s="8"/>
      <c r="F539" s="8"/>
      <c r="G539" s="8"/>
      <c r="H539" s="47"/>
    </row>
    <row r="540">
      <c r="A540" s="8"/>
      <c r="B540" s="8"/>
      <c r="C540" s="8"/>
      <c r="D540" s="8"/>
      <c r="E540" s="8"/>
      <c r="F540" s="8"/>
      <c r="G540" s="8"/>
      <c r="H540" s="47"/>
    </row>
    <row r="541">
      <c r="A541" s="8"/>
      <c r="B541" s="8"/>
      <c r="C541" s="8"/>
      <c r="D541" s="8"/>
      <c r="E541" s="8"/>
      <c r="F541" s="8"/>
      <c r="G541" s="8"/>
      <c r="H541" s="47"/>
    </row>
    <row r="542">
      <c r="A542" s="8"/>
      <c r="B542" s="8"/>
      <c r="C542" s="8"/>
      <c r="D542" s="8"/>
      <c r="E542" s="8"/>
      <c r="F542" s="8"/>
      <c r="G542" s="8"/>
      <c r="H542" s="47"/>
    </row>
    <row r="543">
      <c r="A543" s="8"/>
      <c r="B543" s="8"/>
      <c r="C543" s="8"/>
      <c r="D543" s="8"/>
      <c r="E543" s="8"/>
      <c r="F543" s="8"/>
      <c r="G543" s="8"/>
      <c r="H543" s="47"/>
    </row>
    <row r="544">
      <c r="A544" s="8"/>
      <c r="B544" s="8"/>
      <c r="C544" s="8"/>
      <c r="D544" s="8"/>
      <c r="E544" s="8"/>
      <c r="F544" s="8"/>
      <c r="G544" s="8"/>
      <c r="H544" s="47"/>
    </row>
    <row r="545">
      <c r="A545" s="8"/>
      <c r="B545" s="8"/>
      <c r="C545" s="8"/>
      <c r="D545" s="8"/>
      <c r="E545" s="8"/>
      <c r="F545" s="8"/>
      <c r="G545" s="8"/>
      <c r="H545" s="47"/>
    </row>
    <row r="546">
      <c r="A546" s="8"/>
      <c r="B546" s="8"/>
      <c r="C546" s="8"/>
      <c r="D546" s="8"/>
      <c r="E546" s="8"/>
      <c r="F546" s="8"/>
      <c r="G546" s="8"/>
      <c r="H546" s="47"/>
    </row>
    <row r="547">
      <c r="A547" s="8"/>
      <c r="B547" s="8"/>
      <c r="C547" s="8"/>
      <c r="D547" s="8"/>
      <c r="E547" s="8"/>
      <c r="F547" s="8"/>
      <c r="G547" s="8"/>
      <c r="H547" s="47"/>
    </row>
    <row r="548">
      <c r="A548" s="8"/>
      <c r="B548" s="8"/>
      <c r="C548" s="8"/>
      <c r="D548" s="8"/>
      <c r="E548" s="8"/>
      <c r="F548" s="8"/>
      <c r="G548" s="8"/>
      <c r="H548" s="47"/>
    </row>
    <row r="549">
      <c r="A549" s="8"/>
      <c r="B549" s="8"/>
      <c r="C549" s="8"/>
      <c r="D549" s="8"/>
      <c r="E549" s="8"/>
      <c r="F549" s="8"/>
      <c r="G549" s="8"/>
      <c r="H549" s="47"/>
    </row>
    <row r="550">
      <c r="A550" s="8"/>
      <c r="B550" s="8"/>
      <c r="C550" s="8"/>
      <c r="D550" s="8"/>
      <c r="E550" s="8"/>
      <c r="F550" s="8"/>
      <c r="G550" s="8"/>
      <c r="H550" s="47"/>
    </row>
    <row r="551">
      <c r="A551" s="8"/>
      <c r="B551" s="8"/>
      <c r="C551" s="8"/>
      <c r="D551" s="8"/>
      <c r="E551" s="8"/>
      <c r="F551" s="8"/>
      <c r="G551" s="8"/>
      <c r="H551" s="47"/>
    </row>
    <row r="552">
      <c r="A552" s="8"/>
      <c r="B552" s="8"/>
      <c r="C552" s="8"/>
      <c r="D552" s="8"/>
      <c r="E552" s="8"/>
      <c r="F552" s="8"/>
      <c r="G552" s="8"/>
      <c r="H552" s="47"/>
    </row>
    <row r="553">
      <c r="A553" s="8"/>
      <c r="B553" s="8"/>
      <c r="C553" s="8"/>
      <c r="D553" s="8"/>
      <c r="E553" s="8"/>
      <c r="F553" s="8"/>
      <c r="G553" s="8"/>
      <c r="H553" s="47"/>
    </row>
    <row r="554">
      <c r="A554" s="8"/>
      <c r="B554" s="8"/>
      <c r="C554" s="8"/>
      <c r="D554" s="8"/>
      <c r="E554" s="8"/>
      <c r="F554" s="8"/>
      <c r="G554" s="8"/>
      <c r="H554" s="47"/>
    </row>
    <row r="555">
      <c r="A555" s="8"/>
      <c r="B555" s="8"/>
      <c r="C555" s="8"/>
      <c r="D555" s="8"/>
      <c r="E555" s="8"/>
      <c r="F555" s="8"/>
      <c r="G555" s="8"/>
      <c r="H555" s="47"/>
    </row>
    <row r="556">
      <c r="A556" s="8"/>
      <c r="B556" s="8"/>
      <c r="C556" s="8"/>
      <c r="D556" s="8"/>
      <c r="E556" s="8"/>
      <c r="F556" s="8"/>
      <c r="G556" s="8"/>
      <c r="H556" s="47"/>
    </row>
    <row r="557">
      <c r="A557" s="8"/>
      <c r="B557" s="8"/>
      <c r="C557" s="8"/>
      <c r="D557" s="8"/>
      <c r="E557" s="8"/>
      <c r="F557" s="8"/>
      <c r="G557" s="8"/>
      <c r="H557" s="47"/>
    </row>
    <row r="558">
      <c r="A558" s="8"/>
      <c r="B558" s="8"/>
      <c r="C558" s="8"/>
      <c r="D558" s="8"/>
      <c r="E558" s="8"/>
      <c r="F558" s="8"/>
      <c r="G558" s="8"/>
      <c r="H558" s="47"/>
    </row>
    <row r="559">
      <c r="A559" s="8"/>
      <c r="B559" s="8"/>
      <c r="C559" s="8"/>
      <c r="D559" s="8"/>
      <c r="E559" s="8"/>
      <c r="F559" s="8"/>
      <c r="G559" s="8"/>
      <c r="H559" s="47"/>
    </row>
    <row r="560">
      <c r="A560" s="8"/>
      <c r="B560" s="8"/>
      <c r="C560" s="8"/>
      <c r="D560" s="8"/>
      <c r="E560" s="8"/>
      <c r="F560" s="8"/>
      <c r="G560" s="8"/>
      <c r="H560" s="47"/>
    </row>
    <row r="561">
      <c r="A561" s="8"/>
      <c r="B561" s="8"/>
      <c r="C561" s="8"/>
      <c r="D561" s="8"/>
      <c r="E561" s="8"/>
      <c r="F561" s="8"/>
      <c r="G561" s="8"/>
      <c r="H561" s="47"/>
    </row>
    <row r="562">
      <c r="A562" s="8"/>
      <c r="B562" s="8"/>
      <c r="C562" s="8"/>
      <c r="D562" s="8"/>
      <c r="E562" s="8"/>
      <c r="F562" s="8"/>
      <c r="G562" s="8"/>
      <c r="H562" s="47"/>
    </row>
    <row r="563">
      <c r="A563" s="8"/>
      <c r="B563" s="8"/>
      <c r="C563" s="8"/>
      <c r="D563" s="8"/>
      <c r="E563" s="8"/>
      <c r="F563" s="8"/>
      <c r="G563" s="8"/>
      <c r="H563" s="47"/>
    </row>
    <row r="564">
      <c r="A564" s="8"/>
      <c r="B564" s="8"/>
      <c r="C564" s="8"/>
      <c r="D564" s="8"/>
      <c r="E564" s="8"/>
      <c r="F564" s="8"/>
      <c r="G564" s="8"/>
      <c r="H564" s="47"/>
    </row>
    <row r="565">
      <c r="A565" s="8"/>
      <c r="B565" s="8"/>
      <c r="C565" s="8"/>
      <c r="D565" s="8"/>
      <c r="E565" s="8"/>
      <c r="F565" s="8"/>
      <c r="G565" s="8"/>
      <c r="H565" s="47"/>
    </row>
    <row r="566">
      <c r="A566" s="8"/>
      <c r="B566" s="8"/>
      <c r="C566" s="8"/>
      <c r="D566" s="8"/>
      <c r="E566" s="8"/>
      <c r="F566" s="8"/>
      <c r="G566" s="8"/>
      <c r="H566" s="47"/>
    </row>
    <row r="567">
      <c r="A567" s="8"/>
      <c r="B567" s="8"/>
      <c r="C567" s="8"/>
      <c r="D567" s="8"/>
      <c r="E567" s="8"/>
      <c r="F567" s="8"/>
      <c r="G567" s="8"/>
      <c r="H567" s="47"/>
    </row>
    <row r="568">
      <c r="A568" s="8"/>
      <c r="B568" s="8"/>
      <c r="C568" s="8"/>
      <c r="D568" s="8"/>
      <c r="E568" s="8"/>
      <c r="F568" s="8"/>
      <c r="G568" s="8"/>
      <c r="H568" s="47"/>
    </row>
    <row r="569">
      <c r="A569" s="8"/>
      <c r="B569" s="8"/>
      <c r="C569" s="8"/>
      <c r="D569" s="8"/>
      <c r="E569" s="8"/>
      <c r="F569" s="8"/>
      <c r="G569" s="8"/>
      <c r="H569" s="47"/>
    </row>
    <row r="570">
      <c r="A570" s="8"/>
      <c r="B570" s="8"/>
      <c r="C570" s="8"/>
      <c r="D570" s="8"/>
      <c r="E570" s="8"/>
      <c r="F570" s="8"/>
      <c r="G570" s="8"/>
      <c r="H570" s="47"/>
    </row>
    <row r="571">
      <c r="A571" s="8"/>
      <c r="B571" s="8"/>
      <c r="C571" s="8"/>
      <c r="D571" s="8"/>
      <c r="E571" s="8"/>
      <c r="F571" s="8"/>
      <c r="G571" s="8"/>
      <c r="H571" s="47"/>
    </row>
    <row r="572">
      <c r="A572" s="8"/>
      <c r="B572" s="8"/>
      <c r="C572" s="8"/>
      <c r="D572" s="8"/>
      <c r="E572" s="8"/>
      <c r="F572" s="8"/>
      <c r="G572" s="8"/>
      <c r="H572" s="47"/>
    </row>
    <row r="573">
      <c r="A573" s="8"/>
      <c r="B573" s="8"/>
      <c r="C573" s="8"/>
      <c r="D573" s="8"/>
      <c r="E573" s="8"/>
      <c r="F573" s="8"/>
      <c r="G573" s="8"/>
      <c r="H573" s="47"/>
    </row>
    <row r="574">
      <c r="A574" s="8"/>
      <c r="B574" s="8"/>
      <c r="C574" s="8"/>
      <c r="D574" s="8"/>
      <c r="E574" s="8"/>
      <c r="F574" s="8"/>
      <c r="G574" s="8"/>
      <c r="H574" s="47"/>
    </row>
    <row r="575">
      <c r="A575" s="8"/>
      <c r="B575" s="8"/>
      <c r="C575" s="8"/>
      <c r="D575" s="8"/>
      <c r="E575" s="8"/>
      <c r="F575" s="8"/>
      <c r="G575" s="8"/>
      <c r="H575" s="47"/>
    </row>
    <row r="576">
      <c r="A576" s="8"/>
      <c r="B576" s="8"/>
      <c r="C576" s="8"/>
      <c r="D576" s="8"/>
      <c r="E576" s="8"/>
      <c r="F576" s="8"/>
      <c r="G576" s="8"/>
      <c r="H576" s="47"/>
    </row>
    <row r="577">
      <c r="A577" s="8"/>
      <c r="B577" s="8"/>
      <c r="C577" s="8"/>
      <c r="D577" s="8"/>
      <c r="E577" s="8"/>
      <c r="F577" s="8"/>
      <c r="G577" s="8"/>
      <c r="H577" s="47"/>
    </row>
    <row r="578">
      <c r="A578" s="8"/>
      <c r="B578" s="8"/>
      <c r="C578" s="8"/>
      <c r="D578" s="8"/>
      <c r="E578" s="8"/>
      <c r="F578" s="8"/>
      <c r="G578" s="8"/>
      <c r="H578" s="47"/>
    </row>
    <row r="579">
      <c r="A579" s="8"/>
      <c r="B579" s="8"/>
      <c r="C579" s="8"/>
      <c r="D579" s="8"/>
      <c r="E579" s="8"/>
      <c r="F579" s="8"/>
      <c r="G579" s="8"/>
      <c r="H579" s="47"/>
    </row>
    <row r="580">
      <c r="A580" s="8"/>
      <c r="B580" s="8"/>
      <c r="C580" s="8"/>
      <c r="D580" s="8"/>
      <c r="E580" s="8"/>
      <c r="F580" s="8"/>
      <c r="G580" s="8"/>
      <c r="H580" s="47"/>
    </row>
    <row r="581">
      <c r="A581" s="8"/>
      <c r="B581" s="8"/>
      <c r="C581" s="8"/>
      <c r="D581" s="8"/>
      <c r="E581" s="8"/>
      <c r="F581" s="8"/>
      <c r="G581" s="8"/>
      <c r="H581" s="47"/>
    </row>
    <row r="582">
      <c r="A582" s="8"/>
      <c r="B582" s="8"/>
      <c r="C582" s="8"/>
      <c r="D582" s="8"/>
      <c r="E582" s="8"/>
      <c r="F582" s="8"/>
      <c r="G582" s="8"/>
      <c r="H582" s="47"/>
    </row>
    <row r="583">
      <c r="A583" s="8"/>
      <c r="B583" s="8"/>
      <c r="C583" s="8"/>
      <c r="D583" s="8"/>
      <c r="E583" s="8"/>
      <c r="F583" s="8"/>
      <c r="G583" s="8"/>
      <c r="H583" s="47"/>
    </row>
    <row r="584">
      <c r="A584" s="8"/>
      <c r="B584" s="8"/>
      <c r="C584" s="8"/>
      <c r="D584" s="8"/>
      <c r="E584" s="8"/>
      <c r="F584" s="8"/>
      <c r="G584" s="8"/>
      <c r="H584" s="47"/>
    </row>
    <row r="585">
      <c r="A585" s="8"/>
      <c r="B585" s="8"/>
      <c r="C585" s="8"/>
      <c r="D585" s="8"/>
      <c r="E585" s="8"/>
      <c r="F585" s="8"/>
      <c r="G585" s="8"/>
      <c r="H585" s="47"/>
    </row>
    <row r="586">
      <c r="A586" s="8"/>
      <c r="B586" s="8"/>
      <c r="C586" s="8"/>
      <c r="D586" s="8"/>
      <c r="E586" s="8"/>
      <c r="F586" s="8"/>
      <c r="G586" s="8"/>
      <c r="H586" s="47"/>
    </row>
    <row r="587">
      <c r="A587" s="8"/>
      <c r="B587" s="8"/>
      <c r="C587" s="8"/>
      <c r="D587" s="8"/>
      <c r="E587" s="8"/>
      <c r="F587" s="8"/>
      <c r="G587" s="8"/>
      <c r="H587" s="47"/>
    </row>
    <row r="588">
      <c r="A588" s="8"/>
      <c r="B588" s="8"/>
      <c r="C588" s="8"/>
      <c r="D588" s="8"/>
      <c r="E588" s="8"/>
      <c r="F588" s="8"/>
      <c r="G588" s="8"/>
      <c r="H588" s="47"/>
    </row>
    <row r="589">
      <c r="A589" s="8"/>
      <c r="B589" s="8"/>
      <c r="C589" s="8"/>
      <c r="D589" s="8"/>
      <c r="E589" s="8"/>
      <c r="F589" s="8"/>
      <c r="G589" s="8"/>
      <c r="H589" s="47"/>
    </row>
    <row r="590">
      <c r="A590" s="8"/>
      <c r="B590" s="8"/>
      <c r="C590" s="8"/>
      <c r="D590" s="8"/>
      <c r="E590" s="8"/>
      <c r="F590" s="8"/>
      <c r="G590" s="8"/>
      <c r="H590" s="47"/>
    </row>
    <row r="591">
      <c r="A591" s="8"/>
      <c r="B591" s="8"/>
      <c r="C591" s="8"/>
      <c r="D591" s="8"/>
      <c r="E591" s="8"/>
      <c r="F591" s="8"/>
      <c r="G591" s="8"/>
      <c r="H591" s="47"/>
    </row>
    <row r="592">
      <c r="A592" s="8"/>
      <c r="B592" s="8"/>
      <c r="C592" s="8"/>
      <c r="D592" s="8"/>
      <c r="E592" s="8"/>
      <c r="F592" s="8"/>
      <c r="G592" s="8"/>
      <c r="H592" s="47"/>
    </row>
    <row r="593">
      <c r="A593" s="8"/>
      <c r="B593" s="8"/>
      <c r="C593" s="8"/>
      <c r="D593" s="8"/>
      <c r="E593" s="8"/>
      <c r="F593" s="8"/>
      <c r="G593" s="8"/>
      <c r="H593" s="47"/>
    </row>
    <row r="594">
      <c r="A594" s="8"/>
      <c r="B594" s="8"/>
      <c r="C594" s="8"/>
      <c r="D594" s="8"/>
      <c r="E594" s="8"/>
      <c r="F594" s="8"/>
      <c r="G594" s="8"/>
      <c r="H594" s="47"/>
    </row>
    <row r="595">
      <c r="A595" s="8"/>
      <c r="B595" s="8"/>
      <c r="C595" s="8"/>
      <c r="D595" s="8"/>
      <c r="E595" s="8"/>
      <c r="F595" s="8"/>
      <c r="G595" s="8"/>
      <c r="H595" s="47"/>
    </row>
    <row r="596">
      <c r="A596" s="8"/>
      <c r="B596" s="8"/>
      <c r="C596" s="8"/>
      <c r="D596" s="8"/>
      <c r="E596" s="8"/>
      <c r="F596" s="8"/>
      <c r="G596" s="8"/>
      <c r="H596" s="47"/>
    </row>
    <row r="597">
      <c r="A597" s="8"/>
      <c r="B597" s="8"/>
      <c r="C597" s="8"/>
      <c r="D597" s="8"/>
      <c r="E597" s="8"/>
      <c r="F597" s="8"/>
      <c r="G597" s="8"/>
      <c r="H597" s="47"/>
    </row>
    <row r="598">
      <c r="A598" s="8"/>
      <c r="B598" s="8"/>
      <c r="C598" s="8"/>
      <c r="D598" s="8"/>
      <c r="E598" s="8"/>
      <c r="F598" s="8"/>
      <c r="G598" s="8"/>
      <c r="H598" s="47"/>
    </row>
    <row r="599">
      <c r="A599" s="8"/>
      <c r="B599" s="8"/>
      <c r="C599" s="8"/>
      <c r="D599" s="8"/>
      <c r="E599" s="8"/>
      <c r="F599" s="8"/>
      <c r="G599" s="8"/>
      <c r="H599" s="47"/>
    </row>
    <row r="600">
      <c r="A600" s="8"/>
      <c r="B600" s="8"/>
      <c r="C600" s="8"/>
      <c r="D600" s="8"/>
      <c r="E600" s="8"/>
      <c r="F600" s="8"/>
      <c r="G600" s="8"/>
      <c r="H600" s="47"/>
    </row>
    <row r="601">
      <c r="A601" s="8"/>
      <c r="B601" s="8"/>
      <c r="C601" s="8"/>
      <c r="D601" s="8"/>
      <c r="E601" s="8"/>
      <c r="F601" s="8"/>
      <c r="G601" s="8"/>
      <c r="H601" s="47"/>
    </row>
    <row r="602">
      <c r="A602" s="8"/>
      <c r="B602" s="8"/>
      <c r="C602" s="8"/>
      <c r="D602" s="8"/>
      <c r="E602" s="8"/>
      <c r="F602" s="8"/>
      <c r="G602" s="8"/>
      <c r="H602" s="47"/>
    </row>
    <row r="603">
      <c r="A603" s="8"/>
      <c r="B603" s="8"/>
      <c r="C603" s="8"/>
      <c r="D603" s="8"/>
      <c r="E603" s="8"/>
      <c r="F603" s="8"/>
      <c r="G603" s="8"/>
      <c r="H603" s="47"/>
    </row>
    <row r="604">
      <c r="A604" s="8"/>
      <c r="B604" s="8"/>
      <c r="C604" s="8"/>
      <c r="D604" s="8"/>
      <c r="E604" s="8"/>
      <c r="F604" s="8"/>
      <c r="G604" s="8"/>
      <c r="H604" s="47"/>
    </row>
    <row r="605">
      <c r="A605" s="8"/>
      <c r="B605" s="8"/>
      <c r="C605" s="8"/>
      <c r="D605" s="8"/>
      <c r="E605" s="8"/>
      <c r="F605" s="8"/>
      <c r="G605" s="8"/>
      <c r="H605" s="47"/>
    </row>
    <row r="606">
      <c r="A606" s="8"/>
      <c r="B606" s="8"/>
      <c r="C606" s="8"/>
      <c r="D606" s="8"/>
      <c r="E606" s="8"/>
      <c r="F606" s="8"/>
      <c r="G606" s="8"/>
      <c r="H606" s="47"/>
    </row>
    <row r="607">
      <c r="A607" s="8"/>
      <c r="B607" s="8"/>
      <c r="C607" s="8"/>
      <c r="D607" s="8"/>
      <c r="E607" s="8"/>
      <c r="F607" s="8"/>
      <c r="G607" s="8"/>
      <c r="H607" s="47"/>
    </row>
    <row r="608">
      <c r="A608" s="8"/>
      <c r="B608" s="8"/>
      <c r="C608" s="8"/>
      <c r="D608" s="8"/>
      <c r="E608" s="8"/>
      <c r="F608" s="8"/>
      <c r="G608" s="8"/>
      <c r="H608" s="47"/>
    </row>
    <row r="609">
      <c r="A609" s="8"/>
      <c r="B609" s="8"/>
      <c r="C609" s="8"/>
      <c r="D609" s="8"/>
      <c r="E609" s="8"/>
      <c r="F609" s="8"/>
      <c r="G609" s="8"/>
      <c r="H609" s="47"/>
    </row>
    <row r="610">
      <c r="A610" s="8"/>
      <c r="B610" s="8"/>
      <c r="C610" s="8"/>
      <c r="D610" s="8"/>
      <c r="E610" s="8"/>
      <c r="F610" s="8"/>
      <c r="G610" s="8"/>
      <c r="H610" s="47"/>
    </row>
    <row r="611">
      <c r="A611" s="8"/>
      <c r="B611" s="8"/>
      <c r="C611" s="8"/>
      <c r="D611" s="8"/>
      <c r="E611" s="8"/>
      <c r="F611" s="8"/>
      <c r="G611" s="8"/>
      <c r="H611" s="47"/>
    </row>
    <row r="612">
      <c r="A612" s="8"/>
      <c r="B612" s="8"/>
      <c r="C612" s="8"/>
      <c r="D612" s="8"/>
      <c r="E612" s="8"/>
      <c r="F612" s="8"/>
      <c r="G612" s="8"/>
      <c r="H612" s="47"/>
    </row>
    <row r="613">
      <c r="A613" s="8"/>
      <c r="B613" s="8"/>
      <c r="C613" s="8"/>
      <c r="D613" s="8"/>
      <c r="E613" s="8"/>
      <c r="F613" s="8"/>
      <c r="G613" s="8"/>
      <c r="H613" s="47"/>
    </row>
    <row r="614">
      <c r="A614" s="8"/>
      <c r="B614" s="8"/>
      <c r="C614" s="8"/>
      <c r="D614" s="8"/>
      <c r="E614" s="8"/>
      <c r="F614" s="8"/>
      <c r="G614" s="8"/>
      <c r="H614" s="47"/>
    </row>
    <row r="615">
      <c r="A615" s="8"/>
      <c r="B615" s="8"/>
      <c r="C615" s="8"/>
      <c r="D615" s="8"/>
      <c r="E615" s="8"/>
      <c r="F615" s="8"/>
      <c r="G615" s="8"/>
      <c r="H615" s="47"/>
    </row>
    <row r="616">
      <c r="A616" s="8"/>
      <c r="B616" s="8"/>
      <c r="C616" s="8"/>
      <c r="D616" s="8"/>
      <c r="E616" s="8"/>
      <c r="F616" s="8"/>
      <c r="G616" s="8"/>
      <c r="H616" s="47"/>
    </row>
    <row r="617">
      <c r="A617" s="8"/>
      <c r="B617" s="8"/>
      <c r="C617" s="8"/>
      <c r="D617" s="8"/>
      <c r="E617" s="8"/>
      <c r="F617" s="8"/>
      <c r="G617" s="8"/>
      <c r="H617" s="47"/>
    </row>
    <row r="618">
      <c r="A618" s="8"/>
      <c r="B618" s="8"/>
      <c r="C618" s="8"/>
      <c r="D618" s="8"/>
      <c r="E618" s="8"/>
      <c r="F618" s="8"/>
      <c r="G618" s="8"/>
      <c r="H618" s="47"/>
    </row>
    <row r="619">
      <c r="A619" s="8"/>
      <c r="B619" s="8"/>
      <c r="C619" s="8"/>
      <c r="D619" s="8"/>
      <c r="E619" s="8"/>
      <c r="F619" s="8"/>
      <c r="G619" s="8"/>
      <c r="H619" s="47"/>
    </row>
    <row r="620">
      <c r="A620" s="8"/>
      <c r="B620" s="8"/>
      <c r="C620" s="8"/>
      <c r="D620" s="8"/>
      <c r="E620" s="8"/>
      <c r="F620" s="8"/>
      <c r="G620" s="8"/>
      <c r="H620" s="47"/>
    </row>
    <row r="621">
      <c r="A621" s="8"/>
      <c r="B621" s="8"/>
      <c r="C621" s="8"/>
      <c r="D621" s="8"/>
      <c r="E621" s="8"/>
      <c r="F621" s="8"/>
      <c r="G621" s="8"/>
      <c r="H621" s="47"/>
    </row>
    <row r="622">
      <c r="A622" s="8"/>
      <c r="B622" s="8"/>
      <c r="C622" s="8"/>
      <c r="D622" s="8"/>
      <c r="E622" s="8"/>
      <c r="F622" s="8"/>
      <c r="G622" s="8"/>
      <c r="H622" s="47"/>
    </row>
    <row r="623">
      <c r="A623" s="8"/>
      <c r="B623" s="8"/>
      <c r="C623" s="8"/>
      <c r="D623" s="8"/>
      <c r="E623" s="8"/>
      <c r="F623" s="8"/>
      <c r="G623" s="8"/>
      <c r="H623" s="47"/>
    </row>
    <row r="624">
      <c r="A624" s="8"/>
      <c r="B624" s="8"/>
      <c r="C624" s="8"/>
      <c r="D624" s="8"/>
      <c r="E624" s="8"/>
      <c r="F624" s="8"/>
      <c r="G624" s="8"/>
      <c r="H624" s="47"/>
    </row>
    <row r="625">
      <c r="A625" s="8"/>
      <c r="B625" s="8"/>
      <c r="C625" s="8"/>
      <c r="D625" s="8"/>
      <c r="E625" s="8"/>
      <c r="F625" s="8"/>
      <c r="G625" s="8"/>
      <c r="H625" s="47"/>
    </row>
    <row r="626">
      <c r="A626" s="8"/>
      <c r="B626" s="8"/>
      <c r="C626" s="8"/>
      <c r="D626" s="8"/>
      <c r="E626" s="8"/>
      <c r="F626" s="8"/>
      <c r="G626" s="8"/>
      <c r="H626" s="47"/>
    </row>
    <row r="627">
      <c r="A627" s="8"/>
      <c r="B627" s="8"/>
      <c r="C627" s="8"/>
      <c r="D627" s="8"/>
      <c r="E627" s="8"/>
      <c r="F627" s="8"/>
      <c r="G627" s="8"/>
      <c r="H627" s="47"/>
    </row>
    <row r="628">
      <c r="A628" s="8"/>
      <c r="B628" s="8"/>
      <c r="C628" s="8"/>
      <c r="D628" s="8"/>
      <c r="E628" s="8"/>
      <c r="F628" s="8"/>
      <c r="G628" s="8"/>
      <c r="H628" s="47"/>
    </row>
    <row r="629">
      <c r="A629" s="8"/>
      <c r="B629" s="8"/>
      <c r="C629" s="8"/>
      <c r="D629" s="8"/>
      <c r="E629" s="8"/>
      <c r="F629" s="8"/>
      <c r="G629" s="8"/>
      <c r="H629" s="47"/>
    </row>
    <row r="630">
      <c r="A630" s="8"/>
      <c r="B630" s="8"/>
      <c r="C630" s="8"/>
      <c r="D630" s="8"/>
      <c r="E630" s="8"/>
      <c r="F630" s="8"/>
      <c r="G630" s="8"/>
      <c r="H630" s="47"/>
    </row>
    <row r="631">
      <c r="A631" s="8"/>
      <c r="B631" s="8"/>
      <c r="C631" s="8"/>
      <c r="D631" s="8"/>
      <c r="E631" s="8"/>
      <c r="F631" s="8"/>
      <c r="G631" s="8"/>
      <c r="H631" s="47"/>
    </row>
    <row r="632">
      <c r="A632" s="8"/>
      <c r="B632" s="8"/>
      <c r="C632" s="8"/>
      <c r="D632" s="8"/>
      <c r="E632" s="8"/>
      <c r="F632" s="8"/>
      <c r="G632" s="8"/>
      <c r="H632" s="47"/>
    </row>
    <row r="633">
      <c r="A633" s="8"/>
      <c r="B633" s="8"/>
      <c r="C633" s="8"/>
      <c r="D633" s="8"/>
      <c r="E633" s="8"/>
      <c r="F633" s="8"/>
      <c r="G633" s="8"/>
      <c r="H633" s="47"/>
    </row>
    <row r="634">
      <c r="A634" s="8"/>
      <c r="B634" s="8"/>
      <c r="C634" s="8"/>
      <c r="D634" s="8"/>
      <c r="E634" s="8"/>
      <c r="F634" s="8"/>
      <c r="G634" s="8"/>
      <c r="H634" s="47"/>
    </row>
    <row r="635">
      <c r="A635" s="8"/>
      <c r="B635" s="8"/>
      <c r="C635" s="8"/>
      <c r="D635" s="8"/>
      <c r="E635" s="8"/>
      <c r="F635" s="8"/>
      <c r="G635" s="8"/>
      <c r="H635" s="47"/>
    </row>
    <row r="636">
      <c r="A636" s="8"/>
      <c r="B636" s="8"/>
      <c r="C636" s="8"/>
      <c r="D636" s="8"/>
      <c r="E636" s="8"/>
      <c r="F636" s="8"/>
      <c r="G636" s="8"/>
      <c r="H636" s="47"/>
    </row>
    <row r="637">
      <c r="A637" s="8"/>
      <c r="B637" s="8"/>
      <c r="C637" s="8"/>
      <c r="D637" s="8"/>
      <c r="E637" s="8"/>
      <c r="F637" s="8"/>
      <c r="G637" s="8"/>
      <c r="H637" s="47"/>
    </row>
    <row r="638">
      <c r="A638" s="8"/>
      <c r="B638" s="8"/>
      <c r="C638" s="8"/>
      <c r="D638" s="8"/>
      <c r="E638" s="8"/>
      <c r="F638" s="8"/>
      <c r="G638" s="8"/>
      <c r="H638" s="47"/>
    </row>
    <row r="639">
      <c r="A639" s="8"/>
      <c r="B639" s="8"/>
      <c r="C639" s="8"/>
      <c r="D639" s="8"/>
      <c r="E639" s="8"/>
      <c r="F639" s="8"/>
      <c r="G639" s="8"/>
      <c r="H639" s="47"/>
    </row>
    <row r="640">
      <c r="A640" s="8"/>
      <c r="B640" s="8"/>
      <c r="C640" s="8"/>
      <c r="D640" s="8"/>
      <c r="E640" s="8"/>
      <c r="F640" s="8"/>
      <c r="G640" s="8"/>
      <c r="H640" s="47"/>
    </row>
    <row r="641">
      <c r="A641" s="8"/>
      <c r="B641" s="8"/>
      <c r="C641" s="8"/>
      <c r="D641" s="8"/>
      <c r="E641" s="8"/>
      <c r="F641" s="8"/>
      <c r="G641" s="8"/>
      <c r="H641" s="47"/>
    </row>
    <row r="642">
      <c r="A642" s="8"/>
      <c r="B642" s="8"/>
      <c r="C642" s="8"/>
      <c r="D642" s="8"/>
      <c r="E642" s="8"/>
      <c r="F642" s="8"/>
      <c r="G642" s="8"/>
      <c r="H642" s="47"/>
    </row>
    <row r="643">
      <c r="A643" s="8"/>
      <c r="B643" s="8"/>
      <c r="C643" s="8"/>
      <c r="D643" s="8"/>
      <c r="E643" s="8"/>
      <c r="F643" s="8"/>
      <c r="G643" s="8"/>
      <c r="H643" s="47"/>
    </row>
    <row r="644">
      <c r="A644" s="8"/>
      <c r="B644" s="8"/>
      <c r="C644" s="8"/>
      <c r="D644" s="8"/>
      <c r="E644" s="8"/>
      <c r="F644" s="8"/>
      <c r="G644" s="8"/>
      <c r="H644" s="47"/>
    </row>
    <row r="645">
      <c r="A645" s="8"/>
      <c r="B645" s="8"/>
      <c r="C645" s="8"/>
      <c r="D645" s="8"/>
      <c r="E645" s="8"/>
      <c r="F645" s="8"/>
      <c r="G645" s="8"/>
      <c r="H645" s="47"/>
    </row>
    <row r="646">
      <c r="A646" s="8"/>
      <c r="B646" s="8"/>
      <c r="C646" s="8"/>
      <c r="D646" s="8"/>
      <c r="E646" s="8"/>
      <c r="F646" s="8"/>
      <c r="G646" s="8"/>
      <c r="H646" s="47"/>
    </row>
    <row r="647">
      <c r="A647" s="8"/>
      <c r="B647" s="8"/>
      <c r="C647" s="8"/>
      <c r="D647" s="8"/>
      <c r="E647" s="8"/>
      <c r="F647" s="8"/>
      <c r="G647" s="8"/>
      <c r="H647" s="47"/>
    </row>
    <row r="648">
      <c r="A648" s="8"/>
      <c r="B648" s="8"/>
      <c r="C648" s="8"/>
      <c r="D648" s="8"/>
      <c r="E648" s="8"/>
      <c r="F648" s="8"/>
      <c r="G648" s="8"/>
      <c r="H648" s="47"/>
    </row>
    <row r="649">
      <c r="A649" s="8"/>
      <c r="B649" s="8"/>
      <c r="C649" s="8"/>
      <c r="D649" s="8"/>
      <c r="E649" s="8"/>
      <c r="F649" s="8"/>
      <c r="G649" s="8"/>
      <c r="H649" s="47"/>
    </row>
    <row r="650">
      <c r="A650" s="8"/>
      <c r="B650" s="8"/>
      <c r="C650" s="8"/>
      <c r="D650" s="8"/>
      <c r="E650" s="8"/>
      <c r="F650" s="8"/>
      <c r="G650" s="8"/>
      <c r="H650" s="47"/>
    </row>
    <row r="651">
      <c r="A651" s="8"/>
      <c r="B651" s="8"/>
      <c r="C651" s="8"/>
      <c r="D651" s="8"/>
      <c r="E651" s="8"/>
      <c r="F651" s="8"/>
      <c r="G651" s="8"/>
      <c r="H651" s="47"/>
    </row>
    <row r="652">
      <c r="A652" s="8"/>
      <c r="B652" s="8"/>
      <c r="C652" s="8"/>
      <c r="D652" s="8"/>
      <c r="E652" s="8"/>
      <c r="F652" s="8"/>
      <c r="G652" s="8"/>
      <c r="H652" s="47"/>
    </row>
    <row r="653">
      <c r="A653" s="8"/>
      <c r="B653" s="8"/>
      <c r="C653" s="8"/>
      <c r="D653" s="8"/>
      <c r="E653" s="8"/>
      <c r="F653" s="8"/>
      <c r="G653" s="8"/>
      <c r="H653" s="47"/>
    </row>
    <row r="654">
      <c r="A654" s="8"/>
      <c r="B654" s="8"/>
      <c r="C654" s="8"/>
      <c r="D654" s="8"/>
      <c r="E654" s="8"/>
      <c r="F654" s="8"/>
      <c r="G654" s="8"/>
      <c r="H654" s="47"/>
    </row>
    <row r="655">
      <c r="A655" s="8"/>
      <c r="B655" s="8"/>
      <c r="C655" s="8"/>
      <c r="D655" s="8"/>
      <c r="E655" s="8"/>
      <c r="F655" s="8"/>
      <c r="G655" s="8"/>
      <c r="H655" s="47"/>
    </row>
    <row r="656">
      <c r="A656" s="8"/>
      <c r="B656" s="8"/>
      <c r="C656" s="8"/>
      <c r="D656" s="8"/>
      <c r="E656" s="8"/>
      <c r="F656" s="8"/>
      <c r="G656" s="8"/>
      <c r="H656" s="47"/>
    </row>
    <row r="657">
      <c r="A657" s="8"/>
      <c r="B657" s="8"/>
      <c r="C657" s="8"/>
      <c r="D657" s="8"/>
      <c r="E657" s="8"/>
      <c r="F657" s="8"/>
      <c r="G657" s="8"/>
      <c r="H657" s="47"/>
    </row>
    <row r="658">
      <c r="A658" s="8"/>
      <c r="B658" s="8"/>
      <c r="C658" s="8"/>
      <c r="D658" s="8"/>
      <c r="E658" s="8"/>
      <c r="F658" s="8"/>
      <c r="G658" s="8"/>
      <c r="H658" s="47"/>
    </row>
    <row r="659">
      <c r="A659" s="8"/>
      <c r="B659" s="8"/>
      <c r="C659" s="8"/>
      <c r="D659" s="8"/>
      <c r="E659" s="8"/>
      <c r="F659" s="8"/>
      <c r="G659" s="8"/>
      <c r="H659" s="47"/>
    </row>
    <row r="660">
      <c r="A660" s="8"/>
      <c r="B660" s="8"/>
      <c r="C660" s="8"/>
      <c r="D660" s="8"/>
      <c r="E660" s="8"/>
      <c r="F660" s="8"/>
      <c r="G660" s="8"/>
      <c r="H660" s="47"/>
    </row>
    <row r="661">
      <c r="A661" s="8"/>
      <c r="B661" s="8"/>
      <c r="C661" s="8"/>
      <c r="D661" s="8"/>
      <c r="E661" s="8"/>
      <c r="F661" s="8"/>
      <c r="G661" s="8"/>
      <c r="H661" s="47"/>
    </row>
    <row r="662">
      <c r="A662" s="8"/>
      <c r="B662" s="8"/>
      <c r="C662" s="8"/>
      <c r="D662" s="8"/>
      <c r="E662" s="8"/>
      <c r="F662" s="8"/>
      <c r="G662" s="8"/>
      <c r="H662" s="47"/>
    </row>
    <row r="663">
      <c r="A663" s="8"/>
      <c r="B663" s="8"/>
      <c r="C663" s="8"/>
      <c r="D663" s="8"/>
      <c r="E663" s="8"/>
      <c r="F663" s="8"/>
      <c r="G663" s="8"/>
      <c r="H663" s="47"/>
    </row>
    <row r="664">
      <c r="A664" s="8"/>
      <c r="B664" s="8"/>
      <c r="C664" s="8"/>
      <c r="D664" s="8"/>
      <c r="E664" s="8"/>
      <c r="F664" s="8"/>
      <c r="G664" s="8"/>
      <c r="H664" s="47"/>
    </row>
    <row r="665">
      <c r="A665" s="8"/>
      <c r="B665" s="8"/>
      <c r="C665" s="8"/>
      <c r="D665" s="8"/>
      <c r="E665" s="8"/>
      <c r="F665" s="8"/>
      <c r="G665" s="8"/>
      <c r="H665" s="47"/>
    </row>
    <row r="666">
      <c r="A666" s="8"/>
      <c r="B666" s="8"/>
      <c r="C666" s="8"/>
      <c r="D666" s="8"/>
      <c r="E666" s="8"/>
      <c r="F666" s="8"/>
      <c r="G666" s="8"/>
      <c r="H666" s="47"/>
    </row>
    <row r="667">
      <c r="A667" s="8"/>
      <c r="B667" s="8"/>
      <c r="C667" s="8"/>
      <c r="D667" s="8"/>
      <c r="E667" s="8"/>
      <c r="F667" s="8"/>
      <c r="G667" s="8"/>
      <c r="H667" s="47"/>
    </row>
    <row r="668">
      <c r="A668" s="8"/>
      <c r="B668" s="8"/>
      <c r="C668" s="8"/>
      <c r="D668" s="8"/>
      <c r="E668" s="8"/>
      <c r="F668" s="8"/>
      <c r="G668" s="8"/>
      <c r="H668" s="47"/>
    </row>
    <row r="669">
      <c r="A669" s="8"/>
      <c r="B669" s="8"/>
      <c r="C669" s="8"/>
      <c r="D669" s="8"/>
      <c r="E669" s="8"/>
      <c r="F669" s="8"/>
      <c r="G669" s="8"/>
      <c r="H669" s="47"/>
    </row>
    <row r="670">
      <c r="A670" s="8"/>
      <c r="B670" s="8"/>
      <c r="C670" s="8"/>
      <c r="D670" s="8"/>
      <c r="E670" s="8"/>
      <c r="F670" s="8"/>
      <c r="G670" s="8"/>
      <c r="H670" s="47"/>
    </row>
    <row r="671">
      <c r="A671" s="8"/>
      <c r="B671" s="8"/>
      <c r="C671" s="8"/>
      <c r="D671" s="8"/>
      <c r="E671" s="8"/>
      <c r="F671" s="8"/>
      <c r="G671" s="8"/>
      <c r="H671" s="47"/>
    </row>
    <row r="672">
      <c r="A672" s="8"/>
      <c r="B672" s="8"/>
      <c r="C672" s="8"/>
      <c r="D672" s="8"/>
      <c r="E672" s="8"/>
      <c r="F672" s="8"/>
      <c r="G672" s="8"/>
      <c r="H672" s="47"/>
    </row>
    <row r="673">
      <c r="A673" s="8"/>
      <c r="B673" s="8"/>
      <c r="C673" s="8"/>
      <c r="D673" s="8"/>
      <c r="E673" s="8"/>
      <c r="F673" s="8"/>
      <c r="G673" s="8"/>
      <c r="H673" s="47"/>
    </row>
    <row r="674">
      <c r="A674" s="8"/>
      <c r="B674" s="8"/>
      <c r="C674" s="8"/>
      <c r="D674" s="8"/>
      <c r="E674" s="8"/>
      <c r="F674" s="8"/>
      <c r="G674" s="8"/>
      <c r="H674" s="47"/>
    </row>
    <row r="675">
      <c r="A675" s="8"/>
      <c r="B675" s="8"/>
      <c r="C675" s="8"/>
      <c r="D675" s="8"/>
      <c r="E675" s="8"/>
      <c r="F675" s="8"/>
      <c r="G675" s="8"/>
      <c r="H675" s="47"/>
    </row>
    <row r="676">
      <c r="A676" s="8"/>
      <c r="B676" s="8"/>
      <c r="C676" s="8"/>
      <c r="D676" s="8"/>
      <c r="E676" s="8"/>
      <c r="F676" s="8"/>
      <c r="G676" s="8"/>
      <c r="H676" s="47"/>
    </row>
    <row r="677">
      <c r="A677" s="8"/>
      <c r="B677" s="8"/>
      <c r="C677" s="8"/>
      <c r="D677" s="8"/>
      <c r="E677" s="8"/>
      <c r="F677" s="8"/>
      <c r="G677" s="8"/>
      <c r="H677" s="47"/>
    </row>
    <row r="678">
      <c r="A678" s="8"/>
      <c r="B678" s="8"/>
      <c r="C678" s="8"/>
      <c r="D678" s="8"/>
      <c r="E678" s="8"/>
      <c r="F678" s="8"/>
      <c r="G678" s="8"/>
      <c r="H678" s="47"/>
    </row>
    <row r="679">
      <c r="A679" s="8"/>
      <c r="B679" s="8"/>
      <c r="C679" s="8"/>
      <c r="D679" s="8"/>
      <c r="E679" s="8"/>
      <c r="F679" s="8"/>
      <c r="G679" s="8"/>
      <c r="H679" s="47"/>
    </row>
    <row r="680">
      <c r="A680" s="8"/>
      <c r="B680" s="8"/>
      <c r="C680" s="8"/>
      <c r="D680" s="8"/>
      <c r="E680" s="8"/>
      <c r="F680" s="8"/>
      <c r="G680" s="8"/>
      <c r="H680" s="47"/>
    </row>
    <row r="681">
      <c r="A681" s="8"/>
      <c r="B681" s="8"/>
      <c r="C681" s="8"/>
      <c r="D681" s="8"/>
      <c r="E681" s="8"/>
      <c r="F681" s="8"/>
      <c r="G681" s="8"/>
      <c r="H681" s="47"/>
    </row>
    <row r="682">
      <c r="A682" s="8"/>
      <c r="B682" s="8"/>
      <c r="C682" s="8"/>
      <c r="D682" s="8"/>
      <c r="E682" s="8"/>
      <c r="F682" s="8"/>
      <c r="G682" s="8"/>
      <c r="H682" s="47"/>
    </row>
    <row r="683">
      <c r="A683" s="8"/>
      <c r="B683" s="8"/>
      <c r="C683" s="8"/>
      <c r="D683" s="8"/>
      <c r="E683" s="8"/>
      <c r="F683" s="8"/>
      <c r="G683" s="8"/>
      <c r="H683" s="47"/>
    </row>
    <row r="684">
      <c r="A684" s="8"/>
      <c r="B684" s="8"/>
      <c r="C684" s="8"/>
      <c r="D684" s="8"/>
      <c r="E684" s="8"/>
      <c r="F684" s="8"/>
      <c r="G684" s="8"/>
      <c r="H684" s="47"/>
    </row>
    <row r="685">
      <c r="A685" s="8"/>
      <c r="B685" s="8"/>
      <c r="C685" s="8"/>
      <c r="D685" s="8"/>
      <c r="E685" s="8"/>
      <c r="F685" s="8"/>
      <c r="G685" s="8"/>
      <c r="H685" s="47"/>
    </row>
    <row r="686">
      <c r="A686" s="8"/>
      <c r="B686" s="8"/>
      <c r="C686" s="8"/>
      <c r="D686" s="8"/>
      <c r="E686" s="8"/>
      <c r="F686" s="8"/>
      <c r="G686" s="8"/>
      <c r="H686" s="47"/>
    </row>
    <row r="687">
      <c r="A687" s="8"/>
      <c r="B687" s="8"/>
      <c r="C687" s="8"/>
      <c r="D687" s="8"/>
      <c r="E687" s="8"/>
      <c r="F687" s="8"/>
      <c r="G687" s="8"/>
      <c r="H687" s="47"/>
    </row>
    <row r="688">
      <c r="A688" s="8"/>
      <c r="B688" s="8"/>
      <c r="C688" s="8"/>
      <c r="D688" s="8"/>
      <c r="E688" s="8"/>
      <c r="F688" s="8"/>
      <c r="G688" s="8"/>
      <c r="H688" s="47"/>
    </row>
    <row r="689">
      <c r="A689" s="8"/>
      <c r="B689" s="8"/>
      <c r="C689" s="8"/>
      <c r="D689" s="8"/>
      <c r="E689" s="8"/>
      <c r="F689" s="8"/>
      <c r="G689" s="8"/>
      <c r="H689" s="47"/>
    </row>
    <row r="690">
      <c r="A690" s="8"/>
      <c r="B690" s="8"/>
      <c r="C690" s="8"/>
      <c r="D690" s="8"/>
      <c r="E690" s="8"/>
      <c r="F690" s="8"/>
      <c r="G690" s="8"/>
      <c r="H690" s="47"/>
    </row>
    <row r="691">
      <c r="A691" s="8"/>
      <c r="B691" s="8"/>
      <c r="C691" s="8"/>
      <c r="D691" s="8"/>
      <c r="E691" s="8"/>
      <c r="F691" s="8"/>
      <c r="G691" s="8"/>
      <c r="H691" s="47"/>
    </row>
    <row r="692">
      <c r="A692" s="8"/>
      <c r="B692" s="8"/>
      <c r="C692" s="8"/>
      <c r="D692" s="8"/>
      <c r="E692" s="8"/>
      <c r="F692" s="8"/>
      <c r="G692" s="8"/>
      <c r="H692" s="47"/>
    </row>
    <row r="693">
      <c r="A693" s="8"/>
      <c r="B693" s="8"/>
      <c r="C693" s="8"/>
      <c r="D693" s="8"/>
      <c r="E693" s="8"/>
      <c r="F693" s="8"/>
      <c r="G693" s="8"/>
      <c r="H693" s="47"/>
    </row>
    <row r="694">
      <c r="A694" s="8"/>
      <c r="B694" s="8"/>
      <c r="C694" s="8"/>
      <c r="D694" s="8"/>
      <c r="E694" s="8"/>
      <c r="F694" s="8"/>
      <c r="G694" s="8"/>
      <c r="H694" s="47"/>
    </row>
    <row r="695">
      <c r="A695" s="8"/>
      <c r="B695" s="8"/>
      <c r="C695" s="8"/>
      <c r="D695" s="8"/>
      <c r="E695" s="8"/>
      <c r="F695" s="8"/>
      <c r="G695" s="8"/>
      <c r="H695" s="47"/>
    </row>
    <row r="696">
      <c r="A696" s="8"/>
      <c r="B696" s="8"/>
      <c r="C696" s="8"/>
      <c r="D696" s="8"/>
      <c r="E696" s="8"/>
      <c r="F696" s="8"/>
      <c r="G696" s="8"/>
      <c r="H696" s="47"/>
    </row>
    <row r="697">
      <c r="A697" s="8"/>
      <c r="B697" s="8"/>
      <c r="C697" s="8"/>
      <c r="D697" s="8"/>
      <c r="E697" s="8"/>
      <c r="F697" s="8"/>
      <c r="G697" s="8"/>
      <c r="H697" s="47"/>
    </row>
    <row r="698">
      <c r="A698" s="8"/>
      <c r="B698" s="8"/>
      <c r="C698" s="8"/>
      <c r="D698" s="8"/>
      <c r="E698" s="8"/>
      <c r="F698" s="8"/>
      <c r="G698" s="8"/>
      <c r="H698" s="47"/>
    </row>
    <row r="699">
      <c r="A699" s="8"/>
      <c r="B699" s="8"/>
      <c r="C699" s="8"/>
      <c r="D699" s="8"/>
      <c r="E699" s="8"/>
      <c r="F699" s="8"/>
      <c r="G699" s="8"/>
      <c r="H699" s="47"/>
    </row>
    <row r="700">
      <c r="A700" s="8"/>
      <c r="B700" s="8"/>
      <c r="C700" s="8"/>
      <c r="D700" s="8"/>
      <c r="E700" s="8"/>
      <c r="F700" s="8"/>
      <c r="G700" s="8"/>
      <c r="H700" s="47"/>
    </row>
    <row r="701">
      <c r="A701" s="8"/>
      <c r="B701" s="8"/>
      <c r="C701" s="8"/>
      <c r="D701" s="8"/>
      <c r="E701" s="8"/>
      <c r="F701" s="8"/>
      <c r="G701" s="8"/>
      <c r="H701" s="47"/>
    </row>
    <row r="702">
      <c r="A702" s="8"/>
      <c r="B702" s="8"/>
      <c r="C702" s="8"/>
      <c r="D702" s="8"/>
      <c r="E702" s="8"/>
      <c r="F702" s="8"/>
      <c r="G702" s="8"/>
      <c r="H702" s="47"/>
    </row>
    <row r="703">
      <c r="A703" s="8"/>
      <c r="B703" s="8"/>
      <c r="C703" s="8"/>
      <c r="D703" s="8"/>
      <c r="E703" s="8"/>
      <c r="F703" s="8"/>
      <c r="G703" s="8"/>
      <c r="H703" s="47"/>
    </row>
    <row r="704">
      <c r="A704" s="8"/>
      <c r="B704" s="8"/>
      <c r="C704" s="8"/>
      <c r="D704" s="8"/>
      <c r="E704" s="8"/>
      <c r="F704" s="8"/>
      <c r="G704" s="8"/>
      <c r="H704" s="47"/>
    </row>
    <row r="705">
      <c r="A705" s="8"/>
      <c r="B705" s="8"/>
      <c r="C705" s="8"/>
      <c r="D705" s="8"/>
      <c r="E705" s="8"/>
      <c r="F705" s="8"/>
      <c r="G705" s="8"/>
      <c r="H705" s="47"/>
    </row>
    <row r="706">
      <c r="A706" s="8"/>
      <c r="B706" s="8"/>
      <c r="C706" s="8"/>
      <c r="D706" s="8"/>
      <c r="E706" s="8"/>
      <c r="F706" s="8"/>
      <c r="G706" s="8"/>
      <c r="H706" s="47"/>
    </row>
    <row r="707">
      <c r="A707" s="8"/>
      <c r="B707" s="8"/>
      <c r="C707" s="8"/>
      <c r="D707" s="8"/>
      <c r="E707" s="8"/>
      <c r="F707" s="8"/>
      <c r="G707" s="8"/>
      <c r="H707" s="47"/>
    </row>
    <row r="708">
      <c r="A708" s="8"/>
      <c r="B708" s="8"/>
      <c r="C708" s="8"/>
      <c r="D708" s="8"/>
      <c r="E708" s="8"/>
      <c r="F708" s="8"/>
      <c r="G708" s="8"/>
      <c r="H708" s="47"/>
    </row>
    <row r="709">
      <c r="A709" s="8"/>
      <c r="B709" s="8"/>
      <c r="C709" s="8"/>
      <c r="D709" s="8"/>
      <c r="E709" s="8"/>
      <c r="F709" s="8"/>
      <c r="G709" s="8"/>
      <c r="H709" s="47"/>
    </row>
    <row r="710">
      <c r="A710" s="8"/>
      <c r="B710" s="8"/>
      <c r="C710" s="8"/>
      <c r="D710" s="8"/>
      <c r="E710" s="8"/>
      <c r="F710" s="8"/>
      <c r="G710" s="8"/>
      <c r="H710" s="47"/>
    </row>
    <row r="711">
      <c r="A711" s="8"/>
      <c r="B711" s="8"/>
      <c r="C711" s="8"/>
      <c r="D711" s="8"/>
      <c r="E711" s="8"/>
      <c r="F711" s="8"/>
      <c r="G711" s="8"/>
      <c r="H711" s="47"/>
    </row>
    <row r="712">
      <c r="A712" s="8"/>
      <c r="B712" s="8"/>
      <c r="C712" s="8"/>
      <c r="D712" s="8"/>
      <c r="E712" s="8"/>
      <c r="F712" s="8"/>
      <c r="G712" s="8"/>
      <c r="H712" s="47"/>
    </row>
    <row r="713">
      <c r="A713" s="8"/>
      <c r="B713" s="8"/>
      <c r="C713" s="8"/>
      <c r="D713" s="8"/>
      <c r="E713" s="8"/>
      <c r="F713" s="8"/>
      <c r="G713" s="8"/>
      <c r="H713" s="47"/>
    </row>
    <row r="714">
      <c r="A714" s="8"/>
      <c r="B714" s="8"/>
      <c r="C714" s="8"/>
      <c r="D714" s="8"/>
      <c r="E714" s="8"/>
      <c r="F714" s="8"/>
      <c r="G714" s="8"/>
      <c r="H714" s="47"/>
    </row>
    <row r="715">
      <c r="A715" s="8"/>
      <c r="B715" s="8"/>
      <c r="C715" s="8"/>
      <c r="D715" s="8"/>
      <c r="E715" s="8"/>
      <c r="F715" s="8"/>
      <c r="G715" s="8"/>
      <c r="H715" s="47"/>
    </row>
    <row r="716">
      <c r="A716" s="8"/>
      <c r="B716" s="8"/>
      <c r="C716" s="8"/>
      <c r="D716" s="8"/>
      <c r="E716" s="8"/>
      <c r="F716" s="8"/>
      <c r="G716" s="8"/>
      <c r="H716" s="47"/>
    </row>
    <row r="717">
      <c r="A717" s="8"/>
      <c r="B717" s="8"/>
      <c r="C717" s="8"/>
      <c r="D717" s="8"/>
      <c r="E717" s="8"/>
      <c r="F717" s="8"/>
      <c r="G717" s="8"/>
      <c r="H717" s="47"/>
    </row>
    <row r="718">
      <c r="A718" s="8"/>
      <c r="B718" s="8"/>
      <c r="C718" s="8"/>
      <c r="D718" s="8"/>
      <c r="E718" s="8"/>
      <c r="F718" s="8"/>
      <c r="G718" s="8"/>
      <c r="H718" s="47"/>
    </row>
    <row r="719">
      <c r="A719" s="8"/>
      <c r="B719" s="8"/>
      <c r="C719" s="8"/>
      <c r="D719" s="8"/>
      <c r="E719" s="8"/>
      <c r="F719" s="8"/>
      <c r="G719" s="8"/>
      <c r="H719" s="47"/>
    </row>
    <row r="720">
      <c r="A720" s="8"/>
      <c r="B720" s="8"/>
      <c r="C720" s="8"/>
      <c r="D720" s="8"/>
      <c r="E720" s="8"/>
      <c r="F720" s="8"/>
      <c r="G720" s="8"/>
      <c r="H720" s="47"/>
    </row>
    <row r="721">
      <c r="A721" s="8"/>
      <c r="B721" s="8"/>
      <c r="C721" s="8"/>
      <c r="D721" s="8"/>
      <c r="E721" s="8"/>
      <c r="F721" s="8"/>
      <c r="G721" s="8"/>
      <c r="H721" s="47"/>
    </row>
    <row r="722">
      <c r="A722" s="8"/>
      <c r="B722" s="8"/>
      <c r="C722" s="8"/>
      <c r="D722" s="8"/>
      <c r="E722" s="8"/>
      <c r="F722" s="8"/>
      <c r="G722" s="8"/>
      <c r="H722" s="47"/>
    </row>
    <row r="723">
      <c r="A723" s="8"/>
      <c r="B723" s="8"/>
      <c r="C723" s="8"/>
      <c r="D723" s="8"/>
      <c r="E723" s="8"/>
      <c r="F723" s="8"/>
      <c r="G723" s="8"/>
      <c r="H723" s="47"/>
    </row>
    <row r="724">
      <c r="A724" s="8"/>
      <c r="B724" s="8"/>
      <c r="C724" s="8"/>
      <c r="D724" s="8"/>
      <c r="E724" s="8"/>
      <c r="F724" s="8"/>
      <c r="G724" s="8"/>
      <c r="H724" s="47"/>
    </row>
    <row r="725">
      <c r="A725" s="8"/>
      <c r="B725" s="8"/>
      <c r="C725" s="8"/>
      <c r="D725" s="8"/>
      <c r="E725" s="8"/>
      <c r="F725" s="8"/>
      <c r="G725" s="8"/>
      <c r="H725" s="47"/>
    </row>
    <row r="726">
      <c r="A726" s="8"/>
      <c r="B726" s="8"/>
      <c r="C726" s="8"/>
      <c r="D726" s="8"/>
      <c r="E726" s="8"/>
      <c r="F726" s="8"/>
      <c r="G726" s="8"/>
      <c r="H726" s="47"/>
    </row>
    <row r="727">
      <c r="A727" s="8"/>
      <c r="B727" s="8"/>
      <c r="C727" s="8"/>
      <c r="D727" s="8"/>
      <c r="E727" s="8"/>
      <c r="F727" s="8"/>
      <c r="G727" s="8"/>
      <c r="H727" s="47"/>
    </row>
    <row r="728">
      <c r="A728" s="8"/>
      <c r="B728" s="8"/>
      <c r="C728" s="8"/>
      <c r="D728" s="8"/>
      <c r="E728" s="8"/>
      <c r="F728" s="8"/>
      <c r="G728" s="8"/>
      <c r="H728" s="47"/>
    </row>
    <row r="729">
      <c r="A729" s="8"/>
      <c r="B729" s="8"/>
      <c r="C729" s="8"/>
      <c r="D729" s="8"/>
      <c r="E729" s="8"/>
      <c r="F729" s="8"/>
      <c r="G729" s="8"/>
      <c r="H729" s="47"/>
    </row>
    <row r="730">
      <c r="A730" s="8"/>
      <c r="B730" s="8"/>
      <c r="C730" s="8"/>
      <c r="D730" s="8"/>
      <c r="E730" s="8"/>
      <c r="F730" s="8"/>
      <c r="G730" s="8"/>
      <c r="H730" s="47"/>
    </row>
    <row r="731">
      <c r="A731" s="8"/>
      <c r="B731" s="8"/>
      <c r="C731" s="8"/>
      <c r="D731" s="8"/>
      <c r="E731" s="8"/>
      <c r="F731" s="8"/>
      <c r="G731" s="8"/>
      <c r="H731" s="47"/>
    </row>
    <row r="732">
      <c r="A732" s="8"/>
      <c r="B732" s="8"/>
      <c r="C732" s="8"/>
      <c r="D732" s="8"/>
      <c r="E732" s="8"/>
      <c r="F732" s="8"/>
      <c r="G732" s="8"/>
      <c r="H732" s="47"/>
    </row>
    <row r="733">
      <c r="A733" s="8"/>
      <c r="B733" s="8"/>
      <c r="C733" s="8"/>
      <c r="D733" s="8"/>
      <c r="E733" s="8"/>
      <c r="F733" s="8"/>
      <c r="G733" s="8"/>
      <c r="H733" s="47"/>
    </row>
    <row r="734">
      <c r="A734" s="8"/>
      <c r="B734" s="8"/>
      <c r="C734" s="8"/>
      <c r="D734" s="8"/>
      <c r="E734" s="8"/>
      <c r="F734" s="8"/>
      <c r="G734" s="8"/>
      <c r="H734" s="47"/>
    </row>
    <row r="735">
      <c r="A735" s="8"/>
      <c r="B735" s="8"/>
      <c r="C735" s="8"/>
      <c r="D735" s="8"/>
      <c r="E735" s="8"/>
      <c r="F735" s="8"/>
      <c r="G735" s="8"/>
      <c r="H735" s="47"/>
    </row>
    <row r="736">
      <c r="A736" s="8"/>
      <c r="B736" s="8"/>
      <c r="C736" s="8"/>
      <c r="D736" s="8"/>
      <c r="E736" s="8"/>
      <c r="F736" s="8"/>
      <c r="G736" s="8"/>
      <c r="H736" s="47"/>
    </row>
    <row r="737">
      <c r="A737" s="8"/>
      <c r="B737" s="8"/>
      <c r="C737" s="8"/>
      <c r="D737" s="8"/>
      <c r="E737" s="8"/>
      <c r="F737" s="8"/>
      <c r="G737" s="8"/>
      <c r="H737" s="47"/>
    </row>
    <row r="738">
      <c r="A738" s="8"/>
      <c r="B738" s="8"/>
      <c r="C738" s="8"/>
      <c r="D738" s="8"/>
      <c r="E738" s="8"/>
      <c r="F738" s="8"/>
      <c r="G738" s="8"/>
      <c r="H738" s="47"/>
    </row>
    <row r="739">
      <c r="A739" s="8"/>
      <c r="B739" s="8"/>
      <c r="C739" s="8"/>
      <c r="D739" s="8"/>
      <c r="E739" s="8"/>
      <c r="F739" s="8"/>
      <c r="G739" s="8"/>
      <c r="H739" s="47"/>
    </row>
    <row r="740">
      <c r="A740" s="8"/>
      <c r="B740" s="8"/>
      <c r="C740" s="8"/>
      <c r="D740" s="8"/>
      <c r="E740" s="8"/>
      <c r="F740" s="8"/>
      <c r="G740" s="8"/>
      <c r="H740" s="47"/>
    </row>
    <row r="741">
      <c r="A741" s="8"/>
      <c r="B741" s="8"/>
      <c r="C741" s="8"/>
      <c r="D741" s="8"/>
      <c r="E741" s="8"/>
      <c r="F741" s="8"/>
      <c r="G741" s="8"/>
      <c r="H741" s="47"/>
    </row>
    <row r="742">
      <c r="A742" s="8"/>
      <c r="B742" s="8"/>
      <c r="C742" s="8"/>
      <c r="D742" s="8"/>
      <c r="E742" s="8"/>
      <c r="F742" s="8"/>
      <c r="G742" s="8"/>
      <c r="H742" s="47"/>
    </row>
    <row r="743">
      <c r="A743" s="8"/>
      <c r="B743" s="8"/>
      <c r="C743" s="8"/>
      <c r="D743" s="8"/>
      <c r="E743" s="8"/>
      <c r="F743" s="8"/>
      <c r="G743" s="8"/>
      <c r="H743" s="47"/>
    </row>
    <row r="744">
      <c r="A744" s="8"/>
      <c r="B744" s="8"/>
      <c r="C744" s="8"/>
      <c r="D744" s="8"/>
      <c r="E744" s="8"/>
      <c r="F744" s="8"/>
      <c r="G744" s="8"/>
      <c r="H744" s="47"/>
    </row>
    <row r="745">
      <c r="A745" s="8"/>
      <c r="B745" s="8"/>
      <c r="C745" s="8"/>
      <c r="D745" s="8"/>
      <c r="E745" s="8"/>
      <c r="F745" s="8"/>
      <c r="G745" s="8"/>
      <c r="H745" s="47"/>
    </row>
    <row r="746">
      <c r="A746" s="8"/>
      <c r="B746" s="8"/>
      <c r="C746" s="8"/>
      <c r="D746" s="8"/>
      <c r="E746" s="8"/>
      <c r="F746" s="8"/>
      <c r="G746" s="8"/>
      <c r="H746" s="47"/>
    </row>
    <row r="747">
      <c r="A747" s="8"/>
      <c r="B747" s="8"/>
      <c r="C747" s="8"/>
      <c r="D747" s="8"/>
      <c r="E747" s="8"/>
      <c r="F747" s="8"/>
      <c r="G747" s="8"/>
      <c r="H747" s="47"/>
    </row>
    <row r="748">
      <c r="A748" s="8"/>
      <c r="B748" s="8"/>
      <c r="C748" s="8"/>
      <c r="D748" s="8"/>
      <c r="E748" s="8"/>
      <c r="F748" s="8"/>
      <c r="G748" s="8"/>
      <c r="H748" s="47"/>
    </row>
    <row r="749">
      <c r="A749" s="8"/>
      <c r="B749" s="8"/>
      <c r="C749" s="8"/>
      <c r="D749" s="8"/>
      <c r="E749" s="8"/>
      <c r="F749" s="8"/>
      <c r="G749" s="8"/>
      <c r="H749" s="47"/>
    </row>
    <row r="750">
      <c r="A750" s="8"/>
      <c r="B750" s="8"/>
      <c r="C750" s="8"/>
      <c r="D750" s="8"/>
      <c r="E750" s="8"/>
      <c r="F750" s="8"/>
      <c r="G750" s="8"/>
      <c r="H750" s="47"/>
    </row>
    <row r="751">
      <c r="A751" s="8"/>
      <c r="B751" s="8"/>
      <c r="C751" s="8"/>
      <c r="D751" s="8"/>
      <c r="E751" s="8"/>
      <c r="F751" s="8"/>
      <c r="G751" s="8"/>
      <c r="H751" s="47"/>
    </row>
    <row r="752">
      <c r="A752" s="8"/>
      <c r="B752" s="8"/>
      <c r="C752" s="8"/>
      <c r="D752" s="8"/>
      <c r="E752" s="8"/>
      <c r="F752" s="8"/>
      <c r="G752" s="8"/>
      <c r="H752" s="47"/>
    </row>
    <row r="753">
      <c r="A753" s="8"/>
      <c r="B753" s="8"/>
      <c r="C753" s="8"/>
      <c r="D753" s="8"/>
      <c r="E753" s="8"/>
      <c r="F753" s="8"/>
      <c r="G753" s="8"/>
      <c r="H753" s="47"/>
    </row>
    <row r="754">
      <c r="A754" s="8"/>
      <c r="B754" s="8"/>
      <c r="C754" s="8"/>
      <c r="D754" s="8"/>
      <c r="E754" s="8"/>
      <c r="F754" s="8"/>
      <c r="G754" s="8"/>
      <c r="H754" s="47"/>
    </row>
    <row r="755">
      <c r="A755" s="8"/>
      <c r="B755" s="8"/>
      <c r="C755" s="8"/>
      <c r="D755" s="8"/>
      <c r="E755" s="8"/>
      <c r="F755" s="8"/>
      <c r="G755" s="8"/>
      <c r="H755" s="47"/>
    </row>
    <row r="756">
      <c r="A756" s="8"/>
      <c r="B756" s="8"/>
      <c r="C756" s="8"/>
      <c r="D756" s="8"/>
      <c r="E756" s="8"/>
      <c r="F756" s="8"/>
      <c r="G756" s="8"/>
      <c r="H756" s="47"/>
    </row>
    <row r="757">
      <c r="A757" s="8"/>
      <c r="B757" s="8"/>
      <c r="C757" s="8"/>
      <c r="D757" s="8"/>
      <c r="E757" s="8"/>
      <c r="F757" s="8"/>
      <c r="G757" s="8"/>
      <c r="H757" s="47"/>
    </row>
    <row r="758">
      <c r="A758" s="8"/>
      <c r="B758" s="8"/>
      <c r="C758" s="8"/>
      <c r="D758" s="8"/>
      <c r="E758" s="8"/>
      <c r="F758" s="8"/>
      <c r="G758" s="8"/>
      <c r="H758" s="47"/>
    </row>
    <row r="759">
      <c r="A759" s="8"/>
      <c r="B759" s="8"/>
      <c r="C759" s="8"/>
      <c r="D759" s="8"/>
      <c r="E759" s="8"/>
      <c r="F759" s="8"/>
      <c r="G759" s="8"/>
      <c r="H759" s="47"/>
    </row>
    <row r="760">
      <c r="A760" s="8"/>
      <c r="B760" s="8"/>
      <c r="C760" s="8"/>
      <c r="D760" s="8"/>
      <c r="E760" s="8"/>
      <c r="F760" s="8"/>
      <c r="G760" s="8"/>
      <c r="H760" s="47"/>
    </row>
    <row r="761">
      <c r="A761" s="8"/>
      <c r="B761" s="8"/>
      <c r="C761" s="8"/>
      <c r="D761" s="8"/>
      <c r="E761" s="8"/>
      <c r="F761" s="8"/>
      <c r="G761" s="8"/>
      <c r="H761" s="47"/>
    </row>
    <row r="762">
      <c r="A762" s="8"/>
      <c r="B762" s="8"/>
      <c r="C762" s="8"/>
      <c r="D762" s="8"/>
      <c r="E762" s="8"/>
      <c r="F762" s="8"/>
      <c r="G762" s="8"/>
      <c r="H762" s="47"/>
    </row>
    <row r="763">
      <c r="A763" s="8"/>
      <c r="B763" s="8"/>
      <c r="C763" s="8"/>
      <c r="D763" s="8"/>
      <c r="E763" s="8"/>
      <c r="F763" s="8"/>
      <c r="G763" s="8"/>
      <c r="H763" s="47"/>
    </row>
    <row r="764">
      <c r="A764" s="8"/>
      <c r="B764" s="8"/>
      <c r="C764" s="8"/>
      <c r="D764" s="8"/>
      <c r="E764" s="8"/>
      <c r="F764" s="8"/>
      <c r="G764" s="8"/>
      <c r="H764" s="47"/>
    </row>
    <row r="765">
      <c r="A765" s="8"/>
      <c r="B765" s="8"/>
      <c r="C765" s="8"/>
      <c r="D765" s="8"/>
      <c r="E765" s="8"/>
      <c r="F765" s="8"/>
      <c r="G765" s="8"/>
      <c r="H765" s="47"/>
    </row>
    <row r="766">
      <c r="A766" s="8"/>
      <c r="B766" s="8"/>
      <c r="C766" s="8"/>
      <c r="D766" s="8"/>
      <c r="E766" s="8"/>
      <c r="F766" s="8"/>
      <c r="G766" s="8"/>
      <c r="H766" s="47"/>
    </row>
    <row r="767">
      <c r="A767" s="8"/>
      <c r="B767" s="8"/>
      <c r="C767" s="8"/>
      <c r="D767" s="8"/>
      <c r="E767" s="8"/>
      <c r="F767" s="8"/>
      <c r="G767" s="8"/>
      <c r="H767" s="47"/>
    </row>
    <row r="768">
      <c r="A768" s="8"/>
      <c r="B768" s="8"/>
      <c r="C768" s="8"/>
      <c r="D768" s="8"/>
      <c r="E768" s="8"/>
      <c r="F768" s="8"/>
      <c r="G768" s="8"/>
      <c r="H768" s="47"/>
    </row>
    <row r="769">
      <c r="A769" s="8"/>
      <c r="B769" s="8"/>
      <c r="C769" s="8"/>
      <c r="D769" s="8"/>
      <c r="E769" s="8"/>
      <c r="F769" s="8"/>
      <c r="G769" s="8"/>
      <c r="H769" s="47"/>
    </row>
    <row r="770">
      <c r="A770" s="8"/>
      <c r="B770" s="8"/>
      <c r="C770" s="8"/>
      <c r="D770" s="8"/>
      <c r="E770" s="8"/>
      <c r="F770" s="8"/>
      <c r="G770" s="8"/>
      <c r="H770" s="47"/>
    </row>
    <row r="771">
      <c r="A771" s="8"/>
      <c r="B771" s="8"/>
      <c r="C771" s="8"/>
      <c r="D771" s="8"/>
      <c r="E771" s="8"/>
      <c r="F771" s="8"/>
      <c r="G771" s="8"/>
      <c r="H771" s="47"/>
    </row>
    <row r="772">
      <c r="A772" s="8"/>
      <c r="B772" s="8"/>
      <c r="C772" s="8"/>
      <c r="D772" s="8"/>
      <c r="E772" s="8"/>
      <c r="F772" s="8"/>
      <c r="G772" s="8"/>
      <c r="H772" s="47"/>
    </row>
    <row r="773">
      <c r="A773" s="8"/>
      <c r="B773" s="8"/>
      <c r="C773" s="8"/>
      <c r="D773" s="8"/>
      <c r="E773" s="8"/>
      <c r="F773" s="8"/>
      <c r="G773" s="8"/>
      <c r="H773" s="47"/>
    </row>
    <row r="774">
      <c r="A774" s="8"/>
      <c r="B774" s="8"/>
      <c r="C774" s="8"/>
      <c r="D774" s="8"/>
      <c r="E774" s="8"/>
      <c r="F774" s="8"/>
      <c r="G774" s="8"/>
      <c r="H774" s="47"/>
    </row>
    <row r="775">
      <c r="A775" s="8"/>
      <c r="B775" s="8"/>
      <c r="C775" s="8"/>
      <c r="D775" s="8"/>
      <c r="E775" s="8"/>
      <c r="F775" s="8"/>
      <c r="G775" s="8"/>
      <c r="H775" s="47"/>
    </row>
    <row r="776">
      <c r="A776" s="8"/>
      <c r="B776" s="8"/>
      <c r="C776" s="8"/>
      <c r="D776" s="8"/>
      <c r="E776" s="8"/>
      <c r="F776" s="8"/>
      <c r="G776" s="8"/>
      <c r="H776" s="47"/>
    </row>
    <row r="777">
      <c r="A777" s="8"/>
      <c r="B777" s="8"/>
      <c r="C777" s="8"/>
      <c r="D777" s="8"/>
      <c r="E777" s="8"/>
      <c r="F777" s="8"/>
      <c r="G777" s="8"/>
      <c r="H777" s="47"/>
    </row>
    <row r="778">
      <c r="A778" s="8"/>
      <c r="B778" s="8"/>
      <c r="C778" s="8"/>
      <c r="D778" s="8"/>
      <c r="E778" s="8"/>
      <c r="F778" s="8"/>
      <c r="G778" s="8"/>
      <c r="H778" s="47"/>
    </row>
    <row r="779">
      <c r="A779" s="8"/>
      <c r="B779" s="8"/>
      <c r="C779" s="8"/>
      <c r="D779" s="8"/>
      <c r="E779" s="8"/>
      <c r="F779" s="8"/>
      <c r="G779" s="8"/>
      <c r="H779" s="47"/>
    </row>
    <row r="780">
      <c r="A780" s="8"/>
      <c r="B780" s="8"/>
      <c r="C780" s="8"/>
      <c r="D780" s="8"/>
      <c r="E780" s="8"/>
      <c r="F780" s="8"/>
      <c r="G780" s="8"/>
      <c r="H780" s="47"/>
    </row>
    <row r="781">
      <c r="A781" s="8"/>
      <c r="B781" s="8"/>
      <c r="C781" s="8"/>
      <c r="D781" s="8"/>
      <c r="E781" s="8"/>
      <c r="F781" s="8"/>
      <c r="G781" s="8"/>
      <c r="H781" s="47"/>
    </row>
    <row r="782">
      <c r="A782" s="8"/>
      <c r="B782" s="8"/>
      <c r="C782" s="8"/>
      <c r="D782" s="8"/>
      <c r="E782" s="8"/>
      <c r="F782" s="8"/>
      <c r="G782" s="8"/>
      <c r="H782" s="47"/>
    </row>
    <row r="783">
      <c r="A783" s="8"/>
      <c r="B783" s="8"/>
      <c r="C783" s="8"/>
      <c r="D783" s="8"/>
      <c r="E783" s="8"/>
      <c r="F783" s="8"/>
      <c r="G783" s="8"/>
      <c r="H783" s="47"/>
    </row>
    <row r="784">
      <c r="A784" s="8"/>
      <c r="B784" s="8"/>
      <c r="C784" s="8"/>
      <c r="D784" s="8"/>
      <c r="E784" s="8"/>
      <c r="F784" s="8"/>
      <c r="G784" s="8"/>
      <c r="H784" s="47"/>
    </row>
    <row r="785">
      <c r="A785" s="8"/>
      <c r="B785" s="8"/>
      <c r="C785" s="8"/>
      <c r="D785" s="8"/>
      <c r="E785" s="8"/>
      <c r="F785" s="8"/>
      <c r="G785" s="8"/>
      <c r="H785" s="47"/>
    </row>
    <row r="786">
      <c r="A786" s="8"/>
      <c r="B786" s="8"/>
      <c r="C786" s="8"/>
      <c r="D786" s="8"/>
      <c r="E786" s="8"/>
      <c r="F786" s="8"/>
      <c r="G786" s="8"/>
      <c r="H786" s="47"/>
    </row>
    <row r="787">
      <c r="A787" s="8"/>
      <c r="B787" s="8"/>
      <c r="C787" s="8"/>
      <c r="D787" s="8"/>
      <c r="E787" s="8"/>
      <c r="F787" s="8"/>
      <c r="G787" s="8"/>
      <c r="H787" s="47"/>
    </row>
    <row r="788">
      <c r="A788" s="8"/>
      <c r="B788" s="8"/>
      <c r="C788" s="8"/>
      <c r="D788" s="8"/>
      <c r="E788" s="8"/>
      <c r="F788" s="8"/>
      <c r="G788" s="8"/>
      <c r="H788" s="47"/>
    </row>
    <row r="789">
      <c r="A789" s="8"/>
      <c r="B789" s="8"/>
      <c r="C789" s="8"/>
      <c r="D789" s="8"/>
      <c r="E789" s="8"/>
      <c r="F789" s="8"/>
      <c r="G789" s="8"/>
      <c r="H789" s="47"/>
    </row>
    <row r="790">
      <c r="A790" s="8"/>
      <c r="B790" s="8"/>
      <c r="C790" s="8"/>
      <c r="D790" s="8"/>
      <c r="E790" s="8"/>
      <c r="F790" s="8"/>
      <c r="G790" s="8"/>
      <c r="H790" s="47"/>
    </row>
    <row r="791">
      <c r="A791" s="8"/>
      <c r="B791" s="8"/>
      <c r="C791" s="8"/>
      <c r="D791" s="8"/>
      <c r="E791" s="8"/>
      <c r="F791" s="8"/>
      <c r="G791" s="8"/>
      <c r="H791" s="47"/>
    </row>
    <row r="792">
      <c r="A792" s="8"/>
      <c r="B792" s="8"/>
      <c r="C792" s="8"/>
      <c r="D792" s="8"/>
      <c r="E792" s="8"/>
      <c r="F792" s="8"/>
      <c r="G792" s="8"/>
      <c r="H792" s="47"/>
    </row>
    <row r="793">
      <c r="A793" s="8"/>
      <c r="B793" s="8"/>
      <c r="C793" s="8"/>
      <c r="D793" s="8"/>
      <c r="E793" s="8"/>
      <c r="F793" s="8"/>
      <c r="G793" s="8"/>
      <c r="H793" s="47"/>
    </row>
    <row r="794">
      <c r="A794" s="8"/>
      <c r="B794" s="8"/>
      <c r="C794" s="8"/>
      <c r="D794" s="8"/>
      <c r="E794" s="8"/>
      <c r="F794" s="8"/>
      <c r="G794" s="8"/>
      <c r="H794" s="47"/>
    </row>
    <row r="795">
      <c r="A795" s="8"/>
      <c r="B795" s="8"/>
      <c r="C795" s="8"/>
      <c r="D795" s="8"/>
      <c r="E795" s="8"/>
      <c r="F795" s="8"/>
      <c r="G795" s="8"/>
      <c r="H795" s="47"/>
    </row>
    <row r="796">
      <c r="A796" s="8"/>
      <c r="B796" s="8"/>
      <c r="C796" s="8"/>
      <c r="D796" s="8"/>
      <c r="E796" s="8"/>
      <c r="F796" s="8"/>
      <c r="G796" s="8"/>
      <c r="H796" s="47"/>
    </row>
    <row r="797">
      <c r="A797" s="8"/>
      <c r="B797" s="8"/>
      <c r="C797" s="8"/>
      <c r="D797" s="8"/>
      <c r="E797" s="8"/>
      <c r="F797" s="8"/>
      <c r="G797" s="8"/>
      <c r="H797" s="47"/>
    </row>
    <row r="798">
      <c r="A798" s="8"/>
      <c r="B798" s="8"/>
      <c r="C798" s="8"/>
      <c r="D798" s="8"/>
      <c r="E798" s="8"/>
      <c r="F798" s="8"/>
      <c r="G798" s="8"/>
      <c r="H798" s="47"/>
    </row>
    <row r="799">
      <c r="A799" s="8"/>
      <c r="B799" s="8"/>
      <c r="C799" s="8"/>
      <c r="D799" s="8"/>
      <c r="E799" s="8"/>
      <c r="F799" s="8"/>
      <c r="G799" s="8"/>
      <c r="H799" s="47"/>
    </row>
    <row r="800">
      <c r="A800" s="8"/>
      <c r="B800" s="8"/>
      <c r="C800" s="8"/>
      <c r="D800" s="8"/>
      <c r="E800" s="8"/>
      <c r="F800" s="8"/>
      <c r="G800" s="8"/>
      <c r="H800" s="47"/>
    </row>
    <row r="801">
      <c r="A801" s="8"/>
      <c r="B801" s="8"/>
      <c r="C801" s="8"/>
      <c r="D801" s="8"/>
      <c r="E801" s="8"/>
      <c r="F801" s="8"/>
      <c r="G801" s="8"/>
      <c r="H801" s="47"/>
    </row>
    <row r="802">
      <c r="A802" s="8"/>
      <c r="B802" s="8"/>
      <c r="C802" s="8"/>
      <c r="D802" s="8"/>
      <c r="E802" s="8"/>
      <c r="F802" s="8"/>
      <c r="G802" s="8"/>
      <c r="H802" s="47"/>
    </row>
    <row r="803">
      <c r="A803" s="8"/>
      <c r="B803" s="8"/>
      <c r="C803" s="8"/>
      <c r="D803" s="8"/>
      <c r="E803" s="8"/>
      <c r="F803" s="8"/>
      <c r="G803" s="8"/>
      <c r="H803" s="47"/>
    </row>
    <row r="804">
      <c r="A804" s="8"/>
      <c r="B804" s="8"/>
      <c r="C804" s="8"/>
      <c r="D804" s="8"/>
      <c r="E804" s="8"/>
      <c r="F804" s="8"/>
      <c r="G804" s="8"/>
      <c r="H804" s="47"/>
    </row>
    <row r="805">
      <c r="A805" s="8"/>
      <c r="B805" s="8"/>
      <c r="C805" s="8"/>
      <c r="D805" s="8"/>
      <c r="E805" s="8"/>
      <c r="F805" s="8"/>
      <c r="G805" s="8"/>
      <c r="H805" s="47"/>
    </row>
    <row r="806">
      <c r="A806" s="8"/>
      <c r="B806" s="8"/>
      <c r="C806" s="8"/>
      <c r="D806" s="8"/>
      <c r="E806" s="8"/>
      <c r="F806" s="8"/>
      <c r="G806" s="8"/>
      <c r="H806" s="47"/>
    </row>
    <row r="807">
      <c r="A807" s="8"/>
      <c r="B807" s="8"/>
      <c r="C807" s="8"/>
      <c r="D807" s="8"/>
      <c r="E807" s="8"/>
      <c r="F807" s="8"/>
      <c r="G807" s="8"/>
      <c r="H807" s="47"/>
    </row>
    <row r="808">
      <c r="A808" s="8"/>
      <c r="B808" s="8"/>
      <c r="C808" s="8"/>
      <c r="D808" s="8"/>
      <c r="E808" s="8"/>
      <c r="F808" s="8"/>
      <c r="G808" s="8"/>
      <c r="H808" s="47"/>
    </row>
    <row r="809">
      <c r="A809" s="8"/>
      <c r="B809" s="8"/>
      <c r="C809" s="8"/>
      <c r="D809" s="8"/>
      <c r="E809" s="8"/>
      <c r="F809" s="8"/>
      <c r="G809" s="8"/>
      <c r="H809" s="47"/>
    </row>
    <row r="810">
      <c r="A810" s="8"/>
      <c r="B810" s="8"/>
      <c r="C810" s="8"/>
      <c r="D810" s="8"/>
      <c r="E810" s="8"/>
      <c r="F810" s="8"/>
      <c r="G810" s="8"/>
      <c r="H810" s="47"/>
    </row>
    <row r="811">
      <c r="A811" s="8"/>
      <c r="B811" s="8"/>
      <c r="C811" s="8"/>
      <c r="D811" s="8"/>
      <c r="E811" s="8"/>
      <c r="F811" s="8"/>
      <c r="G811" s="8"/>
      <c r="H811" s="47"/>
    </row>
    <row r="812">
      <c r="A812" s="8"/>
      <c r="B812" s="8"/>
      <c r="C812" s="8"/>
      <c r="D812" s="8"/>
      <c r="E812" s="8"/>
      <c r="F812" s="8"/>
      <c r="G812" s="8"/>
      <c r="H812" s="47"/>
    </row>
    <row r="813">
      <c r="A813" s="8"/>
      <c r="B813" s="8"/>
      <c r="C813" s="8"/>
      <c r="D813" s="8"/>
      <c r="E813" s="8"/>
      <c r="F813" s="8"/>
      <c r="G813" s="8"/>
      <c r="H813" s="47"/>
    </row>
    <row r="814">
      <c r="A814" s="8"/>
      <c r="B814" s="8"/>
      <c r="C814" s="8"/>
      <c r="D814" s="8"/>
      <c r="E814" s="8"/>
      <c r="F814" s="8"/>
      <c r="G814" s="8"/>
      <c r="H814" s="47"/>
    </row>
    <row r="815">
      <c r="A815" s="8"/>
      <c r="B815" s="8"/>
      <c r="C815" s="8"/>
      <c r="D815" s="8"/>
      <c r="E815" s="8"/>
      <c r="F815" s="8"/>
      <c r="G815" s="8"/>
      <c r="H815" s="47"/>
    </row>
    <row r="816">
      <c r="A816" s="8"/>
      <c r="B816" s="8"/>
      <c r="C816" s="8"/>
      <c r="D816" s="8"/>
      <c r="E816" s="8"/>
      <c r="F816" s="8"/>
      <c r="G816" s="8"/>
      <c r="H816" s="47"/>
    </row>
    <row r="817">
      <c r="A817" s="8"/>
      <c r="B817" s="8"/>
      <c r="C817" s="8"/>
      <c r="D817" s="8"/>
      <c r="E817" s="8"/>
      <c r="F817" s="8"/>
      <c r="G817" s="8"/>
      <c r="H817" s="47"/>
    </row>
    <row r="818">
      <c r="A818" s="8"/>
      <c r="B818" s="8"/>
      <c r="C818" s="8"/>
      <c r="D818" s="8"/>
      <c r="E818" s="8"/>
      <c r="F818" s="8"/>
      <c r="G818" s="8"/>
      <c r="H818" s="47"/>
    </row>
    <row r="819">
      <c r="A819" s="8"/>
      <c r="B819" s="8"/>
      <c r="C819" s="8"/>
      <c r="D819" s="8"/>
      <c r="E819" s="8"/>
      <c r="F819" s="8"/>
      <c r="G819" s="8"/>
      <c r="H819" s="47"/>
    </row>
    <row r="820">
      <c r="A820" s="8"/>
      <c r="B820" s="8"/>
      <c r="C820" s="8"/>
      <c r="D820" s="8"/>
      <c r="E820" s="8"/>
      <c r="F820" s="8"/>
      <c r="G820" s="8"/>
      <c r="H820" s="47"/>
    </row>
    <row r="821">
      <c r="A821" s="8"/>
      <c r="B821" s="8"/>
      <c r="C821" s="8"/>
      <c r="D821" s="8"/>
      <c r="E821" s="8"/>
      <c r="F821" s="8"/>
      <c r="G821" s="8"/>
      <c r="H821" s="47"/>
    </row>
    <row r="822">
      <c r="A822" s="8"/>
      <c r="B822" s="8"/>
      <c r="C822" s="8"/>
      <c r="D822" s="8"/>
      <c r="E822" s="8"/>
      <c r="F822" s="8"/>
      <c r="G822" s="8"/>
      <c r="H822" s="47"/>
    </row>
    <row r="823">
      <c r="A823" s="8"/>
      <c r="B823" s="8"/>
      <c r="C823" s="8"/>
      <c r="D823" s="8"/>
      <c r="E823" s="8"/>
      <c r="F823" s="8"/>
      <c r="G823" s="8"/>
      <c r="H823" s="47"/>
    </row>
    <row r="824">
      <c r="A824" s="8"/>
      <c r="B824" s="8"/>
      <c r="C824" s="8"/>
      <c r="D824" s="8"/>
      <c r="E824" s="8"/>
      <c r="F824" s="8"/>
      <c r="G824" s="8"/>
      <c r="H824" s="47"/>
    </row>
    <row r="825">
      <c r="A825" s="8"/>
      <c r="B825" s="8"/>
      <c r="C825" s="8"/>
      <c r="D825" s="8"/>
      <c r="E825" s="8"/>
      <c r="F825" s="8"/>
      <c r="G825" s="8"/>
      <c r="H825" s="47"/>
    </row>
    <row r="826">
      <c r="A826" s="8"/>
      <c r="B826" s="8"/>
      <c r="C826" s="8"/>
      <c r="D826" s="8"/>
      <c r="E826" s="8"/>
      <c r="F826" s="8"/>
      <c r="G826" s="8"/>
      <c r="H826" s="47"/>
    </row>
    <row r="827">
      <c r="A827" s="8"/>
      <c r="B827" s="8"/>
      <c r="C827" s="8"/>
      <c r="D827" s="8"/>
      <c r="E827" s="8"/>
      <c r="F827" s="8"/>
      <c r="G827" s="8"/>
      <c r="H827" s="47"/>
    </row>
    <row r="828">
      <c r="A828" s="8"/>
      <c r="B828" s="8"/>
      <c r="C828" s="8"/>
      <c r="D828" s="8"/>
      <c r="E828" s="8"/>
      <c r="F828" s="8"/>
      <c r="G828" s="8"/>
      <c r="H828" s="47"/>
    </row>
    <row r="829">
      <c r="A829" s="8"/>
      <c r="B829" s="8"/>
      <c r="C829" s="8"/>
      <c r="D829" s="8"/>
      <c r="E829" s="8"/>
      <c r="F829" s="8"/>
      <c r="G829" s="8"/>
      <c r="H829" s="47"/>
    </row>
    <row r="830">
      <c r="A830" s="8"/>
      <c r="B830" s="8"/>
      <c r="C830" s="8"/>
      <c r="D830" s="8"/>
      <c r="E830" s="8"/>
      <c r="F830" s="8"/>
      <c r="G830" s="8"/>
      <c r="H830" s="47"/>
    </row>
    <row r="831">
      <c r="A831" s="8"/>
      <c r="B831" s="8"/>
      <c r="C831" s="8"/>
      <c r="D831" s="8"/>
      <c r="E831" s="8"/>
      <c r="F831" s="8"/>
      <c r="G831" s="8"/>
      <c r="H831" s="47"/>
    </row>
    <row r="832">
      <c r="A832" s="8"/>
      <c r="B832" s="8"/>
      <c r="C832" s="8"/>
      <c r="D832" s="8"/>
      <c r="E832" s="8"/>
      <c r="F832" s="8"/>
      <c r="G832" s="8"/>
      <c r="H832" s="47"/>
    </row>
    <row r="833">
      <c r="A833" s="8"/>
      <c r="B833" s="8"/>
      <c r="C833" s="8"/>
      <c r="D833" s="8"/>
      <c r="E833" s="8"/>
      <c r="F833" s="8"/>
      <c r="G833" s="8"/>
      <c r="H833" s="47"/>
    </row>
    <row r="834">
      <c r="A834" s="8"/>
      <c r="B834" s="8"/>
      <c r="C834" s="8"/>
      <c r="D834" s="8"/>
      <c r="E834" s="8"/>
      <c r="F834" s="8"/>
      <c r="G834" s="8"/>
      <c r="H834" s="47"/>
    </row>
    <row r="835">
      <c r="A835" s="8"/>
      <c r="B835" s="8"/>
      <c r="C835" s="8"/>
      <c r="D835" s="8"/>
      <c r="E835" s="8"/>
      <c r="F835" s="8"/>
      <c r="G835" s="8"/>
      <c r="H835" s="47"/>
    </row>
    <row r="836">
      <c r="A836" s="8"/>
      <c r="B836" s="8"/>
      <c r="C836" s="8"/>
      <c r="D836" s="8"/>
      <c r="E836" s="8"/>
      <c r="F836" s="8"/>
      <c r="G836" s="8"/>
      <c r="H836" s="47"/>
    </row>
    <row r="837">
      <c r="A837" s="8"/>
      <c r="B837" s="8"/>
      <c r="C837" s="8"/>
      <c r="D837" s="8"/>
      <c r="E837" s="8"/>
      <c r="F837" s="8"/>
      <c r="G837" s="8"/>
      <c r="H837" s="47"/>
    </row>
    <row r="838">
      <c r="A838" s="8"/>
      <c r="B838" s="8"/>
      <c r="C838" s="8"/>
      <c r="D838" s="8"/>
      <c r="E838" s="8"/>
      <c r="F838" s="8"/>
      <c r="G838" s="8"/>
      <c r="H838" s="47"/>
    </row>
    <row r="839">
      <c r="A839" s="8"/>
      <c r="B839" s="8"/>
      <c r="C839" s="8"/>
      <c r="D839" s="8"/>
      <c r="E839" s="8"/>
      <c r="F839" s="8"/>
      <c r="G839" s="8"/>
      <c r="H839" s="47"/>
    </row>
    <row r="840">
      <c r="A840" s="8"/>
      <c r="B840" s="8"/>
      <c r="C840" s="8"/>
      <c r="D840" s="8"/>
      <c r="E840" s="8"/>
      <c r="F840" s="8"/>
      <c r="G840" s="8"/>
      <c r="H840" s="47"/>
    </row>
    <row r="841">
      <c r="A841" s="8"/>
      <c r="B841" s="8"/>
      <c r="C841" s="8"/>
      <c r="D841" s="8"/>
      <c r="E841" s="8"/>
      <c r="F841" s="8"/>
      <c r="G841" s="8"/>
      <c r="H841" s="47"/>
    </row>
    <row r="842">
      <c r="A842" s="8"/>
      <c r="B842" s="8"/>
      <c r="C842" s="8"/>
      <c r="D842" s="8"/>
      <c r="E842" s="8"/>
      <c r="F842" s="8"/>
      <c r="G842" s="8"/>
      <c r="H842" s="47"/>
    </row>
    <row r="843">
      <c r="A843" s="8"/>
      <c r="B843" s="8"/>
      <c r="C843" s="8"/>
      <c r="D843" s="8"/>
      <c r="E843" s="8"/>
      <c r="F843" s="8"/>
      <c r="G843" s="8"/>
      <c r="H843" s="47"/>
    </row>
    <row r="844">
      <c r="A844" s="8"/>
      <c r="B844" s="8"/>
      <c r="C844" s="8"/>
      <c r="D844" s="8"/>
      <c r="E844" s="8"/>
      <c r="F844" s="8"/>
      <c r="G844" s="8"/>
      <c r="H844" s="47"/>
    </row>
    <row r="845">
      <c r="A845" s="8"/>
      <c r="B845" s="8"/>
      <c r="C845" s="8"/>
      <c r="D845" s="8"/>
      <c r="E845" s="8"/>
      <c r="F845" s="8"/>
      <c r="G845" s="8"/>
      <c r="H845" s="47"/>
    </row>
    <row r="846">
      <c r="A846" s="8"/>
      <c r="B846" s="8"/>
      <c r="C846" s="8"/>
      <c r="D846" s="8"/>
      <c r="E846" s="8"/>
      <c r="F846" s="8"/>
      <c r="G846" s="8"/>
      <c r="H846" s="47"/>
    </row>
    <row r="847">
      <c r="A847" s="8"/>
      <c r="B847" s="8"/>
      <c r="C847" s="8"/>
      <c r="D847" s="8"/>
      <c r="E847" s="8"/>
      <c r="F847" s="8"/>
      <c r="G847" s="8"/>
      <c r="H847" s="47"/>
    </row>
    <row r="848">
      <c r="A848" s="8"/>
      <c r="B848" s="8"/>
      <c r="C848" s="8"/>
      <c r="D848" s="8"/>
      <c r="E848" s="8"/>
      <c r="F848" s="8"/>
      <c r="G848" s="8"/>
      <c r="H848" s="47"/>
    </row>
    <row r="849">
      <c r="A849" s="8"/>
      <c r="B849" s="8"/>
      <c r="C849" s="8"/>
      <c r="D849" s="8"/>
      <c r="E849" s="8"/>
      <c r="F849" s="8"/>
      <c r="G849" s="8"/>
      <c r="H849" s="47"/>
    </row>
    <row r="850">
      <c r="A850" s="8"/>
      <c r="B850" s="8"/>
      <c r="C850" s="8"/>
      <c r="D850" s="8"/>
      <c r="E850" s="8"/>
      <c r="F850" s="8"/>
      <c r="G850" s="8"/>
      <c r="H850" s="47"/>
    </row>
    <row r="851">
      <c r="A851" s="8"/>
      <c r="B851" s="8"/>
      <c r="C851" s="8"/>
      <c r="D851" s="8"/>
      <c r="E851" s="8"/>
      <c r="F851" s="8"/>
      <c r="G851" s="8"/>
      <c r="H851" s="47"/>
    </row>
    <row r="852">
      <c r="A852" s="8"/>
      <c r="B852" s="8"/>
      <c r="C852" s="8"/>
      <c r="D852" s="8"/>
      <c r="E852" s="8"/>
      <c r="F852" s="8"/>
      <c r="G852" s="8"/>
      <c r="H852" s="47"/>
    </row>
    <row r="853">
      <c r="A853" s="8"/>
      <c r="B853" s="8"/>
      <c r="C853" s="8"/>
      <c r="D853" s="8"/>
      <c r="E853" s="8"/>
      <c r="F853" s="8"/>
      <c r="G853" s="8"/>
      <c r="H853" s="47"/>
    </row>
    <row r="854">
      <c r="A854" s="8"/>
      <c r="B854" s="8"/>
      <c r="C854" s="8"/>
      <c r="D854" s="8"/>
      <c r="E854" s="8"/>
      <c r="F854" s="8"/>
      <c r="G854" s="8"/>
      <c r="H854" s="47"/>
    </row>
    <row r="855">
      <c r="A855" s="8"/>
      <c r="B855" s="8"/>
      <c r="C855" s="8"/>
      <c r="D855" s="8"/>
      <c r="E855" s="8"/>
      <c r="F855" s="8"/>
      <c r="G855" s="8"/>
      <c r="H855" s="47"/>
    </row>
    <row r="856">
      <c r="A856" s="8"/>
      <c r="B856" s="8"/>
      <c r="C856" s="8"/>
      <c r="D856" s="8"/>
      <c r="E856" s="8"/>
      <c r="F856" s="8"/>
      <c r="G856" s="8"/>
      <c r="H856" s="47"/>
    </row>
    <row r="857">
      <c r="A857" s="8"/>
      <c r="B857" s="8"/>
      <c r="C857" s="8"/>
      <c r="D857" s="8"/>
      <c r="E857" s="8"/>
      <c r="F857" s="8"/>
      <c r="G857" s="8"/>
      <c r="H857" s="47"/>
    </row>
    <row r="858">
      <c r="A858" s="8"/>
      <c r="B858" s="8"/>
      <c r="C858" s="8"/>
      <c r="D858" s="8"/>
      <c r="E858" s="8"/>
      <c r="F858" s="8"/>
      <c r="G858" s="8"/>
      <c r="H858" s="47"/>
    </row>
    <row r="859">
      <c r="A859" s="8"/>
      <c r="B859" s="8"/>
      <c r="C859" s="8"/>
      <c r="D859" s="8"/>
      <c r="E859" s="8"/>
      <c r="F859" s="8"/>
      <c r="G859" s="8"/>
      <c r="H859" s="47"/>
    </row>
    <row r="860">
      <c r="A860" s="8"/>
      <c r="B860" s="8"/>
      <c r="C860" s="8"/>
      <c r="D860" s="8"/>
      <c r="E860" s="8"/>
      <c r="F860" s="8"/>
      <c r="G860" s="8"/>
      <c r="H860" s="47"/>
    </row>
    <row r="861">
      <c r="A861" s="8"/>
      <c r="B861" s="8"/>
      <c r="C861" s="8"/>
      <c r="D861" s="8"/>
      <c r="E861" s="8"/>
      <c r="F861" s="8"/>
      <c r="G861" s="8"/>
      <c r="H861" s="47"/>
    </row>
    <row r="862">
      <c r="A862" s="8"/>
      <c r="B862" s="8"/>
      <c r="C862" s="8"/>
      <c r="D862" s="8"/>
      <c r="E862" s="8"/>
      <c r="F862" s="8"/>
      <c r="G862" s="8"/>
      <c r="H862" s="47"/>
    </row>
    <row r="863">
      <c r="A863" s="8"/>
      <c r="B863" s="8"/>
      <c r="C863" s="8"/>
      <c r="D863" s="8"/>
      <c r="E863" s="8"/>
      <c r="F863" s="8"/>
      <c r="G863" s="8"/>
      <c r="H863" s="47"/>
    </row>
    <row r="864">
      <c r="A864" s="8"/>
      <c r="B864" s="8"/>
      <c r="C864" s="8"/>
      <c r="D864" s="8"/>
      <c r="E864" s="8"/>
      <c r="F864" s="8"/>
      <c r="G864" s="8"/>
      <c r="H864" s="47"/>
    </row>
    <row r="865">
      <c r="A865" s="8"/>
      <c r="B865" s="8"/>
      <c r="C865" s="8"/>
      <c r="D865" s="8"/>
      <c r="E865" s="8"/>
      <c r="F865" s="8"/>
      <c r="G865" s="8"/>
      <c r="H865" s="47"/>
    </row>
    <row r="866">
      <c r="A866" s="8"/>
      <c r="B866" s="8"/>
      <c r="C866" s="8"/>
      <c r="D866" s="8"/>
      <c r="E866" s="8"/>
      <c r="F866" s="8"/>
      <c r="G866" s="8"/>
      <c r="H866" s="47"/>
    </row>
    <row r="867">
      <c r="A867" s="8"/>
      <c r="B867" s="8"/>
      <c r="C867" s="8"/>
      <c r="D867" s="8"/>
      <c r="E867" s="8"/>
      <c r="F867" s="8"/>
      <c r="G867" s="8"/>
      <c r="H867" s="47"/>
    </row>
    <row r="868">
      <c r="A868" s="8"/>
      <c r="B868" s="8"/>
      <c r="C868" s="8"/>
      <c r="D868" s="8"/>
      <c r="E868" s="8"/>
      <c r="F868" s="8"/>
      <c r="G868" s="8"/>
      <c r="H868" s="47"/>
    </row>
    <row r="869">
      <c r="A869" s="8"/>
      <c r="B869" s="8"/>
      <c r="C869" s="8"/>
      <c r="D869" s="8"/>
      <c r="E869" s="8"/>
      <c r="F869" s="8"/>
      <c r="G869" s="8"/>
      <c r="H869" s="47"/>
    </row>
    <row r="870">
      <c r="A870" s="8"/>
      <c r="B870" s="8"/>
      <c r="C870" s="8"/>
      <c r="D870" s="8"/>
      <c r="E870" s="8"/>
      <c r="F870" s="8"/>
      <c r="G870" s="8"/>
      <c r="H870" s="47"/>
    </row>
    <row r="871">
      <c r="A871" s="8"/>
      <c r="B871" s="8"/>
      <c r="C871" s="8"/>
      <c r="D871" s="8"/>
      <c r="E871" s="8"/>
      <c r="F871" s="8"/>
      <c r="G871" s="8"/>
      <c r="H871" s="47"/>
    </row>
    <row r="872">
      <c r="A872" s="8"/>
      <c r="B872" s="8"/>
      <c r="C872" s="8"/>
      <c r="D872" s="8"/>
      <c r="E872" s="8"/>
      <c r="F872" s="8"/>
      <c r="G872" s="8"/>
      <c r="H872" s="47"/>
    </row>
    <row r="873">
      <c r="A873" s="8"/>
      <c r="B873" s="8"/>
      <c r="C873" s="8"/>
      <c r="D873" s="8"/>
      <c r="E873" s="8"/>
      <c r="F873" s="8"/>
      <c r="G873" s="8"/>
      <c r="H873" s="47"/>
    </row>
    <row r="874">
      <c r="A874" s="8"/>
      <c r="B874" s="8"/>
      <c r="C874" s="8"/>
      <c r="D874" s="8"/>
      <c r="E874" s="8"/>
      <c r="F874" s="8"/>
      <c r="G874" s="8"/>
      <c r="H874" s="47"/>
    </row>
    <row r="875">
      <c r="A875" s="8"/>
      <c r="B875" s="8"/>
      <c r="C875" s="8"/>
      <c r="D875" s="8"/>
      <c r="E875" s="8"/>
      <c r="F875" s="8"/>
      <c r="G875" s="8"/>
      <c r="H875" s="47"/>
    </row>
    <row r="876">
      <c r="A876" s="8"/>
      <c r="B876" s="8"/>
      <c r="C876" s="8"/>
      <c r="D876" s="8"/>
      <c r="E876" s="8"/>
      <c r="F876" s="8"/>
      <c r="G876" s="8"/>
      <c r="H876" s="47"/>
    </row>
    <row r="877">
      <c r="A877" s="8"/>
      <c r="B877" s="8"/>
      <c r="C877" s="8"/>
      <c r="D877" s="8"/>
      <c r="E877" s="8"/>
      <c r="F877" s="8"/>
      <c r="G877" s="8"/>
      <c r="H877" s="47"/>
    </row>
    <row r="878">
      <c r="A878" s="8"/>
      <c r="B878" s="8"/>
      <c r="C878" s="8"/>
      <c r="D878" s="8"/>
      <c r="E878" s="8"/>
      <c r="F878" s="8"/>
      <c r="G878" s="8"/>
      <c r="H878" s="47"/>
    </row>
    <row r="879">
      <c r="A879" s="8"/>
      <c r="B879" s="8"/>
      <c r="C879" s="8"/>
      <c r="D879" s="8"/>
      <c r="E879" s="8"/>
      <c r="F879" s="8"/>
      <c r="G879" s="8"/>
      <c r="H879" s="47"/>
    </row>
    <row r="880">
      <c r="A880" s="8"/>
      <c r="B880" s="8"/>
      <c r="C880" s="8"/>
      <c r="D880" s="8"/>
      <c r="E880" s="8"/>
      <c r="F880" s="8"/>
      <c r="G880" s="8"/>
      <c r="H880" s="47"/>
    </row>
    <row r="881">
      <c r="A881" s="8"/>
      <c r="B881" s="8"/>
      <c r="C881" s="8"/>
      <c r="D881" s="8"/>
      <c r="E881" s="8"/>
      <c r="F881" s="8"/>
      <c r="G881" s="8"/>
      <c r="H881" s="47"/>
    </row>
    <row r="882">
      <c r="A882" s="8"/>
      <c r="B882" s="8"/>
      <c r="C882" s="8"/>
      <c r="D882" s="8"/>
      <c r="E882" s="8"/>
      <c r="F882" s="8"/>
      <c r="G882" s="8"/>
      <c r="H882" s="47"/>
    </row>
    <row r="883">
      <c r="A883" s="8"/>
      <c r="B883" s="8"/>
      <c r="C883" s="8"/>
      <c r="D883" s="8"/>
      <c r="E883" s="8"/>
      <c r="F883" s="8"/>
      <c r="G883" s="8"/>
      <c r="H883" s="47"/>
    </row>
    <row r="884">
      <c r="A884" s="8"/>
      <c r="B884" s="8"/>
      <c r="C884" s="8"/>
      <c r="D884" s="8"/>
      <c r="E884" s="8"/>
      <c r="F884" s="8"/>
      <c r="G884" s="8"/>
      <c r="H884" s="47"/>
    </row>
    <row r="885">
      <c r="A885" s="8"/>
      <c r="B885" s="8"/>
      <c r="C885" s="8"/>
      <c r="D885" s="8"/>
      <c r="E885" s="8"/>
      <c r="F885" s="8"/>
      <c r="G885" s="8"/>
      <c r="H885" s="47"/>
    </row>
    <row r="886">
      <c r="A886" s="8"/>
      <c r="B886" s="8"/>
      <c r="C886" s="8"/>
      <c r="D886" s="8"/>
      <c r="E886" s="8"/>
      <c r="F886" s="8"/>
      <c r="G886" s="8"/>
      <c r="H886" s="47"/>
    </row>
    <row r="887">
      <c r="A887" s="8"/>
      <c r="B887" s="8"/>
      <c r="C887" s="8"/>
      <c r="D887" s="8"/>
      <c r="E887" s="8"/>
      <c r="F887" s="8"/>
      <c r="G887" s="8"/>
      <c r="H887" s="47"/>
    </row>
    <row r="888">
      <c r="A888" s="8"/>
      <c r="B888" s="8"/>
      <c r="C888" s="8"/>
      <c r="D888" s="8"/>
      <c r="E888" s="8"/>
      <c r="F888" s="8"/>
      <c r="G888" s="8"/>
      <c r="H888" s="47"/>
    </row>
    <row r="889">
      <c r="A889" s="8"/>
      <c r="B889" s="8"/>
      <c r="C889" s="8"/>
      <c r="D889" s="8"/>
      <c r="E889" s="8"/>
      <c r="F889" s="8"/>
      <c r="G889" s="8"/>
      <c r="H889" s="47"/>
    </row>
    <row r="890">
      <c r="A890" s="8"/>
      <c r="B890" s="8"/>
      <c r="C890" s="8"/>
      <c r="D890" s="8"/>
      <c r="E890" s="8"/>
      <c r="F890" s="8"/>
      <c r="G890" s="8"/>
      <c r="H890" s="47"/>
    </row>
    <row r="891">
      <c r="A891" s="8"/>
      <c r="B891" s="8"/>
      <c r="C891" s="8"/>
      <c r="D891" s="8"/>
      <c r="E891" s="8"/>
      <c r="F891" s="8"/>
      <c r="G891" s="8"/>
      <c r="H891" s="47"/>
    </row>
    <row r="892">
      <c r="A892" s="8"/>
      <c r="B892" s="8"/>
      <c r="C892" s="8"/>
      <c r="D892" s="8"/>
      <c r="E892" s="8"/>
      <c r="F892" s="8"/>
      <c r="G892" s="8"/>
      <c r="H892" s="47"/>
    </row>
    <row r="893">
      <c r="A893" s="8"/>
      <c r="B893" s="8"/>
      <c r="C893" s="8"/>
      <c r="D893" s="8"/>
      <c r="E893" s="8"/>
      <c r="F893" s="8"/>
      <c r="G893" s="8"/>
      <c r="H893" s="47"/>
    </row>
    <row r="894">
      <c r="A894" s="8"/>
      <c r="B894" s="8"/>
      <c r="C894" s="8"/>
      <c r="D894" s="8"/>
      <c r="E894" s="8"/>
      <c r="F894" s="8"/>
      <c r="G894" s="8"/>
      <c r="H894" s="47"/>
    </row>
    <row r="895">
      <c r="A895" s="8"/>
      <c r="B895" s="8"/>
      <c r="C895" s="8"/>
      <c r="D895" s="8"/>
      <c r="E895" s="8"/>
      <c r="F895" s="8"/>
      <c r="G895" s="8"/>
      <c r="H895" s="47"/>
    </row>
    <row r="896">
      <c r="A896" s="8"/>
      <c r="B896" s="8"/>
      <c r="C896" s="8"/>
      <c r="D896" s="8"/>
      <c r="E896" s="8"/>
      <c r="F896" s="8"/>
      <c r="G896" s="8"/>
      <c r="H896" s="47"/>
    </row>
    <row r="897">
      <c r="A897" s="8"/>
      <c r="B897" s="8"/>
      <c r="C897" s="8"/>
      <c r="D897" s="8"/>
      <c r="E897" s="8"/>
      <c r="F897" s="8"/>
      <c r="G897" s="8"/>
      <c r="H897" s="47"/>
    </row>
    <row r="898">
      <c r="A898" s="8"/>
      <c r="B898" s="8"/>
      <c r="C898" s="8"/>
      <c r="D898" s="8"/>
      <c r="E898" s="8"/>
      <c r="F898" s="8"/>
      <c r="G898" s="8"/>
      <c r="H898" s="47"/>
    </row>
    <row r="899">
      <c r="A899" s="8"/>
      <c r="B899" s="8"/>
      <c r="C899" s="8"/>
      <c r="D899" s="8"/>
      <c r="E899" s="8"/>
      <c r="F899" s="8"/>
      <c r="G899" s="8"/>
      <c r="H899" s="47"/>
    </row>
    <row r="900">
      <c r="A900" s="8"/>
      <c r="B900" s="8"/>
      <c r="C900" s="8"/>
      <c r="D900" s="8"/>
      <c r="E900" s="8"/>
      <c r="F900" s="8"/>
      <c r="G900" s="8"/>
      <c r="H900" s="47"/>
    </row>
    <row r="901">
      <c r="A901" s="8"/>
      <c r="B901" s="8"/>
      <c r="C901" s="8"/>
      <c r="D901" s="8"/>
      <c r="E901" s="8"/>
      <c r="F901" s="8"/>
      <c r="G901" s="8"/>
      <c r="H901" s="47"/>
    </row>
    <row r="902">
      <c r="A902" s="8"/>
      <c r="B902" s="8"/>
      <c r="C902" s="8"/>
      <c r="D902" s="8"/>
      <c r="E902" s="8"/>
      <c r="F902" s="8"/>
      <c r="G902" s="8"/>
      <c r="H902" s="47"/>
    </row>
    <row r="903">
      <c r="A903" s="8"/>
      <c r="B903" s="8"/>
      <c r="C903" s="8"/>
      <c r="D903" s="8"/>
      <c r="E903" s="8"/>
      <c r="F903" s="8"/>
      <c r="G903" s="8"/>
      <c r="H903" s="47"/>
    </row>
    <row r="904">
      <c r="A904" s="8"/>
      <c r="B904" s="8"/>
      <c r="C904" s="8"/>
      <c r="D904" s="8"/>
      <c r="E904" s="8"/>
      <c r="F904" s="8"/>
      <c r="G904" s="8"/>
      <c r="H904" s="47"/>
    </row>
    <row r="905">
      <c r="A905" s="8"/>
      <c r="B905" s="8"/>
      <c r="C905" s="8"/>
      <c r="D905" s="8"/>
      <c r="E905" s="8"/>
      <c r="F905" s="8"/>
      <c r="G905" s="8"/>
      <c r="H905" s="47"/>
    </row>
    <row r="906">
      <c r="A906" s="8"/>
      <c r="B906" s="8"/>
      <c r="C906" s="8"/>
      <c r="D906" s="8"/>
      <c r="E906" s="8"/>
      <c r="F906" s="8"/>
      <c r="G906" s="8"/>
      <c r="H906" s="47"/>
    </row>
    <row r="907">
      <c r="A907" s="8"/>
      <c r="B907" s="8"/>
      <c r="C907" s="8"/>
      <c r="D907" s="8"/>
      <c r="E907" s="8"/>
      <c r="F907" s="8"/>
      <c r="G907" s="8"/>
      <c r="H907" s="47"/>
    </row>
    <row r="908">
      <c r="A908" s="8"/>
      <c r="B908" s="8"/>
      <c r="C908" s="8"/>
      <c r="D908" s="8"/>
      <c r="E908" s="8"/>
      <c r="F908" s="8"/>
      <c r="G908" s="8"/>
      <c r="H908" s="47"/>
    </row>
    <row r="909">
      <c r="A909" s="8"/>
      <c r="B909" s="8"/>
      <c r="C909" s="8"/>
      <c r="D909" s="8"/>
      <c r="E909" s="8"/>
      <c r="F909" s="8"/>
      <c r="G909" s="8"/>
      <c r="H909" s="47"/>
    </row>
    <row r="910">
      <c r="A910" s="8"/>
      <c r="B910" s="8"/>
      <c r="C910" s="8"/>
      <c r="D910" s="8"/>
      <c r="E910" s="8"/>
      <c r="F910" s="8"/>
      <c r="G910" s="8"/>
      <c r="H910" s="47"/>
    </row>
    <row r="911">
      <c r="A911" s="8"/>
      <c r="B911" s="8"/>
      <c r="C911" s="8"/>
      <c r="D911" s="8"/>
      <c r="E911" s="8"/>
      <c r="F911" s="8"/>
      <c r="G911" s="8"/>
      <c r="H911" s="47"/>
    </row>
    <row r="912">
      <c r="A912" s="8"/>
      <c r="B912" s="8"/>
      <c r="C912" s="8"/>
      <c r="D912" s="8"/>
      <c r="E912" s="8"/>
      <c r="F912" s="8"/>
      <c r="G912" s="8"/>
      <c r="H912" s="47"/>
    </row>
    <row r="913">
      <c r="A913" s="8"/>
      <c r="B913" s="8"/>
      <c r="C913" s="8"/>
      <c r="D913" s="8"/>
      <c r="E913" s="8"/>
      <c r="F913" s="8"/>
      <c r="G913" s="8"/>
      <c r="H913" s="47"/>
    </row>
    <row r="914">
      <c r="A914" s="8"/>
      <c r="B914" s="8"/>
      <c r="C914" s="8"/>
      <c r="D914" s="8"/>
      <c r="E914" s="8"/>
      <c r="F914" s="8"/>
      <c r="G914" s="8"/>
      <c r="H914" s="47"/>
    </row>
    <row r="915">
      <c r="A915" s="8"/>
      <c r="B915" s="8"/>
      <c r="C915" s="8"/>
      <c r="D915" s="8"/>
      <c r="E915" s="8"/>
      <c r="F915" s="8"/>
      <c r="G915" s="8"/>
      <c r="H915" s="47"/>
    </row>
    <row r="916">
      <c r="A916" s="8"/>
      <c r="B916" s="8"/>
      <c r="C916" s="8"/>
      <c r="D916" s="8"/>
      <c r="E916" s="8"/>
      <c r="F916" s="8"/>
      <c r="G916" s="8"/>
      <c r="H916" s="47"/>
    </row>
    <row r="917">
      <c r="A917" s="8"/>
      <c r="B917" s="8"/>
      <c r="C917" s="8"/>
      <c r="D917" s="8"/>
      <c r="E917" s="8"/>
      <c r="F917" s="8"/>
      <c r="G917" s="8"/>
      <c r="H917" s="47"/>
    </row>
    <row r="918">
      <c r="A918" s="8"/>
      <c r="B918" s="8"/>
      <c r="C918" s="8"/>
      <c r="D918" s="8"/>
      <c r="E918" s="8"/>
      <c r="F918" s="8"/>
      <c r="G918" s="8"/>
      <c r="H918" s="47"/>
    </row>
    <row r="919">
      <c r="A919" s="8"/>
      <c r="B919" s="8"/>
      <c r="C919" s="8"/>
      <c r="D919" s="8"/>
      <c r="E919" s="8"/>
      <c r="F919" s="8"/>
      <c r="G919" s="8"/>
      <c r="H919" s="47"/>
    </row>
    <row r="920">
      <c r="A920" s="8"/>
      <c r="B920" s="8"/>
      <c r="C920" s="8"/>
      <c r="D920" s="8"/>
      <c r="E920" s="8"/>
      <c r="F920" s="8"/>
      <c r="G920" s="8"/>
      <c r="H920" s="47"/>
    </row>
    <row r="921">
      <c r="A921" s="8"/>
      <c r="B921" s="8"/>
      <c r="C921" s="8"/>
      <c r="D921" s="8"/>
      <c r="E921" s="8"/>
      <c r="F921" s="8"/>
      <c r="G921" s="8"/>
      <c r="H921" s="47"/>
    </row>
    <row r="922">
      <c r="A922" s="8"/>
      <c r="B922" s="8"/>
      <c r="C922" s="8"/>
      <c r="D922" s="8"/>
      <c r="E922" s="8"/>
      <c r="F922" s="8"/>
      <c r="G922" s="8"/>
      <c r="H922" s="47"/>
    </row>
    <row r="923">
      <c r="A923" s="8"/>
      <c r="B923" s="8"/>
      <c r="C923" s="8"/>
      <c r="D923" s="8"/>
      <c r="E923" s="8"/>
      <c r="F923" s="8"/>
      <c r="G923" s="8"/>
      <c r="H923" s="47"/>
    </row>
    <row r="924">
      <c r="A924" s="8"/>
      <c r="B924" s="8"/>
      <c r="C924" s="8"/>
      <c r="D924" s="8"/>
      <c r="E924" s="8"/>
      <c r="F924" s="8"/>
      <c r="G924" s="8"/>
      <c r="H924" s="47"/>
    </row>
    <row r="925">
      <c r="A925" s="8"/>
      <c r="B925" s="8"/>
      <c r="C925" s="8"/>
      <c r="D925" s="8"/>
      <c r="E925" s="8"/>
      <c r="F925" s="8"/>
      <c r="G925" s="8"/>
      <c r="H925" s="47"/>
    </row>
    <row r="926">
      <c r="A926" s="8"/>
      <c r="B926" s="8"/>
      <c r="C926" s="8"/>
      <c r="D926" s="8"/>
      <c r="E926" s="8"/>
      <c r="F926" s="8"/>
      <c r="G926" s="8"/>
      <c r="H926" s="47"/>
    </row>
    <row r="927">
      <c r="A927" s="8"/>
      <c r="B927" s="8"/>
      <c r="C927" s="8"/>
      <c r="D927" s="8"/>
      <c r="E927" s="8"/>
      <c r="F927" s="8"/>
      <c r="G927" s="8"/>
      <c r="H927" s="47"/>
    </row>
    <row r="928">
      <c r="A928" s="8"/>
      <c r="B928" s="8"/>
      <c r="C928" s="8"/>
      <c r="D928" s="8"/>
      <c r="E928" s="8"/>
      <c r="F928" s="8"/>
      <c r="G928" s="8"/>
      <c r="H928" s="47"/>
    </row>
    <row r="929">
      <c r="A929" s="8"/>
      <c r="B929" s="8"/>
      <c r="C929" s="8"/>
      <c r="D929" s="8"/>
      <c r="E929" s="8"/>
      <c r="F929" s="8"/>
      <c r="G929" s="8"/>
      <c r="H929" s="47"/>
    </row>
    <row r="930">
      <c r="A930" s="8"/>
      <c r="B930" s="8"/>
      <c r="C930" s="8"/>
      <c r="D930" s="8"/>
      <c r="E930" s="8"/>
      <c r="F930" s="8"/>
      <c r="G930" s="8"/>
      <c r="H930" s="47"/>
    </row>
    <row r="931">
      <c r="A931" s="8"/>
      <c r="B931" s="8"/>
      <c r="C931" s="8"/>
      <c r="D931" s="8"/>
      <c r="E931" s="8"/>
      <c r="F931" s="8"/>
      <c r="G931" s="8"/>
      <c r="H931" s="47"/>
    </row>
    <row r="932">
      <c r="A932" s="8"/>
      <c r="B932" s="8"/>
      <c r="C932" s="8"/>
      <c r="D932" s="8"/>
      <c r="E932" s="8"/>
      <c r="F932" s="8"/>
      <c r="G932" s="8"/>
      <c r="H932" s="47"/>
    </row>
    <row r="933">
      <c r="A933" s="8"/>
      <c r="B933" s="8"/>
      <c r="C933" s="8"/>
      <c r="D933" s="8"/>
      <c r="E933" s="8"/>
      <c r="F933" s="8"/>
      <c r="G933" s="8"/>
      <c r="H933" s="47"/>
    </row>
    <row r="934">
      <c r="A934" s="8"/>
      <c r="B934" s="8"/>
      <c r="C934" s="8"/>
      <c r="D934" s="8"/>
      <c r="E934" s="8"/>
      <c r="F934" s="8"/>
      <c r="G934" s="8"/>
      <c r="H934" s="47"/>
    </row>
    <row r="935">
      <c r="A935" s="8"/>
      <c r="B935" s="8"/>
      <c r="C935" s="8"/>
      <c r="D935" s="8"/>
      <c r="E935" s="8"/>
      <c r="F935" s="8"/>
      <c r="G935" s="8"/>
      <c r="H935" s="47"/>
    </row>
    <row r="936">
      <c r="A936" s="8"/>
      <c r="B936" s="8"/>
      <c r="C936" s="8"/>
      <c r="D936" s="8"/>
      <c r="E936" s="8"/>
      <c r="F936" s="8"/>
      <c r="G936" s="8"/>
      <c r="H936" s="47"/>
    </row>
    <row r="937">
      <c r="A937" s="8"/>
      <c r="B937" s="8"/>
      <c r="C937" s="8"/>
      <c r="D937" s="8"/>
      <c r="E937" s="8"/>
      <c r="F937" s="8"/>
      <c r="G937" s="8"/>
      <c r="H937" s="47"/>
    </row>
    <row r="938">
      <c r="A938" s="8"/>
      <c r="B938" s="8"/>
      <c r="C938" s="8"/>
      <c r="D938" s="8"/>
      <c r="E938" s="8"/>
      <c r="F938" s="8"/>
      <c r="G938" s="8"/>
      <c r="H938" s="47"/>
    </row>
    <row r="939">
      <c r="A939" s="8"/>
      <c r="B939" s="8"/>
      <c r="C939" s="8"/>
      <c r="D939" s="8"/>
      <c r="E939" s="8"/>
      <c r="F939" s="8"/>
      <c r="G939" s="8"/>
      <c r="H939" s="47"/>
    </row>
    <row r="940">
      <c r="A940" s="8"/>
      <c r="B940" s="8"/>
      <c r="C940" s="8"/>
      <c r="D940" s="8"/>
      <c r="E940" s="8"/>
      <c r="F940" s="8"/>
      <c r="G940" s="8"/>
      <c r="H940" s="47"/>
    </row>
    <row r="941">
      <c r="A941" s="8"/>
      <c r="B941" s="8"/>
      <c r="C941" s="8"/>
      <c r="D941" s="8"/>
      <c r="E941" s="8"/>
      <c r="F941" s="8"/>
      <c r="G941" s="8"/>
      <c r="H941" s="47"/>
    </row>
    <row r="942">
      <c r="A942" s="8"/>
      <c r="B942" s="8"/>
      <c r="C942" s="8"/>
      <c r="D942" s="8"/>
      <c r="E942" s="8"/>
      <c r="F942" s="8"/>
      <c r="G942" s="8"/>
      <c r="H942" s="47"/>
    </row>
    <row r="943">
      <c r="A943" s="8"/>
      <c r="B943" s="8"/>
      <c r="C943" s="8"/>
      <c r="D943" s="8"/>
      <c r="E943" s="8"/>
      <c r="F943" s="8"/>
      <c r="G943" s="8"/>
      <c r="H943" s="47"/>
    </row>
    <row r="944">
      <c r="A944" s="8"/>
      <c r="B944" s="8"/>
      <c r="C944" s="8"/>
      <c r="D944" s="8"/>
      <c r="E944" s="8"/>
      <c r="F944" s="8"/>
      <c r="G944" s="8"/>
      <c r="H944" s="47"/>
    </row>
    <row r="945">
      <c r="A945" s="8"/>
      <c r="B945" s="8"/>
      <c r="C945" s="8"/>
      <c r="D945" s="8"/>
      <c r="E945" s="8"/>
      <c r="F945" s="8"/>
      <c r="G945" s="8"/>
      <c r="H945" s="47"/>
    </row>
    <row r="946">
      <c r="A946" s="8"/>
      <c r="B946" s="8"/>
      <c r="C946" s="8"/>
      <c r="D946" s="8"/>
      <c r="E946" s="8"/>
      <c r="F946" s="8"/>
      <c r="G946" s="8"/>
      <c r="H946" s="47"/>
    </row>
    <row r="947">
      <c r="A947" s="8"/>
      <c r="B947" s="8"/>
      <c r="C947" s="8"/>
      <c r="D947" s="8"/>
      <c r="E947" s="8"/>
      <c r="F947" s="8"/>
      <c r="G947" s="8"/>
      <c r="H947" s="47"/>
    </row>
    <row r="948">
      <c r="A948" s="8"/>
      <c r="B948" s="8"/>
      <c r="C948" s="8"/>
      <c r="D948" s="8"/>
      <c r="E948" s="8"/>
      <c r="F948" s="8"/>
      <c r="G948" s="8"/>
      <c r="H948" s="47"/>
    </row>
    <row r="949">
      <c r="A949" s="8"/>
      <c r="B949" s="8"/>
      <c r="C949" s="8"/>
      <c r="D949" s="8"/>
      <c r="E949" s="8"/>
      <c r="F949" s="8"/>
      <c r="G949" s="8"/>
      <c r="H949" s="47"/>
    </row>
    <row r="950">
      <c r="A950" s="8"/>
      <c r="B950" s="8"/>
      <c r="C950" s="8"/>
      <c r="D950" s="8"/>
      <c r="E950" s="8"/>
      <c r="F950" s="8"/>
      <c r="G950" s="8"/>
      <c r="H950" s="47"/>
    </row>
    <row r="951">
      <c r="A951" s="8"/>
      <c r="B951" s="8"/>
      <c r="C951" s="8"/>
      <c r="D951" s="8"/>
      <c r="E951" s="8"/>
      <c r="F951" s="8"/>
      <c r="G951" s="8"/>
      <c r="H951" s="47"/>
    </row>
    <row r="952">
      <c r="A952" s="8"/>
      <c r="B952" s="8"/>
      <c r="C952" s="8"/>
      <c r="D952" s="8"/>
      <c r="E952" s="8"/>
      <c r="F952" s="8"/>
      <c r="G952" s="8"/>
      <c r="H952" s="47"/>
    </row>
    <row r="953">
      <c r="A953" s="8"/>
      <c r="B953" s="8"/>
      <c r="C953" s="8"/>
      <c r="D953" s="8"/>
      <c r="E953" s="8"/>
      <c r="F953" s="8"/>
      <c r="G953" s="8"/>
      <c r="H953" s="47"/>
    </row>
    <row r="954">
      <c r="A954" s="8"/>
      <c r="B954" s="8"/>
      <c r="C954" s="8"/>
      <c r="D954" s="8"/>
      <c r="E954" s="8"/>
      <c r="F954" s="8"/>
      <c r="G954" s="8"/>
      <c r="H954" s="47"/>
    </row>
    <row r="955">
      <c r="A955" s="8"/>
      <c r="B955" s="8"/>
      <c r="C955" s="8"/>
      <c r="D955" s="8"/>
      <c r="E955" s="8"/>
      <c r="F955" s="8"/>
      <c r="G955" s="8"/>
      <c r="H955" s="47"/>
    </row>
    <row r="956">
      <c r="A956" s="8"/>
      <c r="B956" s="8"/>
      <c r="C956" s="8"/>
      <c r="D956" s="8"/>
      <c r="E956" s="8"/>
      <c r="F956" s="8"/>
      <c r="G956" s="8"/>
      <c r="H956" s="47"/>
    </row>
    <row r="957">
      <c r="A957" s="8"/>
      <c r="B957" s="8"/>
      <c r="C957" s="8"/>
      <c r="D957" s="8"/>
      <c r="E957" s="8"/>
      <c r="F957" s="8"/>
      <c r="G957" s="8"/>
      <c r="H957" s="47"/>
    </row>
    <row r="958">
      <c r="A958" s="8"/>
      <c r="B958" s="8"/>
      <c r="C958" s="8"/>
      <c r="D958" s="8"/>
      <c r="E958" s="8"/>
      <c r="F958" s="8"/>
      <c r="G958" s="8"/>
      <c r="H958" s="47"/>
    </row>
    <row r="959">
      <c r="A959" s="8"/>
      <c r="B959" s="8"/>
      <c r="C959" s="8"/>
      <c r="D959" s="8"/>
      <c r="E959" s="8"/>
      <c r="F959" s="8"/>
      <c r="G959" s="8"/>
      <c r="H959" s="47"/>
    </row>
    <row r="960">
      <c r="A960" s="8"/>
      <c r="B960" s="8"/>
      <c r="C960" s="8"/>
      <c r="D960" s="8"/>
      <c r="E960" s="8"/>
      <c r="F960" s="8"/>
      <c r="G960" s="8"/>
      <c r="H960" s="47"/>
    </row>
    <row r="961">
      <c r="A961" s="8"/>
      <c r="B961" s="8"/>
      <c r="C961" s="8"/>
      <c r="D961" s="8"/>
      <c r="E961" s="8"/>
      <c r="F961" s="8"/>
      <c r="G961" s="8"/>
      <c r="H961" s="47"/>
    </row>
    <row r="962">
      <c r="A962" s="8"/>
      <c r="B962" s="8"/>
      <c r="C962" s="8"/>
      <c r="D962" s="8"/>
      <c r="E962" s="8"/>
      <c r="F962" s="8"/>
      <c r="G962" s="8"/>
      <c r="H962" s="47"/>
    </row>
    <row r="963">
      <c r="A963" s="8"/>
      <c r="B963" s="8"/>
      <c r="C963" s="8"/>
      <c r="D963" s="8"/>
      <c r="E963" s="8"/>
      <c r="F963" s="8"/>
      <c r="G963" s="8"/>
      <c r="H963" s="47"/>
    </row>
    <row r="964">
      <c r="A964" s="8"/>
      <c r="B964" s="8"/>
      <c r="C964" s="8"/>
      <c r="D964" s="8"/>
      <c r="E964" s="8"/>
      <c r="F964" s="8"/>
      <c r="G964" s="8"/>
      <c r="H964" s="47"/>
    </row>
    <row r="965">
      <c r="A965" s="8"/>
      <c r="B965" s="8"/>
      <c r="C965" s="8"/>
      <c r="D965" s="8"/>
      <c r="E965" s="8"/>
      <c r="F965" s="8"/>
      <c r="G965" s="8"/>
      <c r="H965" s="47"/>
    </row>
    <row r="966">
      <c r="A966" s="8"/>
      <c r="B966" s="8"/>
      <c r="C966" s="8"/>
      <c r="D966" s="8"/>
      <c r="E966" s="8"/>
      <c r="F966" s="8"/>
      <c r="G966" s="8"/>
      <c r="H966" s="47"/>
    </row>
    <row r="967">
      <c r="A967" s="8"/>
      <c r="B967" s="8"/>
      <c r="C967" s="8"/>
      <c r="D967" s="8"/>
      <c r="E967" s="8"/>
      <c r="F967" s="8"/>
      <c r="G967" s="8"/>
      <c r="H967" s="47"/>
    </row>
    <row r="968">
      <c r="A968" s="8"/>
      <c r="B968" s="8"/>
      <c r="C968" s="8"/>
      <c r="D968" s="8"/>
      <c r="E968" s="8"/>
      <c r="F968" s="8"/>
      <c r="G968" s="8"/>
      <c r="H968" s="47"/>
    </row>
    <row r="969">
      <c r="A969" s="8"/>
      <c r="B969" s="8"/>
      <c r="C969" s="8"/>
      <c r="D969" s="8"/>
      <c r="E969" s="8"/>
      <c r="F969" s="8"/>
      <c r="G969" s="8"/>
      <c r="H969" s="47"/>
    </row>
    <row r="970">
      <c r="A970" s="8"/>
      <c r="B970" s="8"/>
      <c r="C970" s="8"/>
      <c r="D970" s="8"/>
      <c r="E970" s="8"/>
      <c r="F970" s="8"/>
      <c r="G970" s="8"/>
      <c r="H970" s="47"/>
    </row>
    <row r="971">
      <c r="A971" s="8"/>
      <c r="B971" s="8"/>
      <c r="C971" s="8"/>
      <c r="D971" s="8"/>
      <c r="E971" s="8"/>
      <c r="F971" s="8"/>
      <c r="G971" s="8"/>
      <c r="H971" s="47"/>
    </row>
    <row r="972">
      <c r="A972" s="8"/>
      <c r="B972" s="8"/>
      <c r="C972" s="8"/>
      <c r="D972" s="8"/>
      <c r="E972" s="8"/>
      <c r="F972" s="8"/>
      <c r="G972" s="8"/>
      <c r="H972" s="47"/>
    </row>
    <row r="973">
      <c r="A973" s="8"/>
      <c r="B973" s="8"/>
      <c r="C973" s="8"/>
      <c r="D973" s="8"/>
      <c r="E973" s="8"/>
      <c r="F973" s="8"/>
      <c r="G973" s="8"/>
      <c r="H973" s="47"/>
    </row>
    <row r="974">
      <c r="A974" s="8"/>
      <c r="B974" s="8"/>
      <c r="C974" s="8"/>
      <c r="D974" s="8"/>
      <c r="E974" s="8"/>
      <c r="F974" s="8"/>
      <c r="G974" s="8"/>
      <c r="H974" s="47"/>
    </row>
    <row r="975">
      <c r="A975" s="8"/>
      <c r="B975" s="8"/>
      <c r="C975" s="8"/>
      <c r="D975" s="8"/>
      <c r="E975" s="8"/>
      <c r="F975" s="8"/>
      <c r="G975" s="8"/>
      <c r="H975" s="47"/>
    </row>
    <row r="976">
      <c r="A976" s="8"/>
      <c r="B976" s="8"/>
      <c r="C976" s="8"/>
      <c r="D976" s="8"/>
      <c r="E976" s="8"/>
      <c r="F976" s="8"/>
      <c r="G976" s="8"/>
      <c r="H976" s="47"/>
    </row>
    <row r="977">
      <c r="A977" s="8"/>
      <c r="B977" s="8"/>
      <c r="C977" s="8"/>
      <c r="D977" s="8"/>
      <c r="E977" s="8"/>
      <c r="F977" s="8"/>
      <c r="G977" s="8"/>
      <c r="H977" s="47"/>
    </row>
    <row r="978">
      <c r="A978" s="8"/>
      <c r="B978" s="8"/>
      <c r="C978" s="8"/>
      <c r="D978" s="8"/>
      <c r="E978" s="8"/>
      <c r="F978" s="8"/>
      <c r="G978" s="8"/>
      <c r="H978" s="47"/>
    </row>
    <row r="979">
      <c r="A979" s="8"/>
      <c r="B979" s="8"/>
      <c r="C979" s="8"/>
      <c r="D979" s="8"/>
      <c r="E979" s="8"/>
      <c r="F979" s="8"/>
      <c r="G979" s="8"/>
      <c r="H979" s="47"/>
    </row>
    <row r="980">
      <c r="A980" s="8"/>
      <c r="B980" s="8"/>
      <c r="C980" s="8"/>
      <c r="D980" s="8"/>
      <c r="E980" s="8"/>
      <c r="F980" s="8"/>
      <c r="G980" s="8"/>
      <c r="H980" s="47"/>
    </row>
    <row r="981">
      <c r="A981" s="8"/>
      <c r="B981" s="8"/>
      <c r="C981" s="8"/>
      <c r="D981" s="8"/>
      <c r="E981" s="8"/>
      <c r="F981" s="8"/>
      <c r="G981" s="8"/>
      <c r="H981" s="47"/>
    </row>
    <row r="982">
      <c r="A982" s="8"/>
      <c r="B982" s="8"/>
      <c r="C982" s="8"/>
      <c r="D982" s="8"/>
      <c r="E982" s="8"/>
      <c r="F982" s="8"/>
      <c r="G982" s="8"/>
      <c r="H982" s="47"/>
    </row>
    <row r="983">
      <c r="A983" s="8"/>
      <c r="B983" s="8"/>
      <c r="C983" s="8"/>
      <c r="D983" s="8"/>
      <c r="E983" s="8"/>
      <c r="F983" s="8"/>
      <c r="G983" s="8"/>
      <c r="H983" s="47"/>
    </row>
    <row r="984">
      <c r="A984" s="8"/>
      <c r="B984" s="8"/>
      <c r="C984" s="8"/>
      <c r="D984" s="8"/>
      <c r="E984" s="8"/>
      <c r="F984" s="8"/>
      <c r="G984" s="8"/>
      <c r="H984" s="47"/>
    </row>
    <row r="985">
      <c r="A985" s="8"/>
      <c r="B985" s="8"/>
      <c r="C985" s="8"/>
      <c r="D985" s="8"/>
      <c r="E985" s="8"/>
      <c r="F985" s="8"/>
      <c r="G985" s="8"/>
      <c r="H985" s="47"/>
    </row>
    <row r="986">
      <c r="A986" s="8"/>
      <c r="B986" s="8"/>
      <c r="C986" s="8"/>
      <c r="D986" s="8"/>
      <c r="E986" s="8"/>
      <c r="F986" s="8"/>
      <c r="G986" s="8"/>
      <c r="H986" s="47"/>
    </row>
    <row r="987">
      <c r="A987" s="8"/>
      <c r="B987" s="8"/>
      <c r="C987" s="8"/>
      <c r="D987" s="8"/>
      <c r="E987" s="8"/>
      <c r="F987" s="8"/>
      <c r="G987" s="8"/>
      <c r="H987" s="47"/>
    </row>
    <row r="988">
      <c r="A988" s="8"/>
      <c r="B988" s="8"/>
      <c r="C988" s="8"/>
      <c r="D988" s="8"/>
      <c r="E988" s="8"/>
      <c r="F988" s="8"/>
      <c r="G988" s="8"/>
      <c r="H988" s="47"/>
    </row>
    <row r="989">
      <c r="A989" s="8"/>
      <c r="B989" s="8"/>
      <c r="C989" s="8"/>
      <c r="D989" s="8"/>
      <c r="E989" s="8"/>
      <c r="F989" s="8"/>
      <c r="G989" s="8"/>
      <c r="H989" s="47"/>
    </row>
    <row r="990">
      <c r="A990" s="8"/>
      <c r="B990" s="8"/>
      <c r="C990" s="8"/>
      <c r="D990" s="8"/>
      <c r="E990" s="8"/>
      <c r="F990" s="8"/>
      <c r="G990" s="8"/>
      <c r="H990" s="47"/>
    </row>
    <row r="991">
      <c r="A991" s="8"/>
      <c r="B991" s="8"/>
      <c r="C991" s="8"/>
      <c r="D991" s="8"/>
      <c r="E991" s="8"/>
      <c r="F991" s="8"/>
      <c r="G991" s="8"/>
      <c r="H991" s="47"/>
    </row>
    <row r="992">
      <c r="A992" s="8"/>
      <c r="B992" s="8"/>
      <c r="C992" s="8"/>
      <c r="D992" s="8"/>
      <c r="E992" s="8"/>
      <c r="F992" s="8"/>
      <c r="G992" s="8"/>
      <c r="H992" s="47"/>
    </row>
    <row r="993">
      <c r="A993" s="8"/>
      <c r="B993" s="8"/>
      <c r="C993" s="8"/>
      <c r="D993" s="8"/>
      <c r="E993" s="8"/>
      <c r="F993" s="8"/>
      <c r="G993" s="8"/>
      <c r="H993" s="47"/>
    </row>
    <row r="994">
      <c r="D994" s="8"/>
      <c r="E994" s="8"/>
      <c r="F994" s="8"/>
      <c r="G994" s="8"/>
      <c r="H994" s="47"/>
    </row>
    <row r="995">
      <c r="D995" s="8"/>
      <c r="E995" s="8"/>
      <c r="F995" s="8"/>
      <c r="G995" s="8"/>
      <c r="H995" s="47"/>
    </row>
    <row r="996">
      <c r="D996" s="8"/>
      <c r="E996" s="8"/>
      <c r="F996" s="8"/>
      <c r="G996" s="8"/>
      <c r="H996" s="47"/>
    </row>
    <row r="997">
      <c r="D997" s="8"/>
      <c r="E997" s="8"/>
      <c r="F997" s="8"/>
      <c r="G997" s="8"/>
      <c r="H997" s="47"/>
    </row>
  </sheetData>
  <mergeCells count="1">
    <mergeCell ref="A1:H1"/>
  </mergeCells>
  <printOptions horizontalCentered="1"/>
  <pageMargins bottom="0.0" footer="0.0" header="0.0" left="0.25" right="0.25" top="0.11811023622047244"/>
  <pageSetup paperSize="9" orientation="portrait" pageOrder="overThenDown"/>
  <headerFooter>
    <oddFooter>&amp;R</oddFooter>
  </headerFooter>
  <rowBreaks count="2" manualBreakCount="2">
    <brk id="100" man="1"/>
    <brk id="47" man="1"/>
  </rowBreaks>
  <colBreaks count="2" manualBreakCount="2">
    <brk man="1"/>
    <brk id="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2" max="2" width="6.75"/>
    <col customWidth="1" min="3" max="3" width="8.63"/>
    <col customWidth="1" min="4" max="4" width="6.38"/>
    <col customWidth="1" min="5" max="5" width="36.5"/>
    <col customWidth="1" min="6" max="6" width="7.0"/>
    <col customWidth="1" min="7" max="7" width="8.63"/>
    <col customWidth="1" min="8" max="8" width="8.75"/>
  </cols>
  <sheetData>
    <row r="1" ht="132.0" customHeight="1">
      <c r="A1" s="6" t="str">
        <f>CONCATENATE( "ข้อมูล ณ วันที่ ", CHAR(10), TEXT(TODAY(), "dd/mm/yyyy"), CHAR(10),"ราคาอาจมีการเปลี่ยนแปลง")</f>
        <v>ข้อมูล ณ วันที่ 
30/10/2026
ราคาอาจมีการเปลี่ยนแปลง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3" t="str">
        <f t="array" ref="A2:D12">bar</f>
        <v>🥩 หมวด แท่งหมูและเนื้อวัว (ขึ้นรูป)</v>
      </c>
      <c r="B2" s="13" t="s">
        <v>1</v>
      </c>
      <c r="C2" s="13" t="s">
        <v>2</v>
      </c>
      <c r="D2" s="14"/>
      <c r="E2" s="13" t="str">
        <f t="array" ref="E2:H18">Pices</f>
        <v>🦑 หมวดอาหารทะเล (หมึก ปลา ชิ้น)</v>
      </c>
      <c r="F2" s="13" t="s">
        <v>1</v>
      </c>
      <c r="G2" s="13" t="s">
        <v>2</v>
      </c>
      <c r="H2" s="13" t="s">
        <v>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18" t="s">
        <v>15</v>
      </c>
      <c r="B3" s="19">
        <v>170.0</v>
      </c>
      <c r="C3" s="20">
        <v>170.0</v>
      </c>
      <c r="D3" s="14"/>
      <c r="E3" s="18" t="s">
        <v>6</v>
      </c>
      <c r="F3" s="18">
        <v>540.0</v>
      </c>
      <c r="G3" s="21">
        <v>54.0</v>
      </c>
      <c r="H3" s="22">
        <v>68.0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4" t="s">
        <v>27</v>
      </c>
      <c r="B4" s="19">
        <v>160.0</v>
      </c>
      <c r="C4" s="20">
        <v>160.0</v>
      </c>
      <c r="D4" s="14"/>
      <c r="E4" s="24" t="s">
        <v>8</v>
      </c>
      <c r="F4" s="18">
        <v>590.0</v>
      </c>
      <c r="G4" s="21">
        <v>59.0</v>
      </c>
      <c r="H4" s="25">
        <v>65.0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8" t="s">
        <v>36</v>
      </c>
      <c r="B5" s="19">
        <v>125.0</v>
      </c>
      <c r="C5" s="20">
        <v>125.0</v>
      </c>
      <c r="D5" s="14"/>
      <c r="E5" s="18" t="s">
        <v>10</v>
      </c>
      <c r="F5" s="18">
        <v>550.0</v>
      </c>
      <c r="G5" s="21">
        <v>55.0</v>
      </c>
      <c r="H5" s="22">
        <v>63.0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18" t="s">
        <v>40</v>
      </c>
      <c r="B6" s="19">
        <v>290.0</v>
      </c>
      <c r="C6" s="20">
        <v>290.0</v>
      </c>
      <c r="D6" s="14"/>
      <c r="E6" s="18" t="s">
        <v>12</v>
      </c>
      <c r="F6" s="18">
        <v>600.0</v>
      </c>
      <c r="G6" s="21">
        <v>60.0</v>
      </c>
      <c r="H6" s="22">
        <v>70.0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8" t="s">
        <v>42</v>
      </c>
      <c r="B7" s="19">
        <v>208.0</v>
      </c>
      <c r="C7" s="27">
        <v>208.0</v>
      </c>
      <c r="D7" s="14"/>
      <c r="E7" s="18" t="s">
        <v>14</v>
      </c>
      <c r="F7" s="18">
        <v>570.0</v>
      </c>
      <c r="G7" s="21">
        <v>57.0</v>
      </c>
      <c r="H7" s="22">
        <v>60.0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18" t="s">
        <v>44</v>
      </c>
      <c r="B8" s="19">
        <v>187.0</v>
      </c>
      <c r="C8" s="27">
        <v>187.0</v>
      </c>
      <c r="D8" s="14"/>
      <c r="E8" s="18" t="s">
        <v>17</v>
      </c>
      <c r="F8" s="18">
        <v>630.0</v>
      </c>
      <c r="G8" s="21">
        <v>63.0</v>
      </c>
      <c r="H8" s="22">
        <v>70.0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8" t="s">
        <v>45</v>
      </c>
      <c r="B9" s="19">
        <v>197.0</v>
      </c>
      <c r="C9" s="27">
        <v>197.0</v>
      </c>
      <c r="D9" s="14"/>
      <c r="E9" s="18" t="s">
        <v>19</v>
      </c>
      <c r="F9" s="18">
        <v>610.0</v>
      </c>
      <c r="G9" s="21">
        <v>61.0</v>
      </c>
      <c r="H9" s="22">
        <v>69.0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18" t="s">
        <v>46</v>
      </c>
      <c r="B10" s="19">
        <v>225.0</v>
      </c>
      <c r="C10" s="27">
        <v>225.0</v>
      </c>
      <c r="D10" s="14"/>
      <c r="E10" s="18" t="s">
        <v>21</v>
      </c>
      <c r="F10" s="18">
        <v>770.0</v>
      </c>
      <c r="G10" s="21">
        <v>77.0</v>
      </c>
      <c r="H10" s="22">
        <v>85.0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24" t="s">
        <v>47</v>
      </c>
      <c r="B11" s="19">
        <v>205.0</v>
      </c>
      <c r="C11" s="27">
        <v>205.0</v>
      </c>
      <c r="D11" s="14"/>
      <c r="E11" s="24" t="s">
        <v>23</v>
      </c>
      <c r="F11" s="18">
        <v>630.0</v>
      </c>
      <c r="G11" s="21">
        <v>63.0</v>
      </c>
      <c r="H11" s="2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8" t="s">
        <v>48</v>
      </c>
      <c r="B12" s="19">
        <v>198.0</v>
      </c>
      <c r="C12" s="27">
        <v>198.0</v>
      </c>
      <c r="D12" s="14"/>
      <c r="E12" s="18" t="s">
        <v>25</v>
      </c>
      <c r="F12" s="18">
        <v>830.0</v>
      </c>
      <c r="G12" s="21">
        <v>83.0</v>
      </c>
      <c r="H12" s="2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8"/>
      <c r="B13" s="18"/>
      <c r="C13" s="24"/>
      <c r="D13" s="14"/>
      <c r="E13" s="18" t="s">
        <v>28</v>
      </c>
      <c r="F13" s="18">
        <v>390.0</v>
      </c>
      <c r="G13" s="21">
        <v>39.0</v>
      </c>
      <c r="H13" s="2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13" t="str">
        <f t="array" ref="A14:C43">Pork1</f>
        <v>🥩 หมวดเนื้อหมู และเนื้อวัว (สไลด์/หมัก)</v>
      </c>
      <c r="B14" s="13" t="s">
        <v>1</v>
      </c>
      <c r="C14" s="13" t="s">
        <v>2</v>
      </c>
      <c r="D14" s="14"/>
      <c r="E14" s="18" t="s">
        <v>30</v>
      </c>
      <c r="F14" s="18">
        <v>470.0</v>
      </c>
      <c r="G14" s="21">
        <v>47.0</v>
      </c>
      <c r="H14" s="2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8" t="s">
        <v>4</v>
      </c>
      <c r="B15" s="18">
        <v>590.0</v>
      </c>
      <c r="C15" s="21">
        <v>118.0</v>
      </c>
      <c r="D15" s="14"/>
      <c r="E15" s="18" t="s">
        <v>32</v>
      </c>
      <c r="F15" s="18">
        <v>680.0</v>
      </c>
      <c r="G15" s="21">
        <v>68.0</v>
      </c>
      <c r="H15" s="22">
        <v>70.0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18" t="s">
        <v>7</v>
      </c>
      <c r="B16" s="18">
        <v>765.0</v>
      </c>
      <c r="C16" s="24">
        <v>153.0</v>
      </c>
      <c r="D16" s="14"/>
      <c r="E16" s="18" t="s">
        <v>34</v>
      </c>
      <c r="F16" s="18">
        <v>560.0</v>
      </c>
      <c r="G16" s="21">
        <v>56.0</v>
      </c>
      <c r="H16" s="2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8" t="s">
        <v>9</v>
      </c>
      <c r="B17" s="18">
        <v>525.0</v>
      </c>
      <c r="C17" s="21">
        <v>105.0</v>
      </c>
      <c r="D17" s="14"/>
      <c r="E17" s="18" t="s">
        <v>37</v>
      </c>
      <c r="F17" s="18">
        <v>650.0</v>
      </c>
      <c r="G17" s="21">
        <v>65.0</v>
      </c>
      <c r="H17" s="22">
        <v>85.0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8" t="s">
        <v>11</v>
      </c>
      <c r="B18" s="18">
        <v>490.0</v>
      </c>
      <c r="C18" s="21">
        <v>98.0</v>
      </c>
      <c r="D18" s="14"/>
      <c r="E18" s="18" t="s">
        <v>39</v>
      </c>
      <c r="F18" s="18">
        <v>840.0</v>
      </c>
      <c r="G18" s="21">
        <v>84.0</v>
      </c>
      <c r="H18" s="22">
        <v>90.0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8" t="s">
        <v>13</v>
      </c>
      <c r="B19" s="18">
        <v>375.0</v>
      </c>
      <c r="C19" s="21">
        <v>75.0</v>
      </c>
      <c r="D19" s="14"/>
      <c r="E19" s="13" t="str">
        <f t="array" ref="E19:H30">Fried</f>
        <v>🍟 หมวดของทานเล่น และของทอด</v>
      </c>
      <c r="F19" s="13" t="s">
        <v>1</v>
      </c>
      <c r="G19" s="13" t="s">
        <v>2</v>
      </c>
      <c r="H19" s="13" t="s">
        <v>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8" t="s">
        <v>16</v>
      </c>
      <c r="B20" s="18">
        <v>400.0</v>
      </c>
      <c r="C20" s="21">
        <v>80.0</v>
      </c>
      <c r="D20" s="14"/>
      <c r="E20" s="18" t="s">
        <v>50</v>
      </c>
      <c r="F20" s="19">
        <v>1000.0</v>
      </c>
      <c r="G20" s="21">
        <v>100.0</v>
      </c>
      <c r="H20" s="22">
        <v>105.0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8" t="s">
        <v>18</v>
      </c>
      <c r="B21" s="18">
        <v>725.0</v>
      </c>
      <c r="C21" s="21">
        <v>145.0</v>
      </c>
      <c r="D21" s="14"/>
      <c r="E21" s="18" t="s">
        <v>52</v>
      </c>
      <c r="F21" s="18">
        <v>630.0</v>
      </c>
      <c r="G21" s="21">
        <v>63.0</v>
      </c>
      <c r="H21" s="22">
        <v>65.0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18" t="s">
        <v>20</v>
      </c>
      <c r="B22" s="18">
        <v>490.0</v>
      </c>
      <c r="C22" s="21">
        <v>98.0</v>
      </c>
      <c r="D22" s="14"/>
      <c r="E22" s="18" t="s">
        <v>54</v>
      </c>
      <c r="F22" s="19">
        <v>1180.0</v>
      </c>
      <c r="G22" s="34">
        <v>36.875</v>
      </c>
      <c r="H22" s="22">
        <v>48.0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8" t="s">
        <v>22</v>
      </c>
      <c r="B23" s="18">
        <v>475.0</v>
      </c>
      <c r="C23" s="21">
        <v>95.0</v>
      </c>
      <c r="D23" s="35"/>
      <c r="E23" s="18" t="s">
        <v>56</v>
      </c>
      <c r="F23" s="18">
        <v>530.0</v>
      </c>
      <c r="G23" s="21">
        <v>53.0</v>
      </c>
      <c r="H23" s="22">
        <v>70.0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18" t="s">
        <v>24</v>
      </c>
      <c r="B24" s="18">
        <v>475.0</v>
      </c>
      <c r="C24" s="24">
        <v>95.0</v>
      </c>
      <c r="D24" s="14"/>
      <c r="E24" s="18" t="s">
        <v>58</v>
      </c>
      <c r="F24" s="18">
        <v>530.0</v>
      </c>
      <c r="G24" s="21">
        <v>53.0</v>
      </c>
      <c r="H24" s="22">
        <v>70.0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8" t="s">
        <v>26</v>
      </c>
      <c r="B25" s="18">
        <v>475.0</v>
      </c>
      <c r="C25" s="21">
        <v>95.0</v>
      </c>
      <c r="D25" s="14"/>
      <c r="E25" s="18" t="s">
        <v>60</v>
      </c>
      <c r="F25" s="18">
        <v>530.0</v>
      </c>
      <c r="G25" s="21">
        <v>53.0</v>
      </c>
      <c r="H25" s="22">
        <v>70.0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18" t="s">
        <v>29</v>
      </c>
      <c r="B26" s="18">
        <v>550.0</v>
      </c>
      <c r="C26" s="21">
        <v>110.0</v>
      </c>
      <c r="D26" s="14"/>
      <c r="E26" s="18" t="s">
        <v>62</v>
      </c>
      <c r="F26" s="18">
        <v>1150.0</v>
      </c>
      <c r="G26" s="21">
        <v>115.0</v>
      </c>
      <c r="H26" s="22">
        <v>120.0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8" t="s">
        <v>31</v>
      </c>
      <c r="B27" s="18">
        <v>550.0</v>
      </c>
      <c r="C27" s="21">
        <v>110.0</v>
      </c>
      <c r="D27" s="14"/>
      <c r="E27" s="18" t="s">
        <v>64</v>
      </c>
      <c r="F27" s="18">
        <v>800.0</v>
      </c>
      <c r="G27" s="21">
        <v>100.0</v>
      </c>
      <c r="H27" s="2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18" t="s">
        <v>33</v>
      </c>
      <c r="B28" s="18">
        <v>475.0</v>
      </c>
      <c r="C28" s="21">
        <v>95.0</v>
      </c>
      <c r="D28" s="14"/>
      <c r="E28" s="18" t="s">
        <v>66</v>
      </c>
      <c r="F28" s="19">
        <v>1120.0</v>
      </c>
      <c r="G28" s="21">
        <v>112.0</v>
      </c>
      <c r="H28" s="2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8" t="s">
        <v>35</v>
      </c>
      <c r="B29" s="18">
        <v>560.0</v>
      </c>
      <c r="C29" s="21">
        <v>112.0</v>
      </c>
      <c r="D29" s="14"/>
      <c r="E29" s="18" t="s">
        <v>68</v>
      </c>
      <c r="F29" s="19">
        <v>1120.0</v>
      </c>
      <c r="G29" s="21">
        <v>80.0</v>
      </c>
      <c r="H29" s="22">
        <v>85.0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18" t="s">
        <v>38</v>
      </c>
      <c r="B30" s="18">
        <v>525.0</v>
      </c>
      <c r="C30" s="21">
        <v>105.0</v>
      </c>
      <c r="D30" s="14"/>
      <c r="E30" s="21"/>
      <c r="F30" s="21"/>
      <c r="G30" s="21"/>
      <c r="H30" s="2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8" t="s">
        <v>41</v>
      </c>
      <c r="B31" s="18">
        <v>650.0</v>
      </c>
      <c r="C31" s="21">
        <v>130.0</v>
      </c>
      <c r="D31" s="14"/>
      <c r="E31" s="39" t="str">
        <f t="array" ref="E31:H36">InPork</f>
        <v>🥓 หมวดเครื่องในหมู</v>
      </c>
      <c r="F31" s="39" t="s">
        <v>1</v>
      </c>
      <c r="G31" s="39" t="s">
        <v>2</v>
      </c>
      <c r="H31" s="39" t="s">
        <v>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18" t="s">
        <v>43</v>
      </c>
      <c r="B32" s="18">
        <v>725.0</v>
      </c>
      <c r="C32" s="21">
        <v>145.0</v>
      </c>
      <c r="D32" s="14"/>
      <c r="E32" s="18" t="s">
        <v>69</v>
      </c>
      <c r="F32" s="18">
        <v>850.0</v>
      </c>
      <c r="G32" s="24">
        <v>85.0</v>
      </c>
      <c r="H32" s="22">
        <v>90.0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8" t="s">
        <v>49</v>
      </c>
      <c r="B33" s="18">
        <v>675.0</v>
      </c>
      <c r="C33" s="21">
        <v>135.0</v>
      </c>
      <c r="D33" s="14"/>
      <c r="E33" s="18" t="s">
        <v>71</v>
      </c>
      <c r="F33" s="18">
        <v>90.0</v>
      </c>
      <c r="G33" s="24"/>
      <c r="H33" s="2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18" t="s">
        <v>51</v>
      </c>
      <c r="B34" s="19">
        <v>925.0</v>
      </c>
      <c r="C34" s="21">
        <v>185.0</v>
      </c>
      <c r="D34" s="14"/>
      <c r="E34" s="18" t="s">
        <v>73</v>
      </c>
      <c r="F34" s="18">
        <v>900.0</v>
      </c>
      <c r="G34" s="24">
        <v>90.0</v>
      </c>
      <c r="H34" s="22">
        <v>90.0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8" t="s">
        <v>53</v>
      </c>
      <c r="B35" s="19">
        <v>740.0</v>
      </c>
      <c r="C35" s="21">
        <v>148.0</v>
      </c>
      <c r="D35" s="14"/>
      <c r="E35" s="18" t="s">
        <v>75</v>
      </c>
      <c r="F35" s="18">
        <v>95.0</v>
      </c>
      <c r="G35" s="24"/>
      <c r="H35" s="2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18" t="s">
        <v>55</v>
      </c>
      <c r="B36" s="18">
        <v>595.0</v>
      </c>
      <c r="C36" s="21">
        <v>119.0</v>
      </c>
      <c r="D36" s="14"/>
      <c r="E36" s="21"/>
      <c r="F36" s="21"/>
      <c r="G36" s="21"/>
      <c r="H36" s="2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8.0" customHeight="1">
      <c r="A37" s="18" t="s">
        <v>57</v>
      </c>
      <c r="B37" s="18">
        <v>715.0</v>
      </c>
      <c r="C37" s="21">
        <v>143.0</v>
      </c>
      <c r="D37" s="14"/>
      <c r="E37" s="13" t="str">
        <f t="array" ref="E37:H44">Source</f>
        <v>🍄 หมวดเห็ด สาหร่าย และน้ำจิ้ม</v>
      </c>
      <c r="F37" s="13" t="s">
        <v>1</v>
      </c>
      <c r="G37" s="13" t="s">
        <v>2</v>
      </c>
      <c r="H37" s="13" t="s">
        <v>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18" t="s">
        <v>59</v>
      </c>
      <c r="B38" s="18">
        <v>740.0</v>
      </c>
      <c r="C38" s="21">
        <v>148.0</v>
      </c>
      <c r="D38" s="14"/>
      <c r="E38" s="18" t="s">
        <v>79</v>
      </c>
      <c r="F38" s="18">
        <v>950.0</v>
      </c>
      <c r="G38" s="21">
        <v>95.0</v>
      </c>
      <c r="H38" s="22">
        <v>105.0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8" t="s">
        <v>61</v>
      </c>
      <c r="B39" s="18">
        <v>190.0</v>
      </c>
      <c r="C39" s="21">
        <v>95.0</v>
      </c>
      <c r="D39" s="40"/>
      <c r="E39" s="18" t="s">
        <v>81</v>
      </c>
      <c r="F39" s="19">
        <v>1180.0</v>
      </c>
      <c r="G39" s="21">
        <v>147.5</v>
      </c>
      <c r="H39" s="22">
        <v>170.0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18" t="s">
        <v>63</v>
      </c>
      <c r="B40" s="18">
        <v>400.0</v>
      </c>
      <c r="C40" s="21">
        <v>80.0</v>
      </c>
      <c r="D40" s="14"/>
      <c r="E40" s="18" t="s">
        <v>83</v>
      </c>
      <c r="F40" s="18">
        <v>840.0</v>
      </c>
      <c r="G40" s="21">
        <v>210.0</v>
      </c>
      <c r="H40" s="22">
        <v>215.0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8" t="s">
        <v>65</v>
      </c>
      <c r="B41" s="18">
        <v>980.0</v>
      </c>
      <c r="C41" s="21">
        <v>98.0</v>
      </c>
      <c r="D41" s="14"/>
      <c r="E41" s="18" t="s">
        <v>85</v>
      </c>
      <c r="F41" s="18">
        <v>800.0</v>
      </c>
      <c r="G41" s="21">
        <v>200.0</v>
      </c>
      <c r="H41" s="22">
        <v>225.0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18" t="s">
        <v>67</v>
      </c>
      <c r="B42" s="18">
        <v>900.0</v>
      </c>
      <c r="C42" s="21">
        <v>90.0</v>
      </c>
      <c r="D42" s="14"/>
      <c r="E42" s="18" t="s">
        <v>87</v>
      </c>
      <c r="F42" s="18">
        <v>780.0</v>
      </c>
      <c r="G42" s="21">
        <v>390.0</v>
      </c>
      <c r="H42" s="22">
        <v>405.0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43"/>
      <c r="B43" s="43"/>
      <c r="C43" s="43"/>
      <c r="D43" s="43"/>
      <c r="E43" s="18" t="s">
        <v>88</v>
      </c>
      <c r="F43" s="18">
        <v>820.0</v>
      </c>
      <c r="G43" s="21">
        <v>205.0</v>
      </c>
      <c r="H43" s="22">
        <v>210.0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43"/>
      <c r="B44" s="43"/>
      <c r="C44" s="43"/>
      <c r="D44" s="43"/>
      <c r="E44" s="44"/>
      <c r="F44" s="44"/>
      <c r="G44" s="44"/>
      <c r="H44" s="4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39" t="str">
        <f t="array" ref="A45:C55">Nammmm</f>
        <v>🥗 หมวดเครื่องใน และของยำ</v>
      </c>
      <c r="B45" s="39" t="s">
        <v>1</v>
      </c>
      <c r="C45" s="39" t="s">
        <v>2</v>
      </c>
      <c r="D45" s="40"/>
      <c r="E45" s="39" t="str">
        <f t="array" ref="E45:H75">ball</f>
        <v>🍢 หมวดลูกชิ้น เต้าหู้ ปูอัด และ บุก</v>
      </c>
      <c r="F45" s="39" t="s">
        <v>1</v>
      </c>
      <c r="G45" s="39" t="s">
        <v>2</v>
      </c>
      <c r="H45" s="39" t="s">
        <v>5</v>
      </c>
      <c r="I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18" t="s">
        <v>70</v>
      </c>
      <c r="B46" s="18">
        <v>300.0</v>
      </c>
      <c r="C46" s="21">
        <v>60.0</v>
      </c>
      <c r="D46" s="40"/>
      <c r="E46" s="18" t="s">
        <v>100</v>
      </c>
      <c r="F46" s="19">
        <v>460.0</v>
      </c>
      <c r="G46" s="21">
        <v>46.0</v>
      </c>
      <c r="H46" s="2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8" t="s">
        <v>72</v>
      </c>
      <c r="B47" s="18">
        <v>515.0</v>
      </c>
      <c r="C47" s="21">
        <v>103.0</v>
      </c>
      <c r="D47" s="40"/>
      <c r="E47" s="18" t="s">
        <v>102</v>
      </c>
      <c r="F47" s="19">
        <v>365.0</v>
      </c>
      <c r="G47" s="21">
        <v>36.5</v>
      </c>
      <c r="H47" s="2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18" t="s">
        <v>74</v>
      </c>
      <c r="B48" s="18">
        <v>515.0</v>
      </c>
      <c r="C48" s="21">
        <v>103.0</v>
      </c>
      <c r="D48" s="40"/>
      <c r="E48" s="18" t="s">
        <v>104</v>
      </c>
      <c r="F48" s="19">
        <v>75.0</v>
      </c>
      <c r="G48" s="21">
        <v>7.5</v>
      </c>
      <c r="H48" s="2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8" t="s">
        <v>76</v>
      </c>
      <c r="B49" s="18">
        <v>690.0</v>
      </c>
      <c r="C49" s="21">
        <v>138.0</v>
      </c>
      <c r="D49" s="40"/>
      <c r="E49" s="18" t="s">
        <v>106</v>
      </c>
      <c r="F49" s="19">
        <v>90.0</v>
      </c>
      <c r="G49" s="21">
        <v>90.0</v>
      </c>
      <c r="H49" s="2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18" t="s">
        <v>77</v>
      </c>
      <c r="B50" s="18">
        <v>775.0</v>
      </c>
      <c r="C50" s="21">
        <v>155.0</v>
      </c>
      <c r="D50" s="40"/>
      <c r="E50" s="18" t="s">
        <v>108</v>
      </c>
      <c r="F50" s="19">
        <v>590.0</v>
      </c>
      <c r="G50" s="21">
        <v>59.0</v>
      </c>
      <c r="H50" s="22">
        <v>65.0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8" t="s">
        <v>78</v>
      </c>
      <c r="B51" s="18">
        <v>660.0</v>
      </c>
      <c r="C51" s="21">
        <v>132.0</v>
      </c>
      <c r="D51" s="40"/>
      <c r="E51" s="18" t="s">
        <v>110</v>
      </c>
      <c r="F51" s="19">
        <v>2400.0</v>
      </c>
      <c r="G51" s="21">
        <v>120.0</v>
      </c>
      <c r="H51" s="22">
        <v>140.0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18" t="s">
        <v>80</v>
      </c>
      <c r="B52" s="18">
        <v>590.0</v>
      </c>
      <c r="C52" s="21">
        <v>118.0</v>
      </c>
      <c r="D52" s="40"/>
      <c r="E52" s="18" t="s">
        <v>112</v>
      </c>
      <c r="F52" s="19">
        <v>1240.0</v>
      </c>
      <c r="G52" s="21">
        <v>62.0</v>
      </c>
      <c r="H52" s="22">
        <v>70.0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8" t="s">
        <v>82</v>
      </c>
      <c r="B53" s="18">
        <v>725.0</v>
      </c>
      <c r="C53" s="21">
        <v>145.0</v>
      </c>
      <c r="D53" s="43"/>
      <c r="E53" s="18" t="s">
        <v>114</v>
      </c>
      <c r="F53" s="19">
        <v>880.0</v>
      </c>
      <c r="G53" s="21">
        <v>44.0</v>
      </c>
      <c r="H53" s="22">
        <v>53.0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18" t="s">
        <v>84</v>
      </c>
      <c r="B54" s="18">
        <v>780.0</v>
      </c>
      <c r="C54" s="21">
        <v>78.0</v>
      </c>
      <c r="D54" s="43"/>
      <c r="E54" s="18" t="s">
        <v>116</v>
      </c>
      <c r="F54" s="19">
        <v>1050.0</v>
      </c>
      <c r="G54" s="21">
        <v>52.5</v>
      </c>
      <c r="H54" s="22">
        <v>63.0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8" t="s">
        <v>86</v>
      </c>
      <c r="B55" s="18">
        <v>450.0</v>
      </c>
      <c r="C55" s="21">
        <v>90.0</v>
      </c>
      <c r="D55" s="43"/>
      <c r="E55" s="18" t="s">
        <v>118</v>
      </c>
      <c r="F55" s="19">
        <v>900.0</v>
      </c>
      <c r="G55" s="21">
        <v>45.0</v>
      </c>
      <c r="H55" s="22">
        <v>50.0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39" t="str">
        <f t="array" ref="A56:C79">Fresh</f>
        <v>🦑 หมวดอาหารทะเล (หมึก ปู หอย กะพรุน)</v>
      </c>
      <c r="B56" s="13" t="s">
        <v>1</v>
      </c>
      <c r="C56" s="13" t="s">
        <v>2</v>
      </c>
      <c r="D56" s="43"/>
      <c r="E56" s="18" t="s">
        <v>120</v>
      </c>
      <c r="F56" s="19">
        <v>1400.0</v>
      </c>
      <c r="G56" s="21">
        <v>70.0</v>
      </c>
      <c r="H56" s="22">
        <v>75.0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8" t="s">
        <v>89</v>
      </c>
      <c r="B57" s="19">
        <v>187.0</v>
      </c>
      <c r="C57" s="48"/>
      <c r="D57" s="43"/>
      <c r="E57" s="18" t="s">
        <v>122</v>
      </c>
      <c r="F57" s="19">
        <v>1000.0</v>
      </c>
      <c r="G57" s="21">
        <v>50.0</v>
      </c>
      <c r="H57" s="22">
        <v>53.0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18" t="s">
        <v>91</v>
      </c>
      <c r="B58" s="19">
        <v>197.0</v>
      </c>
      <c r="C58" s="48"/>
      <c r="D58" s="43"/>
      <c r="E58" s="18" t="s">
        <v>124</v>
      </c>
      <c r="F58" s="19">
        <v>1250.0</v>
      </c>
      <c r="G58" s="21">
        <v>62.5</v>
      </c>
      <c r="H58" s="22">
        <v>65.0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8" t="s">
        <v>93</v>
      </c>
      <c r="B59" s="19">
        <v>189.0</v>
      </c>
      <c r="C59" s="48"/>
      <c r="D59" s="43"/>
      <c r="E59" s="18" t="s">
        <v>125</v>
      </c>
      <c r="F59" s="19">
        <v>1270.0</v>
      </c>
      <c r="G59" s="21">
        <v>63.5</v>
      </c>
      <c r="H59" s="22">
        <v>65.0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18" t="s">
        <v>95</v>
      </c>
      <c r="B60" s="19">
        <v>198.0</v>
      </c>
      <c r="C60" s="48"/>
      <c r="D60" s="43"/>
      <c r="E60" s="18" t="s">
        <v>127</v>
      </c>
      <c r="F60" s="19">
        <v>1280.0</v>
      </c>
      <c r="G60" s="21">
        <v>64.0</v>
      </c>
      <c r="H60" s="49">
        <v>70.0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8" t="s">
        <v>97</v>
      </c>
      <c r="B61" s="19">
        <v>1300.0</v>
      </c>
      <c r="C61" s="48">
        <v>130.0</v>
      </c>
      <c r="D61" s="43"/>
      <c r="E61" s="18" t="s">
        <v>129</v>
      </c>
      <c r="F61" s="19">
        <v>1480.0</v>
      </c>
      <c r="G61" s="21">
        <v>74.0</v>
      </c>
      <c r="H61" s="22">
        <v>80.0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18" t="s">
        <v>98</v>
      </c>
      <c r="B62" s="19">
        <v>590.0</v>
      </c>
      <c r="C62" s="24">
        <v>59.0</v>
      </c>
      <c r="D62" s="43"/>
      <c r="E62" s="18" t="s">
        <v>130</v>
      </c>
      <c r="F62" s="19">
        <v>1550.0</v>
      </c>
      <c r="G62" s="21">
        <v>77.5</v>
      </c>
      <c r="H62" s="22">
        <v>89.0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8" t="s">
        <v>99</v>
      </c>
      <c r="B63" s="19">
        <v>443.0</v>
      </c>
      <c r="C63" s="54">
        <v>59.06666666666667</v>
      </c>
      <c r="D63" s="14"/>
      <c r="E63" s="18" t="s">
        <v>132</v>
      </c>
      <c r="F63" s="19">
        <v>1580.0</v>
      </c>
      <c r="G63" s="21">
        <v>79.0</v>
      </c>
      <c r="H63" s="22">
        <v>85.0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18" t="s">
        <v>101</v>
      </c>
      <c r="B64" s="19">
        <v>980.0</v>
      </c>
      <c r="C64" s="48">
        <v>98.0</v>
      </c>
      <c r="D64" s="14"/>
      <c r="E64" s="18" t="s">
        <v>134</v>
      </c>
      <c r="F64" s="19">
        <v>1420.0</v>
      </c>
      <c r="G64" s="21">
        <v>71.0</v>
      </c>
      <c r="H64" s="22">
        <v>77.0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18" t="s">
        <v>103</v>
      </c>
      <c r="B65" s="19">
        <v>1440.0</v>
      </c>
      <c r="C65" s="21">
        <v>180.0</v>
      </c>
      <c r="D65" s="14"/>
      <c r="E65" s="18" t="s">
        <v>136</v>
      </c>
      <c r="F65" s="19">
        <v>1120.0</v>
      </c>
      <c r="G65" s="21">
        <v>56.0</v>
      </c>
      <c r="H65" s="22">
        <v>60.0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18" t="s">
        <v>105</v>
      </c>
      <c r="B66" s="19">
        <v>1064.0</v>
      </c>
      <c r="C66" s="21">
        <v>133.0</v>
      </c>
      <c r="D66" s="14"/>
      <c r="E66" s="18" t="s">
        <v>138</v>
      </c>
      <c r="F66" s="19">
        <v>1120.0</v>
      </c>
      <c r="G66" s="21">
        <v>56.0</v>
      </c>
      <c r="H66" s="22">
        <v>60.0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8" t="s">
        <v>107</v>
      </c>
      <c r="B67" s="19">
        <v>1380.0</v>
      </c>
      <c r="C67" s="21">
        <v>115.0</v>
      </c>
      <c r="D67" s="14"/>
      <c r="E67" s="18" t="s">
        <v>140</v>
      </c>
      <c r="F67" s="19">
        <v>1430.0</v>
      </c>
      <c r="G67" s="21">
        <v>71.5</v>
      </c>
      <c r="H67" s="22">
        <v>75.0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18" t="s">
        <v>109</v>
      </c>
      <c r="B68" s="19">
        <v>1450.0</v>
      </c>
      <c r="C68" s="21">
        <v>145.0</v>
      </c>
      <c r="D68" s="14"/>
      <c r="E68" s="18" t="s">
        <v>142</v>
      </c>
      <c r="F68" s="19">
        <v>1470.0</v>
      </c>
      <c r="G68" s="21">
        <v>73.5</v>
      </c>
      <c r="H68" s="22">
        <v>82.0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8" t="s">
        <v>111</v>
      </c>
      <c r="B69" s="19">
        <v>1480.0</v>
      </c>
      <c r="C69" s="21">
        <v>148.0</v>
      </c>
      <c r="D69" s="14"/>
      <c r="E69" s="18" t="s">
        <v>144</v>
      </c>
      <c r="F69" s="19">
        <v>684.0</v>
      </c>
      <c r="G69" s="21">
        <v>57.0</v>
      </c>
      <c r="H69" s="22">
        <v>64.0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18" t="s">
        <v>113</v>
      </c>
      <c r="B70" s="18">
        <v>850.0</v>
      </c>
      <c r="C70" s="21">
        <v>85.0</v>
      </c>
      <c r="D70" s="14"/>
      <c r="E70" s="18" t="s">
        <v>146</v>
      </c>
      <c r="F70" s="19">
        <v>230.0</v>
      </c>
      <c r="G70" s="21">
        <v>23.0</v>
      </c>
      <c r="H70" s="22">
        <v>25.0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8" t="s">
        <v>115</v>
      </c>
      <c r="B71" s="18">
        <v>690.0</v>
      </c>
      <c r="C71" s="21">
        <v>69.0</v>
      </c>
      <c r="D71" s="14"/>
      <c r="E71" s="18" t="s">
        <v>148</v>
      </c>
      <c r="F71" s="19">
        <v>530.0</v>
      </c>
      <c r="G71" s="21">
        <v>53.0</v>
      </c>
      <c r="H71" s="22">
        <v>60.0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18" t="s">
        <v>117</v>
      </c>
      <c r="B72" s="18">
        <v>490.0</v>
      </c>
      <c r="C72" s="21">
        <v>49.0</v>
      </c>
      <c r="D72" s="14"/>
      <c r="E72" s="18" t="s">
        <v>150</v>
      </c>
      <c r="F72" s="19">
        <v>670.0</v>
      </c>
      <c r="G72" s="21">
        <v>67.0</v>
      </c>
      <c r="H72" s="22">
        <v>74.0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8" t="s">
        <v>119</v>
      </c>
      <c r="B73" s="19">
        <v>1100.0</v>
      </c>
      <c r="C73" s="21">
        <v>110.0</v>
      </c>
      <c r="D73" s="14"/>
      <c r="E73" s="18" t="s">
        <v>152</v>
      </c>
      <c r="F73" s="19">
        <v>830.0</v>
      </c>
      <c r="G73" s="21">
        <v>83.0</v>
      </c>
      <c r="H73" s="22">
        <v>85.0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18" t="s">
        <v>121</v>
      </c>
      <c r="B74" s="18">
        <v>920.0</v>
      </c>
      <c r="C74" s="21">
        <v>92.0</v>
      </c>
      <c r="D74" s="14"/>
      <c r="E74" s="18" t="s">
        <v>154</v>
      </c>
      <c r="F74" s="19">
        <v>500.0</v>
      </c>
      <c r="G74" s="21">
        <v>12.5</v>
      </c>
      <c r="H74" s="2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8" t="s">
        <v>123</v>
      </c>
      <c r="B75" s="18">
        <v>980.0</v>
      </c>
      <c r="C75" s="21">
        <v>98.0</v>
      </c>
      <c r="D75" s="14"/>
      <c r="E75" s="43"/>
      <c r="F75" s="43"/>
      <c r="G75" s="43"/>
      <c r="H75" s="43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18" t="s">
        <v>86</v>
      </c>
      <c r="B76" s="18">
        <v>450.0</v>
      </c>
      <c r="C76" s="21">
        <v>90.0</v>
      </c>
      <c r="D76" s="14"/>
      <c r="E76" s="13" t="str">
        <f t="array" ref="E76:H80">Beacon</f>
        <v>🥓 หมวดเบคอน และมันหมู</v>
      </c>
      <c r="F76" s="13" t="s">
        <v>1</v>
      </c>
      <c r="G76" s="13" t="s">
        <v>2</v>
      </c>
      <c r="H76" s="13" t="s">
        <v>5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18" t="s">
        <v>126</v>
      </c>
      <c r="B77" s="18">
        <v>730.0</v>
      </c>
      <c r="C77" s="21"/>
      <c r="D77" s="14"/>
      <c r="E77" s="18" t="s">
        <v>90</v>
      </c>
      <c r="F77" s="19">
        <v>1420.0</v>
      </c>
      <c r="G77" s="21">
        <v>142.0</v>
      </c>
      <c r="H77" s="22">
        <v>145.0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18" t="s">
        <v>128</v>
      </c>
      <c r="B78" s="18">
        <v>980.0</v>
      </c>
      <c r="C78" s="21"/>
      <c r="D78" s="14"/>
      <c r="E78" s="18" t="s">
        <v>92</v>
      </c>
      <c r="F78" s="19">
        <v>775.0</v>
      </c>
      <c r="G78" s="21">
        <v>77.5</v>
      </c>
      <c r="H78" s="22">
        <v>85.0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18"/>
      <c r="B79" s="18"/>
      <c r="C79" s="21"/>
      <c r="D79" s="14"/>
      <c r="E79" s="18" t="s">
        <v>94</v>
      </c>
      <c r="F79" s="19">
        <v>700.0</v>
      </c>
      <c r="G79" s="21">
        <v>70.0</v>
      </c>
      <c r="H79" s="2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39" t="str">
        <f t="array" ref="A80:C92">Noodle</f>
        <v>🍜 หมวดเส้น วุ้นเส้น</v>
      </c>
      <c r="B80" s="13" t="s">
        <v>1</v>
      </c>
      <c r="C80" s="13" t="s">
        <v>2</v>
      </c>
      <c r="D80" s="14"/>
      <c r="E80" s="18" t="s">
        <v>96</v>
      </c>
      <c r="F80" s="19">
        <v>70.0</v>
      </c>
      <c r="G80" s="21">
        <v>70.0</v>
      </c>
      <c r="H80" s="2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18" t="s">
        <v>133</v>
      </c>
      <c r="B81" s="18">
        <v>150.0</v>
      </c>
      <c r="C81" s="21"/>
      <c r="D81" s="14"/>
      <c r="E81" s="13" t="str">
        <f t="array" ref="E81:G91">meat</f>
        <v>🥩 หมวดเนื้อหมู เนื้อเป็ด</v>
      </c>
      <c r="F81" s="13" t="s">
        <v>1</v>
      </c>
      <c r="G81" s="13" t="s">
        <v>2</v>
      </c>
      <c r="H81" s="1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18" t="s">
        <v>135</v>
      </c>
      <c r="B82" s="18">
        <v>140.0</v>
      </c>
      <c r="C82" s="21"/>
      <c r="D82" s="14"/>
      <c r="E82" s="18" t="s">
        <v>155</v>
      </c>
      <c r="F82" s="19">
        <v>740.0</v>
      </c>
      <c r="G82" s="21">
        <v>74.0</v>
      </c>
      <c r="H82" s="2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18" t="s">
        <v>137</v>
      </c>
      <c r="B83" s="18">
        <v>160.0</v>
      </c>
      <c r="C83" s="21"/>
      <c r="D83" s="43"/>
      <c r="E83" s="18" t="s">
        <v>157</v>
      </c>
      <c r="F83" s="19">
        <v>650.0</v>
      </c>
      <c r="G83" s="21">
        <v>65.0</v>
      </c>
      <c r="H83" s="2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18" t="s">
        <v>139</v>
      </c>
      <c r="B84" s="18">
        <v>150.0</v>
      </c>
      <c r="C84" s="21"/>
      <c r="D84" s="43"/>
      <c r="E84" s="18" t="s">
        <v>159</v>
      </c>
      <c r="F84" s="19">
        <v>680.0</v>
      </c>
      <c r="G84" s="21">
        <v>68.0</v>
      </c>
      <c r="H84" s="2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18" t="s">
        <v>141</v>
      </c>
      <c r="B85" s="18">
        <v>235.0</v>
      </c>
      <c r="C85" s="21"/>
      <c r="D85" s="43"/>
      <c r="E85" s="18" t="s">
        <v>161</v>
      </c>
      <c r="F85" s="19">
        <v>475.0</v>
      </c>
      <c r="G85" s="21">
        <v>95.0</v>
      </c>
      <c r="H85" s="2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18" t="s">
        <v>143</v>
      </c>
      <c r="B86" s="18">
        <v>550.0</v>
      </c>
      <c r="C86" s="21">
        <v>55.0</v>
      </c>
      <c r="D86" s="43"/>
      <c r="E86" s="18" t="s">
        <v>163</v>
      </c>
      <c r="F86" s="19">
        <v>900.0</v>
      </c>
      <c r="G86" s="21">
        <v>75.0</v>
      </c>
      <c r="H86" s="2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18" t="s">
        <v>145</v>
      </c>
      <c r="B87" s="18">
        <v>120.0</v>
      </c>
      <c r="C87" s="21"/>
      <c r="D87" s="43"/>
      <c r="E87" s="18" t="s">
        <v>165</v>
      </c>
      <c r="F87" s="19">
        <v>170.0</v>
      </c>
      <c r="G87" s="21">
        <v>170.0</v>
      </c>
      <c r="H87" s="2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18" t="s">
        <v>147</v>
      </c>
      <c r="B88" s="18">
        <v>90.0</v>
      </c>
      <c r="C88" s="21"/>
      <c r="D88" s="43"/>
      <c r="E88" s="18" t="s">
        <v>167</v>
      </c>
      <c r="F88" s="19">
        <v>375.0</v>
      </c>
      <c r="G88" s="21">
        <v>75.0</v>
      </c>
      <c r="H88" s="2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18" t="s">
        <v>149</v>
      </c>
      <c r="B89" s="18">
        <v>400.0</v>
      </c>
      <c r="C89" s="21">
        <v>80.0</v>
      </c>
      <c r="D89" s="43"/>
      <c r="E89" s="18" t="s">
        <v>169</v>
      </c>
      <c r="F89" s="19">
        <v>730.0</v>
      </c>
      <c r="G89" s="21">
        <v>36.5</v>
      </c>
      <c r="H89" s="2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18" t="s">
        <v>151</v>
      </c>
      <c r="B90" s="18">
        <v>285.0</v>
      </c>
      <c r="C90" s="21">
        <v>11.4</v>
      </c>
      <c r="D90" s="43"/>
      <c r="E90" s="18" t="s">
        <v>171</v>
      </c>
      <c r="F90" s="19"/>
      <c r="G90" s="21">
        <v>179.0</v>
      </c>
      <c r="H90" s="2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18" t="s">
        <v>153</v>
      </c>
      <c r="B91" s="18">
        <v>490.0</v>
      </c>
      <c r="C91" s="21">
        <v>49.0</v>
      </c>
      <c r="D91" s="43"/>
      <c r="E91" s="18" t="s">
        <v>173</v>
      </c>
      <c r="F91" s="19">
        <v>750.0</v>
      </c>
      <c r="G91" s="21">
        <v>75.0</v>
      </c>
      <c r="H91" s="2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8"/>
      <c r="B92" s="8"/>
      <c r="C92" s="8"/>
      <c r="D92" s="8"/>
      <c r="E92" s="8"/>
      <c r="F92" s="8"/>
      <c r="G92" s="8"/>
      <c r="H92" s="4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8"/>
      <c r="B93" s="8"/>
      <c r="C93" s="8"/>
      <c r="D93" s="8"/>
      <c r="E93" s="8"/>
      <c r="F93" s="8"/>
      <c r="G93" s="8"/>
      <c r="H93" s="4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8"/>
      <c r="B94" s="8"/>
      <c r="C94" s="8"/>
      <c r="D94" s="8"/>
      <c r="E94" s="8"/>
      <c r="F94" s="8"/>
      <c r="G94" s="8"/>
      <c r="H94" s="4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8"/>
      <c r="B95" s="8"/>
      <c r="C95" s="8"/>
      <c r="D95" s="8"/>
      <c r="E95" s="8"/>
      <c r="F95" s="8"/>
      <c r="G95" s="8"/>
      <c r="H95" s="4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8"/>
      <c r="B96" s="8"/>
      <c r="C96" s="8"/>
      <c r="D96" s="8"/>
      <c r="E96" s="8"/>
      <c r="F96" s="8"/>
      <c r="G96" s="8"/>
      <c r="H96" s="4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8"/>
      <c r="B97" s="8"/>
      <c r="C97" s="8"/>
      <c r="D97" s="8"/>
      <c r="E97" s="8"/>
      <c r="F97" s="8"/>
      <c r="G97" s="8"/>
      <c r="H97" s="4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8"/>
      <c r="B98" s="8"/>
      <c r="C98" s="8"/>
      <c r="D98" s="8"/>
      <c r="E98" s="8"/>
      <c r="F98" s="8"/>
      <c r="G98" s="8"/>
      <c r="H98" s="4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8"/>
      <c r="B99" s="8"/>
      <c r="C99" s="8"/>
      <c r="D99" s="8"/>
      <c r="E99" s="8"/>
      <c r="F99" s="8"/>
      <c r="G99" s="8"/>
      <c r="H99" s="4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8"/>
      <c r="B100" s="8"/>
      <c r="C100" s="8"/>
      <c r="D100" s="8"/>
      <c r="E100" s="8"/>
      <c r="F100" s="8"/>
      <c r="G100" s="8"/>
      <c r="H100" s="4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8"/>
      <c r="B101" s="8"/>
      <c r="C101" s="8"/>
      <c r="D101" s="8"/>
      <c r="E101" s="8"/>
      <c r="F101" s="8"/>
      <c r="G101" s="8"/>
      <c r="H101" s="4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8"/>
      <c r="B102" s="8"/>
      <c r="C102" s="8"/>
      <c r="D102" s="8"/>
      <c r="E102" s="8"/>
      <c r="F102" s="8"/>
      <c r="G102" s="8"/>
      <c r="H102" s="4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8"/>
      <c r="B103" s="8"/>
      <c r="C103" s="8"/>
      <c r="D103" s="8"/>
      <c r="E103" s="8"/>
      <c r="F103" s="8"/>
      <c r="G103" s="8"/>
      <c r="H103" s="4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8"/>
      <c r="B104" s="8"/>
      <c r="C104" s="8"/>
      <c r="D104" s="8"/>
      <c r="E104" s="8"/>
      <c r="F104" s="8"/>
      <c r="G104" s="8"/>
      <c r="H104" s="4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8"/>
      <c r="B105" s="8"/>
      <c r="C105" s="8"/>
      <c r="D105" s="8"/>
      <c r="E105" s="8"/>
      <c r="F105" s="8"/>
      <c r="G105" s="8"/>
      <c r="H105" s="4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8"/>
      <c r="B106" s="8"/>
      <c r="C106" s="8"/>
      <c r="D106" s="8"/>
      <c r="E106" s="8"/>
      <c r="F106" s="8"/>
      <c r="G106" s="8"/>
      <c r="H106" s="4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8"/>
      <c r="B107" s="8"/>
      <c r="C107" s="8"/>
      <c r="D107" s="8"/>
      <c r="E107" s="8"/>
      <c r="F107" s="8"/>
      <c r="G107" s="8"/>
      <c r="H107" s="4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8"/>
      <c r="B108" s="8"/>
      <c r="C108" s="8"/>
      <c r="D108" s="8"/>
      <c r="E108" s="8"/>
      <c r="F108" s="8"/>
      <c r="G108" s="8"/>
      <c r="H108" s="4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8"/>
      <c r="B109" s="8"/>
      <c r="C109" s="8"/>
      <c r="D109" s="8"/>
      <c r="E109" s="8"/>
      <c r="F109" s="8"/>
      <c r="G109" s="8"/>
      <c r="H109" s="4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8"/>
      <c r="B110" s="8"/>
      <c r="C110" s="8"/>
      <c r="D110" s="8"/>
      <c r="E110" s="8"/>
      <c r="F110" s="8"/>
      <c r="G110" s="8"/>
      <c r="H110" s="4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8"/>
      <c r="B111" s="8"/>
      <c r="C111" s="8"/>
      <c r="D111" s="8"/>
      <c r="E111" s="8"/>
      <c r="F111" s="8"/>
      <c r="G111" s="8"/>
      <c r="H111" s="4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8"/>
      <c r="B112" s="8"/>
      <c r="C112" s="8"/>
      <c r="D112" s="8"/>
      <c r="E112" s="8"/>
      <c r="F112" s="8"/>
      <c r="G112" s="8"/>
      <c r="H112" s="4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8"/>
      <c r="B113" s="8"/>
      <c r="C113" s="8"/>
      <c r="D113" s="8"/>
      <c r="E113" s="8"/>
      <c r="F113" s="8"/>
      <c r="G113" s="8"/>
      <c r="H113" s="4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8"/>
      <c r="B114" s="8"/>
      <c r="C114" s="8"/>
      <c r="D114" s="8"/>
      <c r="E114" s="8"/>
      <c r="F114" s="8"/>
      <c r="G114" s="8"/>
      <c r="H114" s="4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8"/>
      <c r="B115" s="8"/>
      <c r="C115" s="8"/>
      <c r="D115" s="8"/>
      <c r="E115" s="8"/>
      <c r="F115" s="8"/>
      <c r="G115" s="8"/>
      <c r="H115" s="4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8"/>
      <c r="B116" s="8"/>
      <c r="C116" s="8"/>
      <c r="D116" s="8"/>
      <c r="E116" s="8"/>
      <c r="F116" s="8"/>
      <c r="G116" s="8"/>
      <c r="H116" s="4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8"/>
      <c r="B117" s="8"/>
      <c r="C117" s="8"/>
      <c r="D117" s="8"/>
      <c r="E117" s="8"/>
      <c r="F117" s="8"/>
      <c r="G117" s="8"/>
      <c r="H117" s="4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8"/>
      <c r="B118" s="8"/>
      <c r="C118" s="8"/>
      <c r="D118" s="8"/>
      <c r="E118" s="8"/>
      <c r="F118" s="8"/>
      <c r="G118" s="8"/>
      <c r="H118" s="4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8"/>
      <c r="B119" s="8"/>
      <c r="C119" s="8"/>
      <c r="D119" s="8"/>
      <c r="E119" s="8"/>
      <c r="F119" s="8"/>
      <c r="G119" s="8"/>
      <c r="H119" s="4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8"/>
      <c r="B120" s="8"/>
      <c r="C120" s="8"/>
      <c r="D120" s="8"/>
      <c r="E120" s="8"/>
      <c r="F120" s="8"/>
      <c r="G120" s="8"/>
      <c r="H120" s="4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8"/>
      <c r="B121" s="8"/>
      <c r="C121" s="8"/>
      <c r="D121" s="8"/>
      <c r="E121" s="8"/>
      <c r="F121" s="8"/>
      <c r="G121" s="8"/>
      <c r="H121" s="4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8"/>
      <c r="B122" s="8"/>
      <c r="C122" s="8"/>
      <c r="D122" s="8"/>
      <c r="E122" s="8"/>
      <c r="F122" s="8"/>
      <c r="G122" s="8"/>
      <c r="H122" s="4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8"/>
      <c r="B123" s="8"/>
      <c r="C123" s="8"/>
      <c r="D123" s="8"/>
      <c r="E123" s="8"/>
      <c r="F123" s="8"/>
      <c r="G123" s="8"/>
      <c r="H123" s="4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8"/>
      <c r="B124" s="8"/>
      <c r="C124" s="8"/>
      <c r="D124" s="8"/>
      <c r="E124" s="8"/>
      <c r="F124" s="8"/>
      <c r="G124" s="8"/>
      <c r="H124" s="4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8"/>
      <c r="B125" s="8"/>
      <c r="C125" s="8"/>
      <c r="D125" s="8"/>
      <c r="E125" s="8"/>
      <c r="F125" s="8"/>
      <c r="G125" s="8"/>
      <c r="H125" s="4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8"/>
      <c r="B126" s="8"/>
      <c r="C126" s="8"/>
      <c r="D126" s="8"/>
      <c r="E126" s="8"/>
      <c r="F126" s="8"/>
      <c r="G126" s="8"/>
      <c r="H126" s="4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8"/>
      <c r="B127" s="8"/>
      <c r="C127" s="8"/>
      <c r="D127" s="8"/>
      <c r="E127" s="8"/>
      <c r="F127" s="8"/>
      <c r="G127" s="8"/>
      <c r="H127" s="4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8"/>
      <c r="B128" s="8"/>
      <c r="C128" s="8"/>
      <c r="D128" s="8"/>
      <c r="E128" s="8"/>
      <c r="F128" s="8"/>
      <c r="G128" s="8"/>
      <c r="H128" s="4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8"/>
      <c r="B129" s="8"/>
      <c r="C129" s="8"/>
      <c r="D129" s="8"/>
      <c r="E129" s="8"/>
      <c r="F129" s="8"/>
      <c r="G129" s="8"/>
      <c r="H129" s="4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8"/>
      <c r="B130" s="8"/>
      <c r="C130" s="8"/>
      <c r="D130" s="8"/>
      <c r="E130" s="8"/>
      <c r="F130" s="8"/>
      <c r="G130" s="8"/>
      <c r="H130" s="4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8"/>
      <c r="B131" s="8"/>
      <c r="C131" s="8"/>
      <c r="D131" s="8"/>
      <c r="E131" s="8"/>
      <c r="F131" s="8"/>
      <c r="G131" s="8"/>
      <c r="H131" s="4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8"/>
      <c r="B132" s="8"/>
      <c r="C132" s="8"/>
      <c r="D132" s="8"/>
      <c r="E132" s="8"/>
      <c r="F132" s="8"/>
      <c r="G132" s="8"/>
      <c r="H132" s="4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8"/>
      <c r="B133" s="8"/>
      <c r="C133" s="8"/>
      <c r="D133" s="8"/>
      <c r="E133" s="8"/>
      <c r="F133" s="8"/>
      <c r="G133" s="8"/>
      <c r="H133" s="4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8"/>
      <c r="B134" s="8"/>
      <c r="C134" s="8"/>
      <c r="D134" s="8"/>
      <c r="E134" s="8"/>
      <c r="F134" s="8"/>
      <c r="G134" s="8"/>
      <c r="H134" s="4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8"/>
      <c r="B135" s="8"/>
      <c r="C135" s="8"/>
      <c r="D135" s="8"/>
      <c r="E135" s="8"/>
      <c r="F135" s="8"/>
      <c r="G135" s="8"/>
      <c r="H135" s="4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8"/>
      <c r="B136" s="8"/>
      <c r="C136" s="8"/>
      <c r="D136" s="8"/>
      <c r="E136" s="8"/>
      <c r="F136" s="8"/>
      <c r="G136" s="8"/>
      <c r="H136" s="4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8"/>
      <c r="B137" s="8"/>
      <c r="C137" s="8"/>
      <c r="D137" s="8"/>
      <c r="E137" s="8"/>
      <c r="F137" s="8"/>
      <c r="G137" s="8"/>
      <c r="H137" s="4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8"/>
      <c r="B138" s="8"/>
      <c r="C138" s="8"/>
      <c r="D138" s="8"/>
      <c r="E138" s="8"/>
      <c r="F138" s="8"/>
      <c r="G138" s="8"/>
      <c r="H138" s="4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8"/>
      <c r="B139" s="8"/>
      <c r="C139" s="8"/>
      <c r="D139" s="8"/>
      <c r="E139" s="8"/>
      <c r="F139" s="8"/>
      <c r="G139" s="8"/>
      <c r="H139" s="4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8"/>
      <c r="B140" s="8"/>
      <c r="C140" s="8"/>
      <c r="D140" s="8"/>
      <c r="E140" s="8"/>
      <c r="F140" s="8"/>
      <c r="G140" s="8"/>
      <c r="H140" s="4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8"/>
      <c r="B141" s="8"/>
      <c r="C141" s="8"/>
      <c r="D141" s="8"/>
      <c r="E141" s="8"/>
      <c r="F141" s="8"/>
      <c r="G141" s="8"/>
      <c r="H141" s="4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8"/>
      <c r="B142" s="8"/>
      <c r="C142" s="8"/>
      <c r="D142" s="8"/>
      <c r="E142" s="8"/>
      <c r="F142" s="8"/>
      <c r="G142" s="8"/>
      <c r="H142" s="4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8"/>
      <c r="B143" s="8"/>
      <c r="C143" s="8"/>
      <c r="D143" s="8"/>
      <c r="E143" s="8"/>
      <c r="F143" s="8"/>
      <c r="G143" s="8"/>
      <c r="H143" s="4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8"/>
      <c r="B144" s="8"/>
      <c r="C144" s="8"/>
      <c r="D144" s="8"/>
      <c r="E144" s="8"/>
      <c r="F144" s="8"/>
      <c r="G144" s="8"/>
      <c r="H144" s="4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8"/>
      <c r="B145" s="8"/>
      <c r="C145" s="8"/>
      <c r="D145" s="8"/>
      <c r="E145" s="8"/>
      <c r="F145" s="8"/>
      <c r="G145" s="8"/>
      <c r="H145" s="4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8"/>
      <c r="B146" s="8"/>
      <c r="C146" s="8"/>
      <c r="D146" s="8"/>
      <c r="E146" s="8"/>
      <c r="F146" s="8"/>
      <c r="G146" s="8"/>
      <c r="H146" s="4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8"/>
      <c r="B147" s="8"/>
      <c r="C147" s="8"/>
      <c r="D147" s="8"/>
      <c r="E147" s="8"/>
      <c r="F147" s="8"/>
      <c r="G147" s="8"/>
      <c r="H147" s="4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8"/>
      <c r="B148" s="8"/>
      <c r="C148" s="8"/>
      <c r="D148" s="8"/>
      <c r="E148" s="8"/>
      <c r="F148" s="8"/>
      <c r="G148" s="8"/>
      <c r="H148" s="4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8"/>
      <c r="B149" s="8"/>
      <c r="C149" s="8"/>
      <c r="D149" s="8"/>
      <c r="E149" s="8"/>
      <c r="F149" s="8"/>
      <c r="G149" s="8"/>
      <c r="H149" s="4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8"/>
      <c r="B150" s="8"/>
      <c r="C150" s="8"/>
      <c r="D150" s="8"/>
      <c r="E150" s="8"/>
      <c r="F150" s="8"/>
      <c r="G150" s="8"/>
      <c r="H150" s="4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8"/>
      <c r="B151" s="8"/>
      <c r="C151" s="8"/>
      <c r="D151" s="8"/>
      <c r="E151" s="8"/>
      <c r="F151" s="8"/>
      <c r="G151" s="8"/>
      <c r="H151" s="4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8"/>
      <c r="B152" s="8"/>
      <c r="C152" s="8"/>
      <c r="D152" s="8"/>
      <c r="E152" s="8"/>
      <c r="F152" s="8"/>
      <c r="G152" s="8"/>
      <c r="H152" s="4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8"/>
      <c r="B153" s="8"/>
      <c r="C153" s="8"/>
      <c r="D153" s="8"/>
      <c r="E153" s="8"/>
      <c r="F153" s="8"/>
      <c r="G153" s="8"/>
      <c r="H153" s="4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8"/>
      <c r="B154" s="8"/>
      <c r="C154" s="8"/>
      <c r="D154" s="8"/>
      <c r="E154" s="8"/>
      <c r="F154" s="8"/>
      <c r="G154" s="8"/>
      <c r="H154" s="4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8"/>
      <c r="B155" s="8"/>
      <c r="C155" s="8"/>
      <c r="D155" s="8"/>
      <c r="E155" s="8"/>
      <c r="F155" s="8"/>
      <c r="G155" s="8"/>
      <c r="H155" s="4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8"/>
      <c r="B156" s="8"/>
      <c r="C156" s="8"/>
      <c r="D156" s="8"/>
      <c r="E156" s="8"/>
      <c r="F156" s="8"/>
      <c r="G156" s="8"/>
      <c r="H156" s="4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8"/>
      <c r="B157" s="8"/>
      <c r="C157" s="8"/>
      <c r="D157" s="8"/>
      <c r="E157" s="8"/>
      <c r="F157" s="8"/>
      <c r="G157" s="8"/>
      <c r="H157" s="4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8"/>
      <c r="B158" s="8"/>
      <c r="C158" s="8"/>
      <c r="D158" s="8"/>
      <c r="E158" s="8"/>
      <c r="F158" s="8"/>
      <c r="G158" s="8"/>
      <c r="H158" s="4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8"/>
      <c r="B159" s="8"/>
      <c r="C159" s="8"/>
      <c r="D159" s="8"/>
      <c r="E159" s="8"/>
      <c r="F159" s="8"/>
      <c r="G159" s="8"/>
      <c r="H159" s="4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8"/>
      <c r="B160" s="8"/>
      <c r="C160" s="8"/>
      <c r="D160" s="8"/>
      <c r="E160" s="8"/>
      <c r="F160" s="8"/>
      <c r="G160" s="8"/>
      <c r="H160" s="4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8"/>
      <c r="B161" s="8"/>
      <c r="C161" s="8"/>
      <c r="D161" s="8"/>
      <c r="E161" s="8"/>
      <c r="F161" s="8"/>
      <c r="G161" s="8"/>
      <c r="H161" s="4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8"/>
      <c r="B162" s="8"/>
      <c r="C162" s="8"/>
      <c r="D162" s="8"/>
      <c r="E162" s="8"/>
      <c r="F162" s="8"/>
      <c r="G162" s="8"/>
      <c r="H162" s="4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8"/>
      <c r="B163" s="8"/>
      <c r="C163" s="8"/>
      <c r="D163" s="8"/>
      <c r="E163" s="8"/>
      <c r="F163" s="8"/>
      <c r="G163" s="8"/>
      <c r="H163" s="4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8"/>
      <c r="B164" s="8"/>
      <c r="C164" s="8"/>
      <c r="D164" s="8"/>
      <c r="E164" s="8"/>
      <c r="F164" s="8"/>
      <c r="G164" s="8"/>
      <c r="H164" s="4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8"/>
      <c r="B165" s="8"/>
      <c r="C165" s="8"/>
      <c r="D165" s="8"/>
      <c r="E165" s="8"/>
      <c r="F165" s="8"/>
      <c r="G165" s="8"/>
      <c r="H165" s="4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8"/>
      <c r="B166" s="8"/>
      <c r="C166" s="8"/>
      <c r="D166" s="8"/>
      <c r="E166" s="8"/>
      <c r="F166" s="8"/>
      <c r="G166" s="8"/>
      <c r="H166" s="4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8"/>
      <c r="B167" s="8"/>
      <c r="C167" s="8"/>
      <c r="D167" s="8"/>
      <c r="E167" s="8"/>
      <c r="F167" s="8"/>
      <c r="G167" s="8"/>
      <c r="H167" s="4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8"/>
      <c r="B168" s="8"/>
      <c r="C168" s="8"/>
      <c r="D168" s="8"/>
      <c r="E168" s="8"/>
      <c r="F168" s="8"/>
      <c r="G168" s="8"/>
      <c r="H168" s="4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8"/>
      <c r="B169" s="8"/>
      <c r="C169" s="8"/>
      <c r="D169" s="8"/>
      <c r="E169" s="8"/>
      <c r="F169" s="8"/>
      <c r="G169" s="8"/>
      <c r="H169" s="4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8"/>
      <c r="B170" s="8"/>
      <c r="C170" s="8"/>
      <c r="D170" s="8"/>
      <c r="E170" s="8"/>
      <c r="F170" s="8"/>
      <c r="G170" s="8"/>
      <c r="H170" s="4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8"/>
      <c r="B171" s="8"/>
      <c r="C171" s="8"/>
      <c r="D171" s="8"/>
      <c r="E171" s="8"/>
      <c r="F171" s="8"/>
      <c r="G171" s="8"/>
      <c r="H171" s="4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8"/>
      <c r="B172" s="8"/>
      <c r="C172" s="8"/>
      <c r="D172" s="8"/>
      <c r="E172" s="8"/>
      <c r="F172" s="8"/>
      <c r="G172" s="8"/>
      <c r="H172" s="4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8"/>
      <c r="B173" s="8"/>
      <c r="C173" s="8"/>
      <c r="D173" s="8"/>
      <c r="E173" s="8"/>
      <c r="F173" s="8"/>
      <c r="G173" s="8"/>
      <c r="H173" s="4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8"/>
      <c r="B174" s="8"/>
      <c r="C174" s="8"/>
      <c r="D174" s="8"/>
      <c r="E174" s="8"/>
      <c r="F174" s="8"/>
      <c r="G174" s="8"/>
      <c r="H174" s="4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8"/>
      <c r="B175" s="8"/>
      <c r="C175" s="8"/>
      <c r="D175" s="8"/>
      <c r="E175" s="8"/>
      <c r="F175" s="8"/>
      <c r="G175" s="8"/>
      <c r="H175" s="4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8"/>
      <c r="B176" s="8"/>
      <c r="C176" s="8"/>
      <c r="D176" s="8"/>
      <c r="E176" s="8"/>
      <c r="F176" s="8"/>
      <c r="G176" s="8"/>
      <c r="H176" s="4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8"/>
      <c r="B177" s="8"/>
      <c r="C177" s="8"/>
      <c r="D177" s="8"/>
      <c r="E177" s="8"/>
      <c r="F177" s="8"/>
      <c r="G177" s="8"/>
      <c r="H177" s="4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8"/>
      <c r="B178" s="8"/>
      <c r="C178" s="8"/>
      <c r="D178" s="8"/>
      <c r="E178" s="8"/>
      <c r="F178" s="8"/>
      <c r="G178" s="8"/>
      <c r="H178" s="4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8"/>
      <c r="B179" s="8"/>
      <c r="C179" s="8"/>
      <c r="D179" s="8"/>
      <c r="E179" s="8"/>
      <c r="F179" s="8"/>
      <c r="G179" s="8"/>
      <c r="H179" s="4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8"/>
      <c r="B180" s="8"/>
      <c r="C180" s="8"/>
      <c r="D180" s="8"/>
      <c r="E180" s="8"/>
      <c r="F180" s="8"/>
      <c r="G180" s="8"/>
      <c r="H180" s="4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8"/>
      <c r="B181" s="8"/>
      <c r="C181" s="8"/>
      <c r="D181" s="8"/>
      <c r="E181" s="8"/>
      <c r="F181" s="8"/>
      <c r="G181" s="8"/>
      <c r="H181" s="4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8"/>
      <c r="B182" s="8"/>
      <c r="C182" s="8"/>
      <c r="D182" s="8"/>
      <c r="E182" s="8"/>
      <c r="F182" s="8"/>
      <c r="G182" s="8"/>
      <c r="H182" s="4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8"/>
      <c r="B183" s="8"/>
      <c r="C183" s="8"/>
      <c r="D183" s="8"/>
      <c r="E183" s="8"/>
      <c r="F183" s="8"/>
      <c r="G183" s="8"/>
      <c r="H183" s="4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8"/>
      <c r="B184" s="8"/>
      <c r="C184" s="8"/>
      <c r="D184" s="8"/>
      <c r="E184" s="8"/>
      <c r="F184" s="8"/>
      <c r="G184" s="8"/>
      <c r="H184" s="4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8"/>
      <c r="B185" s="8"/>
      <c r="C185" s="8"/>
      <c r="D185" s="8"/>
      <c r="E185" s="8"/>
      <c r="F185" s="8"/>
      <c r="G185" s="8"/>
      <c r="H185" s="4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8"/>
      <c r="B186" s="8"/>
      <c r="C186" s="8"/>
      <c r="D186" s="8"/>
      <c r="E186" s="8"/>
      <c r="F186" s="8"/>
      <c r="G186" s="8"/>
      <c r="H186" s="4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8"/>
      <c r="B187" s="8"/>
      <c r="C187" s="8"/>
      <c r="D187" s="8"/>
      <c r="E187" s="8"/>
      <c r="F187" s="8"/>
      <c r="G187" s="8"/>
      <c r="H187" s="4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8"/>
      <c r="B188" s="8"/>
      <c r="C188" s="8"/>
      <c r="D188" s="8"/>
      <c r="E188" s="8"/>
      <c r="F188" s="8"/>
      <c r="G188" s="8"/>
      <c r="H188" s="4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8"/>
      <c r="B189" s="8"/>
      <c r="C189" s="8"/>
      <c r="D189" s="8"/>
      <c r="E189" s="8"/>
      <c r="F189" s="8"/>
      <c r="G189" s="8"/>
      <c r="H189" s="4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8"/>
      <c r="B190" s="8"/>
      <c r="C190" s="8"/>
      <c r="D190" s="8"/>
      <c r="E190" s="8"/>
      <c r="F190" s="8"/>
      <c r="G190" s="8"/>
      <c r="H190" s="4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8"/>
      <c r="B191" s="8"/>
      <c r="C191" s="8"/>
      <c r="D191" s="8"/>
      <c r="E191" s="8"/>
      <c r="F191" s="8"/>
      <c r="G191" s="8"/>
      <c r="H191" s="4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8"/>
      <c r="B192" s="8"/>
      <c r="C192" s="8"/>
      <c r="D192" s="8"/>
      <c r="E192" s="8"/>
      <c r="F192" s="8"/>
      <c r="G192" s="8"/>
      <c r="H192" s="4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8"/>
      <c r="B193" s="8"/>
      <c r="C193" s="8"/>
      <c r="D193" s="8"/>
      <c r="E193" s="8"/>
      <c r="F193" s="8"/>
      <c r="G193" s="8"/>
      <c r="H193" s="4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8"/>
      <c r="B194" s="8"/>
      <c r="C194" s="8"/>
      <c r="D194" s="8"/>
      <c r="E194" s="8"/>
      <c r="F194" s="8"/>
      <c r="G194" s="8"/>
      <c r="H194" s="4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8"/>
      <c r="B195" s="8"/>
      <c r="C195" s="8"/>
      <c r="D195" s="8"/>
      <c r="E195" s="8"/>
      <c r="F195" s="8"/>
      <c r="G195" s="8"/>
      <c r="H195" s="4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8"/>
      <c r="B196" s="8"/>
      <c r="C196" s="8"/>
      <c r="D196" s="8"/>
      <c r="E196" s="8"/>
      <c r="F196" s="8"/>
      <c r="G196" s="8"/>
      <c r="H196" s="4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8"/>
      <c r="B197" s="8"/>
      <c r="C197" s="8"/>
      <c r="D197" s="8"/>
      <c r="E197" s="8"/>
      <c r="F197" s="8"/>
      <c r="G197" s="8"/>
      <c r="H197" s="4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8"/>
      <c r="B198" s="8"/>
      <c r="C198" s="8"/>
      <c r="D198" s="8"/>
      <c r="E198" s="8"/>
      <c r="F198" s="8"/>
      <c r="G198" s="8"/>
      <c r="H198" s="4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8"/>
      <c r="B199" s="8"/>
      <c r="C199" s="8"/>
      <c r="D199" s="8"/>
      <c r="E199" s="8"/>
      <c r="F199" s="8"/>
      <c r="G199" s="8"/>
      <c r="H199" s="4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8"/>
      <c r="B200" s="8"/>
      <c r="C200" s="8"/>
      <c r="D200" s="8"/>
      <c r="E200" s="8"/>
      <c r="F200" s="8"/>
      <c r="G200" s="8"/>
      <c r="H200" s="4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8"/>
      <c r="B201" s="8"/>
      <c r="C201" s="8"/>
      <c r="D201" s="8"/>
      <c r="E201" s="8"/>
      <c r="F201" s="8"/>
      <c r="G201" s="8"/>
      <c r="H201" s="4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8"/>
      <c r="B202" s="8"/>
      <c r="C202" s="8"/>
      <c r="D202" s="8"/>
      <c r="E202" s="8"/>
      <c r="F202" s="8"/>
      <c r="G202" s="8"/>
      <c r="H202" s="4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8"/>
      <c r="B203" s="8"/>
      <c r="C203" s="8"/>
      <c r="D203" s="8"/>
      <c r="E203" s="8"/>
      <c r="F203" s="8"/>
      <c r="G203" s="8"/>
      <c r="H203" s="4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8"/>
      <c r="B204" s="8"/>
      <c r="C204" s="8"/>
      <c r="D204" s="8"/>
      <c r="E204" s="8"/>
      <c r="F204" s="8"/>
      <c r="G204" s="8"/>
      <c r="H204" s="4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8"/>
      <c r="B205" s="8"/>
      <c r="C205" s="8"/>
      <c r="D205" s="8"/>
      <c r="E205" s="8"/>
      <c r="F205" s="8"/>
      <c r="G205" s="8"/>
      <c r="H205" s="4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8"/>
      <c r="B206" s="8"/>
      <c r="C206" s="8"/>
      <c r="D206" s="8"/>
      <c r="E206" s="8"/>
      <c r="F206" s="8"/>
      <c r="G206" s="8"/>
      <c r="H206" s="4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8"/>
      <c r="B207" s="8"/>
      <c r="C207" s="8"/>
      <c r="D207" s="8"/>
      <c r="E207" s="8"/>
      <c r="F207" s="8"/>
      <c r="G207" s="8"/>
      <c r="H207" s="4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8"/>
      <c r="B208" s="8"/>
      <c r="C208" s="8"/>
      <c r="D208" s="8"/>
      <c r="E208" s="8"/>
      <c r="F208" s="8"/>
      <c r="G208" s="8"/>
      <c r="H208" s="4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8"/>
      <c r="B209" s="8"/>
      <c r="C209" s="8"/>
      <c r="D209" s="8"/>
      <c r="E209" s="8"/>
      <c r="F209" s="8"/>
      <c r="G209" s="8"/>
      <c r="H209" s="4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8"/>
      <c r="B210" s="8"/>
      <c r="C210" s="8"/>
      <c r="D210" s="8"/>
      <c r="E210" s="8"/>
      <c r="F210" s="8"/>
      <c r="G210" s="8"/>
      <c r="H210" s="4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8"/>
      <c r="B211" s="8"/>
      <c r="C211" s="8"/>
      <c r="D211" s="8"/>
      <c r="E211" s="8"/>
      <c r="F211" s="8"/>
      <c r="G211" s="8"/>
      <c r="H211" s="4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8"/>
      <c r="B212" s="8"/>
      <c r="C212" s="8"/>
      <c r="D212" s="8"/>
      <c r="E212" s="8"/>
      <c r="F212" s="8"/>
      <c r="G212" s="8"/>
      <c r="H212" s="4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8"/>
      <c r="B213" s="8"/>
      <c r="C213" s="8"/>
      <c r="D213" s="8"/>
      <c r="E213" s="8"/>
      <c r="F213" s="8"/>
      <c r="G213" s="8"/>
      <c r="H213" s="4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8"/>
      <c r="B214" s="8"/>
      <c r="C214" s="8"/>
      <c r="D214" s="8"/>
      <c r="E214" s="8"/>
      <c r="F214" s="8"/>
      <c r="G214" s="8"/>
      <c r="H214" s="4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8"/>
      <c r="B215" s="8"/>
      <c r="C215" s="8"/>
      <c r="D215" s="8"/>
      <c r="E215" s="8"/>
      <c r="F215" s="8"/>
      <c r="G215" s="8"/>
      <c r="H215" s="4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8"/>
      <c r="B216" s="8"/>
      <c r="C216" s="8"/>
      <c r="D216" s="8"/>
      <c r="E216" s="8"/>
      <c r="F216" s="8"/>
      <c r="G216" s="8"/>
      <c r="H216" s="4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8"/>
      <c r="B217" s="8"/>
      <c r="C217" s="8"/>
      <c r="D217" s="8"/>
      <c r="E217" s="8"/>
      <c r="F217" s="8"/>
      <c r="G217" s="8"/>
      <c r="H217" s="4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8"/>
      <c r="B218" s="8"/>
      <c r="C218" s="8"/>
      <c r="D218" s="8"/>
      <c r="E218" s="8"/>
      <c r="F218" s="8"/>
      <c r="G218" s="8"/>
      <c r="H218" s="4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8"/>
      <c r="B219" s="8"/>
      <c r="C219" s="8"/>
      <c r="D219" s="8"/>
      <c r="E219" s="8"/>
      <c r="F219" s="8"/>
      <c r="G219" s="8"/>
      <c r="H219" s="4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8"/>
      <c r="B220" s="8"/>
      <c r="C220" s="8"/>
      <c r="D220" s="8"/>
      <c r="E220" s="8"/>
      <c r="F220" s="8"/>
      <c r="G220" s="8"/>
      <c r="H220" s="4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8"/>
      <c r="B221" s="8"/>
      <c r="C221" s="8"/>
      <c r="D221" s="8"/>
      <c r="E221" s="8"/>
      <c r="F221" s="8"/>
      <c r="G221" s="8"/>
      <c r="H221" s="4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8"/>
      <c r="B222" s="8"/>
      <c r="C222" s="8"/>
      <c r="D222" s="8"/>
      <c r="E222" s="8"/>
      <c r="F222" s="8"/>
      <c r="G222" s="8"/>
      <c r="H222" s="4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8"/>
      <c r="B223" s="8"/>
      <c r="C223" s="8"/>
      <c r="D223" s="8"/>
      <c r="E223" s="8"/>
      <c r="F223" s="8"/>
      <c r="G223" s="8"/>
      <c r="H223" s="4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8"/>
      <c r="B224" s="8"/>
      <c r="C224" s="8"/>
      <c r="D224" s="8"/>
      <c r="E224" s="8"/>
      <c r="F224" s="8"/>
      <c r="G224" s="8"/>
      <c r="H224" s="4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8"/>
      <c r="B225" s="8"/>
      <c r="C225" s="8"/>
      <c r="D225" s="8"/>
      <c r="E225" s="8"/>
      <c r="F225" s="8"/>
      <c r="G225" s="8"/>
      <c r="H225" s="4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8"/>
      <c r="B226" s="8"/>
      <c r="C226" s="8"/>
      <c r="D226" s="8"/>
      <c r="E226" s="8"/>
      <c r="F226" s="8"/>
      <c r="G226" s="8"/>
      <c r="H226" s="4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8"/>
      <c r="B227" s="8"/>
      <c r="C227" s="8"/>
      <c r="D227" s="8"/>
      <c r="E227" s="8"/>
      <c r="F227" s="8"/>
      <c r="G227" s="8"/>
      <c r="H227" s="4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8"/>
      <c r="B228" s="8"/>
      <c r="C228" s="8"/>
      <c r="D228" s="8"/>
      <c r="E228" s="8"/>
      <c r="F228" s="8"/>
      <c r="G228" s="8"/>
      <c r="H228" s="4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8"/>
      <c r="B229" s="8"/>
      <c r="C229" s="8"/>
      <c r="D229" s="8"/>
      <c r="E229" s="8"/>
      <c r="F229" s="8"/>
      <c r="G229" s="8"/>
      <c r="H229" s="4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8"/>
      <c r="B230" s="8"/>
      <c r="C230" s="8"/>
      <c r="D230" s="8"/>
      <c r="E230" s="8"/>
      <c r="F230" s="8"/>
      <c r="G230" s="8"/>
      <c r="H230" s="4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8"/>
      <c r="B231" s="8"/>
      <c r="C231" s="8"/>
      <c r="D231" s="8"/>
      <c r="E231" s="8"/>
      <c r="F231" s="8"/>
      <c r="G231" s="8"/>
      <c r="H231" s="4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8"/>
      <c r="B232" s="8"/>
      <c r="C232" s="8"/>
      <c r="D232" s="8"/>
      <c r="E232" s="8"/>
      <c r="F232" s="8"/>
      <c r="G232" s="8"/>
      <c r="H232" s="4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8"/>
      <c r="B233" s="8"/>
      <c r="C233" s="8"/>
      <c r="D233" s="8"/>
      <c r="E233" s="8"/>
      <c r="F233" s="8"/>
      <c r="G233" s="8"/>
      <c r="H233" s="4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8"/>
      <c r="B234" s="8"/>
      <c r="C234" s="8"/>
      <c r="D234" s="8"/>
      <c r="E234" s="8"/>
      <c r="F234" s="8"/>
      <c r="G234" s="8"/>
      <c r="H234" s="4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8"/>
      <c r="B235" s="8"/>
      <c r="C235" s="8"/>
      <c r="D235" s="8"/>
      <c r="E235" s="8"/>
      <c r="F235" s="8"/>
      <c r="G235" s="8"/>
      <c r="H235" s="4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8"/>
      <c r="B236" s="8"/>
      <c r="C236" s="8"/>
      <c r="D236" s="8"/>
      <c r="E236" s="8"/>
      <c r="F236" s="8"/>
      <c r="G236" s="8"/>
      <c r="H236" s="4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8"/>
      <c r="B237" s="8"/>
      <c r="C237" s="8"/>
      <c r="D237" s="8"/>
      <c r="E237" s="8"/>
      <c r="F237" s="8"/>
      <c r="G237" s="8"/>
      <c r="H237" s="4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8"/>
      <c r="B238" s="8"/>
      <c r="C238" s="8"/>
      <c r="D238" s="8"/>
      <c r="E238" s="8"/>
      <c r="F238" s="8"/>
      <c r="G238" s="8"/>
      <c r="H238" s="4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8"/>
      <c r="B239" s="8"/>
      <c r="C239" s="8"/>
      <c r="D239" s="8"/>
      <c r="E239" s="8"/>
      <c r="F239" s="8"/>
      <c r="G239" s="8"/>
      <c r="H239" s="4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8"/>
      <c r="B240" s="8"/>
      <c r="C240" s="8"/>
      <c r="D240" s="8"/>
      <c r="E240" s="8"/>
      <c r="F240" s="8"/>
      <c r="G240" s="8"/>
      <c r="H240" s="4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8"/>
      <c r="B241" s="8"/>
      <c r="C241" s="8"/>
      <c r="D241" s="8"/>
      <c r="E241" s="8"/>
      <c r="F241" s="8"/>
      <c r="G241" s="8"/>
      <c r="H241" s="4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8"/>
      <c r="B242" s="8"/>
      <c r="C242" s="8"/>
      <c r="D242" s="8"/>
      <c r="E242" s="8"/>
      <c r="F242" s="8"/>
      <c r="G242" s="8"/>
      <c r="H242" s="4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8"/>
      <c r="B243" s="8"/>
      <c r="C243" s="8"/>
      <c r="D243" s="8"/>
      <c r="E243" s="8"/>
      <c r="F243" s="8"/>
      <c r="G243" s="8"/>
      <c r="H243" s="4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8"/>
      <c r="B244" s="8"/>
      <c r="C244" s="8"/>
      <c r="D244" s="8"/>
      <c r="E244" s="8"/>
      <c r="F244" s="8"/>
      <c r="G244" s="8"/>
      <c r="H244" s="4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8"/>
      <c r="B245" s="8"/>
      <c r="C245" s="8"/>
      <c r="D245" s="8"/>
      <c r="E245" s="8"/>
      <c r="F245" s="8"/>
      <c r="G245" s="8"/>
      <c r="H245" s="4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8"/>
      <c r="B246" s="8"/>
      <c r="C246" s="8"/>
      <c r="D246" s="8"/>
      <c r="E246" s="8"/>
      <c r="F246" s="8"/>
      <c r="G246" s="8"/>
      <c r="H246" s="4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8"/>
      <c r="B247" s="8"/>
      <c r="C247" s="8"/>
      <c r="D247" s="8"/>
      <c r="E247" s="8"/>
      <c r="F247" s="8"/>
      <c r="G247" s="8"/>
      <c r="H247" s="4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8"/>
      <c r="B248" s="8"/>
      <c r="C248" s="8"/>
      <c r="D248" s="8"/>
      <c r="E248" s="8"/>
      <c r="F248" s="8"/>
      <c r="G248" s="8"/>
      <c r="H248" s="4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8"/>
      <c r="B249" s="8"/>
      <c r="C249" s="8"/>
      <c r="D249" s="8"/>
      <c r="E249" s="8"/>
      <c r="F249" s="8"/>
      <c r="G249" s="8"/>
      <c r="H249" s="4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8"/>
      <c r="B250" s="8"/>
      <c r="C250" s="8"/>
      <c r="D250" s="8"/>
      <c r="E250" s="8"/>
      <c r="F250" s="8"/>
      <c r="G250" s="8"/>
      <c r="H250" s="4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8"/>
      <c r="B251" s="8"/>
      <c r="C251" s="8"/>
      <c r="D251" s="8"/>
      <c r="E251" s="8"/>
      <c r="F251" s="8"/>
      <c r="G251" s="8"/>
      <c r="H251" s="4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8"/>
      <c r="B252" s="8"/>
      <c r="C252" s="8"/>
      <c r="D252" s="8"/>
      <c r="E252" s="8"/>
      <c r="F252" s="8"/>
      <c r="G252" s="8"/>
      <c r="H252" s="4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8"/>
      <c r="B253" s="8"/>
      <c r="C253" s="8"/>
      <c r="D253" s="8"/>
      <c r="E253" s="8"/>
      <c r="F253" s="8"/>
      <c r="G253" s="8"/>
      <c r="H253" s="4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8"/>
      <c r="B254" s="8"/>
      <c r="C254" s="8"/>
      <c r="D254" s="8"/>
      <c r="E254" s="8"/>
      <c r="F254" s="8"/>
      <c r="G254" s="8"/>
      <c r="H254" s="4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8"/>
      <c r="B255" s="8"/>
      <c r="C255" s="8"/>
      <c r="D255" s="8"/>
      <c r="E255" s="8"/>
      <c r="F255" s="8"/>
      <c r="G255" s="8"/>
      <c r="H255" s="4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8"/>
      <c r="B256" s="8"/>
      <c r="C256" s="8"/>
      <c r="D256" s="8"/>
      <c r="E256" s="8"/>
      <c r="F256" s="8"/>
      <c r="G256" s="8"/>
      <c r="H256" s="4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8"/>
      <c r="B257" s="8"/>
      <c r="C257" s="8"/>
      <c r="D257" s="8"/>
      <c r="E257" s="8"/>
      <c r="F257" s="8"/>
      <c r="G257" s="8"/>
      <c r="H257" s="4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8"/>
      <c r="B258" s="8"/>
      <c r="C258" s="8"/>
      <c r="D258" s="8"/>
      <c r="E258" s="8"/>
      <c r="F258" s="8"/>
      <c r="G258" s="8"/>
      <c r="H258" s="4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8"/>
      <c r="B259" s="8"/>
      <c r="C259" s="8"/>
      <c r="D259" s="8"/>
      <c r="E259" s="8"/>
      <c r="F259" s="8"/>
      <c r="G259" s="8"/>
      <c r="H259" s="4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8"/>
      <c r="B260" s="8"/>
      <c r="C260" s="8"/>
      <c r="D260" s="8"/>
      <c r="E260" s="8"/>
      <c r="F260" s="8"/>
      <c r="G260" s="8"/>
      <c r="H260" s="4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8"/>
      <c r="B261" s="8"/>
      <c r="C261" s="8"/>
      <c r="D261" s="8"/>
      <c r="E261" s="8"/>
      <c r="F261" s="8"/>
      <c r="G261" s="8"/>
      <c r="H261" s="4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8"/>
      <c r="B262" s="8"/>
      <c r="C262" s="8"/>
      <c r="D262" s="8"/>
      <c r="E262" s="8"/>
      <c r="F262" s="8"/>
      <c r="G262" s="8"/>
      <c r="H262" s="4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8"/>
      <c r="B263" s="8"/>
      <c r="C263" s="8"/>
      <c r="D263" s="8"/>
      <c r="E263" s="8"/>
      <c r="F263" s="8"/>
      <c r="G263" s="8"/>
      <c r="H263" s="4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8"/>
      <c r="B264" s="8"/>
      <c r="C264" s="8"/>
      <c r="D264" s="8"/>
      <c r="E264" s="8"/>
      <c r="F264" s="8"/>
      <c r="G264" s="8"/>
      <c r="H264" s="4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8"/>
      <c r="B265" s="8"/>
      <c r="C265" s="8"/>
      <c r="D265" s="8"/>
      <c r="E265" s="8"/>
      <c r="F265" s="8"/>
      <c r="G265" s="8"/>
      <c r="H265" s="4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8"/>
      <c r="B266" s="8"/>
      <c r="C266" s="8"/>
      <c r="D266" s="8"/>
      <c r="E266" s="8"/>
      <c r="F266" s="8"/>
      <c r="G266" s="8"/>
      <c r="H266" s="4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8"/>
      <c r="B267" s="8"/>
      <c r="C267" s="8"/>
      <c r="D267" s="8"/>
      <c r="E267" s="8"/>
      <c r="F267" s="8"/>
      <c r="G267" s="8"/>
      <c r="H267" s="4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8"/>
      <c r="B268" s="8"/>
      <c r="C268" s="8"/>
      <c r="D268" s="8"/>
      <c r="E268" s="8"/>
      <c r="F268" s="8"/>
      <c r="G268" s="8"/>
      <c r="H268" s="4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8"/>
      <c r="B269" s="8"/>
      <c r="C269" s="8"/>
      <c r="D269" s="8"/>
      <c r="E269" s="8"/>
      <c r="F269" s="8"/>
      <c r="G269" s="8"/>
      <c r="H269" s="4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8"/>
      <c r="B270" s="8"/>
      <c r="C270" s="8"/>
      <c r="D270" s="8"/>
      <c r="E270" s="8"/>
      <c r="F270" s="8"/>
      <c r="G270" s="8"/>
      <c r="H270" s="4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8"/>
      <c r="B271" s="8"/>
      <c r="C271" s="8"/>
      <c r="D271" s="8"/>
      <c r="E271" s="8"/>
      <c r="F271" s="8"/>
      <c r="G271" s="8"/>
      <c r="H271" s="4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8"/>
      <c r="B272" s="8"/>
      <c r="C272" s="8"/>
      <c r="D272" s="8"/>
      <c r="E272" s="8"/>
      <c r="F272" s="8"/>
      <c r="G272" s="8"/>
      <c r="H272" s="4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8"/>
      <c r="B273" s="8"/>
      <c r="C273" s="8"/>
      <c r="D273" s="8"/>
      <c r="E273" s="8"/>
      <c r="F273" s="8"/>
      <c r="G273" s="8"/>
      <c r="H273" s="4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8"/>
      <c r="B274" s="8"/>
      <c r="C274" s="8"/>
      <c r="D274" s="8"/>
      <c r="E274" s="8"/>
      <c r="F274" s="8"/>
      <c r="G274" s="8"/>
      <c r="H274" s="4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8"/>
      <c r="B275" s="8"/>
      <c r="C275" s="8"/>
      <c r="D275" s="8"/>
      <c r="E275" s="8"/>
      <c r="F275" s="8"/>
      <c r="G275" s="8"/>
      <c r="H275" s="4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8"/>
      <c r="B276" s="8"/>
      <c r="C276" s="8"/>
      <c r="D276" s="8"/>
      <c r="E276" s="8"/>
      <c r="F276" s="8"/>
      <c r="G276" s="8"/>
      <c r="H276" s="4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8"/>
      <c r="B277" s="8"/>
      <c r="C277" s="8"/>
      <c r="D277" s="8"/>
      <c r="E277" s="8"/>
      <c r="F277" s="8"/>
      <c r="G277" s="8"/>
      <c r="H277" s="4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8"/>
      <c r="B278" s="8"/>
      <c r="C278" s="8"/>
      <c r="D278" s="8"/>
      <c r="E278" s="8"/>
      <c r="F278" s="8"/>
      <c r="G278" s="8"/>
      <c r="H278" s="4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8"/>
      <c r="B279" s="8"/>
      <c r="C279" s="8"/>
      <c r="D279" s="8"/>
      <c r="E279" s="8"/>
      <c r="F279" s="8"/>
      <c r="G279" s="8"/>
      <c r="H279" s="4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8"/>
      <c r="B280" s="8"/>
      <c r="C280" s="8"/>
      <c r="D280" s="8"/>
      <c r="E280" s="8"/>
      <c r="F280" s="8"/>
      <c r="G280" s="8"/>
      <c r="H280" s="4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8"/>
      <c r="B281" s="8"/>
      <c r="C281" s="8"/>
      <c r="D281" s="8"/>
      <c r="E281" s="8"/>
      <c r="F281" s="8"/>
      <c r="G281" s="8"/>
      <c r="H281" s="4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8"/>
      <c r="B282" s="8"/>
      <c r="C282" s="8"/>
      <c r="D282" s="8"/>
      <c r="E282" s="8"/>
      <c r="F282" s="8"/>
      <c r="G282" s="8"/>
      <c r="H282" s="4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8"/>
      <c r="B283" s="8"/>
      <c r="C283" s="8"/>
      <c r="D283" s="8"/>
      <c r="E283" s="8"/>
      <c r="F283" s="8"/>
      <c r="G283" s="8"/>
      <c r="H283" s="4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8"/>
      <c r="B284" s="8"/>
      <c r="C284" s="8"/>
      <c r="D284" s="8"/>
      <c r="E284" s="8"/>
      <c r="F284" s="8"/>
      <c r="G284" s="8"/>
      <c r="H284" s="4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8"/>
      <c r="B285" s="8"/>
      <c r="C285" s="8"/>
      <c r="D285" s="8"/>
      <c r="E285" s="8"/>
      <c r="F285" s="8"/>
      <c r="G285" s="8"/>
      <c r="H285" s="4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8"/>
      <c r="B286" s="8"/>
      <c r="C286" s="8"/>
      <c r="D286" s="8"/>
      <c r="E286" s="8"/>
      <c r="F286" s="8"/>
      <c r="G286" s="8"/>
      <c r="H286" s="4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8"/>
      <c r="B287" s="8"/>
      <c r="C287" s="8"/>
      <c r="D287" s="8"/>
      <c r="E287" s="8"/>
      <c r="F287" s="8"/>
      <c r="G287" s="8"/>
      <c r="H287" s="4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8"/>
      <c r="B288" s="8"/>
      <c r="C288" s="8"/>
      <c r="D288" s="8"/>
      <c r="E288" s="8"/>
      <c r="F288" s="8"/>
      <c r="G288" s="8"/>
      <c r="H288" s="4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8"/>
      <c r="B289" s="8"/>
      <c r="C289" s="8"/>
      <c r="D289" s="8"/>
      <c r="E289" s="8"/>
      <c r="F289" s="8"/>
      <c r="G289" s="8"/>
      <c r="H289" s="4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8"/>
      <c r="B290" s="8"/>
      <c r="C290" s="8"/>
      <c r="D290" s="8"/>
      <c r="E290" s="8"/>
      <c r="F290" s="8"/>
      <c r="G290" s="8"/>
      <c r="H290" s="4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8"/>
      <c r="B291" s="8"/>
      <c r="C291" s="8"/>
      <c r="D291" s="8"/>
      <c r="E291" s="8"/>
      <c r="F291" s="8"/>
      <c r="G291" s="8"/>
      <c r="H291" s="4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8"/>
      <c r="B292" s="8"/>
      <c r="C292" s="8"/>
      <c r="D292" s="8"/>
      <c r="E292" s="8"/>
      <c r="F292" s="8"/>
      <c r="G292" s="8"/>
      <c r="H292" s="4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8"/>
      <c r="B293" s="8"/>
      <c r="C293" s="8"/>
      <c r="D293" s="8"/>
      <c r="E293" s="8"/>
      <c r="F293" s="8"/>
      <c r="G293" s="8"/>
      <c r="H293" s="4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8"/>
      <c r="B294" s="8"/>
      <c r="C294" s="8"/>
      <c r="D294" s="8"/>
      <c r="E294" s="8"/>
      <c r="F294" s="8"/>
      <c r="G294" s="8"/>
      <c r="H294" s="4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8"/>
      <c r="B295" s="8"/>
      <c r="C295" s="8"/>
      <c r="D295" s="8"/>
      <c r="E295" s="8"/>
      <c r="F295" s="8"/>
      <c r="G295" s="8"/>
      <c r="H295" s="4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8"/>
      <c r="B296" s="8"/>
      <c r="C296" s="8"/>
      <c r="D296" s="8"/>
      <c r="E296" s="8"/>
      <c r="F296" s="8"/>
      <c r="G296" s="8"/>
      <c r="H296" s="4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8"/>
      <c r="B297" s="8"/>
      <c r="C297" s="8"/>
      <c r="D297" s="8"/>
      <c r="E297" s="8"/>
      <c r="F297" s="8"/>
      <c r="G297" s="8"/>
      <c r="H297" s="4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8"/>
      <c r="B298" s="8"/>
      <c r="C298" s="8"/>
      <c r="D298" s="8"/>
      <c r="E298" s="8"/>
      <c r="F298" s="8"/>
      <c r="G298" s="8"/>
      <c r="H298" s="4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8"/>
      <c r="B299" s="8"/>
      <c r="C299" s="8"/>
      <c r="D299" s="8"/>
      <c r="E299" s="8"/>
      <c r="F299" s="8"/>
      <c r="G299" s="8"/>
      <c r="H299" s="4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8"/>
      <c r="B300" s="8"/>
      <c r="C300" s="8"/>
      <c r="D300" s="8"/>
      <c r="E300" s="8"/>
      <c r="F300" s="8"/>
      <c r="G300" s="8"/>
      <c r="H300" s="4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8"/>
      <c r="B301" s="8"/>
      <c r="C301" s="8"/>
      <c r="D301" s="8"/>
      <c r="E301" s="8"/>
      <c r="F301" s="8"/>
      <c r="G301" s="8"/>
      <c r="H301" s="4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8"/>
      <c r="B302" s="8"/>
      <c r="C302" s="8"/>
      <c r="D302" s="8"/>
      <c r="E302" s="8"/>
      <c r="F302" s="8"/>
      <c r="G302" s="8"/>
      <c r="H302" s="4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8"/>
      <c r="B303" s="8"/>
      <c r="C303" s="8"/>
      <c r="D303" s="8"/>
      <c r="E303" s="8"/>
      <c r="F303" s="8"/>
      <c r="G303" s="8"/>
      <c r="H303" s="4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8"/>
      <c r="B304" s="8"/>
      <c r="C304" s="8"/>
      <c r="D304" s="8"/>
      <c r="E304" s="8"/>
      <c r="F304" s="8"/>
      <c r="G304" s="8"/>
      <c r="H304" s="4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8"/>
      <c r="B305" s="8"/>
      <c r="C305" s="8"/>
      <c r="D305" s="8"/>
      <c r="E305" s="8"/>
      <c r="F305" s="8"/>
      <c r="G305" s="8"/>
      <c r="H305" s="4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8"/>
      <c r="B306" s="8"/>
      <c r="C306" s="8"/>
      <c r="D306" s="8"/>
      <c r="E306" s="8"/>
      <c r="F306" s="8"/>
      <c r="G306" s="8"/>
      <c r="H306" s="4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8"/>
      <c r="B307" s="8"/>
      <c r="C307" s="8"/>
      <c r="D307" s="8"/>
      <c r="E307" s="8"/>
      <c r="F307" s="8"/>
      <c r="G307" s="8"/>
      <c r="H307" s="4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8"/>
      <c r="B308" s="8"/>
      <c r="C308" s="8"/>
      <c r="D308" s="8"/>
      <c r="E308" s="8"/>
      <c r="F308" s="8"/>
      <c r="G308" s="8"/>
      <c r="H308" s="4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8"/>
      <c r="B309" s="8"/>
      <c r="C309" s="8"/>
      <c r="D309" s="8"/>
      <c r="E309" s="8"/>
      <c r="F309" s="8"/>
      <c r="G309" s="8"/>
      <c r="H309" s="4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8"/>
      <c r="B310" s="8"/>
      <c r="C310" s="8"/>
      <c r="D310" s="8"/>
      <c r="E310" s="8"/>
      <c r="F310" s="8"/>
      <c r="G310" s="8"/>
      <c r="H310" s="4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8"/>
      <c r="B311" s="8"/>
      <c r="C311" s="8"/>
      <c r="D311" s="8"/>
      <c r="E311" s="8"/>
      <c r="F311" s="8"/>
      <c r="G311" s="8"/>
      <c r="H311" s="4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8"/>
      <c r="B312" s="8"/>
      <c r="C312" s="8"/>
      <c r="D312" s="8"/>
      <c r="E312" s="8"/>
      <c r="F312" s="8"/>
      <c r="G312" s="8"/>
      <c r="H312" s="4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8"/>
      <c r="B313" s="8"/>
      <c r="C313" s="8"/>
      <c r="D313" s="8"/>
      <c r="E313" s="8"/>
      <c r="F313" s="8"/>
      <c r="G313" s="8"/>
      <c r="H313" s="4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8"/>
      <c r="B314" s="8"/>
      <c r="C314" s="8"/>
      <c r="D314" s="8"/>
      <c r="E314" s="8"/>
      <c r="F314" s="8"/>
      <c r="G314" s="8"/>
      <c r="H314" s="4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8"/>
      <c r="B315" s="8"/>
      <c r="C315" s="8"/>
      <c r="D315" s="8"/>
      <c r="E315" s="8"/>
      <c r="F315" s="8"/>
      <c r="G315" s="8"/>
      <c r="H315" s="4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8"/>
      <c r="B316" s="8"/>
      <c r="C316" s="8"/>
      <c r="D316" s="8"/>
      <c r="E316" s="8"/>
      <c r="F316" s="8"/>
      <c r="G316" s="8"/>
      <c r="H316" s="4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8"/>
      <c r="B317" s="8"/>
      <c r="C317" s="8"/>
      <c r="D317" s="8"/>
      <c r="E317" s="8"/>
      <c r="F317" s="8"/>
      <c r="G317" s="8"/>
      <c r="H317" s="4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8"/>
      <c r="B318" s="8"/>
      <c r="C318" s="8"/>
      <c r="D318" s="8"/>
      <c r="E318" s="8"/>
      <c r="F318" s="8"/>
      <c r="G318" s="8"/>
      <c r="H318" s="4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8"/>
      <c r="B319" s="8"/>
      <c r="C319" s="8"/>
      <c r="D319" s="8"/>
      <c r="E319" s="8"/>
      <c r="F319" s="8"/>
      <c r="G319" s="8"/>
      <c r="H319" s="4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8"/>
      <c r="B320" s="8"/>
      <c r="C320" s="8"/>
      <c r="D320" s="8"/>
      <c r="E320" s="8"/>
      <c r="F320" s="8"/>
      <c r="G320" s="8"/>
      <c r="H320" s="4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8"/>
      <c r="B321" s="8"/>
      <c r="C321" s="8"/>
      <c r="D321" s="8"/>
      <c r="E321" s="8"/>
      <c r="F321" s="8"/>
      <c r="G321" s="8"/>
      <c r="H321" s="4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8"/>
      <c r="B322" s="8"/>
      <c r="C322" s="8"/>
      <c r="D322" s="8"/>
      <c r="E322" s="8"/>
      <c r="F322" s="8"/>
      <c r="G322" s="8"/>
      <c r="H322" s="4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8"/>
      <c r="B323" s="8"/>
      <c r="C323" s="8"/>
      <c r="D323" s="8"/>
      <c r="E323" s="8"/>
      <c r="F323" s="8"/>
      <c r="G323" s="8"/>
      <c r="H323" s="4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8"/>
      <c r="B324" s="8"/>
      <c r="C324" s="8"/>
      <c r="D324" s="8"/>
      <c r="E324" s="8"/>
      <c r="F324" s="8"/>
      <c r="G324" s="8"/>
      <c r="H324" s="4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8"/>
      <c r="B325" s="8"/>
      <c r="C325" s="8"/>
      <c r="D325" s="8"/>
      <c r="E325" s="8"/>
      <c r="F325" s="8"/>
      <c r="G325" s="8"/>
      <c r="H325" s="4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8"/>
      <c r="B326" s="8"/>
      <c r="C326" s="8"/>
      <c r="D326" s="8"/>
      <c r="E326" s="8"/>
      <c r="F326" s="8"/>
      <c r="G326" s="8"/>
      <c r="H326" s="4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8"/>
      <c r="B327" s="8"/>
      <c r="C327" s="8"/>
      <c r="D327" s="8"/>
      <c r="E327" s="8"/>
      <c r="F327" s="8"/>
      <c r="G327" s="8"/>
      <c r="H327" s="4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8"/>
      <c r="B328" s="8"/>
      <c r="C328" s="8"/>
      <c r="D328" s="8"/>
      <c r="E328" s="8"/>
      <c r="F328" s="8"/>
      <c r="G328" s="8"/>
      <c r="H328" s="4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8"/>
      <c r="B329" s="8"/>
      <c r="C329" s="8"/>
      <c r="D329" s="8"/>
      <c r="E329" s="8"/>
      <c r="F329" s="8"/>
      <c r="G329" s="8"/>
      <c r="H329" s="4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8"/>
      <c r="B330" s="8"/>
      <c r="C330" s="8"/>
      <c r="D330" s="8"/>
      <c r="E330" s="8"/>
      <c r="F330" s="8"/>
      <c r="G330" s="8"/>
      <c r="H330" s="4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8"/>
      <c r="B331" s="8"/>
      <c r="C331" s="8"/>
      <c r="D331" s="8"/>
      <c r="E331" s="8"/>
      <c r="F331" s="8"/>
      <c r="G331" s="8"/>
      <c r="H331" s="4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8"/>
      <c r="B332" s="8"/>
      <c r="C332" s="8"/>
      <c r="D332" s="8"/>
      <c r="E332" s="8"/>
      <c r="F332" s="8"/>
      <c r="G332" s="8"/>
      <c r="H332" s="4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8"/>
      <c r="B333" s="8"/>
      <c r="C333" s="8"/>
      <c r="D333" s="8"/>
      <c r="E333" s="8"/>
      <c r="F333" s="8"/>
      <c r="G333" s="8"/>
      <c r="H333" s="4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8"/>
      <c r="B334" s="8"/>
      <c r="C334" s="8"/>
      <c r="D334" s="8"/>
      <c r="E334" s="8"/>
      <c r="F334" s="8"/>
      <c r="G334" s="8"/>
      <c r="H334" s="4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8"/>
      <c r="B335" s="8"/>
      <c r="C335" s="8"/>
      <c r="D335" s="8"/>
      <c r="E335" s="8"/>
      <c r="F335" s="8"/>
      <c r="G335" s="8"/>
      <c r="H335" s="4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8"/>
      <c r="B336" s="8"/>
      <c r="C336" s="8"/>
      <c r="D336" s="8"/>
      <c r="E336" s="8"/>
      <c r="F336" s="8"/>
      <c r="G336" s="8"/>
      <c r="H336" s="4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8"/>
      <c r="B337" s="8"/>
      <c r="C337" s="8"/>
      <c r="D337" s="8"/>
      <c r="E337" s="8"/>
      <c r="F337" s="8"/>
      <c r="G337" s="8"/>
      <c r="H337" s="4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8"/>
      <c r="B338" s="8"/>
      <c r="C338" s="8"/>
      <c r="D338" s="8"/>
      <c r="E338" s="8"/>
      <c r="F338" s="8"/>
      <c r="G338" s="8"/>
      <c r="H338" s="4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8"/>
      <c r="B339" s="8"/>
      <c r="C339" s="8"/>
      <c r="D339" s="8"/>
      <c r="E339" s="8"/>
      <c r="F339" s="8"/>
      <c r="G339" s="8"/>
      <c r="H339" s="4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8"/>
      <c r="B340" s="8"/>
      <c r="C340" s="8"/>
      <c r="D340" s="8"/>
      <c r="E340" s="8"/>
      <c r="F340" s="8"/>
      <c r="G340" s="8"/>
      <c r="H340" s="4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8"/>
      <c r="B341" s="8"/>
      <c r="C341" s="8"/>
      <c r="D341" s="8"/>
      <c r="E341" s="8"/>
      <c r="F341" s="8"/>
      <c r="G341" s="8"/>
      <c r="H341" s="4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8"/>
      <c r="B342" s="8"/>
      <c r="C342" s="8"/>
      <c r="D342" s="8"/>
      <c r="E342" s="8"/>
      <c r="F342" s="8"/>
      <c r="G342" s="8"/>
      <c r="H342" s="4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8"/>
      <c r="B343" s="8"/>
      <c r="C343" s="8"/>
      <c r="D343" s="8"/>
      <c r="E343" s="8"/>
      <c r="F343" s="8"/>
      <c r="G343" s="8"/>
      <c r="H343" s="4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8"/>
      <c r="B344" s="8"/>
      <c r="C344" s="8"/>
      <c r="D344" s="8"/>
      <c r="E344" s="8"/>
      <c r="F344" s="8"/>
      <c r="G344" s="8"/>
      <c r="H344" s="4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8"/>
      <c r="B345" s="8"/>
      <c r="C345" s="8"/>
      <c r="D345" s="8"/>
      <c r="E345" s="8"/>
      <c r="F345" s="8"/>
      <c r="G345" s="8"/>
      <c r="H345" s="4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8"/>
      <c r="B346" s="8"/>
      <c r="C346" s="8"/>
      <c r="D346" s="8"/>
      <c r="E346" s="8"/>
      <c r="F346" s="8"/>
      <c r="G346" s="8"/>
      <c r="H346" s="4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8"/>
      <c r="B347" s="8"/>
      <c r="C347" s="8"/>
      <c r="D347" s="8"/>
      <c r="E347" s="8"/>
      <c r="F347" s="8"/>
      <c r="G347" s="8"/>
      <c r="H347" s="4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8"/>
      <c r="B348" s="8"/>
      <c r="C348" s="8"/>
      <c r="D348" s="8"/>
      <c r="E348" s="8"/>
      <c r="F348" s="8"/>
      <c r="G348" s="8"/>
      <c r="H348" s="4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8"/>
      <c r="B349" s="8"/>
      <c r="C349" s="8"/>
      <c r="D349" s="8"/>
      <c r="E349" s="8"/>
      <c r="F349" s="8"/>
      <c r="G349" s="8"/>
      <c r="H349" s="4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8"/>
      <c r="B350" s="8"/>
      <c r="C350" s="8"/>
      <c r="D350" s="8"/>
      <c r="E350" s="8"/>
      <c r="F350" s="8"/>
      <c r="G350" s="8"/>
      <c r="H350" s="4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8"/>
      <c r="B351" s="8"/>
      <c r="C351" s="8"/>
      <c r="D351" s="8"/>
      <c r="E351" s="8"/>
      <c r="F351" s="8"/>
      <c r="G351" s="8"/>
      <c r="H351" s="4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8"/>
      <c r="B352" s="8"/>
      <c r="C352" s="8"/>
      <c r="D352" s="8"/>
      <c r="E352" s="8"/>
      <c r="F352" s="8"/>
      <c r="G352" s="8"/>
      <c r="H352" s="4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8"/>
      <c r="B353" s="8"/>
      <c r="C353" s="8"/>
      <c r="D353" s="8"/>
      <c r="E353" s="8"/>
      <c r="F353" s="8"/>
      <c r="G353" s="8"/>
      <c r="H353" s="4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8"/>
      <c r="B354" s="8"/>
      <c r="C354" s="8"/>
      <c r="D354" s="8"/>
      <c r="E354" s="8"/>
      <c r="F354" s="8"/>
      <c r="G354" s="8"/>
      <c r="H354" s="4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8"/>
      <c r="B355" s="8"/>
      <c r="C355" s="8"/>
      <c r="D355" s="8"/>
      <c r="E355" s="8"/>
      <c r="F355" s="8"/>
      <c r="G355" s="8"/>
      <c r="H355" s="4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8"/>
      <c r="B356" s="8"/>
      <c r="C356" s="8"/>
      <c r="D356" s="8"/>
      <c r="E356" s="8"/>
      <c r="F356" s="8"/>
      <c r="G356" s="8"/>
      <c r="H356" s="4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8"/>
      <c r="B357" s="8"/>
      <c r="C357" s="8"/>
      <c r="D357" s="8"/>
      <c r="E357" s="8"/>
      <c r="F357" s="8"/>
      <c r="G357" s="8"/>
      <c r="H357" s="4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8"/>
      <c r="B358" s="8"/>
      <c r="C358" s="8"/>
      <c r="D358" s="8"/>
      <c r="E358" s="8"/>
      <c r="F358" s="8"/>
      <c r="G358" s="8"/>
      <c r="H358" s="4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8"/>
      <c r="B359" s="8"/>
      <c r="C359" s="8"/>
      <c r="D359" s="8"/>
      <c r="E359" s="8"/>
      <c r="F359" s="8"/>
      <c r="G359" s="8"/>
      <c r="H359" s="4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8"/>
      <c r="B360" s="8"/>
      <c r="C360" s="8"/>
      <c r="D360" s="8"/>
      <c r="E360" s="8"/>
      <c r="F360" s="8"/>
      <c r="G360" s="8"/>
      <c r="H360" s="4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8"/>
      <c r="B361" s="8"/>
      <c r="C361" s="8"/>
      <c r="D361" s="8"/>
      <c r="E361" s="8"/>
      <c r="F361" s="8"/>
      <c r="G361" s="8"/>
      <c r="H361" s="4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8"/>
      <c r="B362" s="8"/>
      <c r="C362" s="8"/>
      <c r="D362" s="8"/>
      <c r="E362" s="8"/>
      <c r="F362" s="8"/>
      <c r="G362" s="8"/>
      <c r="H362" s="4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8"/>
      <c r="B363" s="8"/>
      <c r="C363" s="8"/>
      <c r="D363" s="8"/>
      <c r="E363" s="8"/>
      <c r="F363" s="8"/>
      <c r="G363" s="8"/>
      <c r="H363" s="4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8"/>
      <c r="B364" s="8"/>
      <c r="C364" s="8"/>
      <c r="D364" s="8"/>
      <c r="E364" s="8"/>
      <c r="F364" s="8"/>
      <c r="G364" s="8"/>
      <c r="H364" s="4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8"/>
      <c r="B365" s="8"/>
      <c r="C365" s="8"/>
      <c r="D365" s="8"/>
      <c r="E365" s="8"/>
      <c r="F365" s="8"/>
      <c r="G365" s="8"/>
      <c r="H365" s="4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8"/>
      <c r="B366" s="8"/>
      <c r="C366" s="8"/>
      <c r="D366" s="8"/>
      <c r="E366" s="8"/>
      <c r="F366" s="8"/>
      <c r="G366" s="8"/>
      <c r="H366" s="4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8"/>
      <c r="B367" s="8"/>
      <c r="C367" s="8"/>
      <c r="D367" s="8"/>
      <c r="E367" s="8"/>
      <c r="F367" s="8"/>
      <c r="G367" s="8"/>
      <c r="H367" s="4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8"/>
      <c r="B368" s="8"/>
      <c r="C368" s="8"/>
      <c r="D368" s="8"/>
      <c r="E368" s="8"/>
      <c r="F368" s="8"/>
      <c r="G368" s="8"/>
      <c r="H368" s="4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8"/>
      <c r="B369" s="8"/>
      <c r="C369" s="8"/>
      <c r="D369" s="8"/>
      <c r="E369" s="8"/>
      <c r="F369" s="8"/>
      <c r="G369" s="8"/>
      <c r="H369" s="4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8"/>
      <c r="B370" s="8"/>
      <c r="C370" s="8"/>
      <c r="D370" s="8"/>
      <c r="E370" s="8"/>
      <c r="F370" s="8"/>
      <c r="G370" s="8"/>
      <c r="H370" s="4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8"/>
      <c r="B371" s="8"/>
      <c r="C371" s="8"/>
      <c r="D371" s="8"/>
      <c r="E371" s="8"/>
      <c r="F371" s="8"/>
      <c r="G371" s="8"/>
      <c r="H371" s="4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8"/>
      <c r="B372" s="8"/>
      <c r="C372" s="8"/>
      <c r="D372" s="8"/>
      <c r="E372" s="8"/>
      <c r="F372" s="8"/>
      <c r="G372" s="8"/>
      <c r="H372" s="4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8"/>
      <c r="B373" s="8"/>
      <c r="C373" s="8"/>
      <c r="D373" s="8"/>
      <c r="E373" s="8"/>
      <c r="F373" s="8"/>
      <c r="G373" s="8"/>
      <c r="H373" s="4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8"/>
      <c r="B374" s="8"/>
      <c r="C374" s="8"/>
      <c r="D374" s="8"/>
      <c r="E374" s="8"/>
      <c r="F374" s="8"/>
      <c r="G374" s="8"/>
      <c r="H374" s="4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8"/>
      <c r="B375" s="8"/>
      <c r="C375" s="8"/>
      <c r="D375" s="8"/>
      <c r="E375" s="8"/>
      <c r="F375" s="8"/>
      <c r="G375" s="8"/>
      <c r="H375" s="4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8"/>
      <c r="B376" s="8"/>
      <c r="C376" s="8"/>
      <c r="D376" s="8"/>
      <c r="E376" s="8"/>
      <c r="F376" s="8"/>
      <c r="G376" s="8"/>
      <c r="H376" s="4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8"/>
      <c r="B377" s="8"/>
      <c r="C377" s="8"/>
      <c r="D377" s="8"/>
      <c r="E377" s="8"/>
      <c r="F377" s="8"/>
      <c r="G377" s="8"/>
      <c r="H377" s="4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8"/>
      <c r="B378" s="8"/>
      <c r="C378" s="8"/>
      <c r="D378" s="8"/>
      <c r="E378" s="8"/>
      <c r="F378" s="8"/>
      <c r="G378" s="8"/>
      <c r="H378" s="4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8"/>
      <c r="B379" s="8"/>
      <c r="C379" s="8"/>
      <c r="D379" s="8"/>
      <c r="E379" s="8"/>
      <c r="F379" s="8"/>
      <c r="G379" s="8"/>
      <c r="H379" s="4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8"/>
      <c r="B380" s="8"/>
      <c r="C380" s="8"/>
      <c r="D380" s="8"/>
      <c r="E380" s="8"/>
      <c r="F380" s="8"/>
      <c r="G380" s="8"/>
      <c r="H380" s="4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8"/>
      <c r="B381" s="8"/>
      <c r="C381" s="8"/>
      <c r="D381" s="8"/>
      <c r="E381" s="8"/>
      <c r="F381" s="8"/>
      <c r="G381" s="8"/>
      <c r="H381" s="4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8"/>
      <c r="B382" s="8"/>
      <c r="C382" s="8"/>
      <c r="D382" s="8"/>
      <c r="E382" s="8"/>
      <c r="F382" s="8"/>
      <c r="G382" s="8"/>
      <c r="H382" s="4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8"/>
      <c r="B383" s="8"/>
      <c r="C383" s="8"/>
      <c r="D383" s="8"/>
      <c r="E383" s="8"/>
      <c r="F383" s="8"/>
      <c r="G383" s="8"/>
      <c r="H383" s="4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8"/>
      <c r="B384" s="8"/>
      <c r="C384" s="8"/>
      <c r="D384" s="8"/>
      <c r="E384" s="8"/>
      <c r="F384" s="8"/>
      <c r="G384" s="8"/>
      <c r="H384" s="4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8"/>
      <c r="B385" s="8"/>
      <c r="C385" s="8"/>
      <c r="D385" s="8"/>
      <c r="E385" s="8"/>
      <c r="F385" s="8"/>
      <c r="G385" s="8"/>
      <c r="H385" s="4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8"/>
      <c r="B386" s="8"/>
      <c r="C386" s="8"/>
      <c r="D386" s="8"/>
      <c r="E386" s="8"/>
      <c r="F386" s="8"/>
      <c r="G386" s="8"/>
      <c r="H386" s="4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8"/>
      <c r="B387" s="8"/>
      <c r="C387" s="8"/>
      <c r="D387" s="8"/>
      <c r="E387" s="8"/>
      <c r="F387" s="8"/>
      <c r="G387" s="8"/>
      <c r="H387" s="4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8"/>
      <c r="B388" s="8"/>
      <c r="C388" s="8"/>
      <c r="D388" s="8"/>
      <c r="E388" s="8"/>
      <c r="F388" s="8"/>
      <c r="G388" s="8"/>
      <c r="H388" s="4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8"/>
      <c r="B389" s="8"/>
      <c r="C389" s="8"/>
      <c r="D389" s="8"/>
      <c r="E389" s="8"/>
      <c r="F389" s="8"/>
      <c r="G389" s="8"/>
      <c r="H389" s="4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8"/>
      <c r="B390" s="8"/>
      <c r="C390" s="8"/>
      <c r="D390" s="8"/>
      <c r="E390" s="8"/>
      <c r="F390" s="8"/>
      <c r="G390" s="8"/>
      <c r="H390" s="4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8"/>
      <c r="B391" s="8"/>
      <c r="C391" s="8"/>
      <c r="D391" s="8"/>
      <c r="E391" s="8"/>
      <c r="F391" s="8"/>
      <c r="G391" s="8"/>
      <c r="H391" s="4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8"/>
      <c r="B392" s="8"/>
      <c r="C392" s="8"/>
      <c r="D392" s="8"/>
      <c r="E392" s="8"/>
      <c r="F392" s="8"/>
      <c r="G392" s="8"/>
      <c r="H392" s="4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8"/>
      <c r="B393" s="8"/>
      <c r="C393" s="8"/>
      <c r="D393" s="8"/>
      <c r="E393" s="8"/>
      <c r="F393" s="8"/>
      <c r="G393" s="8"/>
      <c r="H393" s="4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8"/>
      <c r="B394" s="8"/>
      <c r="C394" s="8"/>
      <c r="D394" s="8"/>
      <c r="E394" s="8"/>
      <c r="F394" s="8"/>
      <c r="G394" s="8"/>
      <c r="H394" s="4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8"/>
      <c r="B395" s="8"/>
      <c r="C395" s="8"/>
      <c r="D395" s="8"/>
      <c r="E395" s="8"/>
      <c r="F395" s="8"/>
      <c r="G395" s="8"/>
      <c r="H395" s="4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8"/>
      <c r="B396" s="8"/>
      <c r="C396" s="8"/>
      <c r="D396" s="8"/>
      <c r="E396" s="8"/>
      <c r="F396" s="8"/>
      <c r="G396" s="8"/>
      <c r="H396" s="4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8"/>
      <c r="B397" s="8"/>
      <c r="C397" s="8"/>
      <c r="D397" s="8"/>
      <c r="E397" s="8"/>
      <c r="F397" s="8"/>
      <c r="G397" s="8"/>
      <c r="H397" s="4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8"/>
      <c r="B398" s="8"/>
      <c r="C398" s="8"/>
      <c r="D398" s="8"/>
      <c r="E398" s="8"/>
      <c r="F398" s="8"/>
      <c r="G398" s="8"/>
      <c r="H398" s="4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8"/>
      <c r="B399" s="8"/>
      <c r="C399" s="8"/>
      <c r="D399" s="8"/>
      <c r="E399" s="8"/>
      <c r="F399" s="8"/>
      <c r="G399" s="8"/>
      <c r="H399" s="4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8"/>
      <c r="B400" s="8"/>
      <c r="C400" s="8"/>
      <c r="D400" s="8"/>
      <c r="E400" s="8"/>
      <c r="F400" s="8"/>
      <c r="G400" s="8"/>
      <c r="H400" s="4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8"/>
      <c r="B401" s="8"/>
      <c r="C401" s="8"/>
      <c r="D401" s="8"/>
      <c r="E401" s="8"/>
      <c r="F401" s="8"/>
      <c r="G401" s="8"/>
      <c r="H401" s="4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8"/>
      <c r="B402" s="8"/>
      <c r="C402" s="8"/>
      <c r="D402" s="8"/>
      <c r="E402" s="8"/>
      <c r="F402" s="8"/>
      <c r="G402" s="8"/>
      <c r="H402" s="4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8"/>
      <c r="B403" s="8"/>
      <c r="C403" s="8"/>
      <c r="D403" s="8"/>
      <c r="E403" s="8"/>
      <c r="F403" s="8"/>
      <c r="G403" s="8"/>
      <c r="H403" s="4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8"/>
      <c r="B404" s="8"/>
      <c r="C404" s="8"/>
      <c r="D404" s="8"/>
      <c r="E404" s="8"/>
      <c r="F404" s="8"/>
      <c r="G404" s="8"/>
      <c r="H404" s="4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8"/>
      <c r="B405" s="8"/>
      <c r="C405" s="8"/>
      <c r="D405" s="8"/>
      <c r="E405" s="8"/>
      <c r="F405" s="8"/>
      <c r="G405" s="8"/>
      <c r="H405" s="4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8"/>
      <c r="B406" s="8"/>
      <c r="C406" s="8"/>
      <c r="D406" s="8"/>
      <c r="E406" s="8"/>
      <c r="F406" s="8"/>
      <c r="G406" s="8"/>
      <c r="H406" s="4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8"/>
      <c r="B407" s="8"/>
      <c r="C407" s="8"/>
      <c r="D407" s="8"/>
      <c r="E407" s="8"/>
      <c r="F407" s="8"/>
      <c r="G407" s="8"/>
      <c r="H407" s="4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8"/>
      <c r="B408" s="8"/>
      <c r="C408" s="8"/>
      <c r="D408" s="8"/>
      <c r="E408" s="8"/>
      <c r="F408" s="8"/>
      <c r="G408" s="8"/>
      <c r="H408" s="4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8"/>
      <c r="B409" s="8"/>
      <c r="C409" s="8"/>
      <c r="D409" s="8"/>
      <c r="E409" s="8"/>
      <c r="F409" s="8"/>
      <c r="G409" s="8"/>
      <c r="H409" s="4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8"/>
      <c r="B410" s="8"/>
      <c r="C410" s="8"/>
      <c r="D410" s="8"/>
      <c r="E410" s="8"/>
      <c r="F410" s="8"/>
      <c r="G410" s="8"/>
      <c r="H410" s="4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8"/>
      <c r="B411" s="8"/>
      <c r="C411" s="8"/>
      <c r="D411" s="8"/>
      <c r="E411" s="8"/>
      <c r="F411" s="8"/>
      <c r="G411" s="8"/>
      <c r="H411" s="4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8"/>
      <c r="B412" s="8"/>
      <c r="C412" s="8"/>
      <c r="D412" s="8"/>
      <c r="E412" s="8"/>
      <c r="F412" s="8"/>
      <c r="G412" s="8"/>
      <c r="H412" s="4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8"/>
      <c r="B413" s="8"/>
      <c r="C413" s="8"/>
      <c r="D413" s="8"/>
      <c r="E413" s="8"/>
      <c r="F413" s="8"/>
      <c r="G413" s="8"/>
      <c r="H413" s="4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8"/>
      <c r="B414" s="8"/>
      <c r="C414" s="8"/>
      <c r="D414" s="8"/>
      <c r="E414" s="8"/>
      <c r="F414" s="8"/>
      <c r="G414" s="8"/>
      <c r="H414" s="4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8"/>
      <c r="B415" s="8"/>
      <c r="C415" s="8"/>
      <c r="D415" s="8"/>
      <c r="E415" s="8"/>
      <c r="F415" s="8"/>
      <c r="G415" s="8"/>
      <c r="H415" s="4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8"/>
      <c r="B416" s="8"/>
      <c r="C416" s="8"/>
      <c r="D416" s="8"/>
      <c r="E416" s="8"/>
      <c r="F416" s="8"/>
      <c r="G416" s="8"/>
      <c r="H416" s="4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8"/>
      <c r="B417" s="8"/>
      <c r="C417" s="8"/>
      <c r="D417" s="8"/>
      <c r="E417" s="8"/>
      <c r="F417" s="8"/>
      <c r="G417" s="8"/>
      <c r="H417" s="4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8"/>
      <c r="B418" s="8"/>
      <c r="C418" s="8"/>
      <c r="D418" s="8"/>
      <c r="E418" s="8"/>
      <c r="F418" s="8"/>
      <c r="G418" s="8"/>
      <c r="H418" s="4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8"/>
      <c r="B419" s="8"/>
      <c r="C419" s="8"/>
      <c r="D419" s="8"/>
      <c r="E419" s="8"/>
      <c r="F419" s="8"/>
      <c r="G419" s="8"/>
      <c r="H419" s="4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8"/>
      <c r="B420" s="8"/>
      <c r="C420" s="8"/>
      <c r="D420" s="8"/>
      <c r="E420" s="8"/>
      <c r="F420" s="8"/>
      <c r="G420" s="8"/>
      <c r="H420" s="4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8"/>
      <c r="B421" s="8"/>
      <c r="C421" s="8"/>
      <c r="D421" s="8"/>
      <c r="E421" s="8"/>
      <c r="F421" s="8"/>
      <c r="G421" s="8"/>
      <c r="H421" s="4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8"/>
      <c r="B422" s="8"/>
      <c r="C422" s="8"/>
      <c r="D422" s="8"/>
      <c r="E422" s="8"/>
      <c r="F422" s="8"/>
      <c r="G422" s="8"/>
      <c r="H422" s="4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8"/>
      <c r="B423" s="8"/>
      <c r="C423" s="8"/>
      <c r="D423" s="8"/>
      <c r="E423" s="8"/>
      <c r="F423" s="8"/>
      <c r="G423" s="8"/>
      <c r="H423" s="4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8"/>
      <c r="B424" s="8"/>
      <c r="C424" s="8"/>
      <c r="D424" s="8"/>
      <c r="E424" s="8"/>
      <c r="F424" s="8"/>
      <c r="G424" s="8"/>
      <c r="H424" s="4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8"/>
      <c r="B425" s="8"/>
      <c r="C425" s="8"/>
      <c r="D425" s="8"/>
      <c r="E425" s="8"/>
      <c r="F425" s="8"/>
      <c r="G425" s="8"/>
      <c r="H425" s="4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8"/>
      <c r="B426" s="8"/>
      <c r="C426" s="8"/>
      <c r="D426" s="8"/>
      <c r="E426" s="8"/>
      <c r="F426" s="8"/>
      <c r="G426" s="8"/>
      <c r="H426" s="4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8"/>
      <c r="B427" s="8"/>
      <c r="C427" s="8"/>
      <c r="D427" s="8"/>
      <c r="E427" s="8"/>
      <c r="F427" s="8"/>
      <c r="G427" s="8"/>
      <c r="H427" s="4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8"/>
      <c r="B428" s="8"/>
      <c r="C428" s="8"/>
      <c r="D428" s="8"/>
      <c r="E428" s="8"/>
      <c r="F428" s="8"/>
      <c r="G428" s="8"/>
      <c r="H428" s="4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8"/>
      <c r="B429" s="8"/>
      <c r="C429" s="8"/>
      <c r="D429" s="8"/>
      <c r="E429" s="8"/>
      <c r="F429" s="8"/>
      <c r="G429" s="8"/>
      <c r="H429" s="4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8"/>
      <c r="B430" s="8"/>
      <c r="C430" s="8"/>
      <c r="D430" s="8"/>
      <c r="E430" s="8"/>
      <c r="F430" s="8"/>
      <c r="G430" s="8"/>
      <c r="H430" s="4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8"/>
      <c r="B431" s="8"/>
      <c r="C431" s="8"/>
      <c r="D431" s="8"/>
      <c r="E431" s="8"/>
      <c r="F431" s="8"/>
      <c r="G431" s="8"/>
      <c r="H431" s="4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8"/>
      <c r="B432" s="8"/>
      <c r="C432" s="8"/>
      <c r="D432" s="8"/>
      <c r="E432" s="8"/>
      <c r="F432" s="8"/>
      <c r="G432" s="8"/>
      <c r="H432" s="4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8"/>
      <c r="B433" s="8"/>
      <c r="C433" s="8"/>
      <c r="D433" s="8"/>
      <c r="E433" s="8"/>
      <c r="F433" s="8"/>
      <c r="G433" s="8"/>
      <c r="H433" s="4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8"/>
      <c r="B434" s="8"/>
      <c r="C434" s="8"/>
      <c r="D434" s="8"/>
      <c r="E434" s="8"/>
      <c r="F434" s="8"/>
      <c r="G434" s="8"/>
      <c r="H434" s="4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8"/>
      <c r="B435" s="8"/>
      <c r="C435" s="8"/>
      <c r="D435" s="8"/>
      <c r="E435" s="8"/>
      <c r="F435" s="8"/>
      <c r="G435" s="8"/>
      <c r="H435" s="4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8"/>
      <c r="B436" s="8"/>
      <c r="C436" s="8"/>
      <c r="D436" s="8"/>
      <c r="E436" s="8"/>
      <c r="F436" s="8"/>
      <c r="G436" s="8"/>
      <c r="H436" s="4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8"/>
      <c r="B437" s="8"/>
      <c r="C437" s="8"/>
      <c r="D437" s="8"/>
      <c r="E437" s="8"/>
      <c r="F437" s="8"/>
      <c r="G437" s="8"/>
      <c r="H437" s="4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8"/>
      <c r="B438" s="8"/>
      <c r="C438" s="8"/>
      <c r="D438" s="8"/>
      <c r="E438" s="8"/>
      <c r="F438" s="8"/>
      <c r="G438" s="8"/>
      <c r="H438" s="4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8"/>
      <c r="B439" s="8"/>
      <c r="C439" s="8"/>
      <c r="D439" s="8"/>
      <c r="E439" s="8"/>
      <c r="F439" s="8"/>
      <c r="G439" s="8"/>
      <c r="H439" s="4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8"/>
      <c r="B440" s="8"/>
      <c r="C440" s="8"/>
      <c r="D440" s="8"/>
      <c r="E440" s="8"/>
      <c r="F440" s="8"/>
      <c r="G440" s="8"/>
      <c r="H440" s="4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8"/>
      <c r="B441" s="8"/>
      <c r="C441" s="8"/>
      <c r="D441" s="8"/>
      <c r="E441" s="8"/>
      <c r="F441" s="8"/>
      <c r="G441" s="8"/>
      <c r="H441" s="4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8"/>
      <c r="B442" s="8"/>
      <c r="C442" s="8"/>
      <c r="D442" s="8"/>
      <c r="E442" s="8"/>
      <c r="F442" s="8"/>
      <c r="G442" s="8"/>
      <c r="H442" s="4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8"/>
      <c r="B443" s="8"/>
      <c r="C443" s="8"/>
      <c r="D443" s="8"/>
      <c r="E443" s="8"/>
      <c r="F443" s="8"/>
      <c r="G443" s="8"/>
      <c r="H443" s="4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8"/>
      <c r="B444" s="8"/>
      <c r="C444" s="8"/>
      <c r="D444" s="8"/>
      <c r="E444" s="8"/>
      <c r="F444" s="8"/>
      <c r="G444" s="8"/>
      <c r="H444" s="4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8"/>
      <c r="B445" s="8"/>
      <c r="C445" s="8"/>
      <c r="D445" s="8"/>
      <c r="E445" s="8"/>
      <c r="F445" s="8"/>
      <c r="G445" s="8"/>
      <c r="H445" s="4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8"/>
      <c r="B446" s="8"/>
      <c r="C446" s="8"/>
      <c r="D446" s="8"/>
      <c r="E446" s="8"/>
      <c r="F446" s="8"/>
      <c r="G446" s="8"/>
      <c r="H446" s="4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8"/>
      <c r="B447" s="8"/>
      <c r="C447" s="8"/>
      <c r="D447" s="8"/>
      <c r="E447" s="8"/>
      <c r="F447" s="8"/>
      <c r="G447" s="8"/>
      <c r="H447" s="4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8"/>
      <c r="B448" s="8"/>
      <c r="C448" s="8"/>
      <c r="D448" s="8"/>
      <c r="E448" s="8"/>
      <c r="F448" s="8"/>
      <c r="G448" s="8"/>
      <c r="H448" s="4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8"/>
      <c r="B449" s="8"/>
      <c r="C449" s="8"/>
      <c r="D449" s="8"/>
      <c r="E449" s="8"/>
      <c r="F449" s="8"/>
      <c r="G449" s="8"/>
      <c r="H449" s="4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8"/>
      <c r="B450" s="8"/>
      <c r="C450" s="8"/>
      <c r="D450" s="8"/>
      <c r="E450" s="8"/>
      <c r="F450" s="8"/>
      <c r="G450" s="8"/>
      <c r="H450" s="4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8"/>
      <c r="B451" s="8"/>
      <c r="C451" s="8"/>
      <c r="D451" s="8"/>
      <c r="E451" s="8"/>
      <c r="F451" s="8"/>
      <c r="G451" s="8"/>
      <c r="H451" s="4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8"/>
      <c r="B452" s="8"/>
      <c r="C452" s="8"/>
      <c r="D452" s="8"/>
      <c r="E452" s="8"/>
      <c r="F452" s="8"/>
      <c r="G452" s="8"/>
      <c r="H452" s="4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8"/>
      <c r="B453" s="8"/>
      <c r="C453" s="8"/>
      <c r="D453" s="8"/>
      <c r="E453" s="8"/>
      <c r="F453" s="8"/>
      <c r="G453" s="8"/>
      <c r="H453" s="4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8"/>
      <c r="B454" s="8"/>
      <c r="C454" s="8"/>
      <c r="D454" s="8"/>
      <c r="E454" s="8"/>
      <c r="F454" s="8"/>
      <c r="G454" s="8"/>
      <c r="H454" s="4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8"/>
      <c r="B455" s="8"/>
      <c r="C455" s="8"/>
      <c r="D455" s="8"/>
      <c r="E455" s="8"/>
      <c r="F455" s="8"/>
      <c r="G455" s="8"/>
      <c r="H455" s="4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8"/>
      <c r="B456" s="8"/>
      <c r="C456" s="8"/>
      <c r="D456" s="8"/>
      <c r="E456" s="8"/>
      <c r="F456" s="8"/>
      <c r="G456" s="8"/>
      <c r="H456" s="4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8"/>
      <c r="B457" s="8"/>
      <c r="C457" s="8"/>
      <c r="D457" s="8"/>
      <c r="E457" s="8"/>
      <c r="F457" s="8"/>
      <c r="G457" s="8"/>
      <c r="H457" s="4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8"/>
      <c r="B458" s="8"/>
      <c r="C458" s="8"/>
      <c r="D458" s="8"/>
      <c r="E458" s="8"/>
      <c r="F458" s="8"/>
      <c r="G458" s="8"/>
      <c r="H458" s="4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8"/>
      <c r="B459" s="8"/>
      <c r="C459" s="8"/>
      <c r="D459" s="8"/>
      <c r="E459" s="8"/>
      <c r="F459" s="8"/>
      <c r="G459" s="8"/>
      <c r="H459" s="4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8"/>
      <c r="B460" s="8"/>
      <c r="C460" s="8"/>
      <c r="D460" s="8"/>
      <c r="E460" s="8"/>
      <c r="F460" s="8"/>
      <c r="G460" s="8"/>
      <c r="H460" s="4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8"/>
      <c r="B461" s="8"/>
      <c r="C461" s="8"/>
      <c r="D461" s="8"/>
      <c r="E461" s="8"/>
      <c r="F461" s="8"/>
      <c r="G461" s="8"/>
      <c r="H461" s="4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8"/>
      <c r="B462" s="8"/>
      <c r="C462" s="8"/>
      <c r="D462" s="8"/>
      <c r="E462" s="8"/>
      <c r="F462" s="8"/>
      <c r="G462" s="8"/>
      <c r="H462" s="4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8"/>
      <c r="B463" s="8"/>
      <c r="C463" s="8"/>
      <c r="D463" s="8"/>
      <c r="E463" s="8"/>
      <c r="F463" s="8"/>
      <c r="G463" s="8"/>
      <c r="H463" s="4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8"/>
      <c r="B464" s="8"/>
      <c r="C464" s="8"/>
      <c r="D464" s="8"/>
      <c r="E464" s="8"/>
      <c r="F464" s="8"/>
      <c r="G464" s="8"/>
      <c r="H464" s="4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8"/>
      <c r="B465" s="8"/>
      <c r="C465" s="8"/>
      <c r="D465" s="8"/>
      <c r="E465" s="8"/>
      <c r="F465" s="8"/>
      <c r="G465" s="8"/>
      <c r="H465" s="4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8"/>
      <c r="B466" s="8"/>
      <c r="C466" s="8"/>
      <c r="D466" s="8"/>
      <c r="E466" s="8"/>
      <c r="F466" s="8"/>
      <c r="G466" s="8"/>
      <c r="H466" s="4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8"/>
      <c r="B467" s="8"/>
      <c r="C467" s="8"/>
      <c r="D467" s="8"/>
      <c r="E467" s="8"/>
      <c r="F467" s="8"/>
      <c r="G467" s="8"/>
      <c r="H467" s="4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8"/>
      <c r="B468" s="8"/>
      <c r="C468" s="8"/>
      <c r="D468" s="8"/>
      <c r="E468" s="8"/>
      <c r="F468" s="8"/>
      <c r="G468" s="8"/>
      <c r="H468" s="4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8"/>
      <c r="B469" s="8"/>
      <c r="C469" s="8"/>
      <c r="D469" s="8"/>
      <c r="E469" s="8"/>
      <c r="F469" s="8"/>
      <c r="G469" s="8"/>
      <c r="H469" s="4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8"/>
      <c r="B470" s="8"/>
      <c r="C470" s="8"/>
      <c r="D470" s="8"/>
      <c r="E470" s="8"/>
      <c r="F470" s="8"/>
      <c r="G470" s="8"/>
      <c r="H470" s="4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8"/>
      <c r="B471" s="8"/>
      <c r="C471" s="8"/>
      <c r="D471" s="8"/>
      <c r="E471" s="8"/>
      <c r="F471" s="8"/>
      <c r="G471" s="8"/>
      <c r="H471" s="4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8"/>
      <c r="B472" s="8"/>
      <c r="C472" s="8"/>
      <c r="D472" s="8"/>
      <c r="E472" s="8"/>
      <c r="F472" s="8"/>
      <c r="G472" s="8"/>
      <c r="H472" s="4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8"/>
      <c r="B473" s="8"/>
      <c r="C473" s="8"/>
      <c r="D473" s="8"/>
      <c r="E473" s="8"/>
      <c r="F473" s="8"/>
      <c r="G473" s="8"/>
      <c r="H473" s="4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8"/>
      <c r="B474" s="8"/>
      <c r="C474" s="8"/>
      <c r="D474" s="8"/>
      <c r="E474" s="8"/>
      <c r="F474" s="8"/>
      <c r="G474" s="8"/>
      <c r="H474" s="4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8"/>
      <c r="B475" s="8"/>
      <c r="C475" s="8"/>
      <c r="D475" s="8"/>
      <c r="E475" s="8"/>
      <c r="F475" s="8"/>
      <c r="G475" s="8"/>
      <c r="H475" s="4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8"/>
      <c r="B476" s="8"/>
      <c r="C476" s="8"/>
      <c r="D476" s="8"/>
      <c r="E476" s="8"/>
      <c r="F476" s="8"/>
      <c r="G476" s="8"/>
      <c r="H476" s="4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8"/>
      <c r="B477" s="8"/>
      <c r="C477" s="8"/>
      <c r="D477" s="8"/>
      <c r="E477" s="8"/>
      <c r="F477" s="8"/>
      <c r="G477" s="8"/>
      <c r="H477" s="4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8"/>
      <c r="B478" s="8"/>
      <c r="C478" s="8"/>
      <c r="D478" s="8"/>
      <c r="E478" s="8"/>
      <c r="F478" s="8"/>
      <c r="G478" s="8"/>
      <c r="H478" s="4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8"/>
      <c r="B479" s="8"/>
      <c r="C479" s="8"/>
      <c r="D479" s="8"/>
      <c r="E479" s="8"/>
      <c r="F479" s="8"/>
      <c r="G479" s="8"/>
      <c r="H479" s="4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8"/>
      <c r="B480" s="8"/>
      <c r="C480" s="8"/>
      <c r="D480" s="8"/>
      <c r="E480" s="8"/>
      <c r="F480" s="8"/>
      <c r="G480" s="8"/>
      <c r="H480" s="4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8"/>
      <c r="B481" s="8"/>
      <c r="C481" s="8"/>
      <c r="D481" s="8"/>
      <c r="E481" s="8"/>
      <c r="F481" s="8"/>
      <c r="G481" s="8"/>
      <c r="H481" s="4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8"/>
      <c r="B482" s="8"/>
      <c r="C482" s="8"/>
      <c r="D482" s="8"/>
      <c r="E482" s="8"/>
      <c r="F482" s="8"/>
      <c r="G482" s="8"/>
      <c r="H482" s="4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8"/>
      <c r="B483" s="8"/>
      <c r="C483" s="8"/>
      <c r="D483" s="8"/>
      <c r="E483" s="8"/>
      <c r="F483" s="8"/>
      <c r="G483" s="8"/>
      <c r="H483" s="4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8"/>
      <c r="B484" s="8"/>
      <c r="C484" s="8"/>
      <c r="D484" s="8"/>
      <c r="E484" s="8"/>
      <c r="F484" s="8"/>
      <c r="G484" s="8"/>
      <c r="H484" s="4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8"/>
      <c r="B485" s="8"/>
      <c r="C485" s="8"/>
      <c r="D485" s="8"/>
      <c r="E485" s="8"/>
      <c r="F485" s="8"/>
      <c r="G485" s="8"/>
      <c r="H485" s="4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8"/>
      <c r="B486" s="8"/>
      <c r="C486" s="8"/>
      <c r="D486" s="8"/>
      <c r="E486" s="8"/>
      <c r="F486" s="8"/>
      <c r="G486" s="8"/>
      <c r="H486" s="4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8"/>
      <c r="B487" s="8"/>
      <c r="C487" s="8"/>
      <c r="D487" s="8"/>
      <c r="E487" s="8"/>
      <c r="F487" s="8"/>
      <c r="G487" s="8"/>
      <c r="H487" s="4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8"/>
      <c r="B488" s="8"/>
      <c r="C488" s="8"/>
      <c r="D488" s="8"/>
      <c r="E488" s="8"/>
      <c r="F488" s="8"/>
      <c r="G488" s="8"/>
      <c r="H488" s="4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8"/>
      <c r="B489" s="8"/>
      <c r="C489" s="8"/>
      <c r="D489" s="8"/>
      <c r="E489" s="8"/>
      <c r="F489" s="8"/>
      <c r="G489" s="8"/>
      <c r="H489" s="4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8"/>
      <c r="B490" s="8"/>
      <c r="C490" s="8"/>
      <c r="D490" s="8"/>
      <c r="E490" s="8"/>
      <c r="F490" s="8"/>
      <c r="G490" s="8"/>
      <c r="H490" s="4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8"/>
      <c r="B491" s="8"/>
      <c r="C491" s="8"/>
      <c r="D491" s="8"/>
      <c r="E491" s="8"/>
      <c r="F491" s="8"/>
      <c r="G491" s="8"/>
      <c r="H491" s="4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8"/>
      <c r="B492" s="8"/>
      <c r="C492" s="8"/>
      <c r="D492" s="8"/>
      <c r="E492" s="8"/>
      <c r="F492" s="8"/>
      <c r="G492" s="8"/>
      <c r="H492" s="4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8"/>
      <c r="B493" s="8"/>
      <c r="C493" s="8"/>
      <c r="D493" s="8"/>
      <c r="E493" s="8"/>
      <c r="F493" s="8"/>
      <c r="G493" s="8"/>
      <c r="H493" s="4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8"/>
      <c r="B494" s="8"/>
      <c r="C494" s="8"/>
      <c r="D494" s="8"/>
      <c r="E494" s="8"/>
      <c r="F494" s="8"/>
      <c r="G494" s="8"/>
      <c r="H494" s="4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8"/>
      <c r="B495" s="8"/>
      <c r="C495" s="8"/>
      <c r="D495" s="8"/>
      <c r="E495" s="8"/>
      <c r="F495" s="8"/>
      <c r="G495" s="8"/>
      <c r="H495" s="4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8"/>
      <c r="B496" s="8"/>
      <c r="C496" s="8"/>
      <c r="D496" s="8"/>
      <c r="E496" s="8"/>
      <c r="F496" s="8"/>
      <c r="G496" s="8"/>
      <c r="H496" s="4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8"/>
      <c r="B497" s="8"/>
      <c r="C497" s="8"/>
      <c r="D497" s="8"/>
      <c r="E497" s="8"/>
      <c r="F497" s="8"/>
      <c r="G497" s="8"/>
      <c r="H497" s="4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8"/>
      <c r="B498" s="8"/>
      <c r="C498" s="8"/>
      <c r="D498" s="8"/>
      <c r="E498" s="8"/>
      <c r="F498" s="8"/>
      <c r="G498" s="8"/>
      <c r="H498" s="4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8"/>
      <c r="B499" s="8"/>
      <c r="C499" s="8"/>
      <c r="D499" s="8"/>
      <c r="E499" s="8"/>
      <c r="F499" s="8"/>
      <c r="G499" s="8"/>
      <c r="H499" s="4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8"/>
      <c r="B500" s="8"/>
      <c r="C500" s="8"/>
      <c r="D500" s="8"/>
      <c r="E500" s="8"/>
      <c r="F500" s="8"/>
      <c r="G500" s="8"/>
      <c r="H500" s="4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8"/>
      <c r="B501" s="8"/>
      <c r="C501" s="8"/>
      <c r="D501" s="8"/>
      <c r="E501" s="8"/>
      <c r="F501" s="8"/>
      <c r="G501" s="8"/>
      <c r="H501" s="4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8"/>
      <c r="B502" s="8"/>
      <c r="C502" s="8"/>
      <c r="D502" s="8"/>
      <c r="E502" s="8"/>
      <c r="F502" s="8"/>
      <c r="G502" s="8"/>
      <c r="H502" s="4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8"/>
      <c r="B503" s="8"/>
      <c r="C503" s="8"/>
      <c r="D503" s="8"/>
      <c r="E503" s="8"/>
      <c r="F503" s="8"/>
      <c r="G503" s="8"/>
      <c r="H503" s="4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8"/>
      <c r="B504" s="8"/>
      <c r="C504" s="8"/>
      <c r="D504" s="8"/>
      <c r="E504" s="8"/>
      <c r="F504" s="8"/>
      <c r="G504" s="8"/>
      <c r="H504" s="4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8"/>
      <c r="B505" s="8"/>
      <c r="C505" s="8"/>
      <c r="D505" s="8"/>
      <c r="E505" s="8"/>
      <c r="F505" s="8"/>
      <c r="G505" s="8"/>
      <c r="H505" s="4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8"/>
      <c r="B506" s="8"/>
      <c r="C506" s="8"/>
      <c r="D506" s="8"/>
      <c r="E506" s="8"/>
      <c r="F506" s="8"/>
      <c r="G506" s="8"/>
      <c r="H506" s="4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8"/>
      <c r="B507" s="8"/>
      <c r="C507" s="8"/>
      <c r="D507" s="8"/>
      <c r="E507" s="8"/>
      <c r="F507" s="8"/>
      <c r="G507" s="8"/>
      <c r="H507" s="4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8"/>
      <c r="B508" s="8"/>
      <c r="C508" s="8"/>
      <c r="D508" s="8"/>
      <c r="E508" s="8"/>
      <c r="F508" s="8"/>
      <c r="G508" s="8"/>
      <c r="H508" s="4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8"/>
      <c r="B509" s="8"/>
      <c r="C509" s="8"/>
      <c r="D509" s="8"/>
      <c r="E509" s="8"/>
      <c r="F509" s="8"/>
      <c r="G509" s="8"/>
      <c r="H509" s="4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8"/>
      <c r="B510" s="8"/>
      <c r="C510" s="8"/>
      <c r="D510" s="8"/>
      <c r="E510" s="8"/>
      <c r="F510" s="8"/>
      <c r="G510" s="8"/>
      <c r="H510" s="4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8"/>
      <c r="B511" s="8"/>
      <c r="C511" s="8"/>
      <c r="D511" s="8"/>
      <c r="E511" s="8"/>
      <c r="F511" s="8"/>
      <c r="G511" s="8"/>
      <c r="H511" s="4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8"/>
      <c r="B512" s="8"/>
      <c r="C512" s="8"/>
      <c r="D512" s="8"/>
      <c r="E512" s="8"/>
      <c r="F512" s="8"/>
      <c r="G512" s="8"/>
      <c r="H512" s="4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8"/>
      <c r="B513" s="8"/>
      <c r="C513" s="8"/>
      <c r="D513" s="8"/>
      <c r="E513" s="8"/>
      <c r="F513" s="8"/>
      <c r="G513" s="8"/>
      <c r="H513" s="4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8"/>
      <c r="B514" s="8"/>
      <c r="C514" s="8"/>
      <c r="D514" s="8"/>
      <c r="E514" s="8"/>
      <c r="F514" s="8"/>
      <c r="G514" s="8"/>
      <c r="H514" s="4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8"/>
      <c r="B515" s="8"/>
      <c r="C515" s="8"/>
      <c r="D515" s="8"/>
      <c r="E515" s="8"/>
      <c r="F515" s="8"/>
      <c r="G515" s="8"/>
      <c r="H515" s="4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8"/>
      <c r="B516" s="8"/>
      <c r="C516" s="8"/>
      <c r="D516" s="8"/>
      <c r="E516" s="8"/>
      <c r="F516" s="8"/>
      <c r="G516" s="8"/>
      <c r="H516" s="4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8"/>
      <c r="B517" s="8"/>
      <c r="C517" s="8"/>
      <c r="D517" s="8"/>
      <c r="E517" s="8"/>
      <c r="F517" s="8"/>
      <c r="G517" s="8"/>
      <c r="H517" s="4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8"/>
      <c r="B518" s="8"/>
      <c r="C518" s="8"/>
      <c r="D518" s="8"/>
      <c r="E518" s="8"/>
      <c r="F518" s="8"/>
      <c r="G518" s="8"/>
      <c r="H518" s="4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8"/>
      <c r="B519" s="8"/>
      <c r="C519" s="8"/>
      <c r="D519" s="8"/>
      <c r="E519" s="8"/>
      <c r="F519" s="8"/>
      <c r="G519" s="8"/>
      <c r="H519" s="4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8"/>
      <c r="B520" s="8"/>
      <c r="C520" s="8"/>
      <c r="D520" s="8"/>
      <c r="E520" s="8"/>
      <c r="F520" s="8"/>
      <c r="G520" s="8"/>
      <c r="H520" s="4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8"/>
      <c r="B521" s="8"/>
      <c r="C521" s="8"/>
      <c r="D521" s="8"/>
      <c r="E521" s="8"/>
      <c r="F521" s="8"/>
      <c r="G521" s="8"/>
      <c r="H521" s="4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8"/>
      <c r="B522" s="8"/>
      <c r="C522" s="8"/>
      <c r="D522" s="8"/>
      <c r="E522" s="8"/>
      <c r="F522" s="8"/>
      <c r="G522" s="8"/>
      <c r="H522" s="4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8"/>
      <c r="B523" s="8"/>
      <c r="C523" s="8"/>
      <c r="D523" s="8"/>
      <c r="E523" s="8"/>
      <c r="F523" s="8"/>
      <c r="G523" s="8"/>
      <c r="H523" s="4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8"/>
      <c r="B524" s="8"/>
      <c r="C524" s="8"/>
      <c r="D524" s="8"/>
      <c r="E524" s="8"/>
      <c r="F524" s="8"/>
      <c r="G524" s="8"/>
      <c r="H524" s="4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8"/>
      <c r="B525" s="8"/>
      <c r="C525" s="8"/>
      <c r="D525" s="8"/>
      <c r="E525" s="8"/>
      <c r="F525" s="8"/>
      <c r="G525" s="8"/>
      <c r="H525" s="4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8"/>
      <c r="B526" s="8"/>
      <c r="C526" s="8"/>
      <c r="D526" s="8"/>
      <c r="E526" s="8"/>
      <c r="F526" s="8"/>
      <c r="G526" s="8"/>
      <c r="H526" s="4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8"/>
      <c r="B527" s="8"/>
      <c r="C527" s="8"/>
      <c r="D527" s="8"/>
      <c r="E527" s="8"/>
      <c r="F527" s="8"/>
      <c r="G527" s="8"/>
      <c r="H527" s="4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8"/>
      <c r="B528" s="8"/>
      <c r="C528" s="8"/>
      <c r="D528" s="8"/>
      <c r="E528" s="8"/>
      <c r="F528" s="8"/>
      <c r="G528" s="8"/>
      <c r="H528" s="4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8"/>
      <c r="B529" s="8"/>
      <c r="C529" s="8"/>
      <c r="D529" s="8"/>
      <c r="E529" s="8"/>
      <c r="F529" s="8"/>
      <c r="G529" s="8"/>
      <c r="H529" s="4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8"/>
      <c r="B530" s="8"/>
      <c r="C530" s="8"/>
      <c r="D530" s="8"/>
      <c r="E530" s="8"/>
      <c r="F530" s="8"/>
      <c r="G530" s="8"/>
      <c r="H530" s="4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8"/>
      <c r="B531" s="8"/>
      <c r="C531" s="8"/>
      <c r="D531" s="8"/>
      <c r="E531" s="8"/>
      <c r="F531" s="8"/>
      <c r="G531" s="8"/>
      <c r="H531" s="4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8"/>
      <c r="B532" s="8"/>
      <c r="C532" s="8"/>
      <c r="D532" s="8"/>
      <c r="E532" s="8"/>
      <c r="F532" s="8"/>
      <c r="G532" s="8"/>
      <c r="H532" s="4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8"/>
      <c r="B533" s="8"/>
      <c r="C533" s="8"/>
      <c r="D533" s="8"/>
      <c r="E533" s="8"/>
      <c r="F533" s="8"/>
      <c r="G533" s="8"/>
      <c r="H533" s="4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8"/>
      <c r="B534" s="8"/>
      <c r="C534" s="8"/>
      <c r="D534" s="8"/>
      <c r="E534" s="8"/>
      <c r="F534" s="8"/>
      <c r="G534" s="8"/>
      <c r="H534" s="4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8"/>
      <c r="B535" s="8"/>
      <c r="C535" s="8"/>
      <c r="D535" s="8"/>
      <c r="E535" s="8"/>
      <c r="F535" s="8"/>
      <c r="G535" s="8"/>
      <c r="H535" s="4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8"/>
      <c r="B536" s="8"/>
      <c r="C536" s="8"/>
      <c r="D536" s="8"/>
      <c r="E536" s="8"/>
      <c r="F536" s="8"/>
      <c r="G536" s="8"/>
      <c r="H536" s="4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8"/>
      <c r="B537" s="8"/>
      <c r="C537" s="8"/>
      <c r="D537" s="8"/>
      <c r="E537" s="8"/>
      <c r="F537" s="8"/>
      <c r="G537" s="8"/>
      <c r="H537" s="4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8"/>
      <c r="B538" s="8"/>
      <c r="C538" s="8"/>
      <c r="D538" s="8"/>
      <c r="E538" s="8"/>
      <c r="F538" s="8"/>
      <c r="G538" s="8"/>
      <c r="H538" s="4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8"/>
      <c r="B539" s="8"/>
      <c r="C539" s="8"/>
      <c r="D539" s="8"/>
      <c r="E539" s="8"/>
      <c r="F539" s="8"/>
      <c r="G539" s="8"/>
      <c r="H539" s="4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8"/>
      <c r="B540" s="8"/>
      <c r="C540" s="8"/>
      <c r="D540" s="8"/>
      <c r="E540" s="8"/>
      <c r="F540" s="8"/>
      <c r="G540" s="8"/>
      <c r="H540" s="4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8"/>
      <c r="B541" s="8"/>
      <c r="C541" s="8"/>
      <c r="D541" s="8"/>
      <c r="E541" s="8"/>
      <c r="F541" s="8"/>
      <c r="G541" s="8"/>
      <c r="H541" s="4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8"/>
      <c r="B542" s="8"/>
      <c r="C542" s="8"/>
      <c r="D542" s="8"/>
      <c r="E542" s="8"/>
      <c r="F542" s="8"/>
      <c r="G542" s="8"/>
      <c r="H542" s="4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8"/>
      <c r="B543" s="8"/>
      <c r="C543" s="8"/>
      <c r="D543" s="8"/>
      <c r="E543" s="8"/>
      <c r="F543" s="8"/>
      <c r="G543" s="8"/>
      <c r="H543" s="4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8"/>
      <c r="B544" s="8"/>
      <c r="C544" s="8"/>
      <c r="D544" s="8"/>
      <c r="E544" s="8"/>
      <c r="F544" s="8"/>
      <c r="G544" s="8"/>
      <c r="H544" s="4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8"/>
      <c r="B545" s="8"/>
      <c r="C545" s="8"/>
      <c r="D545" s="8"/>
      <c r="E545" s="8"/>
      <c r="F545" s="8"/>
      <c r="G545" s="8"/>
      <c r="H545" s="4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8"/>
      <c r="B546" s="8"/>
      <c r="C546" s="8"/>
      <c r="D546" s="8"/>
      <c r="E546" s="8"/>
      <c r="F546" s="8"/>
      <c r="G546" s="8"/>
      <c r="H546" s="4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8"/>
      <c r="B547" s="8"/>
      <c r="C547" s="8"/>
      <c r="D547" s="8"/>
      <c r="E547" s="8"/>
      <c r="F547" s="8"/>
      <c r="G547" s="8"/>
      <c r="H547" s="4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8"/>
      <c r="B548" s="8"/>
      <c r="C548" s="8"/>
      <c r="D548" s="8"/>
      <c r="E548" s="8"/>
      <c r="F548" s="8"/>
      <c r="G548" s="8"/>
      <c r="H548" s="4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8"/>
      <c r="B549" s="8"/>
      <c r="C549" s="8"/>
      <c r="D549" s="8"/>
      <c r="E549" s="8"/>
      <c r="F549" s="8"/>
      <c r="G549" s="8"/>
      <c r="H549" s="4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8"/>
      <c r="B550" s="8"/>
      <c r="C550" s="8"/>
      <c r="D550" s="8"/>
      <c r="E550" s="8"/>
      <c r="F550" s="8"/>
      <c r="G550" s="8"/>
      <c r="H550" s="4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8"/>
      <c r="B551" s="8"/>
      <c r="C551" s="8"/>
      <c r="D551" s="8"/>
      <c r="E551" s="8"/>
      <c r="F551" s="8"/>
      <c r="G551" s="8"/>
      <c r="H551" s="4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8"/>
      <c r="B552" s="8"/>
      <c r="C552" s="8"/>
      <c r="D552" s="8"/>
      <c r="E552" s="8"/>
      <c r="F552" s="8"/>
      <c r="G552" s="8"/>
      <c r="H552" s="4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8"/>
      <c r="B553" s="8"/>
      <c r="C553" s="8"/>
      <c r="D553" s="8"/>
      <c r="E553" s="8"/>
      <c r="F553" s="8"/>
      <c r="G553" s="8"/>
      <c r="H553" s="4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8"/>
      <c r="B554" s="8"/>
      <c r="C554" s="8"/>
      <c r="D554" s="8"/>
      <c r="E554" s="8"/>
      <c r="F554" s="8"/>
      <c r="G554" s="8"/>
      <c r="H554" s="4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8"/>
      <c r="B555" s="8"/>
      <c r="C555" s="8"/>
      <c r="D555" s="8"/>
      <c r="E555" s="8"/>
      <c r="F555" s="8"/>
      <c r="G555" s="8"/>
      <c r="H555" s="4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8"/>
      <c r="B556" s="8"/>
      <c r="C556" s="8"/>
      <c r="D556" s="8"/>
      <c r="E556" s="8"/>
      <c r="F556" s="8"/>
      <c r="G556" s="8"/>
      <c r="H556" s="4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8"/>
      <c r="B557" s="8"/>
      <c r="C557" s="8"/>
      <c r="D557" s="8"/>
      <c r="E557" s="8"/>
      <c r="F557" s="8"/>
      <c r="G557" s="8"/>
      <c r="H557" s="4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8"/>
      <c r="B558" s="8"/>
      <c r="C558" s="8"/>
      <c r="D558" s="8"/>
      <c r="E558" s="8"/>
      <c r="F558" s="8"/>
      <c r="G558" s="8"/>
      <c r="H558" s="4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8"/>
      <c r="B559" s="8"/>
      <c r="C559" s="8"/>
      <c r="D559" s="8"/>
      <c r="E559" s="8"/>
      <c r="F559" s="8"/>
      <c r="G559" s="8"/>
      <c r="H559" s="4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8"/>
      <c r="B560" s="8"/>
      <c r="C560" s="8"/>
      <c r="D560" s="8"/>
      <c r="E560" s="8"/>
      <c r="F560" s="8"/>
      <c r="G560" s="8"/>
      <c r="H560" s="4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8"/>
      <c r="B561" s="8"/>
      <c r="C561" s="8"/>
      <c r="D561" s="8"/>
      <c r="E561" s="8"/>
      <c r="F561" s="8"/>
      <c r="G561" s="8"/>
      <c r="H561" s="4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8"/>
      <c r="B562" s="8"/>
      <c r="C562" s="8"/>
      <c r="D562" s="8"/>
      <c r="E562" s="8"/>
      <c r="F562" s="8"/>
      <c r="G562" s="8"/>
      <c r="H562" s="4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8"/>
      <c r="B563" s="8"/>
      <c r="C563" s="8"/>
      <c r="D563" s="8"/>
      <c r="E563" s="8"/>
      <c r="F563" s="8"/>
      <c r="G563" s="8"/>
      <c r="H563" s="4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8"/>
      <c r="B564" s="8"/>
      <c r="C564" s="8"/>
      <c r="D564" s="8"/>
      <c r="E564" s="8"/>
      <c r="F564" s="8"/>
      <c r="G564" s="8"/>
      <c r="H564" s="4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8"/>
      <c r="B565" s="8"/>
      <c r="C565" s="8"/>
      <c r="D565" s="8"/>
      <c r="E565" s="8"/>
      <c r="F565" s="8"/>
      <c r="G565" s="8"/>
      <c r="H565" s="4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8"/>
      <c r="B566" s="8"/>
      <c r="C566" s="8"/>
      <c r="D566" s="8"/>
      <c r="E566" s="8"/>
      <c r="F566" s="8"/>
      <c r="G566" s="8"/>
      <c r="H566" s="4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8"/>
      <c r="B567" s="8"/>
      <c r="C567" s="8"/>
      <c r="D567" s="8"/>
      <c r="E567" s="8"/>
      <c r="F567" s="8"/>
      <c r="G567" s="8"/>
      <c r="H567" s="4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8"/>
      <c r="B568" s="8"/>
      <c r="C568" s="8"/>
      <c r="D568" s="8"/>
      <c r="E568" s="8"/>
      <c r="F568" s="8"/>
      <c r="G568" s="8"/>
      <c r="H568" s="4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8"/>
      <c r="B569" s="8"/>
      <c r="C569" s="8"/>
      <c r="D569" s="8"/>
      <c r="E569" s="8"/>
      <c r="F569" s="8"/>
      <c r="G569" s="8"/>
      <c r="H569" s="4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8"/>
      <c r="B570" s="8"/>
      <c r="C570" s="8"/>
      <c r="D570" s="8"/>
      <c r="E570" s="8"/>
      <c r="F570" s="8"/>
      <c r="G570" s="8"/>
      <c r="H570" s="4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8"/>
      <c r="B571" s="8"/>
      <c r="C571" s="8"/>
      <c r="D571" s="8"/>
      <c r="E571" s="8"/>
      <c r="F571" s="8"/>
      <c r="G571" s="8"/>
      <c r="H571" s="4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8"/>
      <c r="B572" s="8"/>
      <c r="C572" s="8"/>
      <c r="D572" s="8"/>
      <c r="E572" s="8"/>
      <c r="F572" s="8"/>
      <c r="G572" s="8"/>
      <c r="H572" s="4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8"/>
      <c r="B573" s="8"/>
      <c r="C573" s="8"/>
      <c r="D573" s="8"/>
      <c r="E573" s="8"/>
      <c r="F573" s="8"/>
      <c r="G573" s="8"/>
      <c r="H573" s="4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8"/>
      <c r="B574" s="8"/>
      <c r="C574" s="8"/>
      <c r="D574" s="8"/>
      <c r="E574" s="8"/>
      <c r="F574" s="8"/>
      <c r="G574" s="8"/>
      <c r="H574" s="4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8"/>
      <c r="B575" s="8"/>
      <c r="C575" s="8"/>
      <c r="D575" s="8"/>
      <c r="E575" s="8"/>
      <c r="F575" s="8"/>
      <c r="G575" s="8"/>
      <c r="H575" s="4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8"/>
      <c r="B576" s="8"/>
      <c r="C576" s="8"/>
      <c r="D576" s="8"/>
      <c r="E576" s="8"/>
      <c r="F576" s="8"/>
      <c r="G576" s="8"/>
      <c r="H576" s="4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8"/>
      <c r="B577" s="8"/>
      <c r="C577" s="8"/>
      <c r="D577" s="8"/>
      <c r="E577" s="8"/>
      <c r="F577" s="8"/>
      <c r="G577" s="8"/>
      <c r="H577" s="4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8"/>
      <c r="B578" s="8"/>
      <c r="C578" s="8"/>
      <c r="D578" s="8"/>
      <c r="E578" s="8"/>
      <c r="F578" s="8"/>
      <c r="G578" s="8"/>
      <c r="H578" s="4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8"/>
      <c r="B579" s="8"/>
      <c r="C579" s="8"/>
      <c r="D579" s="8"/>
      <c r="E579" s="8"/>
      <c r="F579" s="8"/>
      <c r="G579" s="8"/>
      <c r="H579" s="4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8"/>
      <c r="B580" s="8"/>
      <c r="C580" s="8"/>
      <c r="D580" s="8"/>
      <c r="E580" s="8"/>
      <c r="F580" s="8"/>
      <c r="G580" s="8"/>
      <c r="H580" s="4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8"/>
      <c r="B581" s="8"/>
      <c r="C581" s="8"/>
      <c r="D581" s="8"/>
      <c r="E581" s="8"/>
      <c r="F581" s="8"/>
      <c r="G581" s="8"/>
      <c r="H581" s="4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8"/>
      <c r="B582" s="8"/>
      <c r="C582" s="8"/>
      <c r="D582" s="8"/>
      <c r="E582" s="8"/>
      <c r="F582" s="8"/>
      <c r="G582" s="8"/>
      <c r="H582" s="4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8"/>
      <c r="B583" s="8"/>
      <c r="C583" s="8"/>
      <c r="D583" s="8"/>
      <c r="E583" s="8"/>
      <c r="F583" s="8"/>
      <c r="G583" s="8"/>
      <c r="H583" s="4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8"/>
      <c r="B584" s="8"/>
      <c r="C584" s="8"/>
      <c r="D584" s="8"/>
      <c r="E584" s="8"/>
      <c r="F584" s="8"/>
      <c r="G584" s="8"/>
      <c r="H584" s="4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8"/>
      <c r="B585" s="8"/>
      <c r="C585" s="8"/>
      <c r="D585" s="8"/>
      <c r="E585" s="8"/>
      <c r="F585" s="8"/>
      <c r="G585" s="8"/>
      <c r="H585" s="4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8"/>
      <c r="B586" s="8"/>
      <c r="C586" s="8"/>
      <c r="D586" s="8"/>
      <c r="E586" s="8"/>
      <c r="F586" s="8"/>
      <c r="G586" s="8"/>
      <c r="H586" s="4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8"/>
      <c r="B587" s="8"/>
      <c r="C587" s="8"/>
      <c r="D587" s="8"/>
      <c r="E587" s="8"/>
      <c r="F587" s="8"/>
      <c r="G587" s="8"/>
      <c r="H587" s="4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8"/>
      <c r="B588" s="8"/>
      <c r="C588" s="8"/>
      <c r="D588" s="8"/>
      <c r="E588" s="8"/>
      <c r="F588" s="8"/>
      <c r="G588" s="8"/>
      <c r="H588" s="4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8"/>
      <c r="B589" s="8"/>
      <c r="C589" s="8"/>
      <c r="D589" s="8"/>
      <c r="E589" s="8"/>
      <c r="F589" s="8"/>
      <c r="G589" s="8"/>
      <c r="H589" s="4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8"/>
      <c r="B590" s="8"/>
      <c r="C590" s="8"/>
      <c r="D590" s="8"/>
      <c r="E590" s="8"/>
      <c r="F590" s="8"/>
      <c r="G590" s="8"/>
      <c r="H590" s="4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8"/>
      <c r="B591" s="8"/>
      <c r="C591" s="8"/>
      <c r="D591" s="8"/>
      <c r="E591" s="8"/>
      <c r="F591" s="8"/>
      <c r="G591" s="8"/>
      <c r="H591" s="4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8"/>
      <c r="B592" s="8"/>
      <c r="C592" s="8"/>
      <c r="D592" s="8"/>
      <c r="E592" s="8"/>
      <c r="F592" s="8"/>
      <c r="G592" s="8"/>
      <c r="H592" s="4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8"/>
      <c r="B593" s="8"/>
      <c r="C593" s="8"/>
      <c r="D593" s="8"/>
      <c r="E593" s="8"/>
      <c r="F593" s="8"/>
      <c r="G593" s="8"/>
      <c r="H593" s="4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8"/>
      <c r="B594" s="8"/>
      <c r="C594" s="8"/>
      <c r="D594" s="8"/>
      <c r="E594" s="8"/>
      <c r="F594" s="8"/>
      <c r="G594" s="8"/>
      <c r="H594" s="4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8"/>
      <c r="B595" s="8"/>
      <c r="C595" s="8"/>
      <c r="D595" s="8"/>
      <c r="E595" s="8"/>
      <c r="F595" s="8"/>
      <c r="G595" s="8"/>
      <c r="H595" s="4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8"/>
      <c r="B596" s="8"/>
      <c r="C596" s="8"/>
      <c r="D596" s="8"/>
      <c r="E596" s="8"/>
      <c r="F596" s="8"/>
      <c r="G596" s="8"/>
      <c r="H596" s="4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8"/>
      <c r="B597" s="8"/>
      <c r="C597" s="8"/>
      <c r="D597" s="8"/>
      <c r="E597" s="8"/>
      <c r="F597" s="8"/>
      <c r="G597" s="8"/>
      <c r="H597" s="4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8"/>
      <c r="B598" s="8"/>
      <c r="C598" s="8"/>
      <c r="D598" s="8"/>
      <c r="E598" s="8"/>
      <c r="F598" s="8"/>
      <c r="G598" s="8"/>
      <c r="H598" s="4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8"/>
      <c r="B599" s="8"/>
      <c r="C599" s="8"/>
      <c r="D599" s="8"/>
      <c r="E599" s="8"/>
      <c r="F599" s="8"/>
      <c r="G599" s="8"/>
      <c r="H599" s="4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8"/>
      <c r="B600" s="8"/>
      <c r="C600" s="8"/>
      <c r="D600" s="8"/>
      <c r="E600" s="8"/>
      <c r="F600" s="8"/>
      <c r="G600" s="8"/>
      <c r="H600" s="4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8"/>
      <c r="B601" s="8"/>
      <c r="C601" s="8"/>
      <c r="D601" s="8"/>
      <c r="E601" s="8"/>
      <c r="F601" s="8"/>
      <c r="G601" s="8"/>
      <c r="H601" s="4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8"/>
      <c r="B602" s="8"/>
      <c r="C602" s="8"/>
      <c r="D602" s="8"/>
      <c r="E602" s="8"/>
      <c r="F602" s="8"/>
      <c r="G602" s="8"/>
      <c r="H602" s="4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8"/>
      <c r="B603" s="8"/>
      <c r="C603" s="8"/>
      <c r="D603" s="8"/>
      <c r="E603" s="8"/>
      <c r="F603" s="8"/>
      <c r="G603" s="8"/>
      <c r="H603" s="4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8"/>
      <c r="B604" s="8"/>
      <c r="C604" s="8"/>
      <c r="D604" s="8"/>
      <c r="E604" s="8"/>
      <c r="F604" s="8"/>
      <c r="G604" s="8"/>
      <c r="H604" s="4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8"/>
      <c r="B605" s="8"/>
      <c r="C605" s="8"/>
      <c r="D605" s="8"/>
      <c r="E605" s="8"/>
      <c r="F605" s="8"/>
      <c r="G605" s="8"/>
      <c r="H605" s="4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8"/>
      <c r="B606" s="8"/>
      <c r="C606" s="8"/>
      <c r="D606" s="8"/>
      <c r="E606" s="8"/>
      <c r="F606" s="8"/>
      <c r="G606" s="8"/>
      <c r="H606" s="4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8"/>
      <c r="B607" s="8"/>
      <c r="C607" s="8"/>
      <c r="D607" s="8"/>
      <c r="E607" s="8"/>
      <c r="F607" s="8"/>
      <c r="G607" s="8"/>
      <c r="H607" s="4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8"/>
      <c r="B608" s="8"/>
      <c r="C608" s="8"/>
      <c r="D608" s="8"/>
      <c r="E608" s="8"/>
      <c r="F608" s="8"/>
      <c r="G608" s="8"/>
      <c r="H608" s="4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8"/>
      <c r="B609" s="8"/>
      <c r="C609" s="8"/>
      <c r="D609" s="8"/>
      <c r="E609" s="8"/>
      <c r="F609" s="8"/>
      <c r="G609" s="8"/>
      <c r="H609" s="4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8"/>
      <c r="B610" s="8"/>
      <c r="C610" s="8"/>
      <c r="D610" s="8"/>
      <c r="E610" s="8"/>
      <c r="F610" s="8"/>
      <c r="G610" s="8"/>
      <c r="H610" s="4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8"/>
      <c r="B611" s="8"/>
      <c r="C611" s="8"/>
      <c r="D611" s="8"/>
      <c r="E611" s="8"/>
      <c r="F611" s="8"/>
      <c r="G611" s="8"/>
      <c r="H611" s="4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8"/>
      <c r="B612" s="8"/>
      <c r="C612" s="8"/>
      <c r="D612" s="8"/>
      <c r="E612" s="8"/>
      <c r="F612" s="8"/>
      <c r="G612" s="8"/>
      <c r="H612" s="4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8"/>
      <c r="B613" s="8"/>
      <c r="C613" s="8"/>
      <c r="D613" s="8"/>
      <c r="E613" s="8"/>
      <c r="F613" s="8"/>
      <c r="G613" s="8"/>
      <c r="H613" s="4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8"/>
      <c r="B614" s="8"/>
      <c r="C614" s="8"/>
      <c r="D614" s="8"/>
      <c r="E614" s="8"/>
      <c r="F614" s="8"/>
      <c r="G614" s="8"/>
      <c r="H614" s="4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8"/>
      <c r="B615" s="8"/>
      <c r="C615" s="8"/>
      <c r="D615" s="8"/>
      <c r="E615" s="8"/>
      <c r="F615" s="8"/>
      <c r="G615" s="8"/>
      <c r="H615" s="4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8"/>
      <c r="B616" s="8"/>
      <c r="C616" s="8"/>
      <c r="D616" s="8"/>
      <c r="E616" s="8"/>
      <c r="F616" s="8"/>
      <c r="G616" s="8"/>
      <c r="H616" s="4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8"/>
      <c r="B617" s="8"/>
      <c r="C617" s="8"/>
      <c r="D617" s="8"/>
      <c r="E617" s="8"/>
      <c r="F617" s="8"/>
      <c r="G617" s="8"/>
      <c r="H617" s="4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8"/>
      <c r="B618" s="8"/>
      <c r="C618" s="8"/>
      <c r="D618" s="8"/>
      <c r="E618" s="8"/>
      <c r="F618" s="8"/>
      <c r="G618" s="8"/>
      <c r="H618" s="4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8"/>
      <c r="B619" s="8"/>
      <c r="C619" s="8"/>
      <c r="D619" s="8"/>
      <c r="E619" s="8"/>
      <c r="F619" s="8"/>
      <c r="G619" s="8"/>
      <c r="H619" s="4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8"/>
      <c r="B620" s="8"/>
      <c r="C620" s="8"/>
      <c r="D620" s="8"/>
      <c r="E620" s="8"/>
      <c r="F620" s="8"/>
      <c r="G620" s="8"/>
      <c r="H620" s="4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8"/>
      <c r="B621" s="8"/>
      <c r="C621" s="8"/>
      <c r="D621" s="8"/>
      <c r="E621" s="8"/>
      <c r="F621" s="8"/>
      <c r="G621" s="8"/>
      <c r="H621" s="4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8"/>
      <c r="B622" s="8"/>
      <c r="C622" s="8"/>
      <c r="D622" s="8"/>
      <c r="E622" s="8"/>
      <c r="F622" s="8"/>
      <c r="G622" s="8"/>
      <c r="H622" s="4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8"/>
      <c r="B623" s="8"/>
      <c r="C623" s="8"/>
      <c r="D623" s="8"/>
      <c r="E623" s="8"/>
      <c r="F623" s="8"/>
      <c r="G623" s="8"/>
      <c r="H623" s="4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8"/>
      <c r="B624" s="8"/>
      <c r="C624" s="8"/>
      <c r="D624" s="8"/>
      <c r="E624" s="8"/>
      <c r="F624" s="8"/>
      <c r="G624" s="8"/>
      <c r="H624" s="4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8"/>
      <c r="B625" s="8"/>
      <c r="C625" s="8"/>
      <c r="D625" s="8"/>
      <c r="E625" s="8"/>
      <c r="F625" s="8"/>
      <c r="G625" s="8"/>
      <c r="H625" s="4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8"/>
      <c r="B626" s="8"/>
      <c r="C626" s="8"/>
      <c r="D626" s="8"/>
      <c r="E626" s="8"/>
      <c r="F626" s="8"/>
      <c r="G626" s="8"/>
      <c r="H626" s="4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8"/>
      <c r="B627" s="8"/>
      <c r="C627" s="8"/>
      <c r="D627" s="8"/>
      <c r="E627" s="8"/>
      <c r="F627" s="8"/>
      <c r="G627" s="8"/>
      <c r="H627" s="4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8"/>
      <c r="B628" s="8"/>
      <c r="C628" s="8"/>
      <c r="D628" s="8"/>
      <c r="E628" s="8"/>
      <c r="F628" s="8"/>
      <c r="G628" s="8"/>
      <c r="H628" s="4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8"/>
      <c r="B629" s="8"/>
      <c r="C629" s="8"/>
      <c r="D629" s="8"/>
      <c r="E629" s="8"/>
      <c r="F629" s="8"/>
      <c r="G629" s="8"/>
      <c r="H629" s="4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8"/>
      <c r="B630" s="8"/>
      <c r="C630" s="8"/>
      <c r="D630" s="8"/>
      <c r="E630" s="8"/>
      <c r="F630" s="8"/>
      <c r="G630" s="8"/>
      <c r="H630" s="4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8"/>
      <c r="B631" s="8"/>
      <c r="C631" s="8"/>
      <c r="D631" s="8"/>
      <c r="E631" s="8"/>
      <c r="F631" s="8"/>
      <c r="G631" s="8"/>
      <c r="H631" s="4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8"/>
      <c r="B632" s="8"/>
      <c r="C632" s="8"/>
      <c r="D632" s="8"/>
      <c r="E632" s="8"/>
      <c r="F632" s="8"/>
      <c r="G632" s="8"/>
      <c r="H632" s="4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8"/>
      <c r="B633" s="8"/>
      <c r="C633" s="8"/>
      <c r="D633" s="8"/>
      <c r="E633" s="8"/>
      <c r="F633" s="8"/>
      <c r="G633" s="8"/>
      <c r="H633" s="4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8"/>
      <c r="B634" s="8"/>
      <c r="C634" s="8"/>
      <c r="D634" s="8"/>
      <c r="E634" s="8"/>
      <c r="F634" s="8"/>
      <c r="G634" s="8"/>
      <c r="H634" s="4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8"/>
      <c r="B635" s="8"/>
      <c r="C635" s="8"/>
      <c r="D635" s="8"/>
      <c r="E635" s="8"/>
      <c r="F635" s="8"/>
      <c r="G635" s="8"/>
      <c r="H635" s="4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8"/>
      <c r="B636" s="8"/>
      <c r="C636" s="8"/>
      <c r="D636" s="8"/>
      <c r="E636" s="8"/>
      <c r="F636" s="8"/>
      <c r="G636" s="8"/>
      <c r="H636" s="4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8"/>
      <c r="B637" s="8"/>
      <c r="C637" s="8"/>
      <c r="D637" s="8"/>
      <c r="E637" s="8"/>
      <c r="F637" s="8"/>
      <c r="G637" s="8"/>
      <c r="H637" s="4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8"/>
      <c r="B638" s="8"/>
      <c r="C638" s="8"/>
      <c r="D638" s="8"/>
      <c r="E638" s="8"/>
      <c r="F638" s="8"/>
      <c r="G638" s="8"/>
      <c r="H638" s="4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8"/>
      <c r="B639" s="8"/>
      <c r="C639" s="8"/>
      <c r="D639" s="8"/>
      <c r="E639" s="8"/>
      <c r="F639" s="8"/>
      <c r="G639" s="8"/>
      <c r="H639" s="4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8"/>
      <c r="B640" s="8"/>
      <c r="C640" s="8"/>
      <c r="D640" s="8"/>
      <c r="E640" s="8"/>
      <c r="F640" s="8"/>
      <c r="G640" s="8"/>
      <c r="H640" s="4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8"/>
      <c r="B641" s="8"/>
      <c r="C641" s="8"/>
      <c r="D641" s="8"/>
      <c r="E641" s="8"/>
      <c r="F641" s="8"/>
      <c r="G641" s="8"/>
      <c r="H641" s="4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8"/>
      <c r="B642" s="8"/>
      <c r="C642" s="8"/>
      <c r="D642" s="8"/>
      <c r="E642" s="8"/>
      <c r="F642" s="8"/>
      <c r="G642" s="8"/>
      <c r="H642" s="4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8"/>
      <c r="B643" s="8"/>
      <c r="C643" s="8"/>
      <c r="D643" s="8"/>
      <c r="E643" s="8"/>
      <c r="F643" s="8"/>
      <c r="G643" s="8"/>
      <c r="H643" s="4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8"/>
      <c r="B644" s="8"/>
      <c r="C644" s="8"/>
      <c r="D644" s="8"/>
      <c r="E644" s="8"/>
      <c r="F644" s="8"/>
      <c r="G644" s="8"/>
      <c r="H644" s="4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8"/>
      <c r="B645" s="8"/>
      <c r="C645" s="8"/>
      <c r="D645" s="8"/>
      <c r="E645" s="8"/>
      <c r="F645" s="8"/>
      <c r="G645" s="8"/>
      <c r="H645" s="4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8"/>
      <c r="B646" s="8"/>
      <c r="C646" s="8"/>
      <c r="D646" s="8"/>
      <c r="E646" s="8"/>
      <c r="F646" s="8"/>
      <c r="G646" s="8"/>
      <c r="H646" s="4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8"/>
      <c r="B647" s="8"/>
      <c r="C647" s="8"/>
      <c r="D647" s="8"/>
      <c r="E647" s="8"/>
      <c r="F647" s="8"/>
      <c r="G647" s="8"/>
      <c r="H647" s="4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8"/>
      <c r="B648" s="8"/>
      <c r="C648" s="8"/>
      <c r="D648" s="8"/>
      <c r="E648" s="8"/>
      <c r="F648" s="8"/>
      <c r="G648" s="8"/>
      <c r="H648" s="4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8"/>
      <c r="B649" s="8"/>
      <c r="C649" s="8"/>
      <c r="D649" s="8"/>
      <c r="E649" s="8"/>
      <c r="F649" s="8"/>
      <c r="G649" s="8"/>
      <c r="H649" s="4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8"/>
      <c r="B650" s="8"/>
      <c r="C650" s="8"/>
      <c r="D650" s="8"/>
      <c r="E650" s="8"/>
      <c r="F650" s="8"/>
      <c r="G650" s="8"/>
      <c r="H650" s="4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8"/>
      <c r="B651" s="8"/>
      <c r="C651" s="8"/>
      <c r="D651" s="8"/>
      <c r="E651" s="8"/>
      <c r="F651" s="8"/>
      <c r="G651" s="8"/>
      <c r="H651" s="4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8"/>
      <c r="B652" s="8"/>
      <c r="C652" s="8"/>
      <c r="D652" s="8"/>
      <c r="E652" s="8"/>
      <c r="F652" s="8"/>
      <c r="G652" s="8"/>
      <c r="H652" s="4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8"/>
      <c r="B653" s="8"/>
      <c r="C653" s="8"/>
      <c r="D653" s="8"/>
      <c r="E653" s="8"/>
      <c r="F653" s="8"/>
      <c r="G653" s="8"/>
      <c r="H653" s="4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8"/>
      <c r="B654" s="8"/>
      <c r="C654" s="8"/>
      <c r="D654" s="8"/>
      <c r="E654" s="8"/>
      <c r="F654" s="8"/>
      <c r="G654" s="8"/>
      <c r="H654" s="4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8"/>
      <c r="B655" s="8"/>
      <c r="C655" s="8"/>
      <c r="D655" s="8"/>
      <c r="E655" s="8"/>
      <c r="F655" s="8"/>
      <c r="G655" s="8"/>
      <c r="H655" s="4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8"/>
      <c r="B656" s="8"/>
      <c r="C656" s="8"/>
      <c r="D656" s="8"/>
      <c r="E656" s="8"/>
      <c r="F656" s="8"/>
      <c r="G656" s="8"/>
      <c r="H656" s="4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8"/>
      <c r="B657" s="8"/>
      <c r="C657" s="8"/>
      <c r="D657" s="8"/>
      <c r="E657" s="8"/>
      <c r="F657" s="8"/>
      <c r="G657" s="8"/>
      <c r="H657" s="4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8"/>
      <c r="B658" s="8"/>
      <c r="C658" s="8"/>
      <c r="D658" s="8"/>
      <c r="E658" s="8"/>
      <c r="F658" s="8"/>
      <c r="G658" s="8"/>
      <c r="H658" s="4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8"/>
      <c r="B659" s="8"/>
      <c r="C659" s="8"/>
      <c r="D659" s="8"/>
      <c r="E659" s="8"/>
      <c r="F659" s="8"/>
      <c r="G659" s="8"/>
      <c r="H659" s="4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8"/>
      <c r="B660" s="8"/>
      <c r="C660" s="8"/>
      <c r="D660" s="8"/>
      <c r="E660" s="8"/>
      <c r="F660" s="8"/>
      <c r="G660" s="8"/>
      <c r="H660" s="4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8"/>
      <c r="B661" s="8"/>
      <c r="C661" s="8"/>
      <c r="D661" s="8"/>
      <c r="E661" s="8"/>
      <c r="F661" s="8"/>
      <c r="G661" s="8"/>
      <c r="H661" s="4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8"/>
      <c r="B662" s="8"/>
      <c r="C662" s="8"/>
      <c r="D662" s="8"/>
      <c r="E662" s="8"/>
      <c r="F662" s="8"/>
      <c r="G662" s="8"/>
      <c r="H662" s="4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8"/>
      <c r="B663" s="8"/>
      <c r="C663" s="8"/>
      <c r="D663" s="8"/>
      <c r="E663" s="8"/>
      <c r="F663" s="8"/>
      <c r="G663" s="8"/>
      <c r="H663" s="4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8"/>
      <c r="B664" s="8"/>
      <c r="C664" s="8"/>
      <c r="D664" s="8"/>
      <c r="E664" s="8"/>
      <c r="F664" s="8"/>
      <c r="G664" s="8"/>
      <c r="H664" s="4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8"/>
      <c r="B665" s="8"/>
      <c r="C665" s="8"/>
      <c r="D665" s="8"/>
      <c r="E665" s="8"/>
      <c r="F665" s="8"/>
      <c r="G665" s="8"/>
      <c r="H665" s="4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8"/>
      <c r="B666" s="8"/>
      <c r="C666" s="8"/>
      <c r="D666" s="8"/>
      <c r="E666" s="8"/>
      <c r="F666" s="8"/>
      <c r="G666" s="8"/>
      <c r="H666" s="4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8"/>
      <c r="B667" s="8"/>
      <c r="C667" s="8"/>
      <c r="D667" s="8"/>
      <c r="E667" s="8"/>
      <c r="F667" s="8"/>
      <c r="G667" s="8"/>
      <c r="H667" s="4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8"/>
      <c r="B668" s="8"/>
      <c r="C668" s="8"/>
      <c r="D668" s="8"/>
      <c r="E668" s="8"/>
      <c r="F668" s="8"/>
      <c r="G668" s="8"/>
      <c r="H668" s="4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8"/>
      <c r="B669" s="8"/>
      <c r="C669" s="8"/>
      <c r="D669" s="8"/>
      <c r="E669" s="8"/>
      <c r="F669" s="8"/>
      <c r="G669" s="8"/>
      <c r="H669" s="4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8"/>
      <c r="B670" s="8"/>
      <c r="C670" s="8"/>
      <c r="D670" s="8"/>
      <c r="E670" s="8"/>
      <c r="F670" s="8"/>
      <c r="G670" s="8"/>
      <c r="H670" s="4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8"/>
      <c r="B671" s="8"/>
      <c r="C671" s="8"/>
      <c r="D671" s="8"/>
      <c r="E671" s="8"/>
      <c r="F671" s="8"/>
      <c r="G671" s="8"/>
      <c r="H671" s="4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8"/>
      <c r="B672" s="8"/>
      <c r="C672" s="8"/>
      <c r="D672" s="8"/>
      <c r="E672" s="8"/>
      <c r="F672" s="8"/>
      <c r="G672" s="8"/>
      <c r="H672" s="4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8"/>
      <c r="B673" s="8"/>
      <c r="C673" s="8"/>
      <c r="D673" s="8"/>
      <c r="E673" s="8"/>
      <c r="F673" s="8"/>
      <c r="G673" s="8"/>
      <c r="H673" s="4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8"/>
      <c r="B674" s="8"/>
      <c r="C674" s="8"/>
      <c r="D674" s="8"/>
      <c r="E674" s="8"/>
      <c r="F674" s="8"/>
      <c r="G674" s="8"/>
      <c r="H674" s="4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8"/>
      <c r="B675" s="8"/>
      <c r="C675" s="8"/>
      <c r="D675" s="8"/>
      <c r="E675" s="8"/>
      <c r="F675" s="8"/>
      <c r="G675" s="8"/>
      <c r="H675" s="4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8"/>
      <c r="B676" s="8"/>
      <c r="C676" s="8"/>
      <c r="D676" s="8"/>
      <c r="E676" s="8"/>
      <c r="F676" s="8"/>
      <c r="G676" s="8"/>
      <c r="H676" s="4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8"/>
      <c r="B677" s="8"/>
      <c r="C677" s="8"/>
      <c r="D677" s="8"/>
      <c r="E677" s="8"/>
      <c r="F677" s="8"/>
      <c r="G677" s="8"/>
      <c r="H677" s="4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8"/>
      <c r="B678" s="8"/>
      <c r="C678" s="8"/>
      <c r="D678" s="8"/>
      <c r="E678" s="8"/>
      <c r="F678" s="8"/>
      <c r="G678" s="8"/>
      <c r="H678" s="4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8"/>
      <c r="B679" s="8"/>
      <c r="C679" s="8"/>
      <c r="D679" s="8"/>
      <c r="E679" s="8"/>
      <c r="F679" s="8"/>
      <c r="G679" s="8"/>
      <c r="H679" s="4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8"/>
      <c r="B680" s="8"/>
      <c r="C680" s="8"/>
      <c r="D680" s="8"/>
      <c r="E680" s="8"/>
      <c r="F680" s="8"/>
      <c r="G680" s="8"/>
      <c r="H680" s="4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8"/>
      <c r="B681" s="8"/>
      <c r="C681" s="8"/>
      <c r="D681" s="8"/>
      <c r="E681" s="8"/>
      <c r="F681" s="8"/>
      <c r="G681" s="8"/>
      <c r="H681" s="4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8"/>
      <c r="B682" s="8"/>
      <c r="C682" s="8"/>
      <c r="D682" s="8"/>
      <c r="E682" s="8"/>
      <c r="F682" s="8"/>
      <c r="G682" s="8"/>
      <c r="H682" s="4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8"/>
      <c r="B683" s="8"/>
      <c r="C683" s="8"/>
      <c r="D683" s="8"/>
      <c r="E683" s="8"/>
      <c r="F683" s="8"/>
      <c r="G683" s="8"/>
      <c r="H683" s="4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8"/>
      <c r="B684" s="8"/>
      <c r="C684" s="8"/>
      <c r="D684" s="8"/>
      <c r="E684" s="8"/>
      <c r="F684" s="8"/>
      <c r="G684" s="8"/>
      <c r="H684" s="4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8"/>
      <c r="B685" s="8"/>
      <c r="C685" s="8"/>
      <c r="D685" s="8"/>
      <c r="E685" s="8"/>
      <c r="F685" s="8"/>
      <c r="G685" s="8"/>
      <c r="H685" s="4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8"/>
      <c r="B686" s="8"/>
      <c r="C686" s="8"/>
      <c r="D686" s="8"/>
      <c r="E686" s="8"/>
      <c r="F686" s="8"/>
      <c r="G686" s="8"/>
      <c r="H686" s="4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8"/>
      <c r="B687" s="8"/>
      <c r="C687" s="8"/>
      <c r="D687" s="8"/>
      <c r="E687" s="8"/>
      <c r="F687" s="8"/>
      <c r="G687" s="8"/>
      <c r="H687" s="4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8"/>
      <c r="B688" s="8"/>
      <c r="C688" s="8"/>
      <c r="D688" s="8"/>
      <c r="E688" s="8"/>
      <c r="F688" s="8"/>
      <c r="G688" s="8"/>
      <c r="H688" s="4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8"/>
      <c r="B689" s="8"/>
      <c r="C689" s="8"/>
      <c r="D689" s="8"/>
      <c r="E689" s="8"/>
      <c r="F689" s="8"/>
      <c r="G689" s="8"/>
      <c r="H689" s="4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8"/>
      <c r="B690" s="8"/>
      <c r="C690" s="8"/>
      <c r="D690" s="8"/>
      <c r="E690" s="8"/>
      <c r="F690" s="8"/>
      <c r="G690" s="8"/>
      <c r="H690" s="4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8"/>
      <c r="B691" s="8"/>
      <c r="C691" s="8"/>
      <c r="D691" s="8"/>
      <c r="E691" s="8"/>
      <c r="F691" s="8"/>
      <c r="G691" s="8"/>
      <c r="H691" s="4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8"/>
      <c r="B692" s="8"/>
      <c r="C692" s="8"/>
      <c r="D692" s="8"/>
      <c r="E692" s="8"/>
      <c r="F692" s="8"/>
      <c r="G692" s="8"/>
      <c r="H692" s="4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8"/>
      <c r="B693" s="8"/>
      <c r="C693" s="8"/>
      <c r="D693" s="8"/>
      <c r="E693" s="8"/>
      <c r="F693" s="8"/>
      <c r="G693" s="8"/>
      <c r="H693" s="4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8"/>
      <c r="B694" s="8"/>
      <c r="C694" s="8"/>
      <c r="D694" s="8"/>
      <c r="E694" s="8"/>
      <c r="F694" s="8"/>
      <c r="G694" s="8"/>
      <c r="H694" s="4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8"/>
      <c r="B695" s="8"/>
      <c r="C695" s="8"/>
      <c r="D695" s="8"/>
      <c r="E695" s="8"/>
      <c r="F695" s="8"/>
      <c r="G695" s="8"/>
      <c r="H695" s="4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8"/>
      <c r="B696" s="8"/>
      <c r="C696" s="8"/>
      <c r="D696" s="8"/>
      <c r="E696" s="8"/>
      <c r="F696" s="8"/>
      <c r="G696" s="8"/>
      <c r="H696" s="4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8"/>
      <c r="B697" s="8"/>
      <c r="C697" s="8"/>
      <c r="D697" s="8"/>
      <c r="E697" s="8"/>
      <c r="F697" s="8"/>
      <c r="G697" s="8"/>
      <c r="H697" s="4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8"/>
      <c r="B698" s="8"/>
      <c r="C698" s="8"/>
      <c r="D698" s="8"/>
      <c r="E698" s="8"/>
      <c r="F698" s="8"/>
      <c r="G698" s="8"/>
      <c r="H698" s="4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8"/>
      <c r="B699" s="8"/>
      <c r="C699" s="8"/>
      <c r="D699" s="8"/>
      <c r="E699" s="8"/>
      <c r="F699" s="8"/>
      <c r="G699" s="8"/>
      <c r="H699" s="4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8"/>
      <c r="B700" s="8"/>
      <c r="C700" s="8"/>
      <c r="D700" s="8"/>
      <c r="E700" s="8"/>
      <c r="F700" s="8"/>
      <c r="G700" s="8"/>
      <c r="H700" s="4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8"/>
      <c r="B701" s="8"/>
      <c r="C701" s="8"/>
      <c r="D701" s="8"/>
      <c r="E701" s="8"/>
      <c r="F701" s="8"/>
      <c r="G701" s="8"/>
      <c r="H701" s="4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8"/>
      <c r="B702" s="8"/>
      <c r="C702" s="8"/>
      <c r="D702" s="8"/>
      <c r="E702" s="8"/>
      <c r="F702" s="8"/>
      <c r="G702" s="8"/>
      <c r="H702" s="4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8"/>
      <c r="B703" s="8"/>
      <c r="C703" s="8"/>
      <c r="D703" s="8"/>
      <c r="E703" s="8"/>
      <c r="F703" s="8"/>
      <c r="G703" s="8"/>
      <c r="H703" s="4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8"/>
      <c r="B704" s="8"/>
      <c r="C704" s="8"/>
      <c r="D704" s="8"/>
      <c r="E704" s="8"/>
      <c r="F704" s="8"/>
      <c r="G704" s="8"/>
      <c r="H704" s="4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8"/>
      <c r="B705" s="8"/>
      <c r="C705" s="8"/>
      <c r="D705" s="8"/>
      <c r="E705" s="8"/>
      <c r="F705" s="8"/>
      <c r="G705" s="8"/>
      <c r="H705" s="4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8"/>
      <c r="B706" s="8"/>
      <c r="C706" s="8"/>
      <c r="D706" s="8"/>
      <c r="E706" s="8"/>
      <c r="F706" s="8"/>
      <c r="G706" s="8"/>
      <c r="H706" s="4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8"/>
      <c r="B707" s="8"/>
      <c r="C707" s="8"/>
      <c r="D707" s="8"/>
      <c r="E707" s="8"/>
      <c r="F707" s="8"/>
      <c r="G707" s="8"/>
      <c r="H707" s="4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8"/>
      <c r="B708" s="8"/>
      <c r="C708" s="8"/>
      <c r="D708" s="8"/>
      <c r="E708" s="8"/>
      <c r="F708" s="8"/>
      <c r="G708" s="8"/>
      <c r="H708" s="4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8"/>
      <c r="B709" s="8"/>
      <c r="C709" s="8"/>
      <c r="D709" s="8"/>
      <c r="E709" s="8"/>
      <c r="F709" s="8"/>
      <c r="G709" s="8"/>
      <c r="H709" s="4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8"/>
      <c r="B710" s="8"/>
      <c r="C710" s="8"/>
      <c r="D710" s="8"/>
      <c r="E710" s="8"/>
      <c r="F710" s="8"/>
      <c r="G710" s="8"/>
      <c r="H710" s="4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8"/>
      <c r="B711" s="8"/>
      <c r="C711" s="8"/>
      <c r="D711" s="8"/>
      <c r="E711" s="8"/>
      <c r="F711" s="8"/>
      <c r="G711" s="8"/>
      <c r="H711" s="4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8"/>
      <c r="B712" s="8"/>
      <c r="C712" s="8"/>
      <c r="D712" s="8"/>
      <c r="E712" s="8"/>
      <c r="F712" s="8"/>
      <c r="G712" s="8"/>
      <c r="H712" s="4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8"/>
      <c r="B713" s="8"/>
      <c r="C713" s="8"/>
      <c r="D713" s="8"/>
      <c r="E713" s="8"/>
      <c r="F713" s="8"/>
      <c r="G713" s="8"/>
      <c r="H713" s="4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8"/>
      <c r="B714" s="8"/>
      <c r="C714" s="8"/>
      <c r="D714" s="8"/>
      <c r="E714" s="8"/>
      <c r="F714" s="8"/>
      <c r="G714" s="8"/>
      <c r="H714" s="4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8"/>
      <c r="B715" s="8"/>
      <c r="C715" s="8"/>
      <c r="D715" s="8"/>
      <c r="E715" s="8"/>
      <c r="F715" s="8"/>
      <c r="G715" s="8"/>
      <c r="H715" s="4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8"/>
      <c r="B716" s="8"/>
      <c r="C716" s="8"/>
      <c r="D716" s="8"/>
      <c r="E716" s="8"/>
      <c r="F716" s="8"/>
      <c r="G716" s="8"/>
      <c r="H716" s="4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8"/>
      <c r="B717" s="8"/>
      <c r="C717" s="8"/>
      <c r="D717" s="8"/>
      <c r="E717" s="8"/>
      <c r="F717" s="8"/>
      <c r="G717" s="8"/>
      <c r="H717" s="4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8"/>
      <c r="B718" s="8"/>
      <c r="C718" s="8"/>
      <c r="D718" s="8"/>
      <c r="E718" s="8"/>
      <c r="F718" s="8"/>
      <c r="G718" s="8"/>
      <c r="H718" s="4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8"/>
      <c r="B719" s="8"/>
      <c r="C719" s="8"/>
      <c r="D719" s="8"/>
      <c r="E719" s="8"/>
      <c r="F719" s="8"/>
      <c r="G719" s="8"/>
      <c r="H719" s="4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8"/>
      <c r="B720" s="8"/>
      <c r="C720" s="8"/>
      <c r="D720" s="8"/>
      <c r="E720" s="8"/>
      <c r="F720" s="8"/>
      <c r="G720" s="8"/>
      <c r="H720" s="4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8"/>
      <c r="B721" s="8"/>
      <c r="C721" s="8"/>
      <c r="D721" s="8"/>
      <c r="E721" s="8"/>
      <c r="F721" s="8"/>
      <c r="G721" s="8"/>
      <c r="H721" s="4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8"/>
      <c r="B722" s="8"/>
      <c r="C722" s="8"/>
      <c r="D722" s="8"/>
      <c r="E722" s="8"/>
      <c r="F722" s="8"/>
      <c r="G722" s="8"/>
      <c r="H722" s="4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8"/>
      <c r="B723" s="8"/>
      <c r="C723" s="8"/>
      <c r="D723" s="8"/>
      <c r="E723" s="8"/>
      <c r="F723" s="8"/>
      <c r="G723" s="8"/>
      <c r="H723" s="4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8"/>
      <c r="B724" s="8"/>
      <c r="C724" s="8"/>
      <c r="D724" s="8"/>
      <c r="E724" s="8"/>
      <c r="F724" s="8"/>
      <c r="G724" s="8"/>
      <c r="H724" s="4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8"/>
      <c r="B725" s="8"/>
      <c r="C725" s="8"/>
      <c r="D725" s="8"/>
      <c r="E725" s="8"/>
      <c r="F725" s="8"/>
      <c r="G725" s="8"/>
      <c r="H725" s="4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8"/>
      <c r="B726" s="8"/>
      <c r="C726" s="8"/>
      <c r="D726" s="8"/>
      <c r="E726" s="8"/>
      <c r="F726" s="8"/>
      <c r="G726" s="8"/>
      <c r="H726" s="4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8"/>
      <c r="B727" s="8"/>
      <c r="C727" s="8"/>
      <c r="D727" s="8"/>
      <c r="E727" s="8"/>
      <c r="F727" s="8"/>
      <c r="G727" s="8"/>
      <c r="H727" s="4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8"/>
      <c r="B728" s="8"/>
      <c r="C728" s="8"/>
      <c r="D728" s="8"/>
      <c r="E728" s="8"/>
      <c r="F728" s="8"/>
      <c r="G728" s="8"/>
      <c r="H728" s="4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8"/>
      <c r="B729" s="8"/>
      <c r="C729" s="8"/>
      <c r="D729" s="8"/>
      <c r="E729" s="8"/>
      <c r="F729" s="8"/>
      <c r="G729" s="8"/>
      <c r="H729" s="4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8"/>
      <c r="B730" s="8"/>
      <c r="C730" s="8"/>
      <c r="D730" s="8"/>
      <c r="E730" s="8"/>
      <c r="F730" s="8"/>
      <c r="G730" s="8"/>
      <c r="H730" s="4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8"/>
      <c r="B731" s="8"/>
      <c r="C731" s="8"/>
      <c r="D731" s="8"/>
      <c r="E731" s="8"/>
      <c r="F731" s="8"/>
      <c r="G731" s="8"/>
      <c r="H731" s="4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8"/>
      <c r="B732" s="8"/>
      <c r="C732" s="8"/>
      <c r="D732" s="8"/>
      <c r="E732" s="8"/>
      <c r="F732" s="8"/>
      <c r="G732" s="8"/>
      <c r="H732" s="4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8"/>
      <c r="B733" s="8"/>
      <c r="C733" s="8"/>
      <c r="D733" s="8"/>
      <c r="E733" s="8"/>
      <c r="F733" s="8"/>
      <c r="G733" s="8"/>
      <c r="H733" s="4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8"/>
      <c r="B734" s="8"/>
      <c r="C734" s="8"/>
      <c r="D734" s="8"/>
      <c r="E734" s="8"/>
      <c r="F734" s="8"/>
      <c r="G734" s="8"/>
      <c r="H734" s="4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8"/>
      <c r="B735" s="8"/>
      <c r="C735" s="8"/>
      <c r="D735" s="8"/>
      <c r="E735" s="8"/>
      <c r="F735" s="8"/>
      <c r="G735" s="8"/>
      <c r="H735" s="4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8"/>
      <c r="B736" s="8"/>
      <c r="C736" s="8"/>
      <c r="D736" s="8"/>
      <c r="E736" s="8"/>
      <c r="F736" s="8"/>
      <c r="G736" s="8"/>
      <c r="H736" s="4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8"/>
      <c r="B737" s="8"/>
      <c r="C737" s="8"/>
      <c r="D737" s="8"/>
      <c r="E737" s="8"/>
      <c r="F737" s="8"/>
      <c r="G737" s="8"/>
      <c r="H737" s="4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8"/>
      <c r="B738" s="8"/>
      <c r="C738" s="8"/>
      <c r="D738" s="8"/>
      <c r="E738" s="8"/>
      <c r="F738" s="8"/>
      <c r="G738" s="8"/>
      <c r="H738" s="4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8"/>
      <c r="B739" s="8"/>
      <c r="C739" s="8"/>
      <c r="D739" s="8"/>
      <c r="E739" s="8"/>
      <c r="F739" s="8"/>
      <c r="G739" s="8"/>
      <c r="H739" s="4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8"/>
      <c r="B740" s="8"/>
      <c r="C740" s="8"/>
      <c r="D740" s="8"/>
      <c r="E740" s="8"/>
      <c r="F740" s="8"/>
      <c r="G740" s="8"/>
      <c r="H740" s="4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8"/>
      <c r="B741" s="8"/>
      <c r="C741" s="8"/>
      <c r="D741" s="8"/>
      <c r="E741" s="8"/>
      <c r="F741" s="8"/>
      <c r="G741" s="8"/>
      <c r="H741" s="4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8"/>
      <c r="B742" s="8"/>
      <c r="C742" s="8"/>
      <c r="D742" s="8"/>
      <c r="E742" s="8"/>
      <c r="F742" s="8"/>
      <c r="G742" s="8"/>
      <c r="H742" s="4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8"/>
      <c r="B743" s="8"/>
      <c r="C743" s="8"/>
      <c r="D743" s="8"/>
      <c r="E743" s="8"/>
      <c r="F743" s="8"/>
      <c r="G743" s="8"/>
      <c r="H743" s="4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8"/>
      <c r="B744" s="8"/>
      <c r="C744" s="8"/>
      <c r="D744" s="8"/>
      <c r="E744" s="8"/>
      <c r="F744" s="8"/>
      <c r="G744" s="8"/>
      <c r="H744" s="4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8"/>
      <c r="B745" s="8"/>
      <c r="C745" s="8"/>
      <c r="D745" s="8"/>
      <c r="E745" s="8"/>
      <c r="F745" s="8"/>
      <c r="G745" s="8"/>
      <c r="H745" s="4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8"/>
      <c r="B746" s="8"/>
      <c r="C746" s="8"/>
      <c r="D746" s="8"/>
      <c r="E746" s="8"/>
      <c r="F746" s="8"/>
      <c r="G746" s="8"/>
      <c r="H746" s="4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8"/>
      <c r="B747" s="8"/>
      <c r="C747" s="8"/>
      <c r="D747" s="8"/>
      <c r="E747" s="8"/>
      <c r="F747" s="8"/>
      <c r="G747" s="8"/>
      <c r="H747" s="4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8"/>
      <c r="B748" s="8"/>
      <c r="C748" s="8"/>
      <c r="D748" s="8"/>
      <c r="E748" s="8"/>
      <c r="F748" s="8"/>
      <c r="G748" s="8"/>
      <c r="H748" s="4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8"/>
      <c r="B749" s="8"/>
      <c r="C749" s="8"/>
      <c r="D749" s="8"/>
      <c r="E749" s="8"/>
      <c r="F749" s="8"/>
      <c r="G749" s="8"/>
      <c r="H749" s="4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8"/>
      <c r="B750" s="8"/>
      <c r="C750" s="8"/>
      <c r="D750" s="8"/>
      <c r="E750" s="8"/>
      <c r="F750" s="8"/>
      <c r="G750" s="8"/>
      <c r="H750" s="4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8"/>
      <c r="B751" s="8"/>
      <c r="C751" s="8"/>
      <c r="D751" s="8"/>
      <c r="E751" s="8"/>
      <c r="F751" s="8"/>
      <c r="G751" s="8"/>
      <c r="H751" s="4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8"/>
      <c r="B752" s="8"/>
      <c r="C752" s="8"/>
      <c r="D752" s="8"/>
      <c r="E752" s="8"/>
      <c r="F752" s="8"/>
      <c r="G752" s="8"/>
      <c r="H752" s="4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8"/>
      <c r="B753" s="8"/>
      <c r="C753" s="8"/>
      <c r="D753" s="8"/>
      <c r="E753" s="8"/>
      <c r="F753" s="8"/>
      <c r="G753" s="8"/>
      <c r="H753" s="4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8"/>
      <c r="B754" s="8"/>
      <c r="C754" s="8"/>
      <c r="D754" s="8"/>
      <c r="E754" s="8"/>
      <c r="F754" s="8"/>
      <c r="G754" s="8"/>
      <c r="H754" s="4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8"/>
      <c r="B755" s="8"/>
      <c r="C755" s="8"/>
      <c r="D755" s="8"/>
      <c r="E755" s="8"/>
      <c r="F755" s="8"/>
      <c r="G755" s="8"/>
      <c r="H755" s="4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8"/>
      <c r="B756" s="8"/>
      <c r="C756" s="8"/>
      <c r="D756" s="8"/>
      <c r="E756" s="8"/>
      <c r="F756" s="8"/>
      <c r="G756" s="8"/>
      <c r="H756" s="4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8"/>
      <c r="B757" s="8"/>
      <c r="C757" s="8"/>
      <c r="D757" s="8"/>
      <c r="E757" s="8"/>
      <c r="F757" s="8"/>
      <c r="G757" s="8"/>
      <c r="H757" s="4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8"/>
      <c r="B758" s="8"/>
      <c r="C758" s="8"/>
      <c r="D758" s="8"/>
      <c r="E758" s="8"/>
      <c r="F758" s="8"/>
      <c r="G758" s="8"/>
      <c r="H758" s="4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8"/>
      <c r="B759" s="8"/>
      <c r="C759" s="8"/>
      <c r="D759" s="8"/>
      <c r="E759" s="8"/>
      <c r="F759" s="8"/>
      <c r="G759" s="8"/>
      <c r="H759" s="4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8"/>
      <c r="B760" s="8"/>
      <c r="C760" s="8"/>
      <c r="D760" s="8"/>
      <c r="E760" s="8"/>
      <c r="F760" s="8"/>
      <c r="G760" s="8"/>
      <c r="H760" s="4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8"/>
      <c r="B761" s="8"/>
      <c r="C761" s="8"/>
      <c r="D761" s="8"/>
      <c r="E761" s="8"/>
      <c r="F761" s="8"/>
      <c r="G761" s="8"/>
      <c r="H761" s="4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8"/>
      <c r="B762" s="8"/>
      <c r="C762" s="8"/>
      <c r="D762" s="8"/>
      <c r="E762" s="8"/>
      <c r="F762" s="8"/>
      <c r="G762" s="8"/>
      <c r="H762" s="4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8"/>
      <c r="B763" s="8"/>
      <c r="C763" s="8"/>
      <c r="D763" s="8"/>
      <c r="E763" s="8"/>
      <c r="F763" s="8"/>
      <c r="G763" s="8"/>
      <c r="H763" s="4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8"/>
      <c r="B764" s="8"/>
      <c r="C764" s="8"/>
      <c r="D764" s="8"/>
      <c r="E764" s="8"/>
      <c r="F764" s="8"/>
      <c r="G764" s="8"/>
      <c r="H764" s="4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8"/>
      <c r="B765" s="8"/>
      <c r="C765" s="8"/>
      <c r="D765" s="8"/>
      <c r="E765" s="8"/>
      <c r="F765" s="8"/>
      <c r="G765" s="8"/>
      <c r="H765" s="4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8"/>
      <c r="B766" s="8"/>
      <c r="C766" s="8"/>
      <c r="D766" s="8"/>
      <c r="E766" s="8"/>
      <c r="F766" s="8"/>
      <c r="G766" s="8"/>
      <c r="H766" s="4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8"/>
      <c r="B767" s="8"/>
      <c r="C767" s="8"/>
      <c r="D767" s="8"/>
      <c r="E767" s="8"/>
      <c r="F767" s="8"/>
      <c r="G767" s="8"/>
      <c r="H767" s="4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8"/>
      <c r="B768" s="8"/>
      <c r="C768" s="8"/>
      <c r="D768" s="8"/>
      <c r="E768" s="8"/>
      <c r="F768" s="8"/>
      <c r="G768" s="8"/>
      <c r="H768" s="4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8"/>
      <c r="B769" s="8"/>
      <c r="C769" s="8"/>
      <c r="D769" s="8"/>
      <c r="E769" s="8"/>
      <c r="F769" s="8"/>
      <c r="G769" s="8"/>
      <c r="H769" s="4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8"/>
      <c r="B770" s="8"/>
      <c r="C770" s="8"/>
      <c r="D770" s="8"/>
      <c r="E770" s="8"/>
      <c r="F770" s="8"/>
      <c r="G770" s="8"/>
      <c r="H770" s="4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8"/>
      <c r="B771" s="8"/>
      <c r="C771" s="8"/>
      <c r="D771" s="8"/>
      <c r="E771" s="8"/>
      <c r="F771" s="8"/>
      <c r="G771" s="8"/>
      <c r="H771" s="4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8"/>
      <c r="B772" s="8"/>
      <c r="C772" s="8"/>
      <c r="D772" s="8"/>
      <c r="E772" s="8"/>
      <c r="F772" s="8"/>
      <c r="G772" s="8"/>
      <c r="H772" s="4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8"/>
      <c r="B773" s="8"/>
      <c r="C773" s="8"/>
      <c r="D773" s="8"/>
      <c r="E773" s="8"/>
      <c r="F773" s="8"/>
      <c r="G773" s="8"/>
      <c r="H773" s="4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8"/>
      <c r="B774" s="8"/>
      <c r="C774" s="8"/>
      <c r="D774" s="8"/>
      <c r="E774" s="8"/>
      <c r="F774" s="8"/>
      <c r="G774" s="8"/>
      <c r="H774" s="4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8"/>
      <c r="B775" s="8"/>
      <c r="C775" s="8"/>
      <c r="D775" s="8"/>
      <c r="E775" s="8"/>
      <c r="F775" s="8"/>
      <c r="G775" s="8"/>
      <c r="H775" s="4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8"/>
      <c r="B776" s="8"/>
      <c r="C776" s="8"/>
      <c r="D776" s="8"/>
      <c r="E776" s="8"/>
      <c r="F776" s="8"/>
      <c r="G776" s="8"/>
      <c r="H776" s="4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8"/>
      <c r="B777" s="8"/>
      <c r="C777" s="8"/>
      <c r="D777" s="8"/>
      <c r="E777" s="8"/>
      <c r="F777" s="8"/>
      <c r="G777" s="8"/>
      <c r="H777" s="4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8"/>
      <c r="B778" s="8"/>
      <c r="C778" s="8"/>
      <c r="D778" s="8"/>
      <c r="E778" s="8"/>
      <c r="F778" s="8"/>
      <c r="G778" s="8"/>
      <c r="H778" s="4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8"/>
      <c r="B779" s="8"/>
      <c r="C779" s="8"/>
      <c r="D779" s="8"/>
      <c r="E779" s="8"/>
      <c r="F779" s="8"/>
      <c r="G779" s="8"/>
      <c r="H779" s="4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8"/>
      <c r="B780" s="8"/>
      <c r="C780" s="8"/>
      <c r="D780" s="8"/>
      <c r="E780" s="8"/>
      <c r="F780" s="8"/>
      <c r="G780" s="8"/>
      <c r="H780" s="4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8"/>
      <c r="B781" s="8"/>
      <c r="C781" s="8"/>
      <c r="D781" s="8"/>
      <c r="E781" s="8"/>
      <c r="F781" s="8"/>
      <c r="G781" s="8"/>
      <c r="H781" s="4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8"/>
      <c r="B782" s="8"/>
      <c r="C782" s="8"/>
      <c r="D782" s="8"/>
      <c r="E782" s="8"/>
      <c r="F782" s="8"/>
      <c r="G782" s="8"/>
      <c r="H782" s="4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8"/>
      <c r="B783" s="8"/>
      <c r="C783" s="8"/>
      <c r="D783" s="8"/>
      <c r="E783" s="8"/>
      <c r="F783" s="8"/>
      <c r="G783" s="8"/>
      <c r="H783" s="4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8"/>
      <c r="B784" s="8"/>
      <c r="C784" s="8"/>
      <c r="D784" s="8"/>
      <c r="E784" s="8"/>
      <c r="F784" s="8"/>
      <c r="G784" s="8"/>
      <c r="H784" s="4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8"/>
      <c r="B785" s="8"/>
      <c r="C785" s="8"/>
      <c r="D785" s="8"/>
      <c r="E785" s="8"/>
      <c r="F785" s="8"/>
      <c r="G785" s="8"/>
      <c r="H785" s="4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8"/>
      <c r="B786" s="8"/>
      <c r="C786" s="8"/>
      <c r="D786" s="8"/>
      <c r="E786" s="8"/>
      <c r="F786" s="8"/>
      <c r="G786" s="8"/>
      <c r="H786" s="4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8"/>
      <c r="B787" s="8"/>
      <c r="C787" s="8"/>
      <c r="D787" s="8"/>
      <c r="E787" s="8"/>
      <c r="F787" s="8"/>
      <c r="G787" s="8"/>
      <c r="H787" s="4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8"/>
      <c r="B788" s="8"/>
      <c r="C788" s="8"/>
      <c r="D788" s="8"/>
      <c r="E788" s="8"/>
      <c r="F788" s="8"/>
      <c r="G788" s="8"/>
      <c r="H788" s="4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8"/>
      <c r="B789" s="8"/>
      <c r="C789" s="8"/>
      <c r="D789" s="8"/>
      <c r="E789" s="8"/>
      <c r="F789" s="8"/>
      <c r="G789" s="8"/>
      <c r="H789" s="4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8"/>
      <c r="B790" s="8"/>
      <c r="C790" s="8"/>
      <c r="D790" s="8"/>
      <c r="E790" s="8"/>
      <c r="F790" s="8"/>
      <c r="G790" s="8"/>
      <c r="H790" s="4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8"/>
      <c r="B791" s="8"/>
      <c r="C791" s="8"/>
      <c r="D791" s="8"/>
      <c r="E791" s="8"/>
      <c r="F791" s="8"/>
      <c r="G791" s="8"/>
      <c r="H791" s="4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8"/>
      <c r="B792" s="8"/>
      <c r="C792" s="8"/>
      <c r="D792" s="8"/>
      <c r="E792" s="8"/>
      <c r="F792" s="8"/>
      <c r="G792" s="8"/>
      <c r="H792" s="4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8"/>
      <c r="B793" s="8"/>
      <c r="C793" s="8"/>
      <c r="D793" s="8"/>
      <c r="E793" s="8"/>
      <c r="F793" s="8"/>
      <c r="G793" s="8"/>
      <c r="H793" s="4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8"/>
      <c r="B794" s="8"/>
      <c r="C794" s="8"/>
      <c r="D794" s="8"/>
      <c r="E794" s="8"/>
      <c r="F794" s="8"/>
      <c r="G794" s="8"/>
      <c r="H794" s="4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8"/>
      <c r="B795" s="8"/>
      <c r="C795" s="8"/>
      <c r="D795" s="8"/>
      <c r="E795" s="8"/>
      <c r="F795" s="8"/>
      <c r="G795" s="8"/>
      <c r="H795" s="4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8"/>
      <c r="B796" s="8"/>
      <c r="C796" s="8"/>
      <c r="D796" s="8"/>
      <c r="E796" s="8"/>
      <c r="F796" s="8"/>
      <c r="G796" s="8"/>
      <c r="H796" s="4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8"/>
      <c r="B797" s="8"/>
      <c r="C797" s="8"/>
      <c r="D797" s="8"/>
      <c r="E797" s="8"/>
      <c r="F797" s="8"/>
      <c r="G797" s="8"/>
      <c r="H797" s="4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8"/>
      <c r="B798" s="8"/>
      <c r="C798" s="8"/>
      <c r="D798" s="8"/>
      <c r="E798" s="8"/>
      <c r="F798" s="8"/>
      <c r="G798" s="8"/>
      <c r="H798" s="4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8"/>
      <c r="B799" s="8"/>
      <c r="C799" s="8"/>
      <c r="D799" s="8"/>
      <c r="E799" s="8"/>
      <c r="F799" s="8"/>
      <c r="G799" s="8"/>
      <c r="H799" s="4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8"/>
      <c r="B800" s="8"/>
      <c r="C800" s="8"/>
      <c r="D800" s="8"/>
      <c r="E800" s="8"/>
      <c r="F800" s="8"/>
      <c r="G800" s="8"/>
      <c r="H800" s="4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8"/>
      <c r="B801" s="8"/>
      <c r="C801" s="8"/>
      <c r="D801" s="8"/>
      <c r="E801" s="8"/>
      <c r="F801" s="8"/>
      <c r="G801" s="8"/>
      <c r="H801" s="4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8"/>
      <c r="B802" s="8"/>
      <c r="C802" s="8"/>
      <c r="D802" s="8"/>
      <c r="E802" s="8"/>
      <c r="F802" s="8"/>
      <c r="G802" s="8"/>
      <c r="H802" s="4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8"/>
      <c r="B803" s="8"/>
      <c r="C803" s="8"/>
      <c r="D803" s="8"/>
      <c r="E803" s="8"/>
      <c r="F803" s="8"/>
      <c r="G803" s="8"/>
      <c r="H803" s="4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8"/>
      <c r="B804" s="8"/>
      <c r="C804" s="8"/>
      <c r="D804" s="8"/>
      <c r="E804" s="8"/>
      <c r="F804" s="8"/>
      <c r="G804" s="8"/>
      <c r="H804" s="4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8"/>
      <c r="B805" s="8"/>
      <c r="C805" s="8"/>
      <c r="D805" s="8"/>
      <c r="E805" s="8"/>
      <c r="F805" s="8"/>
      <c r="G805" s="8"/>
      <c r="H805" s="4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8"/>
      <c r="B806" s="8"/>
      <c r="C806" s="8"/>
      <c r="D806" s="8"/>
      <c r="E806" s="8"/>
      <c r="F806" s="8"/>
      <c r="G806" s="8"/>
      <c r="H806" s="4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8"/>
      <c r="B807" s="8"/>
      <c r="C807" s="8"/>
      <c r="D807" s="8"/>
      <c r="E807" s="8"/>
      <c r="F807" s="8"/>
      <c r="G807" s="8"/>
      <c r="H807" s="4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8"/>
      <c r="B808" s="8"/>
      <c r="C808" s="8"/>
      <c r="D808" s="8"/>
      <c r="E808" s="8"/>
      <c r="F808" s="8"/>
      <c r="G808" s="8"/>
      <c r="H808" s="4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8"/>
      <c r="B809" s="8"/>
      <c r="C809" s="8"/>
      <c r="D809" s="8"/>
      <c r="E809" s="8"/>
      <c r="F809" s="8"/>
      <c r="G809" s="8"/>
      <c r="H809" s="4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8"/>
      <c r="B810" s="8"/>
      <c r="C810" s="8"/>
      <c r="D810" s="8"/>
      <c r="E810" s="8"/>
      <c r="F810" s="8"/>
      <c r="G810" s="8"/>
      <c r="H810" s="4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8"/>
      <c r="B811" s="8"/>
      <c r="C811" s="8"/>
      <c r="D811" s="8"/>
      <c r="E811" s="8"/>
      <c r="F811" s="8"/>
      <c r="G811" s="8"/>
      <c r="H811" s="4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8"/>
      <c r="B812" s="8"/>
      <c r="C812" s="8"/>
      <c r="D812" s="8"/>
      <c r="E812" s="8"/>
      <c r="F812" s="8"/>
      <c r="G812" s="8"/>
      <c r="H812" s="4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8"/>
      <c r="B813" s="8"/>
      <c r="C813" s="8"/>
      <c r="D813" s="8"/>
      <c r="E813" s="8"/>
      <c r="F813" s="8"/>
      <c r="G813" s="8"/>
      <c r="H813" s="4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8"/>
      <c r="B814" s="8"/>
      <c r="C814" s="8"/>
      <c r="D814" s="8"/>
      <c r="E814" s="8"/>
      <c r="F814" s="8"/>
      <c r="G814" s="8"/>
      <c r="H814" s="4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8"/>
      <c r="B815" s="8"/>
      <c r="C815" s="8"/>
      <c r="D815" s="8"/>
      <c r="E815" s="8"/>
      <c r="F815" s="8"/>
      <c r="G815" s="8"/>
      <c r="H815" s="4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8"/>
      <c r="B816" s="8"/>
      <c r="C816" s="8"/>
      <c r="D816" s="8"/>
      <c r="E816" s="8"/>
      <c r="F816" s="8"/>
      <c r="G816" s="8"/>
      <c r="H816" s="4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8"/>
      <c r="B817" s="8"/>
      <c r="C817" s="8"/>
      <c r="D817" s="8"/>
      <c r="E817" s="8"/>
      <c r="F817" s="8"/>
      <c r="G817" s="8"/>
      <c r="H817" s="4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8"/>
      <c r="B818" s="8"/>
      <c r="C818" s="8"/>
      <c r="D818" s="8"/>
      <c r="E818" s="8"/>
      <c r="F818" s="8"/>
      <c r="G818" s="8"/>
      <c r="H818" s="4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8"/>
      <c r="B819" s="8"/>
      <c r="C819" s="8"/>
      <c r="D819" s="8"/>
      <c r="E819" s="8"/>
      <c r="F819" s="8"/>
      <c r="G819" s="8"/>
      <c r="H819" s="4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8"/>
      <c r="B820" s="8"/>
      <c r="C820" s="8"/>
      <c r="D820" s="8"/>
      <c r="E820" s="8"/>
      <c r="F820" s="8"/>
      <c r="G820" s="8"/>
      <c r="H820" s="4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8"/>
      <c r="B821" s="8"/>
      <c r="C821" s="8"/>
      <c r="D821" s="8"/>
      <c r="E821" s="8"/>
      <c r="F821" s="8"/>
      <c r="G821" s="8"/>
      <c r="H821" s="4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8"/>
      <c r="B822" s="8"/>
      <c r="C822" s="8"/>
      <c r="D822" s="8"/>
      <c r="E822" s="8"/>
      <c r="F822" s="8"/>
      <c r="G822" s="8"/>
      <c r="H822" s="4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8"/>
      <c r="B823" s="8"/>
      <c r="C823" s="8"/>
      <c r="D823" s="8"/>
      <c r="E823" s="8"/>
      <c r="F823" s="8"/>
      <c r="G823" s="8"/>
      <c r="H823" s="4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8"/>
      <c r="B824" s="8"/>
      <c r="C824" s="8"/>
      <c r="D824" s="8"/>
      <c r="E824" s="8"/>
      <c r="F824" s="8"/>
      <c r="G824" s="8"/>
      <c r="H824" s="4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8"/>
      <c r="B825" s="8"/>
      <c r="C825" s="8"/>
      <c r="D825" s="8"/>
      <c r="E825" s="8"/>
      <c r="F825" s="8"/>
      <c r="G825" s="8"/>
      <c r="H825" s="4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8"/>
      <c r="B826" s="8"/>
      <c r="C826" s="8"/>
      <c r="D826" s="8"/>
      <c r="E826" s="8"/>
      <c r="F826" s="8"/>
      <c r="G826" s="8"/>
      <c r="H826" s="4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8"/>
      <c r="B827" s="8"/>
      <c r="C827" s="8"/>
      <c r="D827" s="8"/>
      <c r="E827" s="8"/>
      <c r="F827" s="8"/>
      <c r="G827" s="8"/>
      <c r="H827" s="4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8"/>
      <c r="B828" s="8"/>
      <c r="C828" s="8"/>
      <c r="D828" s="8"/>
      <c r="E828" s="8"/>
      <c r="F828" s="8"/>
      <c r="G828" s="8"/>
      <c r="H828" s="4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8"/>
      <c r="B829" s="8"/>
      <c r="C829" s="8"/>
      <c r="D829" s="8"/>
      <c r="E829" s="8"/>
      <c r="F829" s="8"/>
      <c r="G829" s="8"/>
      <c r="H829" s="4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8"/>
      <c r="B830" s="8"/>
      <c r="C830" s="8"/>
      <c r="D830" s="8"/>
      <c r="E830" s="8"/>
      <c r="F830" s="8"/>
      <c r="G830" s="8"/>
      <c r="H830" s="4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8"/>
      <c r="B831" s="8"/>
      <c r="C831" s="8"/>
      <c r="D831" s="8"/>
      <c r="E831" s="8"/>
      <c r="F831" s="8"/>
      <c r="G831" s="8"/>
      <c r="H831" s="4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8"/>
      <c r="B832" s="8"/>
      <c r="C832" s="8"/>
      <c r="D832" s="8"/>
      <c r="E832" s="8"/>
      <c r="F832" s="8"/>
      <c r="G832" s="8"/>
      <c r="H832" s="4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8"/>
      <c r="B833" s="8"/>
      <c r="C833" s="8"/>
      <c r="D833" s="8"/>
      <c r="E833" s="8"/>
      <c r="F833" s="8"/>
      <c r="G833" s="8"/>
      <c r="H833" s="4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8"/>
      <c r="B834" s="8"/>
      <c r="C834" s="8"/>
      <c r="D834" s="8"/>
      <c r="E834" s="8"/>
      <c r="F834" s="8"/>
      <c r="G834" s="8"/>
      <c r="H834" s="4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8"/>
      <c r="B835" s="8"/>
      <c r="C835" s="8"/>
      <c r="D835" s="8"/>
      <c r="E835" s="8"/>
      <c r="F835" s="8"/>
      <c r="G835" s="8"/>
      <c r="H835" s="4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8"/>
      <c r="B836" s="8"/>
      <c r="C836" s="8"/>
      <c r="D836" s="8"/>
      <c r="E836" s="8"/>
      <c r="F836" s="8"/>
      <c r="G836" s="8"/>
      <c r="H836" s="4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8"/>
      <c r="B837" s="8"/>
      <c r="C837" s="8"/>
      <c r="D837" s="8"/>
      <c r="E837" s="8"/>
      <c r="F837" s="8"/>
      <c r="G837" s="8"/>
      <c r="H837" s="4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8"/>
      <c r="B838" s="8"/>
      <c r="C838" s="8"/>
      <c r="D838" s="8"/>
      <c r="E838" s="8"/>
      <c r="F838" s="8"/>
      <c r="G838" s="8"/>
      <c r="H838" s="4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8"/>
      <c r="B839" s="8"/>
      <c r="C839" s="8"/>
      <c r="D839" s="8"/>
      <c r="E839" s="8"/>
      <c r="F839" s="8"/>
      <c r="G839" s="8"/>
      <c r="H839" s="4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8"/>
      <c r="B840" s="8"/>
      <c r="C840" s="8"/>
      <c r="D840" s="8"/>
      <c r="E840" s="8"/>
      <c r="F840" s="8"/>
      <c r="G840" s="8"/>
      <c r="H840" s="4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8"/>
      <c r="B841" s="8"/>
      <c r="C841" s="8"/>
      <c r="D841" s="8"/>
      <c r="E841" s="8"/>
      <c r="F841" s="8"/>
      <c r="G841" s="8"/>
      <c r="H841" s="4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8"/>
      <c r="B842" s="8"/>
      <c r="C842" s="8"/>
      <c r="D842" s="8"/>
      <c r="E842" s="8"/>
      <c r="F842" s="8"/>
      <c r="G842" s="8"/>
      <c r="H842" s="4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8"/>
      <c r="B843" s="8"/>
      <c r="C843" s="8"/>
      <c r="D843" s="8"/>
      <c r="E843" s="8"/>
      <c r="F843" s="8"/>
      <c r="G843" s="8"/>
      <c r="H843" s="4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8"/>
      <c r="B844" s="8"/>
      <c r="C844" s="8"/>
      <c r="D844" s="8"/>
      <c r="E844" s="8"/>
      <c r="F844" s="8"/>
      <c r="G844" s="8"/>
      <c r="H844" s="4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8"/>
      <c r="B845" s="8"/>
      <c r="C845" s="8"/>
      <c r="D845" s="8"/>
      <c r="E845" s="8"/>
      <c r="F845" s="8"/>
      <c r="G845" s="8"/>
      <c r="H845" s="4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8"/>
      <c r="B846" s="8"/>
      <c r="C846" s="8"/>
      <c r="D846" s="8"/>
      <c r="E846" s="8"/>
      <c r="F846" s="8"/>
      <c r="G846" s="8"/>
      <c r="H846" s="4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8"/>
      <c r="B847" s="8"/>
      <c r="C847" s="8"/>
      <c r="D847" s="8"/>
      <c r="E847" s="8"/>
      <c r="F847" s="8"/>
      <c r="G847" s="8"/>
      <c r="H847" s="4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8"/>
      <c r="B848" s="8"/>
      <c r="C848" s="8"/>
      <c r="D848" s="8"/>
      <c r="E848" s="8"/>
      <c r="F848" s="8"/>
      <c r="G848" s="8"/>
      <c r="H848" s="4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8"/>
      <c r="B849" s="8"/>
      <c r="C849" s="8"/>
      <c r="D849" s="8"/>
      <c r="E849" s="8"/>
      <c r="F849" s="8"/>
      <c r="G849" s="8"/>
      <c r="H849" s="4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8"/>
      <c r="B850" s="8"/>
      <c r="C850" s="8"/>
      <c r="D850" s="8"/>
      <c r="E850" s="8"/>
      <c r="F850" s="8"/>
      <c r="G850" s="8"/>
      <c r="H850" s="4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8"/>
      <c r="B851" s="8"/>
      <c r="C851" s="8"/>
      <c r="D851" s="8"/>
      <c r="E851" s="8"/>
      <c r="F851" s="8"/>
      <c r="G851" s="8"/>
      <c r="H851" s="4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8"/>
      <c r="B852" s="8"/>
      <c r="C852" s="8"/>
      <c r="D852" s="8"/>
      <c r="E852" s="8"/>
      <c r="F852" s="8"/>
      <c r="G852" s="8"/>
      <c r="H852" s="4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8"/>
      <c r="B853" s="8"/>
      <c r="C853" s="8"/>
      <c r="D853" s="8"/>
      <c r="E853" s="8"/>
      <c r="F853" s="8"/>
      <c r="G853" s="8"/>
      <c r="H853" s="4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8"/>
      <c r="B854" s="8"/>
      <c r="C854" s="8"/>
      <c r="D854" s="8"/>
      <c r="E854" s="8"/>
      <c r="F854" s="8"/>
      <c r="G854" s="8"/>
      <c r="H854" s="4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8"/>
      <c r="B855" s="8"/>
      <c r="C855" s="8"/>
      <c r="D855" s="8"/>
      <c r="E855" s="8"/>
      <c r="F855" s="8"/>
      <c r="G855" s="8"/>
      <c r="H855" s="4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8"/>
      <c r="B856" s="8"/>
      <c r="C856" s="8"/>
      <c r="D856" s="8"/>
      <c r="E856" s="8"/>
      <c r="F856" s="8"/>
      <c r="G856" s="8"/>
      <c r="H856" s="4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8"/>
      <c r="B857" s="8"/>
      <c r="C857" s="8"/>
      <c r="D857" s="8"/>
      <c r="E857" s="8"/>
      <c r="F857" s="8"/>
      <c r="G857" s="8"/>
      <c r="H857" s="4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8"/>
      <c r="B858" s="8"/>
      <c r="C858" s="8"/>
      <c r="D858" s="8"/>
      <c r="E858" s="8"/>
      <c r="F858" s="8"/>
      <c r="G858" s="8"/>
      <c r="H858" s="4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8"/>
      <c r="B859" s="8"/>
      <c r="C859" s="8"/>
      <c r="D859" s="8"/>
      <c r="E859" s="8"/>
      <c r="F859" s="8"/>
      <c r="G859" s="8"/>
      <c r="H859" s="4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8"/>
      <c r="B860" s="8"/>
      <c r="C860" s="8"/>
      <c r="D860" s="8"/>
      <c r="E860" s="8"/>
      <c r="F860" s="8"/>
      <c r="G860" s="8"/>
      <c r="H860" s="4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8"/>
      <c r="B861" s="8"/>
      <c r="C861" s="8"/>
      <c r="D861" s="8"/>
      <c r="E861" s="8"/>
      <c r="F861" s="8"/>
      <c r="G861" s="8"/>
      <c r="H861" s="4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8"/>
      <c r="B862" s="8"/>
      <c r="C862" s="8"/>
      <c r="D862" s="8"/>
      <c r="E862" s="8"/>
      <c r="F862" s="8"/>
      <c r="G862" s="8"/>
      <c r="H862" s="4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8"/>
      <c r="B863" s="8"/>
      <c r="C863" s="8"/>
      <c r="D863" s="8"/>
      <c r="E863" s="8"/>
      <c r="F863" s="8"/>
      <c r="G863" s="8"/>
      <c r="H863" s="4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8"/>
      <c r="B864" s="8"/>
      <c r="C864" s="8"/>
      <c r="D864" s="8"/>
      <c r="E864" s="8"/>
      <c r="F864" s="8"/>
      <c r="G864" s="8"/>
      <c r="H864" s="4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8"/>
      <c r="B865" s="8"/>
      <c r="C865" s="8"/>
      <c r="D865" s="8"/>
      <c r="E865" s="8"/>
      <c r="F865" s="8"/>
      <c r="G865" s="8"/>
      <c r="H865" s="4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8"/>
      <c r="B866" s="8"/>
      <c r="C866" s="8"/>
      <c r="D866" s="8"/>
      <c r="E866" s="8"/>
      <c r="F866" s="8"/>
      <c r="G866" s="8"/>
      <c r="H866" s="4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8"/>
      <c r="B867" s="8"/>
      <c r="C867" s="8"/>
      <c r="D867" s="8"/>
      <c r="E867" s="8"/>
      <c r="F867" s="8"/>
      <c r="G867" s="8"/>
      <c r="H867" s="4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8"/>
      <c r="B868" s="8"/>
      <c r="C868" s="8"/>
      <c r="D868" s="8"/>
      <c r="E868" s="8"/>
      <c r="F868" s="8"/>
      <c r="G868" s="8"/>
      <c r="H868" s="4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8"/>
      <c r="B869" s="8"/>
      <c r="C869" s="8"/>
      <c r="D869" s="8"/>
      <c r="E869" s="8"/>
      <c r="F869" s="8"/>
      <c r="G869" s="8"/>
      <c r="H869" s="4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8"/>
      <c r="B870" s="8"/>
      <c r="C870" s="8"/>
      <c r="D870" s="8"/>
      <c r="E870" s="8"/>
      <c r="F870" s="8"/>
      <c r="G870" s="8"/>
      <c r="H870" s="4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8"/>
      <c r="B871" s="8"/>
      <c r="C871" s="8"/>
      <c r="D871" s="8"/>
      <c r="E871" s="8"/>
      <c r="F871" s="8"/>
      <c r="G871" s="8"/>
      <c r="H871" s="4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8"/>
      <c r="B872" s="8"/>
      <c r="C872" s="8"/>
      <c r="D872" s="8"/>
      <c r="E872" s="8"/>
      <c r="F872" s="8"/>
      <c r="G872" s="8"/>
      <c r="H872" s="4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8"/>
      <c r="B873" s="8"/>
      <c r="C873" s="8"/>
      <c r="D873" s="8"/>
      <c r="E873" s="8"/>
      <c r="F873" s="8"/>
      <c r="G873" s="8"/>
      <c r="H873" s="4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8"/>
      <c r="B874" s="8"/>
      <c r="C874" s="8"/>
      <c r="D874" s="8"/>
      <c r="E874" s="8"/>
      <c r="F874" s="8"/>
      <c r="G874" s="8"/>
      <c r="H874" s="4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8"/>
      <c r="B875" s="8"/>
      <c r="C875" s="8"/>
      <c r="D875" s="8"/>
      <c r="E875" s="8"/>
      <c r="F875" s="8"/>
      <c r="G875" s="8"/>
      <c r="H875" s="4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8"/>
      <c r="B876" s="8"/>
      <c r="C876" s="8"/>
      <c r="D876" s="8"/>
      <c r="E876" s="8"/>
      <c r="F876" s="8"/>
      <c r="G876" s="8"/>
      <c r="H876" s="4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8"/>
      <c r="B877" s="8"/>
      <c r="C877" s="8"/>
      <c r="D877" s="8"/>
      <c r="E877" s="8"/>
      <c r="F877" s="8"/>
      <c r="G877" s="8"/>
      <c r="H877" s="4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8"/>
      <c r="B878" s="8"/>
      <c r="C878" s="8"/>
      <c r="D878" s="8"/>
      <c r="E878" s="8"/>
      <c r="F878" s="8"/>
      <c r="G878" s="8"/>
      <c r="H878" s="4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8"/>
      <c r="B879" s="8"/>
      <c r="C879" s="8"/>
      <c r="D879" s="8"/>
      <c r="E879" s="8"/>
      <c r="F879" s="8"/>
      <c r="G879" s="8"/>
      <c r="H879" s="4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8"/>
      <c r="B880" s="8"/>
      <c r="C880" s="8"/>
      <c r="D880" s="8"/>
      <c r="E880" s="8"/>
      <c r="F880" s="8"/>
      <c r="G880" s="8"/>
      <c r="H880" s="4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8"/>
      <c r="B881" s="8"/>
      <c r="C881" s="8"/>
      <c r="D881" s="8"/>
      <c r="E881" s="8"/>
      <c r="F881" s="8"/>
      <c r="G881" s="8"/>
      <c r="H881" s="4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8"/>
      <c r="B882" s="8"/>
      <c r="C882" s="8"/>
      <c r="D882" s="8"/>
      <c r="E882" s="8"/>
      <c r="F882" s="8"/>
      <c r="G882" s="8"/>
      <c r="H882" s="4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8"/>
      <c r="B883" s="8"/>
      <c r="C883" s="8"/>
      <c r="D883" s="8"/>
      <c r="E883" s="8"/>
      <c r="F883" s="8"/>
      <c r="G883" s="8"/>
      <c r="H883" s="4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8"/>
      <c r="B884" s="8"/>
      <c r="C884" s="8"/>
      <c r="D884" s="8"/>
      <c r="E884" s="8"/>
      <c r="F884" s="8"/>
      <c r="G884" s="8"/>
      <c r="H884" s="4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8"/>
      <c r="B885" s="8"/>
      <c r="C885" s="8"/>
      <c r="D885" s="8"/>
      <c r="E885" s="8"/>
      <c r="F885" s="8"/>
      <c r="G885" s="8"/>
      <c r="H885" s="4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8"/>
      <c r="B886" s="8"/>
      <c r="C886" s="8"/>
      <c r="D886" s="8"/>
      <c r="E886" s="8"/>
      <c r="F886" s="8"/>
      <c r="G886" s="8"/>
      <c r="H886" s="4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8"/>
      <c r="B887" s="8"/>
      <c r="C887" s="8"/>
      <c r="D887" s="8"/>
      <c r="E887" s="8"/>
      <c r="F887" s="8"/>
      <c r="G887" s="8"/>
      <c r="H887" s="4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8"/>
      <c r="B888" s="8"/>
      <c r="C888" s="8"/>
      <c r="D888" s="8"/>
      <c r="E888" s="8"/>
      <c r="F888" s="8"/>
      <c r="G888" s="8"/>
      <c r="H888" s="4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8"/>
      <c r="B889" s="8"/>
      <c r="C889" s="8"/>
      <c r="D889" s="8"/>
      <c r="E889" s="8"/>
      <c r="F889" s="8"/>
      <c r="G889" s="8"/>
      <c r="H889" s="4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8"/>
      <c r="B890" s="8"/>
      <c r="C890" s="8"/>
      <c r="D890" s="8"/>
      <c r="E890" s="8"/>
      <c r="F890" s="8"/>
      <c r="G890" s="8"/>
      <c r="H890" s="4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8"/>
      <c r="B891" s="8"/>
      <c r="C891" s="8"/>
      <c r="D891" s="8"/>
      <c r="E891" s="8"/>
      <c r="F891" s="8"/>
      <c r="G891" s="8"/>
      <c r="H891" s="4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8"/>
      <c r="B892" s="8"/>
      <c r="C892" s="8"/>
      <c r="D892" s="8"/>
      <c r="E892" s="8"/>
      <c r="F892" s="8"/>
      <c r="G892" s="8"/>
      <c r="H892" s="4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8"/>
      <c r="B893" s="8"/>
      <c r="C893" s="8"/>
      <c r="D893" s="8"/>
      <c r="E893" s="8"/>
      <c r="F893" s="8"/>
      <c r="G893" s="8"/>
      <c r="H893" s="4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8"/>
      <c r="B894" s="8"/>
      <c r="C894" s="8"/>
      <c r="D894" s="8"/>
      <c r="E894" s="8"/>
      <c r="F894" s="8"/>
      <c r="G894" s="8"/>
      <c r="H894" s="4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8"/>
      <c r="B895" s="8"/>
      <c r="C895" s="8"/>
      <c r="D895" s="8"/>
      <c r="E895" s="8"/>
      <c r="F895" s="8"/>
      <c r="G895" s="8"/>
      <c r="H895" s="4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8"/>
      <c r="B896" s="8"/>
      <c r="C896" s="8"/>
      <c r="D896" s="8"/>
      <c r="E896" s="8"/>
      <c r="F896" s="8"/>
      <c r="G896" s="8"/>
      <c r="H896" s="4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8"/>
      <c r="B897" s="8"/>
      <c r="C897" s="8"/>
      <c r="D897" s="8"/>
      <c r="E897" s="8"/>
      <c r="F897" s="8"/>
      <c r="G897" s="8"/>
      <c r="H897" s="4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8"/>
      <c r="B898" s="8"/>
      <c r="C898" s="8"/>
      <c r="D898" s="8"/>
      <c r="E898" s="8"/>
      <c r="F898" s="8"/>
      <c r="G898" s="8"/>
      <c r="H898" s="4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8"/>
      <c r="B899" s="8"/>
      <c r="C899" s="8"/>
      <c r="D899" s="8"/>
      <c r="E899" s="8"/>
      <c r="F899" s="8"/>
      <c r="G899" s="8"/>
      <c r="H899" s="4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8"/>
      <c r="B900" s="8"/>
      <c r="C900" s="8"/>
      <c r="D900" s="8"/>
      <c r="E900" s="8"/>
      <c r="F900" s="8"/>
      <c r="G900" s="8"/>
      <c r="H900" s="4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8"/>
      <c r="B901" s="8"/>
      <c r="C901" s="8"/>
      <c r="D901" s="8"/>
      <c r="E901" s="8"/>
      <c r="F901" s="8"/>
      <c r="G901" s="8"/>
      <c r="H901" s="4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8"/>
      <c r="B902" s="8"/>
      <c r="C902" s="8"/>
      <c r="D902" s="8"/>
      <c r="E902" s="8"/>
      <c r="F902" s="8"/>
      <c r="G902" s="8"/>
      <c r="H902" s="4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8"/>
      <c r="B903" s="8"/>
      <c r="C903" s="8"/>
      <c r="D903" s="8"/>
      <c r="E903" s="8"/>
      <c r="F903" s="8"/>
      <c r="G903" s="8"/>
      <c r="H903" s="4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8"/>
      <c r="B904" s="8"/>
      <c r="C904" s="8"/>
      <c r="D904" s="8"/>
      <c r="E904" s="8"/>
      <c r="F904" s="8"/>
      <c r="G904" s="8"/>
      <c r="H904" s="4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8"/>
      <c r="B905" s="8"/>
      <c r="C905" s="8"/>
      <c r="D905" s="8"/>
      <c r="E905" s="8"/>
      <c r="F905" s="8"/>
      <c r="G905" s="8"/>
      <c r="H905" s="4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8"/>
      <c r="B906" s="8"/>
      <c r="C906" s="8"/>
      <c r="D906" s="8"/>
      <c r="E906" s="8"/>
      <c r="F906" s="8"/>
      <c r="G906" s="8"/>
      <c r="H906" s="4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8"/>
      <c r="B907" s="8"/>
      <c r="C907" s="8"/>
      <c r="D907" s="8"/>
      <c r="E907" s="8"/>
      <c r="F907" s="8"/>
      <c r="G907" s="8"/>
      <c r="H907" s="4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8"/>
      <c r="B908" s="8"/>
      <c r="C908" s="8"/>
      <c r="D908" s="8"/>
      <c r="E908" s="8"/>
      <c r="F908" s="8"/>
      <c r="G908" s="8"/>
      <c r="H908" s="4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8"/>
      <c r="B909" s="8"/>
      <c r="C909" s="8"/>
      <c r="D909" s="8"/>
      <c r="E909" s="8"/>
      <c r="F909" s="8"/>
      <c r="G909" s="8"/>
      <c r="H909" s="4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8"/>
      <c r="B910" s="8"/>
      <c r="C910" s="8"/>
      <c r="D910" s="8"/>
      <c r="E910" s="8"/>
      <c r="F910" s="8"/>
      <c r="G910" s="8"/>
      <c r="H910" s="4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8"/>
      <c r="B911" s="8"/>
      <c r="C911" s="8"/>
      <c r="D911" s="8"/>
      <c r="E911" s="8"/>
      <c r="F911" s="8"/>
      <c r="G911" s="8"/>
      <c r="H911" s="4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8"/>
      <c r="B912" s="8"/>
      <c r="C912" s="8"/>
      <c r="D912" s="8"/>
      <c r="E912" s="8"/>
      <c r="F912" s="8"/>
      <c r="G912" s="8"/>
      <c r="H912" s="4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8"/>
      <c r="B913" s="8"/>
      <c r="C913" s="8"/>
      <c r="D913" s="8"/>
      <c r="E913" s="8"/>
      <c r="F913" s="8"/>
      <c r="G913" s="8"/>
      <c r="H913" s="4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8"/>
      <c r="B914" s="8"/>
      <c r="C914" s="8"/>
      <c r="D914" s="8"/>
      <c r="E914" s="8"/>
      <c r="F914" s="8"/>
      <c r="G914" s="8"/>
      <c r="H914" s="4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8"/>
      <c r="B915" s="8"/>
      <c r="C915" s="8"/>
      <c r="D915" s="8"/>
      <c r="E915" s="8"/>
      <c r="F915" s="8"/>
      <c r="G915" s="8"/>
      <c r="H915" s="4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8"/>
      <c r="B916" s="8"/>
      <c r="C916" s="8"/>
      <c r="D916" s="8"/>
      <c r="E916" s="8"/>
      <c r="F916" s="8"/>
      <c r="G916" s="8"/>
      <c r="H916" s="4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8"/>
      <c r="B917" s="8"/>
      <c r="C917" s="8"/>
      <c r="D917" s="8"/>
      <c r="E917" s="8"/>
      <c r="F917" s="8"/>
      <c r="G917" s="8"/>
      <c r="H917" s="4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8"/>
      <c r="B918" s="8"/>
      <c r="C918" s="8"/>
      <c r="D918" s="8"/>
      <c r="E918" s="8"/>
      <c r="F918" s="8"/>
      <c r="G918" s="8"/>
      <c r="H918" s="4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8"/>
      <c r="B919" s="8"/>
      <c r="C919" s="8"/>
      <c r="D919" s="8"/>
      <c r="E919" s="8"/>
      <c r="F919" s="8"/>
      <c r="G919" s="8"/>
      <c r="H919" s="4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8"/>
      <c r="B920" s="8"/>
      <c r="C920" s="8"/>
      <c r="D920" s="8"/>
      <c r="E920" s="8"/>
      <c r="F920" s="8"/>
      <c r="G920" s="8"/>
      <c r="H920" s="4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8"/>
      <c r="B921" s="8"/>
      <c r="C921" s="8"/>
      <c r="D921" s="8"/>
      <c r="E921" s="8"/>
      <c r="F921" s="8"/>
      <c r="G921" s="8"/>
      <c r="H921" s="4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8"/>
      <c r="B922" s="8"/>
      <c r="C922" s="8"/>
      <c r="D922" s="8"/>
      <c r="E922" s="8"/>
      <c r="F922" s="8"/>
      <c r="G922" s="8"/>
      <c r="H922" s="4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8"/>
      <c r="B923" s="8"/>
      <c r="C923" s="8"/>
      <c r="D923" s="8"/>
      <c r="E923" s="8"/>
      <c r="F923" s="8"/>
      <c r="G923" s="8"/>
      <c r="H923" s="4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8"/>
      <c r="B924" s="8"/>
      <c r="C924" s="8"/>
      <c r="D924" s="8"/>
      <c r="E924" s="8"/>
      <c r="F924" s="8"/>
      <c r="G924" s="8"/>
      <c r="H924" s="4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8"/>
      <c r="B925" s="8"/>
      <c r="C925" s="8"/>
      <c r="D925" s="8"/>
      <c r="E925" s="8"/>
      <c r="F925" s="8"/>
      <c r="G925" s="8"/>
      <c r="H925" s="4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8"/>
      <c r="B926" s="8"/>
      <c r="C926" s="8"/>
      <c r="D926" s="8"/>
      <c r="E926" s="8"/>
      <c r="F926" s="8"/>
      <c r="G926" s="8"/>
      <c r="H926" s="4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8"/>
      <c r="B927" s="8"/>
      <c r="C927" s="8"/>
      <c r="D927" s="8"/>
      <c r="E927" s="8"/>
      <c r="F927" s="8"/>
      <c r="G927" s="8"/>
      <c r="H927" s="4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8"/>
      <c r="B928" s="8"/>
      <c r="C928" s="8"/>
      <c r="D928" s="8"/>
      <c r="E928" s="8"/>
      <c r="F928" s="8"/>
      <c r="G928" s="8"/>
      <c r="H928" s="4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8"/>
      <c r="B929" s="8"/>
      <c r="C929" s="8"/>
      <c r="D929" s="8"/>
      <c r="E929" s="8"/>
      <c r="F929" s="8"/>
      <c r="G929" s="8"/>
      <c r="H929" s="4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8"/>
      <c r="B930" s="8"/>
      <c r="C930" s="8"/>
      <c r="D930" s="8"/>
      <c r="E930" s="8"/>
      <c r="F930" s="8"/>
      <c r="G930" s="8"/>
      <c r="H930" s="4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8"/>
      <c r="B931" s="8"/>
      <c r="C931" s="8"/>
      <c r="D931" s="8"/>
      <c r="E931" s="8"/>
      <c r="F931" s="8"/>
      <c r="G931" s="8"/>
      <c r="H931" s="4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8"/>
      <c r="B932" s="8"/>
      <c r="C932" s="8"/>
      <c r="D932" s="8"/>
      <c r="E932" s="8"/>
      <c r="F932" s="8"/>
      <c r="G932" s="8"/>
      <c r="H932" s="4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8"/>
      <c r="B933" s="8"/>
      <c r="C933" s="8"/>
      <c r="D933" s="8"/>
      <c r="E933" s="8"/>
      <c r="F933" s="8"/>
      <c r="G933" s="8"/>
      <c r="H933" s="4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8"/>
      <c r="B934" s="8"/>
      <c r="C934" s="8"/>
      <c r="D934" s="8"/>
      <c r="E934" s="8"/>
      <c r="F934" s="8"/>
      <c r="G934" s="8"/>
      <c r="H934" s="4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8"/>
      <c r="B935" s="8"/>
      <c r="C935" s="8"/>
      <c r="D935" s="8"/>
      <c r="E935" s="8"/>
      <c r="F935" s="8"/>
      <c r="G935" s="8"/>
      <c r="H935" s="4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8"/>
      <c r="B936" s="8"/>
      <c r="C936" s="8"/>
      <c r="D936" s="8"/>
      <c r="E936" s="8"/>
      <c r="F936" s="8"/>
      <c r="G936" s="8"/>
      <c r="H936" s="4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8"/>
      <c r="B937" s="8"/>
      <c r="C937" s="8"/>
      <c r="D937" s="8"/>
      <c r="E937" s="8"/>
      <c r="F937" s="8"/>
      <c r="G937" s="8"/>
      <c r="H937" s="4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8"/>
      <c r="B938" s="8"/>
      <c r="C938" s="8"/>
      <c r="D938" s="8"/>
      <c r="E938" s="8"/>
      <c r="F938" s="8"/>
      <c r="G938" s="8"/>
      <c r="H938" s="4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8"/>
      <c r="B939" s="8"/>
      <c r="C939" s="8"/>
      <c r="D939" s="8"/>
      <c r="E939" s="8"/>
      <c r="F939" s="8"/>
      <c r="G939" s="8"/>
      <c r="H939" s="4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8"/>
      <c r="B940" s="8"/>
      <c r="C940" s="8"/>
      <c r="D940" s="8"/>
      <c r="E940" s="8"/>
      <c r="F940" s="8"/>
      <c r="G940" s="8"/>
      <c r="H940" s="4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8"/>
      <c r="B941" s="8"/>
      <c r="C941" s="8"/>
      <c r="D941" s="8"/>
      <c r="E941" s="8"/>
      <c r="F941" s="8"/>
      <c r="G941" s="8"/>
      <c r="H941" s="4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8"/>
      <c r="B942" s="8"/>
      <c r="C942" s="8"/>
      <c r="D942" s="8"/>
      <c r="E942" s="8"/>
      <c r="F942" s="8"/>
      <c r="G942" s="8"/>
      <c r="H942" s="4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8"/>
      <c r="B943" s="8"/>
      <c r="C943" s="8"/>
      <c r="D943" s="8"/>
      <c r="E943" s="8"/>
      <c r="F943" s="8"/>
      <c r="G943" s="8"/>
      <c r="H943" s="4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8"/>
      <c r="B944" s="8"/>
      <c r="C944" s="8"/>
      <c r="D944" s="8"/>
      <c r="E944" s="8"/>
      <c r="F944" s="8"/>
      <c r="G944" s="8"/>
      <c r="H944" s="4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8"/>
      <c r="B945" s="8"/>
      <c r="C945" s="8"/>
      <c r="D945" s="8"/>
      <c r="E945" s="8"/>
      <c r="F945" s="8"/>
      <c r="G945" s="8"/>
      <c r="H945" s="4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8"/>
      <c r="B946" s="8"/>
      <c r="C946" s="8"/>
      <c r="D946" s="8"/>
      <c r="E946" s="8"/>
      <c r="F946" s="8"/>
      <c r="G946" s="8"/>
      <c r="H946" s="4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8"/>
      <c r="B947" s="8"/>
      <c r="C947" s="8"/>
      <c r="D947" s="8"/>
      <c r="E947" s="8"/>
      <c r="F947" s="8"/>
      <c r="G947" s="8"/>
      <c r="H947" s="4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8"/>
      <c r="B948" s="8"/>
      <c r="C948" s="8"/>
      <c r="D948" s="8"/>
      <c r="E948" s="8"/>
      <c r="F948" s="8"/>
      <c r="G948" s="8"/>
      <c r="H948" s="4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8"/>
      <c r="B949" s="8"/>
      <c r="C949" s="8"/>
      <c r="D949" s="8"/>
      <c r="E949" s="8"/>
      <c r="F949" s="8"/>
      <c r="G949" s="8"/>
      <c r="H949" s="4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8"/>
      <c r="B950" s="8"/>
      <c r="C950" s="8"/>
      <c r="D950" s="8"/>
      <c r="E950" s="8"/>
      <c r="F950" s="8"/>
      <c r="G950" s="8"/>
      <c r="H950" s="4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8"/>
      <c r="B951" s="8"/>
      <c r="C951" s="8"/>
      <c r="D951" s="8"/>
      <c r="E951" s="8"/>
      <c r="F951" s="8"/>
      <c r="G951" s="8"/>
      <c r="H951" s="4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8"/>
      <c r="B952" s="8"/>
      <c r="C952" s="8"/>
      <c r="D952" s="8"/>
      <c r="E952" s="8"/>
      <c r="F952" s="8"/>
      <c r="G952" s="8"/>
      <c r="H952" s="4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8"/>
      <c r="B953" s="8"/>
      <c r="C953" s="8"/>
      <c r="D953" s="8"/>
      <c r="E953" s="8"/>
      <c r="F953" s="8"/>
      <c r="G953" s="8"/>
      <c r="H953" s="4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8"/>
      <c r="B954" s="8"/>
      <c r="C954" s="8"/>
      <c r="D954" s="8"/>
      <c r="E954" s="8"/>
      <c r="F954" s="8"/>
      <c r="G954" s="8"/>
      <c r="H954" s="4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8"/>
      <c r="B955" s="8"/>
      <c r="C955" s="8"/>
      <c r="D955" s="8"/>
      <c r="E955" s="8"/>
      <c r="F955" s="8"/>
      <c r="G955" s="8"/>
      <c r="H955" s="4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8"/>
      <c r="B956" s="8"/>
      <c r="C956" s="8"/>
      <c r="D956" s="8"/>
      <c r="E956" s="8"/>
      <c r="F956" s="8"/>
      <c r="G956" s="8"/>
      <c r="H956" s="4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8"/>
      <c r="B957" s="8"/>
      <c r="C957" s="8"/>
      <c r="D957" s="8"/>
      <c r="E957" s="8"/>
      <c r="F957" s="8"/>
      <c r="G957" s="8"/>
      <c r="H957" s="4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8"/>
      <c r="B958" s="8"/>
      <c r="C958" s="8"/>
      <c r="D958" s="8"/>
      <c r="E958" s="8"/>
      <c r="F958" s="8"/>
      <c r="G958" s="8"/>
      <c r="H958" s="4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8"/>
      <c r="B959" s="8"/>
      <c r="C959" s="8"/>
      <c r="D959" s="8"/>
      <c r="E959" s="8"/>
      <c r="F959" s="8"/>
      <c r="G959" s="8"/>
      <c r="H959" s="4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8"/>
      <c r="B960" s="8"/>
      <c r="C960" s="8"/>
      <c r="D960" s="8"/>
      <c r="E960" s="8"/>
      <c r="F960" s="8"/>
      <c r="G960" s="8"/>
      <c r="H960" s="4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8"/>
      <c r="B961" s="8"/>
      <c r="C961" s="8"/>
      <c r="D961" s="8"/>
      <c r="E961" s="8"/>
      <c r="F961" s="8"/>
      <c r="G961" s="8"/>
      <c r="H961" s="4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8"/>
      <c r="B962" s="8"/>
      <c r="C962" s="8"/>
      <c r="D962" s="8"/>
      <c r="E962" s="8"/>
      <c r="F962" s="8"/>
      <c r="G962" s="8"/>
      <c r="H962" s="4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8"/>
      <c r="B963" s="8"/>
      <c r="C963" s="8"/>
      <c r="D963" s="8"/>
      <c r="E963" s="8"/>
      <c r="F963" s="8"/>
      <c r="G963" s="8"/>
      <c r="H963" s="4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8"/>
      <c r="B964" s="8"/>
      <c r="C964" s="8"/>
      <c r="D964" s="8"/>
      <c r="E964" s="8"/>
      <c r="F964" s="8"/>
      <c r="G964" s="8"/>
      <c r="H964" s="4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8"/>
      <c r="B965" s="8"/>
      <c r="C965" s="8"/>
      <c r="D965" s="8"/>
      <c r="E965" s="8"/>
      <c r="F965" s="8"/>
      <c r="G965" s="8"/>
      <c r="H965" s="4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8"/>
      <c r="B966" s="8"/>
      <c r="C966" s="8"/>
      <c r="D966" s="8"/>
      <c r="E966" s="8"/>
      <c r="F966" s="8"/>
      <c r="G966" s="8"/>
      <c r="H966" s="4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8"/>
      <c r="B967" s="8"/>
      <c r="C967" s="8"/>
      <c r="D967" s="8"/>
      <c r="E967" s="8"/>
      <c r="F967" s="8"/>
      <c r="G967" s="8"/>
      <c r="H967" s="4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8"/>
      <c r="B968" s="8"/>
      <c r="C968" s="8"/>
      <c r="D968" s="8"/>
      <c r="E968" s="8"/>
      <c r="F968" s="8"/>
      <c r="G968" s="8"/>
      <c r="H968" s="4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8"/>
      <c r="B969" s="8"/>
      <c r="C969" s="8"/>
      <c r="D969" s="8"/>
      <c r="E969" s="8"/>
      <c r="F969" s="8"/>
      <c r="G969" s="8"/>
      <c r="H969" s="4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8"/>
      <c r="B970" s="8"/>
      <c r="C970" s="8"/>
      <c r="D970" s="8"/>
      <c r="E970" s="8"/>
      <c r="F970" s="8"/>
      <c r="G970" s="8"/>
      <c r="H970" s="4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8"/>
      <c r="B971" s="8"/>
      <c r="C971" s="8"/>
      <c r="D971" s="8"/>
      <c r="E971" s="8"/>
      <c r="F971" s="8"/>
      <c r="G971" s="8"/>
      <c r="H971" s="4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8"/>
      <c r="B972" s="8"/>
      <c r="C972" s="8"/>
      <c r="D972" s="8"/>
      <c r="E972" s="8"/>
      <c r="F972" s="8"/>
      <c r="G972" s="8"/>
      <c r="H972" s="4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8"/>
      <c r="B973" s="8"/>
      <c r="C973" s="8"/>
      <c r="D973" s="8"/>
      <c r="E973" s="8"/>
      <c r="F973" s="8"/>
      <c r="G973" s="8"/>
      <c r="H973" s="4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8"/>
      <c r="B974" s="8"/>
      <c r="C974" s="8"/>
      <c r="D974" s="8"/>
      <c r="E974" s="8"/>
      <c r="F974" s="8"/>
      <c r="G974" s="8"/>
      <c r="H974" s="4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8"/>
      <c r="B975" s="8"/>
      <c r="C975" s="8"/>
      <c r="D975" s="8"/>
      <c r="E975" s="8"/>
      <c r="F975" s="8"/>
      <c r="G975" s="8"/>
      <c r="H975" s="4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8"/>
      <c r="B976" s="8"/>
      <c r="C976" s="8"/>
      <c r="D976" s="8"/>
      <c r="E976" s="8"/>
      <c r="F976" s="8"/>
      <c r="G976" s="8"/>
      <c r="H976" s="4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8"/>
      <c r="B977" s="8"/>
      <c r="C977" s="8"/>
      <c r="D977" s="8"/>
      <c r="E977" s="8"/>
      <c r="F977" s="8"/>
      <c r="G977" s="8"/>
      <c r="H977" s="4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8"/>
      <c r="B978" s="8"/>
      <c r="C978" s="8"/>
      <c r="D978" s="8"/>
      <c r="E978" s="8"/>
      <c r="F978" s="8"/>
      <c r="G978" s="8"/>
      <c r="H978" s="4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8"/>
      <c r="B979" s="8"/>
      <c r="C979" s="8"/>
      <c r="D979" s="8"/>
      <c r="E979" s="8"/>
      <c r="F979" s="8"/>
      <c r="G979" s="8"/>
      <c r="H979" s="4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8"/>
      <c r="B980" s="8"/>
      <c r="C980" s="8"/>
      <c r="D980" s="8"/>
      <c r="E980" s="8"/>
      <c r="F980" s="8"/>
      <c r="G980" s="8"/>
      <c r="H980" s="4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8"/>
      <c r="B981" s="8"/>
      <c r="C981" s="8"/>
      <c r="D981" s="8"/>
      <c r="E981" s="8"/>
      <c r="F981" s="8"/>
      <c r="G981" s="8"/>
      <c r="H981" s="4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8"/>
      <c r="B982" s="8"/>
      <c r="C982" s="8"/>
      <c r="D982" s="8"/>
      <c r="E982" s="8"/>
      <c r="F982" s="8"/>
      <c r="G982" s="8"/>
      <c r="H982" s="4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8"/>
      <c r="B983" s="8"/>
      <c r="C983" s="8"/>
      <c r="D983" s="8"/>
      <c r="E983" s="8"/>
      <c r="F983" s="8"/>
      <c r="G983" s="8"/>
      <c r="H983" s="4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8"/>
      <c r="B984" s="8"/>
      <c r="C984" s="8"/>
      <c r="D984" s="8"/>
      <c r="E984" s="8"/>
      <c r="F984" s="8"/>
      <c r="G984" s="8"/>
      <c r="H984" s="4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8"/>
      <c r="B985" s="8"/>
      <c r="C985" s="8"/>
      <c r="D985" s="8"/>
      <c r="E985" s="8"/>
      <c r="F985" s="8"/>
      <c r="G985" s="8"/>
      <c r="H985" s="4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8"/>
      <c r="B986" s="8"/>
      <c r="C986" s="8"/>
      <c r="D986" s="8"/>
      <c r="E986" s="8"/>
      <c r="F986" s="8"/>
      <c r="G986" s="8"/>
      <c r="H986" s="4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8"/>
      <c r="B987" s="8"/>
      <c r="C987" s="8"/>
      <c r="D987" s="8"/>
      <c r="E987" s="8"/>
      <c r="F987" s="8"/>
      <c r="G987" s="8"/>
      <c r="H987" s="4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8"/>
      <c r="B988" s="8"/>
      <c r="C988" s="8"/>
      <c r="D988" s="8"/>
      <c r="E988" s="8"/>
      <c r="F988" s="8"/>
      <c r="G988" s="8"/>
      <c r="H988" s="4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8"/>
      <c r="B989" s="8"/>
      <c r="C989" s="8"/>
      <c r="D989" s="8"/>
      <c r="E989" s="8"/>
      <c r="F989" s="8"/>
      <c r="G989" s="8"/>
      <c r="H989" s="4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8"/>
      <c r="B990" s="8"/>
      <c r="C990" s="8"/>
      <c r="D990" s="8"/>
      <c r="E990" s="8"/>
      <c r="F990" s="8"/>
      <c r="G990" s="8"/>
      <c r="H990" s="4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8"/>
      <c r="B991" s="8"/>
      <c r="C991" s="8"/>
      <c r="D991" s="8"/>
      <c r="E991" s="8"/>
      <c r="F991" s="8"/>
      <c r="G991" s="8"/>
      <c r="H991" s="4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8"/>
      <c r="B992" s="8"/>
      <c r="C992" s="8"/>
      <c r="D992" s="8"/>
      <c r="E992" s="8"/>
      <c r="F992" s="8"/>
      <c r="G992" s="8"/>
      <c r="H992" s="4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8"/>
      <c r="B993" s="8"/>
      <c r="C993" s="8"/>
      <c r="D993" s="8"/>
      <c r="E993" s="8"/>
      <c r="F993" s="8"/>
      <c r="G993" s="8"/>
      <c r="H993" s="4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8"/>
      <c r="B994" s="8"/>
      <c r="C994" s="8"/>
      <c r="D994" s="8"/>
      <c r="E994" s="8"/>
      <c r="F994" s="8"/>
      <c r="G994" s="8"/>
      <c r="H994" s="4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8"/>
      <c r="B995" s="8"/>
      <c r="C995" s="8"/>
      <c r="D995" s="8"/>
      <c r="E995" s="8"/>
      <c r="F995" s="8"/>
      <c r="G995" s="8"/>
      <c r="H995" s="4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8"/>
      <c r="B996" s="8"/>
      <c r="C996" s="8"/>
      <c r="D996" s="8"/>
      <c r="E996" s="8"/>
      <c r="F996" s="8"/>
      <c r="G996" s="8"/>
      <c r="H996" s="4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8"/>
      <c r="B997" s="8"/>
      <c r="C997" s="8"/>
      <c r="D997" s="8"/>
      <c r="E997" s="8"/>
      <c r="F997" s="8"/>
      <c r="G997" s="8"/>
      <c r="H997" s="4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8"/>
      <c r="B998" s="8"/>
      <c r="C998" s="8"/>
      <c r="D998" s="8"/>
      <c r="E998" s="8"/>
      <c r="F998" s="8"/>
      <c r="G998" s="8"/>
      <c r="H998" s="4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8"/>
      <c r="B999" s="8"/>
      <c r="C999" s="8"/>
      <c r="D999" s="8"/>
      <c r="E999" s="8"/>
      <c r="F999" s="8"/>
      <c r="G999" s="8"/>
      <c r="H999" s="4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8"/>
      <c r="B1000" s="8"/>
      <c r="C1000" s="8"/>
      <c r="D1000" s="8"/>
      <c r="E1000" s="8"/>
      <c r="F1000" s="8"/>
      <c r="G1000" s="8"/>
      <c r="H1000" s="4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8"/>
      <c r="B1001" s="8"/>
      <c r="C1001" s="8"/>
      <c r="D1001" s="8"/>
      <c r="E1001" s="8"/>
      <c r="F1001" s="8"/>
      <c r="G1001" s="8"/>
      <c r="H1001" s="4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>
      <c r="A1002" s="8"/>
      <c r="B1002" s="8"/>
      <c r="C1002" s="8"/>
      <c r="D1002" s="8"/>
      <c r="E1002" s="8"/>
      <c r="F1002" s="8"/>
      <c r="G1002" s="8"/>
      <c r="H1002" s="4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>
      <c r="A1003" s="8"/>
      <c r="B1003" s="8"/>
      <c r="C1003" s="8"/>
      <c r="D1003" s="8"/>
      <c r="E1003" s="8"/>
      <c r="F1003" s="8"/>
      <c r="G1003" s="8"/>
      <c r="H1003" s="4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>
      <c r="A1004" s="8"/>
      <c r="B1004" s="8"/>
      <c r="C1004" s="8"/>
      <c r="D1004" s="8"/>
      <c r="E1004" s="8"/>
      <c r="F1004" s="8"/>
      <c r="G1004" s="8"/>
      <c r="H1004" s="4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>
      <c r="A1005" s="8"/>
      <c r="B1005" s="8"/>
      <c r="C1005" s="8"/>
      <c r="D1005" s="8"/>
      <c r="E1005" s="8"/>
      <c r="F1005" s="8"/>
      <c r="G1005" s="8"/>
      <c r="H1005" s="4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>
      <c r="A1006" s="8"/>
      <c r="B1006" s="8"/>
      <c r="C1006" s="8"/>
      <c r="D1006" s="8"/>
      <c r="E1006" s="8"/>
      <c r="F1006" s="8"/>
      <c r="G1006" s="8"/>
      <c r="H1006" s="4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>
      <c r="A1007" s="8"/>
      <c r="B1007" s="8"/>
      <c r="C1007" s="8"/>
      <c r="D1007" s="8"/>
      <c r="E1007" s="8"/>
      <c r="F1007" s="8"/>
      <c r="G1007" s="8"/>
      <c r="H1007" s="4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>
      <c r="A1008" s="8"/>
      <c r="B1008" s="8"/>
      <c r="C1008" s="8"/>
      <c r="D1008" s="8"/>
      <c r="E1008" s="8"/>
      <c r="F1008" s="8"/>
      <c r="G1008" s="8"/>
      <c r="H1008" s="4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>
      <c r="A1009" s="8"/>
      <c r="B1009" s="8"/>
      <c r="C1009" s="8"/>
      <c r="D1009" s="8"/>
      <c r="E1009" s="8"/>
      <c r="F1009" s="8"/>
      <c r="G1009" s="8"/>
      <c r="H1009" s="4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>
      <c r="A1010" s="8"/>
      <c r="B1010" s="8"/>
      <c r="C1010" s="8"/>
      <c r="D1010" s="8"/>
      <c r="E1010" s="8"/>
      <c r="F1010" s="8"/>
      <c r="G1010" s="8"/>
      <c r="H1010" s="4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>
      <c r="A1011" s="8"/>
      <c r="B1011" s="8"/>
      <c r="C1011" s="8"/>
      <c r="D1011" s="8"/>
      <c r="E1011" s="8"/>
      <c r="F1011" s="8"/>
      <c r="G1011" s="8"/>
      <c r="H1011" s="4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>
      <c r="A1012" s="8"/>
      <c r="B1012" s="8"/>
      <c r="C1012" s="8"/>
      <c r="D1012" s="8"/>
      <c r="E1012" s="8"/>
      <c r="F1012" s="8"/>
      <c r="G1012" s="8"/>
      <c r="H1012" s="4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>
      <c r="A1013" s="8"/>
      <c r="B1013" s="8"/>
      <c r="C1013" s="8"/>
      <c r="D1013" s="8"/>
      <c r="E1013" s="8"/>
      <c r="F1013" s="8"/>
      <c r="G1013" s="8"/>
      <c r="H1013" s="4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</row>
    <row r="1014">
      <c r="A1014" s="8"/>
      <c r="B1014" s="8"/>
      <c r="C1014" s="8"/>
      <c r="D1014" s="8"/>
      <c r="E1014" s="8"/>
      <c r="F1014" s="8"/>
      <c r="G1014" s="8"/>
      <c r="H1014" s="4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</row>
    <row r="1015">
      <c r="A1015" s="8"/>
      <c r="B1015" s="8"/>
      <c r="C1015" s="8"/>
      <c r="D1015" s="8"/>
      <c r="E1015" s="8"/>
      <c r="F1015" s="8"/>
      <c r="G1015" s="8"/>
      <c r="H1015" s="4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</row>
    <row r="1016">
      <c r="A1016" s="8"/>
      <c r="B1016" s="8"/>
      <c r="C1016" s="8"/>
      <c r="D1016" s="8"/>
      <c r="E1016" s="8"/>
      <c r="F1016" s="8"/>
      <c r="G1016" s="8"/>
      <c r="H1016" s="4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</row>
    <row r="1017">
      <c r="A1017" s="8"/>
      <c r="B1017" s="8"/>
      <c r="C1017" s="8"/>
      <c r="D1017" s="8"/>
      <c r="E1017" s="8"/>
      <c r="F1017" s="8"/>
      <c r="G1017" s="8"/>
      <c r="H1017" s="4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>
      <c r="A1018" s="8"/>
      <c r="B1018" s="8"/>
      <c r="C1018" s="8"/>
      <c r="D1018" s="8"/>
      <c r="E1018" s="8"/>
      <c r="F1018" s="8"/>
      <c r="G1018" s="8"/>
      <c r="H1018" s="4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>
      <c r="A1019" s="8"/>
      <c r="B1019" s="8"/>
      <c r="C1019" s="8"/>
      <c r="D1019" s="8"/>
      <c r="E1019" s="8"/>
      <c r="F1019" s="8"/>
      <c r="G1019" s="8"/>
      <c r="H1019" s="4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>
      <c r="A1020" s="8"/>
      <c r="B1020" s="8"/>
      <c r="C1020" s="8"/>
      <c r="D1020" s="8"/>
      <c r="E1020" s="8"/>
      <c r="F1020" s="8"/>
      <c r="G1020" s="8"/>
      <c r="H1020" s="4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>
      <c r="A1021" s="8"/>
      <c r="B1021" s="8"/>
      <c r="C1021" s="8"/>
      <c r="D1021" s="8"/>
      <c r="E1021" s="8"/>
      <c r="F1021" s="8"/>
      <c r="G1021" s="8"/>
      <c r="H1021" s="4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>
      <c r="D1022" s="8"/>
      <c r="E1022" s="8"/>
      <c r="F1022" s="8"/>
      <c r="G1022" s="8"/>
      <c r="H1022" s="4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>
      <c r="D1023" s="8"/>
      <c r="E1023" s="8"/>
      <c r="F1023" s="8"/>
      <c r="G1023" s="8"/>
      <c r="H1023" s="4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>
      <c r="D1024" s="8"/>
      <c r="E1024" s="8"/>
      <c r="F1024" s="8"/>
      <c r="G1024" s="8"/>
      <c r="H1024" s="4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</row>
    <row r="1025">
      <c r="D1025" s="8"/>
      <c r="E1025" s="8"/>
      <c r="F1025" s="8"/>
      <c r="G1025" s="8"/>
      <c r="H1025" s="4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</row>
    <row r="1026">
      <c r="D1026" s="8"/>
      <c r="E1026" s="8"/>
      <c r="F1026" s="8"/>
      <c r="G1026" s="8"/>
      <c r="H1026" s="4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</row>
    <row r="1027">
      <c r="D1027" s="8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</row>
    <row r="1028">
      <c r="D1028" s="8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>
      <c r="D1029" s="8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>
      <c r="D1030" s="8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>
      <c r="D1031" s="8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>
      <c r="D1032" s="8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>
      <c r="D1033" s="8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>
      <c r="D1034" s="8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</sheetData>
  <mergeCells count="1">
    <mergeCell ref="A1:H1"/>
  </mergeCells>
  <printOptions horizontalCentered="1"/>
  <pageMargins bottom="0.19685039370078738" footer="0.0" header="0.0" left="0.22761324874876473" right="0.15397366827122322" top="0.19685039370078738"/>
  <pageSetup paperSize="9" cellComments="atEnd" orientation="portrait" pageOrder="overThenDown"/>
  <rowBreaks count="1" manualBreakCount="1">
    <brk id="44" man="1"/>
  </rowBreaks>
  <colBreaks count="2" manualBreakCount="2">
    <brk man="1"/>
    <brk id="8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8.88"/>
    <col customWidth="1" min="5" max="5" width="41.13"/>
    <col customWidth="1" min="6" max="6" width="7.0"/>
    <col customWidth="1" min="7" max="7" width="8.63"/>
    <col customWidth="1" min="8" max="8" width="9.25"/>
    <col customWidth="1" min="9" max="9" width="8.13"/>
  </cols>
  <sheetData>
    <row r="1" ht="122.25" customHeight="1">
      <c r="A1" s="6" t="str">
        <f>CONCATENATE( "ข้อมูล ณ วันที่ ", CHAR(10), TEXT(TODAY(), "dd/mm/yyyy"), CHAR(10),"ราคาอาจมีการเปลี่ยนแปลง")</f>
        <v>ข้อมูล ณ วันที่ 
30/10/2026
ราคาอาจมีการเปลี่ยนแปลง</v>
      </c>
      <c r="H1" s="6"/>
      <c r="I1" s="7"/>
    </row>
    <row r="2">
      <c r="A2" s="1" t="str">
        <f t="array" ref="A2:C12">meat</f>
        <v>🥩 หมวดเนื้อหมู เนื้อเป็ด</v>
      </c>
      <c r="B2" s="1" t="s">
        <v>1</v>
      </c>
      <c r="C2" s="1" t="s">
        <v>2</v>
      </c>
      <c r="D2" s="2"/>
      <c r="E2" s="1" t="str">
        <f t="array" ref="E2:H13">Fish</f>
        <v>🦑 หมวดอาหารทะเล (หมึก ปลา ชิ้น)</v>
      </c>
      <c r="F2" s="1" t="s">
        <v>1</v>
      </c>
      <c r="G2" s="1" t="s">
        <v>2</v>
      </c>
      <c r="H2" s="38"/>
      <c r="I2" s="8"/>
    </row>
    <row r="3">
      <c r="A3" s="9" t="s">
        <v>155</v>
      </c>
      <c r="B3" s="9">
        <v>740.0</v>
      </c>
      <c r="C3" s="10">
        <v>74.0</v>
      </c>
      <c r="D3" s="2"/>
      <c r="E3" s="9" t="s">
        <v>156</v>
      </c>
      <c r="F3" s="30">
        <v>850.0</v>
      </c>
      <c r="G3" s="16">
        <v>85.0</v>
      </c>
      <c r="H3" s="38"/>
      <c r="I3" s="41"/>
    </row>
    <row r="4">
      <c r="A4" s="9" t="s">
        <v>157</v>
      </c>
      <c r="B4" s="9">
        <v>650.0</v>
      </c>
      <c r="C4" s="10">
        <v>65.0</v>
      </c>
      <c r="D4" s="2"/>
      <c r="E4" s="9" t="s">
        <v>158</v>
      </c>
      <c r="F4" s="30">
        <v>690.0</v>
      </c>
      <c r="G4" s="16">
        <v>69.0</v>
      </c>
      <c r="H4" s="38"/>
      <c r="I4" s="41"/>
    </row>
    <row r="5">
      <c r="A5" s="9" t="s">
        <v>159</v>
      </c>
      <c r="B5" s="9">
        <v>680.0</v>
      </c>
      <c r="C5" s="10">
        <v>68.0</v>
      </c>
      <c r="D5" s="2"/>
      <c r="E5" s="9" t="s">
        <v>160</v>
      </c>
      <c r="F5" s="30">
        <v>850.0</v>
      </c>
      <c r="G5" s="16">
        <v>85.0</v>
      </c>
      <c r="H5" s="38"/>
      <c r="I5" s="41"/>
    </row>
    <row r="6">
      <c r="A6" s="9" t="s">
        <v>161</v>
      </c>
      <c r="B6" s="9">
        <v>475.0</v>
      </c>
      <c r="C6" s="10">
        <v>95.0</v>
      </c>
      <c r="D6" s="2"/>
      <c r="E6" s="9" t="s">
        <v>162</v>
      </c>
      <c r="F6" s="30">
        <v>1160.0</v>
      </c>
      <c r="G6" s="16">
        <v>145.0</v>
      </c>
      <c r="H6" s="38"/>
      <c r="I6" s="41"/>
    </row>
    <row r="7">
      <c r="A7" s="9" t="s">
        <v>163</v>
      </c>
      <c r="B7" s="9">
        <v>900.0</v>
      </c>
      <c r="C7" s="10">
        <v>75.0</v>
      </c>
      <c r="D7" s="2"/>
      <c r="E7" s="9" t="s">
        <v>164</v>
      </c>
      <c r="F7" s="30">
        <v>1064.0</v>
      </c>
      <c r="G7" s="10">
        <v>133.0</v>
      </c>
      <c r="H7" s="38"/>
      <c r="I7" s="41"/>
    </row>
    <row r="8">
      <c r="A8" s="9" t="s">
        <v>165</v>
      </c>
      <c r="B8" s="9">
        <v>170.0</v>
      </c>
      <c r="C8" s="16">
        <v>170.0</v>
      </c>
      <c r="D8" s="2"/>
      <c r="E8" s="9" t="s">
        <v>166</v>
      </c>
      <c r="F8" s="30">
        <v>1280.0</v>
      </c>
      <c r="G8" s="10">
        <v>107.0</v>
      </c>
      <c r="H8" s="38"/>
      <c r="I8" s="41"/>
    </row>
    <row r="9">
      <c r="A9" s="9" t="s">
        <v>167</v>
      </c>
      <c r="B9" s="9">
        <v>375.0</v>
      </c>
      <c r="C9" s="16">
        <v>75.0</v>
      </c>
      <c r="D9" s="2"/>
      <c r="E9" s="9" t="s">
        <v>168</v>
      </c>
      <c r="F9" s="30">
        <v>540.0</v>
      </c>
      <c r="G9" s="10">
        <v>54.0</v>
      </c>
      <c r="H9" s="38"/>
      <c r="I9" s="41"/>
    </row>
    <row r="10">
      <c r="A10" s="56" t="s">
        <v>169</v>
      </c>
      <c r="B10" s="9">
        <v>730.0</v>
      </c>
      <c r="C10" s="10">
        <v>36.5</v>
      </c>
      <c r="D10" s="2"/>
      <c r="E10" s="9" t="s">
        <v>170</v>
      </c>
      <c r="F10" s="30">
        <v>440.0</v>
      </c>
      <c r="G10" s="10">
        <v>22.0</v>
      </c>
      <c r="H10" s="38"/>
      <c r="I10" s="41"/>
    </row>
    <row r="11">
      <c r="A11" s="9" t="s">
        <v>171</v>
      </c>
      <c r="B11" s="57"/>
      <c r="C11" s="9">
        <v>179.0</v>
      </c>
      <c r="D11" s="2"/>
      <c r="E11" s="9" t="s">
        <v>172</v>
      </c>
      <c r="F11" s="30">
        <v>420.0</v>
      </c>
      <c r="G11" s="10">
        <v>35.0</v>
      </c>
      <c r="H11" s="38"/>
      <c r="I11" s="41"/>
    </row>
    <row r="12">
      <c r="A12" s="9" t="s">
        <v>173</v>
      </c>
      <c r="B12" s="9">
        <v>750.0</v>
      </c>
      <c r="C12" s="9">
        <v>75.0</v>
      </c>
      <c r="D12" s="2"/>
      <c r="E12" s="9" t="s">
        <v>174</v>
      </c>
      <c r="F12" s="30"/>
      <c r="G12" s="10">
        <v>68.0</v>
      </c>
      <c r="H12" s="38"/>
      <c r="I12" s="41"/>
    </row>
    <row r="13">
      <c r="A13" s="1" t="str">
        <f t="array" ref="A13:C42">Pork1</f>
        <v>🥩 หมวดเนื้อหมู และเนื้อวัว (สไลด์/หมัก)</v>
      </c>
      <c r="B13" s="1" t="s">
        <v>1</v>
      </c>
      <c r="C13" s="1" t="s">
        <v>2</v>
      </c>
      <c r="D13" s="2"/>
      <c r="E13" s="9"/>
      <c r="F13" s="9"/>
      <c r="G13" s="10"/>
      <c r="H13" s="38"/>
      <c r="I13" s="41"/>
    </row>
    <row r="14">
      <c r="A14" s="9" t="s">
        <v>4</v>
      </c>
      <c r="B14" s="9">
        <v>590.0</v>
      </c>
      <c r="C14" s="10">
        <v>118.0</v>
      </c>
      <c r="D14" s="2"/>
      <c r="E14" s="1" t="str">
        <f t="array" ref="E14:G37">Fresh</f>
        <v>🦑 หมวดอาหารทะเล (หมึก ปู หอย กะพรุน)</v>
      </c>
      <c r="F14" s="1" t="s">
        <v>1</v>
      </c>
      <c r="G14" s="1" t="s">
        <v>2</v>
      </c>
      <c r="H14" s="38"/>
      <c r="I14" s="41"/>
    </row>
    <row r="15">
      <c r="A15" s="9" t="s">
        <v>7</v>
      </c>
      <c r="B15" s="9">
        <v>765.0</v>
      </c>
      <c r="C15" s="10">
        <v>153.0</v>
      </c>
      <c r="D15" s="2"/>
      <c r="E15" s="9" t="s">
        <v>89</v>
      </c>
      <c r="F15" s="9">
        <v>187.0</v>
      </c>
      <c r="G15" s="9"/>
      <c r="H15" s="38"/>
      <c r="I15" s="41"/>
    </row>
    <row r="16">
      <c r="A16" s="9" t="s">
        <v>9</v>
      </c>
      <c r="B16" s="9">
        <v>525.0</v>
      </c>
      <c r="C16" s="10">
        <v>105.0</v>
      </c>
      <c r="D16" s="2"/>
      <c r="E16" s="9" t="s">
        <v>91</v>
      </c>
      <c r="F16" s="9">
        <v>197.0</v>
      </c>
      <c r="G16" s="9"/>
      <c r="H16" s="38"/>
      <c r="I16" s="41"/>
    </row>
    <row r="17">
      <c r="A17" s="9" t="s">
        <v>11</v>
      </c>
      <c r="B17" s="9">
        <v>490.0</v>
      </c>
      <c r="C17" s="10">
        <v>98.0</v>
      </c>
      <c r="D17" s="2"/>
      <c r="E17" s="9" t="s">
        <v>93</v>
      </c>
      <c r="F17" s="9">
        <v>189.0</v>
      </c>
      <c r="G17" s="9"/>
      <c r="H17" s="38"/>
      <c r="I17" s="41"/>
    </row>
    <row r="18">
      <c r="A18" s="51" t="s">
        <v>13</v>
      </c>
      <c r="B18" s="59">
        <v>375.0</v>
      </c>
      <c r="C18" s="60">
        <v>75.0</v>
      </c>
      <c r="D18" s="2"/>
      <c r="E18" s="9" t="s">
        <v>95</v>
      </c>
      <c r="F18" s="9">
        <v>198.0</v>
      </c>
      <c r="G18" s="9"/>
      <c r="H18" s="38"/>
      <c r="I18" s="41"/>
    </row>
    <row r="19">
      <c r="A19" s="51" t="s">
        <v>16</v>
      </c>
      <c r="B19" s="61">
        <v>400.0</v>
      </c>
      <c r="C19" s="60">
        <v>80.0</v>
      </c>
      <c r="D19" s="2"/>
      <c r="E19" s="9" t="s">
        <v>97</v>
      </c>
      <c r="F19" s="30">
        <v>1300.0</v>
      </c>
      <c r="G19" s="9">
        <v>130.0</v>
      </c>
      <c r="H19" s="38"/>
      <c r="I19" s="41"/>
    </row>
    <row r="20">
      <c r="A20" s="51" t="s">
        <v>18</v>
      </c>
      <c r="B20" s="59">
        <v>725.0</v>
      </c>
      <c r="C20" s="60">
        <v>145.0</v>
      </c>
      <c r="D20" s="2"/>
      <c r="E20" s="9" t="s">
        <v>98</v>
      </c>
      <c r="F20" s="9">
        <v>590.0</v>
      </c>
      <c r="G20" s="9">
        <v>59.0</v>
      </c>
      <c r="H20" s="38"/>
      <c r="I20" s="41"/>
    </row>
    <row r="21">
      <c r="A21" s="51" t="s">
        <v>20</v>
      </c>
      <c r="B21" s="61">
        <v>490.0</v>
      </c>
      <c r="C21" s="62">
        <v>98.0</v>
      </c>
      <c r="D21" s="2"/>
      <c r="E21" s="9" t="s">
        <v>99</v>
      </c>
      <c r="F21" s="9">
        <v>443.0</v>
      </c>
      <c r="G21" s="63">
        <v>59.06666666666667</v>
      </c>
      <c r="H21" s="38"/>
      <c r="I21" s="41"/>
    </row>
    <row r="22">
      <c r="A22" s="9" t="s">
        <v>22</v>
      </c>
      <c r="B22" s="61">
        <v>475.0</v>
      </c>
      <c r="C22" s="62">
        <v>95.0</v>
      </c>
      <c r="D22" s="2"/>
      <c r="E22" s="9" t="s">
        <v>101</v>
      </c>
      <c r="F22" s="30">
        <v>980.0</v>
      </c>
      <c r="G22" s="63">
        <v>98.0</v>
      </c>
      <c r="H22" s="38"/>
      <c r="I22" s="41"/>
    </row>
    <row r="23">
      <c r="A23" s="9" t="s">
        <v>24</v>
      </c>
      <c r="B23" s="9">
        <v>475.0</v>
      </c>
      <c r="C23" s="16">
        <v>95.0</v>
      </c>
      <c r="D23" s="31"/>
      <c r="E23" s="9" t="s">
        <v>103</v>
      </c>
      <c r="F23" s="30">
        <v>1440.0</v>
      </c>
      <c r="G23" s="9">
        <v>180.0</v>
      </c>
      <c r="H23" s="38"/>
      <c r="I23" s="41"/>
    </row>
    <row r="24">
      <c r="A24" s="51" t="s">
        <v>26</v>
      </c>
      <c r="B24" s="61">
        <v>475.0</v>
      </c>
      <c r="C24" s="62">
        <v>95.0</v>
      </c>
      <c r="D24" s="2"/>
      <c r="E24" s="9" t="s">
        <v>105</v>
      </c>
      <c r="F24" s="30">
        <v>1064.0</v>
      </c>
      <c r="G24" s="9">
        <v>133.0</v>
      </c>
      <c r="H24" s="38"/>
      <c r="I24" s="41"/>
    </row>
    <row r="25">
      <c r="A25" s="51" t="s">
        <v>29</v>
      </c>
      <c r="B25" s="61">
        <v>550.0</v>
      </c>
      <c r="C25" s="62">
        <v>110.0</v>
      </c>
      <c r="D25" s="2"/>
      <c r="E25" s="9" t="s">
        <v>107</v>
      </c>
      <c r="F25" s="30">
        <v>1380.0</v>
      </c>
      <c r="G25" s="9">
        <v>115.0</v>
      </c>
      <c r="H25" s="38"/>
      <c r="I25" s="41"/>
    </row>
    <row r="26">
      <c r="A26" s="51" t="s">
        <v>31</v>
      </c>
      <c r="B26" s="55">
        <v>550.0</v>
      </c>
      <c r="C26" s="62">
        <v>110.0</v>
      </c>
      <c r="D26" s="2"/>
      <c r="E26" s="9" t="s">
        <v>109</v>
      </c>
      <c r="F26" s="30">
        <v>1450.0</v>
      </c>
      <c r="G26" s="9">
        <v>145.0</v>
      </c>
      <c r="H26" s="38"/>
      <c r="I26" s="41"/>
    </row>
    <row r="27">
      <c r="A27" s="51" t="s">
        <v>33</v>
      </c>
      <c r="B27" s="61">
        <v>475.0</v>
      </c>
      <c r="C27" s="62">
        <v>95.0</v>
      </c>
      <c r="D27" s="2"/>
      <c r="E27" s="9" t="s">
        <v>111</v>
      </c>
      <c r="F27" s="30">
        <v>1480.0</v>
      </c>
      <c r="G27" s="9">
        <v>148.0</v>
      </c>
      <c r="H27" s="38"/>
      <c r="I27" s="41"/>
    </row>
    <row r="28">
      <c r="A28" s="51" t="s">
        <v>35</v>
      </c>
      <c r="B28" s="59">
        <v>560.0</v>
      </c>
      <c r="C28" s="53">
        <v>112.0</v>
      </c>
      <c r="D28" s="2"/>
      <c r="E28" s="9" t="s">
        <v>113</v>
      </c>
      <c r="F28" s="9">
        <v>850.0</v>
      </c>
      <c r="G28" s="9">
        <v>85.0</v>
      </c>
      <c r="H28" s="38"/>
      <c r="I28" s="7"/>
    </row>
    <row r="29">
      <c r="A29" s="51" t="s">
        <v>38</v>
      </c>
      <c r="B29" s="59">
        <v>525.0</v>
      </c>
      <c r="C29" s="53">
        <v>105.0</v>
      </c>
      <c r="D29" s="2"/>
      <c r="E29" s="9" t="s">
        <v>115</v>
      </c>
      <c r="F29" s="9">
        <v>690.0</v>
      </c>
      <c r="G29" s="9">
        <v>69.0</v>
      </c>
      <c r="H29" s="38"/>
      <c r="I29" s="41"/>
    </row>
    <row r="30">
      <c r="A30" s="51" t="s">
        <v>41</v>
      </c>
      <c r="B30" s="61">
        <v>650.0</v>
      </c>
      <c r="C30" s="53">
        <v>130.0</v>
      </c>
      <c r="D30" s="2"/>
      <c r="E30" s="9" t="s">
        <v>117</v>
      </c>
      <c r="F30" s="9">
        <v>490.0</v>
      </c>
      <c r="G30" s="9">
        <v>49.0</v>
      </c>
      <c r="H30" s="38"/>
      <c r="I30" s="41"/>
    </row>
    <row r="31">
      <c r="A31" s="9" t="s">
        <v>43</v>
      </c>
      <c r="B31" s="9">
        <v>725.0</v>
      </c>
      <c r="C31" s="10">
        <v>145.0</v>
      </c>
      <c r="D31" s="2"/>
      <c r="E31" s="9" t="s">
        <v>119</v>
      </c>
      <c r="F31" s="30">
        <v>1100.0</v>
      </c>
      <c r="G31" s="9">
        <v>110.0</v>
      </c>
      <c r="H31" s="38"/>
      <c r="I31" s="41"/>
    </row>
    <row r="32">
      <c r="A32" s="51" t="s">
        <v>49</v>
      </c>
      <c r="B32" s="61">
        <v>675.0</v>
      </c>
      <c r="C32" s="53">
        <v>135.0</v>
      </c>
      <c r="D32" s="2"/>
      <c r="E32" s="9" t="s">
        <v>121</v>
      </c>
      <c r="F32" s="9">
        <v>920.0</v>
      </c>
      <c r="G32" s="9">
        <v>92.0</v>
      </c>
      <c r="H32" s="38"/>
      <c r="I32" s="41"/>
    </row>
    <row r="33">
      <c r="A33" s="56" t="s">
        <v>51</v>
      </c>
      <c r="B33" s="52">
        <v>925.0</v>
      </c>
      <c r="C33" s="53">
        <v>185.0</v>
      </c>
      <c r="D33" s="2"/>
      <c r="E33" s="9" t="s">
        <v>123</v>
      </c>
      <c r="F33" s="9">
        <v>980.0</v>
      </c>
      <c r="G33" s="9">
        <v>98.0</v>
      </c>
      <c r="H33" s="38"/>
      <c r="I33" s="41"/>
    </row>
    <row r="34">
      <c r="A34" s="51" t="s">
        <v>53</v>
      </c>
      <c r="B34" s="61">
        <v>740.0</v>
      </c>
      <c r="C34" s="53">
        <v>148.0</v>
      </c>
      <c r="D34" s="2"/>
      <c r="E34" s="9" t="s">
        <v>86</v>
      </c>
      <c r="F34" s="9">
        <v>450.0</v>
      </c>
      <c r="G34" s="9">
        <v>90.0</v>
      </c>
      <c r="H34" s="38"/>
      <c r="I34" s="41"/>
    </row>
    <row r="35">
      <c r="A35" s="51" t="s">
        <v>55</v>
      </c>
      <c r="B35" s="61">
        <v>595.0</v>
      </c>
      <c r="C35" s="53">
        <v>119.0</v>
      </c>
      <c r="D35" s="2"/>
      <c r="E35" s="9" t="s">
        <v>126</v>
      </c>
      <c r="F35" s="9">
        <v>730.0</v>
      </c>
      <c r="G35" s="9"/>
      <c r="H35" s="38"/>
      <c r="I35" s="41"/>
    </row>
    <row r="36">
      <c r="A36" s="51" t="s">
        <v>57</v>
      </c>
      <c r="B36" s="55">
        <v>715.0</v>
      </c>
      <c r="C36" s="53">
        <v>143.0</v>
      </c>
      <c r="D36" s="2"/>
      <c r="E36" s="9" t="s">
        <v>128</v>
      </c>
      <c r="F36" s="9">
        <v>980.0</v>
      </c>
      <c r="G36" s="9"/>
      <c r="H36" s="38"/>
      <c r="I36" s="41"/>
    </row>
    <row r="37">
      <c r="A37" s="51" t="s">
        <v>59</v>
      </c>
      <c r="B37" s="61">
        <v>740.0</v>
      </c>
      <c r="C37" s="53">
        <v>148.0</v>
      </c>
      <c r="D37" s="2"/>
      <c r="E37" s="2"/>
      <c r="F37" s="2"/>
      <c r="G37" s="2"/>
      <c r="H37" s="38"/>
      <c r="I37" s="41"/>
    </row>
    <row r="38">
      <c r="A38" s="51" t="s">
        <v>61</v>
      </c>
      <c r="B38" s="61">
        <v>190.0</v>
      </c>
      <c r="C38" s="53">
        <v>95.0</v>
      </c>
      <c r="D38" s="2"/>
      <c r="E38" s="2"/>
      <c r="F38" s="2"/>
      <c r="G38" s="2"/>
      <c r="H38" s="38"/>
      <c r="I38" s="41"/>
    </row>
    <row r="39">
      <c r="A39" s="51" t="s">
        <v>63</v>
      </c>
      <c r="B39" s="65">
        <v>400.0</v>
      </c>
      <c r="C39" s="53">
        <v>80.0</v>
      </c>
      <c r="D39" s="36"/>
      <c r="E39" s="2"/>
      <c r="F39" s="2"/>
      <c r="G39" s="2"/>
      <c r="H39" s="38"/>
      <c r="I39" s="41"/>
    </row>
    <row r="40">
      <c r="A40" s="51" t="s">
        <v>65</v>
      </c>
      <c r="B40" s="65">
        <v>980.0</v>
      </c>
      <c r="C40" s="53">
        <v>98.0</v>
      </c>
      <c r="D40" s="2"/>
      <c r="E40" s="2"/>
      <c r="F40" s="2"/>
      <c r="G40" s="2"/>
      <c r="H40" s="38"/>
      <c r="I40" s="41"/>
    </row>
    <row r="41">
      <c r="A41" s="51" t="s">
        <v>67</v>
      </c>
      <c r="B41" s="65">
        <v>900.0</v>
      </c>
      <c r="C41" s="53">
        <v>90.0</v>
      </c>
      <c r="D41" s="2"/>
      <c r="E41" s="2"/>
      <c r="F41" s="2"/>
      <c r="G41" s="2"/>
      <c r="H41" s="38"/>
      <c r="I41" s="41"/>
    </row>
    <row r="42" ht="19.5" customHeight="1">
      <c r="A42" s="51"/>
      <c r="B42" s="65"/>
      <c r="C42" s="53"/>
      <c r="D42" s="2"/>
      <c r="E42" s="2"/>
      <c r="F42" s="2"/>
      <c r="G42" s="2"/>
      <c r="H42" s="38"/>
      <c r="I42" s="41"/>
    </row>
    <row r="43" ht="19.5" customHeight="1">
      <c r="A43" s="51"/>
      <c r="B43" s="65"/>
      <c r="C43" s="53"/>
      <c r="D43" s="2"/>
      <c r="E43" s="2"/>
      <c r="F43" s="2"/>
      <c r="G43" s="2"/>
      <c r="H43" s="38"/>
      <c r="I43" s="41"/>
    </row>
    <row r="44" ht="19.5" customHeight="1">
      <c r="A44" s="51"/>
      <c r="B44" s="65"/>
      <c r="C44" s="53"/>
      <c r="D44" s="2"/>
      <c r="E44" s="2"/>
      <c r="F44" s="2"/>
      <c r="G44" s="2"/>
      <c r="H44" s="38"/>
      <c r="I44" s="41"/>
    </row>
    <row r="45">
      <c r="A45" s="1" t="str">
        <f t="array" ref="A45:C57">Noodle</f>
        <v>🍜 หมวดเส้น วุ้นเส้น</v>
      </c>
      <c r="B45" s="1" t="s">
        <v>1</v>
      </c>
      <c r="C45" s="1" t="s">
        <v>2</v>
      </c>
      <c r="D45" s="2"/>
      <c r="E45" s="33" t="str">
        <f t="array" ref="E45:H50">InPork</f>
        <v>🥓 หมวดเครื่องในหมู</v>
      </c>
      <c r="F45" s="33" t="s">
        <v>1</v>
      </c>
      <c r="G45" s="33" t="s">
        <v>2</v>
      </c>
      <c r="H45" s="33" t="s">
        <v>5</v>
      </c>
      <c r="I45" s="41"/>
    </row>
    <row r="46">
      <c r="A46" s="9" t="s">
        <v>133</v>
      </c>
      <c r="B46" s="9">
        <v>150.0</v>
      </c>
      <c r="C46" s="16"/>
      <c r="D46" s="36"/>
      <c r="E46" s="9" t="s">
        <v>69</v>
      </c>
      <c r="F46" s="9">
        <v>850.0</v>
      </c>
      <c r="G46" s="16">
        <v>85.0</v>
      </c>
      <c r="H46" s="28">
        <v>90.0</v>
      </c>
      <c r="I46" s="41"/>
    </row>
    <row r="47">
      <c r="A47" s="9" t="s">
        <v>135</v>
      </c>
      <c r="B47" s="9">
        <v>140.0</v>
      </c>
      <c r="C47" s="16"/>
      <c r="D47" s="36"/>
      <c r="E47" s="9" t="s">
        <v>71</v>
      </c>
      <c r="F47" s="9">
        <v>90.0</v>
      </c>
      <c r="G47" s="16"/>
      <c r="H47" s="28"/>
      <c r="I47" s="41"/>
    </row>
    <row r="48">
      <c r="A48" s="9" t="s">
        <v>137</v>
      </c>
      <c r="B48" s="9">
        <v>160.0</v>
      </c>
      <c r="C48" s="16"/>
      <c r="D48" s="36"/>
      <c r="E48" s="9" t="s">
        <v>73</v>
      </c>
      <c r="F48" s="9">
        <v>900.0</v>
      </c>
      <c r="G48" s="16">
        <v>90.0</v>
      </c>
      <c r="H48" s="28">
        <v>90.0</v>
      </c>
      <c r="I48" s="41"/>
    </row>
    <row r="49">
      <c r="A49" s="9" t="s">
        <v>139</v>
      </c>
      <c r="B49" s="9">
        <v>150.0</v>
      </c>
      <c r="C49" s="16"/>
      <c r="D49" s="36"/>
      <c r="E49" s="9" t="s">
        <v>75</v>
      </c>
      <c r="F49" s="9">
        <v>95.0</v>
      </c>
      <c r="G49" s="16"/>
      <c r="H49" s="28"/>
      <c r="I49" s="41"/>
    </row>
    <row r="50">
      <c r="A50" s="9" t="s">
        <v>141</v>
      </c>
      <c r="B50" s="9">
        <v>235.0</v>
      </c>
      <c r="C50" s="16"/>
      <c r="D50" s="36"/>
      <c r="E50" s="5"/>
      <c r="F50" s="9"/>
      <c r="G50" s="9"/>
      <c r="H50" s="28"/>
      <c r="I50" s="41"/>
    </row>
    <row r="51">
      <c r="A51" s="9" t="s">
        <v>143</v>
      </c>
      <c r="B51" s="9">
        <v>550.0</v>
      </c>
      <c r="C51" s="16">
        <v>55.0</v>
      </c>
      <c r="D51" s="36"/>
      <c r="E51" s="1" t="str">
        <f t="array" ref="E51:H62">Fried</f>
        <v>🍟 หมวดของทานเล่น และของทอด</v>
      </c>
      <c r="F51" s="1" t="s">
        <v>1</v>
      </c>
      <c r="G51" s="1" t="s">
        <v>2</v>
      </c>
      <c r="H51" s="1" t="s">
        <v>5</v>
      </c>
      <c r="I51" s="41"/>
    </row>
    <row r="52">
      <c r="A52" s="9" t="s">
        <v>145</v>
      </c>
      <c r="B52" s="9">
        <v>120.0</v>
      </c>
      <c r="C52" s="16"/>
      <c r="D52" s="36"/>
      <c r="E52" s="9" t="s">
        <v>50</v>
      </c>
      <c r="F52" s="30">
        <v>1000.0</v>
      </c>
      <c r="G52" s="16">
        <v>100.0</v>
      </c>
      <c r="H52" s="28">
        <v>105.0</v>
      </c>
      <c r="I52" s="41"/>
    </row>
    <row r="53">
      <c r="A53" s="9" t="s">
        <v>147</v>
      </c>
      <c r="B53" s="9">
        <v>90.0</v>
      </c>
      <c r="C53" s="16"/>
      <c r="D53" s="36"/>
      <c r="E53" s="9" t="s">
        <v>52</v>
      </c>
      <c r="F53" s="9">
        <v>630.0</v>
      </c>
      <c r="G53" s="16">
        <v>63.0</v>
      </c>
      <c r="H53" s="28">
        <v>65.0</v>
      </c>
      <c r="I53" s="41"/>
    </row>
    <row r="54">
      <c r="A54" s="9" t="s">
        <v>149</v>
      </c>
      <c r="B54" s="9">
        <v>400.0</v>
      </c>
      <c r="C54" s="16">
        <v>80.0</v>
      </c>
      <c r="D54" s="36"/>
      <c r="E54" s="9" t="s">
        <v>54</v>
      </c>
      <c r="F54" s="30">
        <v>1180.0</v>
      </c>
      <c r="G54" s="67">
        <v>36.875</v>
      </c>
      <c r="H54" s="28">
        <v>48.0</v>
      </c>
      <c r="I54" s="41"/>
    </row>
    <row r="55">
      <c r="A55" s="9" t="s">
        <v>151</v>
      </c>
      <c r="B55" s="9">
        <v>285.0</v>
      </c>
      <c r="C55" s="16">
        <v>11.4</v>
      </c>
      <c r="D55" s="36"/>
      <c r="E55" s="9" t="s">
        <v>56</v>
      </c>
      <c r="F55" s="9">
        <v>530.0</v>
      </c>
      <c r="G55" s="16">
        <v>53.0</v>
      </c>
      <c r="H55" s="28">
        <v>70.0</v>
      </c>
      <c r="I55" s="41"/>
    </row>
    <row r="56">
      <c r="A56" s="9" t="s">
        <v>153</v>
      </c>
      <c r="B56" s="9">
        <v>490.0</v>
      </c>
      <c r="C56" s="16">
        <v>49.0</v>
      </c>
      <c r="D56" s="36"/>
      <c r="E56" s="9" t="s">
        <v>58</v>
      </c>
      <c r="F56" s="9">
        <v>530.0</v>
      </c>
      <c r="G56" s="16">
        <v>53.0</v>
      </c>
      <c r="H56" s="28">
        <v>70.0</v>
      </c>
      <c r="I56" s="41"/>
    </row>
    <row r="57">
      <c r="A57" s="9"/>
      <c r="B57" s="9"/>
      <c r="C57" s="16"/>
      <c r="D57" s="36"/>
      <c r="E57" s="9" t="s">
        <v>60</v>
      </c>
      <c r="F57" s="9">
        <v>530.0</v>
      </c>
      <c r="G57" s="16">
        <v>53.0</v>
      </c>
      <c r="H57" s="28">
        <v>70.0</v>
      </c>
      <c r="I57" s="41"/>
    </row>
    <row r="58">
      <c r="A58" s="1" t="str">
        <f t="array" ref="A58:C68">Nammmm</f>
        <v>🥗 หมวดเครื่องใน และของยำ</v>
      </c>
      <c r="B58" s="1" t="s">
        <v>1</v>
      </c>
      <c r="C58" s="1" t="s">
        <v>2</v>
      </c>
      <c r="D58" s="36"/>
      <c r="E58" s="9" t="s">
        <v>62</v>
      </c>
      <c r="F58" s="9">
        <v>1150.0</v>
      </c>
      <c r="G58" s="16">
        <v>115.0</v>
      </c>
      <c r="H58" s="28">
        <v>120.0</v>
      </c>
      <c r="I58" s="41"/>
    </row>
    <row r="59">
      <c r="A59" s="9" t="s">
        <v>70</v>
      </c>
      <c r="B59" s="30">
        <v>300.0</v>
      </c>
      <c r="C59" s="16">
        <v>60.0</v>
      </c>
      <c r="D59" s="36"/>
      <c r="E59" s="9" t="s">
        <v>64</v>
      </c>
      <c r="F59" s="9">
        <v>800.0</v>
      </c>
      <c r="G59" s="16">
        <v>100.0</v>
      </c>
      <c r="H59" s="28"/>
      <c r="I59" s="41"/>
    </row>
    <row r="60">
      <c r="A60" s="9" t="s">
        <v>72</v>
      </c>
      <c r="B60" s="30">
        <v>515.0</v>
      </c>
      <c r="C60" s="16">
        <v>103.0</v>
      </c>
      <c r="D60" s="36"/>
      <c r="E60" s="9" t="s">
        <v>66</v>
      </c>
      <c r="F60" s="30">
        <v>1120.0</v>
      </c>
      <c r="G60" s="16">
        <v>112.0</v>
      </c>
      <c r="H60" s="28"/>
      <c r="I60" s="41"/>
    </row>
    <row r="61">
      <c r="A61" s="9" t="s">
        <v>74</v>
      </c>
      <c r="B61" s="9">
        <v>515.0</v>
      </c>
      <c r="C61" s="16">
        <v>103.0</v>
      </c>
      <c r="D61" s="36"/>
      <c r="E61" s="9" t="s">
        <v>68</v>
      </c>
      <c r="F61" s="30">
        <v>1120.0</v>
      </c>
      <c r="G61" s="16">
        <v>80.0</v>
      </c>
      <c r="H61" s="28">
        <v>85.0</v>
      </c>
      <c r="I61" s="41"/>
    </row>
    <row r="62">
      <c r="A62" s="9" t="s">
        <v>76</v>
      </c>
      <c r="B62" s="9">
        <v>690.0</v>
      </c>
      <c r="C62" s="16">
        <v>138.0</v>
      </c>
      <c r="D62" s="36"/>
      <c r="E62" s="9"/>
      <c r="F62" s="9"/>
      <c r="G62" s="10"/>
      <c r="H62" s="28"/>
      <c r="I62" s="41"/>
    </row>
    <row r="63">
      <c r="A63" s="9" t="s">
        <v>77</v>
      </c>
      <c r="B63" s="9">
        <v>775.0</v>
      </c>
      <c r="C63" s="10">
        <v>155.0</v>
      </c>
      <c r="D63" s="36"/>
      <c r="E63" s="1" t="str">
        <f t="array" ref="E63:H70">Source</f>
        <v>🍄 หมวดเห็ด สาหร่าย และน้ำจิ้ม</v>
      </c>
      <c r="F63" s="1" t="s">
        <v>1</v>
      </c>
      <c r="G63" s="1" t="s">
        <v>2</v>
      </c>
      <c r="H63" s="1" t="s">
        <v>5</v>
      </c>
      <c r="I63" s="41"/>
    </row>
    <row r="64">
      <c r="A64" s="9" t="s">
        <v>78</v>
      </c>
      <c r="B64" s="9">
        <v>660.0</v>
      </c>
      <c r="C64" s="10">
        <v>132.0</v>
      </c>
      <c r="D64" s="36"/>
      <c r="E64" s="9" t="s">
        <v>79</v>
      </c>
      <c r="F64" s="30">
        <v>950.0</v>
      </c>
      <c r="G64" s="16">
        <v>95.0</v>
      </c>
      <c r="H64" s="28">
        <v>105.0</v>
      </c>
      <c r="I64" s="41"/>
    </row>
    <row r="65">
      <c r="A65" s="9" t="s">
        <v>80</v>
      </c>
      <c r="B65" s="9">
        <v>590.0</v>
      </c>
      <c r="C65" s="10">
        <v>118.0</v>
      </c>
      <c r="D65" s="36"/>
      <c r="E65" s="9" t="s">
        <v>81</v>
      </c>
      <c r="F65" s="30">
        <v>1180.0</v>
      </c>
      <c r="G65" s="16">
        <v>147.5</v>
      </c>
      <c r="H65" s="28">
        <v>170.0</v>
      </c>
      <c r="I65" s="41"/>
    </row>
    <row r="66">
      <c r="A66" s="9" t="s">
        <v>82</v>
      </c>
      <c r="B66" s="30">
        <v>725.0</v>
      </c>
      <c r="C66" s="16">
        <v>145.0</v>
      </c>
      <c r="D66" s="36"/>
      <c r="E66" s="9" t="s">
        <v>83</v>
      </c>
      <c r="F66" s="30">
        <v>840.0</v>
      </c>
      <c r="G66" s="67">
        <v>210.0</v>
      </c>
      <c r="H66" s="28">
        <v>215.0</v>
      </c>
      <c r="I66" s="41"/>
    </row>
    <row r="67">
      <c r="A67" s="9" t="s">
        <v>84</v>
      </c>
      <c r="B67" s="30">
        <v>780.0</v>
      </c>
      <c r="C67" s="16">
        <v>78.0</v>
      </c>
      <c r="D67" s="36"/>
      <c r="E67" s="9" t="s">
        <v>85</v>
      </c>
      <c r="F67" s="9">
        <v>800.0</v>
      </c>
      <c r="G67" s="16">
        <v>200.0</v>
      </c>
      <c r="H67" s="28">
        <v>225.0</v>
      </c>
      <c r="I67" s="68"/>
    </row>
    <row r="68">
      <c r="A68" s="9" t="s">
        <v>86</v>
      </c>
      <c r="B68" s="30">
        <v>450.0</v>
      </c>
      <c r="C68" s="16">
        <v>90.0</v>
      </c>
      <c r="D68" s="36"/>
      <c r="E68" s="9" t="s">
        <v>87</v>
      </c>
      <c r="F68" s="9">
        <v>780.0</v>
      </c>
      <c r="G68" s="16">
        <v>390.0</v>
      </c>
      <c r="H68" s="28">
        <v>405.0</v>
      </c>
      <c r="I68" s="7"/>
    </row>
    <row r="69">
      <c r="A69" s="8"/>
      <c r="B69" s="8"/>
      <c r="C69" s="8"/>
      <c r="D69" s="36"/>
      <c r="E69" s="9" t="s">
        <v>88</v>
      </c>
      <c r="F69" s="9">
        <v>820.0</v>
      </c>
      <c r="G69" s="16">
        <v>205.0</v>
      </c>
      <c r="H69" s="28">
        <v>210.0</v>
      </c>
      <c r="I69" s="7"/>
    </row>
    <row r="70">
      <c r="A70" s="8"/>
      <c r="B70" s="8"/>
      <c r="C70" s="8"/>
      <c r="D70" s="8"/>
      <c r="E70" s="8"/>
      <c r="F70" s="8"/>
      <c r="G70" s="8"/>
      <c r="H70" s="47"/>
      <c r="I70" s="7"/>
    </row>
    <row r="71">
      <c r="A71" s="8"/>
      <c r="B71" s="8"/>
      <c r="C71" s="8"/>
      <c r="D71" s="8"/>
      <c r="E71" s="8"/>
      <c r="F71" s="8"/>
      <c r="G71" s="8"/>
      <c r="H71" s="47"/>
      <c r="I71" s="7"/>
    </row>
    <row r="72">
      <c r="A72" s="8"/>
      <c r="B72" s="8"/>
      <c r="C72" s="8"/>
      <c r="D72" s="8"/>
      <c r="E72" s="8"/>
      <c r="F72" s="8"/>
      <c r="G72" s="8"/>
      <c r="H72" s="47"/>
      <c r="I72" s="7"/>
    </row>
    <row r="73">
      <c r="A73" s="8"/>
      <c r="B73" s="8"/>
      <c r="C73" s="8"/>
      <c r="D73" s="8"/>
      <c r="E73" s="8"/>
      <c r="F73" s="8"/>
      <c r="G73" s="8"/>
      <c r="H73" s="47"/>
      <c r="I73" s="7"/>
    </row>
    <row r="74">
      <c r="A74" s="8"/>
      <c r="B74" s="8"/>
      <c r="C74" s="8"/>
      <c r="D74" s="8"/>
      <c r="E74" s="8"/>
      <c r="F74" s="8"/>
      <c r="G74" s="8"/>
      <c r="H74" s="47"/>
      <c r="I74" s="7"/>
    </row>
    <row r="75">
      <c r="A75" s="8"/>
      <c r="B75" s="8"/>
      <c r="C75" s="8"/>
      <c r="D75" s="8"/>
      <c r="E75" s="8"/>
      <c r="F75" s="8"/>
      <c r="G75" s="8"/>
      <c r="H75" s="47"/>
      <c r="I75" s="7"/>
    </row>
    <row r="76">
      <c r="A76" s="8"/>
      <c r="B76" s="8"/>
      <c r="C76" s="8"/>
      <c r="D76" s="8"/>
      <c r="E76" s="8"/>
      <c r="F76" s="8"/>
      <c r="G76" s="8"/>
      <c r="H76" s="47"/>
      <c r="I76" s="7"/>
    </row>
    <row r="77">
      <c r="A77" s="8"/>
      <c r="B77" s="8"/>
      <c r="C77" s="8"/>
      <c r="D77" s="8"/>
      <c r="E77" s="8"/>
      <c r="F77" s="8"/>
      <c r="G77" s="8"/>
      <c r="H77" s="47"/>
      <c r="I77" s="7"/>
    </row>
    <row r="78">
      <c r="A78" s="8"/>
      <c r="B78" s="8"/>
      <c r="C78" s="8"/>
      <c r="D78" s="8"/>
      <c r="E78" s="8"/>
      <c r="F78" s="8"/>
      <c r="G78" s="8"/>
      <c r="H78" s="47"/>
      <c r="I78" s="7"/>
    </row>
    <row r="79">
      <c r="A79" s="8"/>
      <c r="B79" s="8"/>
      <c r="C79" s="8"/>
      <c r="D79" s="8"/>
      <c r="E79" s="8"/>
      <c r="F79" s="8"/>
      <c r="G79" s="8"/>
      <c r="H79" s="47"/>
      <c r="I79" s="7"/>
    </row>
    <row r="80">
      <c r="A80" s="8"/>
      <c r="B80" s="8"/>
      <c r="C80" s="8"/>
      <c r="D80" s="8"/>
      <c r="E80" s="8"/>
      <c r="F80" s="8"/>
      <c r="G80" s="8"/>
      <c r="H80" s="47"/>
      <c r="I80" s="7"/>
    </row>
    <row r="81">
      <c r="A81" s="8"/>
      <c r="B81" s="8"/>
      <c r="C81" s="8"/>
      <c r="D81" s="8"/>
      <c r="E81" s="8"/>
      <c r="F81" s="8"/>
      <c r="G81" s="8"/>
      <c r="H81" s="47"/>
      <c r="I81" s="7"/>
    </row>
    <row r="82">
      <c r="A82" s="8"/>
      <c r="B82" s="8"/>
      <c r="C82" s="8"/>
      <c r="D82" s="8"/>
      <c r="E82" s="8"/>
      <c r="F82" s="8"/>
      <c r="G82" s="8"/>
      <c r="H82" s="47"/>
      <c r="I82" s="7"/>
    </row>
    <row r="83">
      <c r="A83" s="8"/>
      <c r="B83" s="8"/>
      <c r="C83" s="8"/>
      <c r="D83" s="8"/>
      <c r="E83" s="8"/>
      <c r="F83" s="8"/>
      <c r="G83" s="8"/>
      <c r="H83" s="47"/>
      <c r="I83" s="7"/>
    </row>
    <row r="84">
      <c r="A84" s="8"/>
      <c r="B84" s="8"/>
      <c r="C84" s="8"/>
      <c r="D84" s="8"/>
      <c r="E84" s="8"/>
      <c r="F84" s="8"/>
      <c r="G84" s="8"/>
      <c r="H84" s="47"/>
      <c r="I84" s="7"/>
    </row>
    <row r="85">
      <c r="A85" s="8"/>
      <c r="B85" s="8"/>
      <c r="C85" s="8"/>
      <c r="D85" s="8"/>
      <c r="E85" s="8"/>
      <c r="F85" s="8"/>
      <c r="G85" s="8"/>
      <c r="H85" s="47"/>
      <c r="I85" s="7"/>
    </row>
    <row r="86">
      <c r="A86" s="8"/>
      <c r="B86" s="8"/>
      <c r="C86" s="8"/>
      <c r="D86" s="8"/>
      <c r="E86" s="8"/>
      <c r="F86" s="8"/>
      <c r="G86" s="8"/>
      <c r="H86" s="47"/>
      <c r="I86" s="7"/>
    </row>
    <row r="87">
      <c r="A87" s="8"/>
      <c r="B87" s="8"/>
      <c r="C87" s="8"/>
      <c r="D87" s="8"/>
      <c r="E87" s="8"/>
      <c r="F87" s="8"/>
      <c r="G87" s="8"/>
      <c r="H87" s="47"/>
      <c r="I87" s="7"/>
    </row>
    <row r="88">
      <c r="A88" s="8"/>
      <c r="B88" s="8"/>
      <c r="C88" s="8"/>
      <c r="D88" s="8"/>
      <c r="E88" s="8"/>
      <c r="F88" s="8"/>
      <c r="G88" s="8"/>
      <c r="H88" s="47"/>
      <c r="I88" s="7"/>
    </row>
    <row r="89">
      <c r="A89" s="8"/>
      <c r="B89" s="8"/>
      <c r="C89" s="8"/>
      <c r="D89" s="8"/>
      <c r="E89" s="8"/>
      <c r="F89" s="8"/>
      <c r="G89" s="8"/>
      <c r="H89" s="47"/>
      <c r="I89" s="7"/>
    </row>
    <row r="90">
      <c r="A90" s="8"/>
      <c r="B90" s="8"/>
      <c r="C90" s="8"/>
      <c r="D90" s="8"/>
      <c r="E90" s="8"/>
      <c r="F90" s="8"/>
      <c r="G90" s="8"/>
      <c r="H90" s="47"/>
      <c r="I90" s="7"/>
    </row>
    <row r="91">
      <c r="A91" s="8"/>
      <c r="B91" s="8"/>
      <c r="C91" s="8"/>
      <c r="D91" s="8"/>
      <c r="E91" s="8"/>
      <c r="F91" s="8"/>
      <c r="G91" s="8"/>
      <c r="H91" s="47"/>
      <c r="I91" s="7"/>
    </row>
    <row r="92">
      <c r="A92" s="8"/>
      <c r="B92" s="8"/>
      <c r="C92" s="8"/>
      <c r="D92" s="8"/>
      <c r="E92" s="8"/>
      <c r="F92" s="8"/>
      <c r="G92" s="8"/>
      <c r="H92" s="47"/>
      <c r="I92" s="7"/>
    </row>
    <row r="93">
      <c r="A93" s="8"/>
      <c r="B93" s="8"/>
      <c r="C93" s="8"/>
      <c r="D93" s="8"/>
      <c r="E93" s="8"/>
      <c r="F93" s="8"/>
      <c r="G93" s="8"/>
      <c r="H93" s="47"/>
      <c r="I93" s="7"/>
    </row>
    <row r="94">
      <c r="A94" s="8"/>
      <c r="B94" s="8"/>
      <c r="C94" s="8"/>
      <c r="D94" s="8"/>
      <c r="E94" s="8"/>
      <c r="F94" s="8"/>
      <c r="G94" s="8"/>
      <c r="H94" s="47"/>
      <c r="I94" s="7"/>
    </row>
    <row r="95">
      <c r="A95" s="8"/>
      <c r="B95" s="8"/>
      <c r="C95" s="8"/>
      <c r="D95" s="8"/>
      <c r="E95" s="8"/>
      <c r="F95" s="8"/>
      <c r="G95" s="8"/>
      <c r="H95" s="47"/>
      <c r="I95" s="7"/>
    </row>
    <row r="96">
      <c r="A96" s="8"/>
      <c r="B96" s="8"/>
      <c r="C96" s="8"/>
      <c r="D96" s="8"/>
      <c r="E96" s="8"/>
      <c r="F96" s="8"/>
      <c r="G96" s="8"/>
      <c r="H96" s="47"/>
      <c r="I96" s="7"/>
    </row>
    <row r="97">
      <c r="A97" s="8"/>
      <c r="B97" s="8"/>
      <c r="C97" s="8"/>
      <c r="D97" s="8"/>
      <c r="E97" s="8"/>
      <c r="F97" s="8"/>
      <c r="G97" s="8"/>
      <c r="H97" s="47"/>
      <c r="I97" s="7"/>
    </row>
    <row r="98">
      <c r="A98" s="8"/>
      <c r="B98" s="8"/>
      <c r="C98" s="8"/>
      <c r="D98" s="8"/>
      <c r="E98" s="8"/>
      <c r="F98" s="8"/>
      <c r="G98" s="8"/>
      <c r="H98" s="47"/>
      <c r="I98" s="7"/>
    </row>
    <row r="99">
      <c r="A99" s="8"/>
      <c r="B99" s="8"/>
      <c r="C99" s="8"/>
      <c r="D99" s="8"/>
      <c r="E99" s="8"/>
      <c r="F99" s="8"/>
      <c r="G99" s="8"/>
      <c r="H99" s="47"/>
      <c r="I99" s="7"/>
    </row>
    <row r="100">
      <c r="A100" s="8"/>
      <c r="B100" s="8"/>
      <c r="C100" s="8"/>
      <c r="D100" s="8"/>
      <c r="E100" s="8"/>
      <c r="F100" s="8"/>
      <c r="G100" s="8"/>
      <c r="H100" s="47"/>
      <c r="I100" s="7"/>
    </row>
    <row r="101">
      <c r="A101" s="8"/>
      <c r="B101" s="8"/>
      <c r="C101" s="8"/>
      <c r="D101" s="8"/>
      <c r="E101" s="8"/>
      <c r="F101" s="8"/>
      <c r="G101" s="8"/>
      <c r="H101" s="47"/>
      <c r="I101" s="7"/>
    </row>
    <row r="102">
      <c r="A102" s="8"/>
      <c r="B102" s="8"/>
      <c r="C102" s="8"/>
      <c r="D102" s="8"/>
      <c r="E102" s="8"/>
      <c r="F102" s="8"/>
      <c r="G102" s="8"/>
      <c r="H102" s="47"/>
      <c r="I102" s="7"/>
    </row>
    <row r="103">
      <c r="A103" s="8"/>
      <c r="B103" s="8"/>
      <c r="C103" s="8"/>
      <c r="D103" s="8"/>
      <c r="E103" s="8"/>
      <c r="F103" s="8"/>
      <c r="G103" s="8"/>
      <c r="H103" s="47"/>
      <c r="I103" s="7"/>
    </row>
    <row r="104">
      <c r="A104" s="8"/>
      <c r="B104" s="8"/>
      <c r="C104" s="8"/>
      <c r="D104" s="8"/>
      <c r="E104" s="8"/>
      <c r="F104" s="8"/>
      <c r="G104" s="8"/>
      <c r="H104" s="47"/>
      <c r="I104" s="7"/>
    </row>
    <row r="105">
      <c r="A105" s="8"/>
      <c r="B105" s="8"/>
      <c r="C105" s="8"/>
      <c r="D105" s="8"/>
      <c r="E105" s="8"/>
      <c r="F105" s="8"/>
      <c r="G105" s="8"/>
      <c r="H105" s="47"/>
      <c r="I105" s="7"/>
    </row>
    <row r="106">
      <c r="A106" s="8"/>
      <c r="B106" s="8"/>
      <c r="C106" s="8"/>
      <c r="D106" s="8"/>
      <c r="E106" s="8"/>
      <c r="F106" s="8"/>
      <c r="G106" s="8"/>
      <c r="H106" s="47"/>
      <c r="I106" s="7"/>
    </row>
    <row r="107">
      <c r="A107" s="8"/>
      <c r="B107" s="8"/>
      <c r="C107" s="8"/>
      <c r="D107" s="8"/>
      <c r="E107" s="8"/>
      <c r="F107" s="8"/>
      <c r="G107" s="8"/>
      <c r="H107" s="47"/>
      <c r="I107" s="7"/>
    </row>
    <row r="108">
      <c r="A108" s="8"/>
      <c r="B108" s="8"/>
      <c r="C108" s="8"/>
      <c r="D108" s="8"/>
      <c r="E108" s="8"/>
      <c r="F108" s="8"/>
      <c r="G108" s="8"/>
      <c r="H108" s="47"/>
      <c r="I108" s="7"/>
    </row>
    <row r="109">
      <c r="A109" s="8"/>
      <c r="B109" s="8"/>
      <c r="C109" s="8"/>
      <c r="D109" s="8"/>
      <c r="E109" s="8"/>
      <c r="F109" s="8"/>
      <c r="G109" s="8"/>
      <c r="H109" s="47"/>
      <c r="I109" s="7"/>
    </row>
    <row r="110">
      <c r="A110" s="8"/>
      <c r="B110" s="8"/>
      <c r="C110" s="8"/>
      <c r="D110" s="8"/>
      <c r="E110" s="8"/>
      <c r="F110" s="8"/>
      <c r="G110" s="8"/>
      <c r="H110" s="47"/>
      <c r="I110" s="7"/>
    </row>
    <row r="111">
      <c r="A111" s="8"/>
      <c r="B111" s="8"/>
      <c r="C111" s="8"/>
      <c r="D111" s="8"/>
      <c r="E111" s="8"/>
      <c r="F111" s="8"/>
      <c r="G111" s="8"/>
      <c r="H111" s="47"/>
      <c r="I111" s="7"/>
    </row>
    <row r="112">
      <c r="A112" s="8"/>
      <c r="B112" s="8"/>
      <c r="C112" s="8"/>
      <c r="D112" s="8"/>
      <c r="E112" s="8"/>
      <c r="F112" s="8"/>
      <c r="G112" s="8"/>
      <c r="H112" s="47"/>
      <c r="I112" s="7"/>
    </row>
    <row r="113">
      <c r="A113" s="8"/>
      <c r="B113" s="8"/>
      <c r="C113" s="8"/>
      <c r="D113" s="8"/>
      <c r="E113" s="8"/>
      <c r="F113" s="8"/>
      <c r="G113" s="8"/>
      <c r="H113" s="47"/>
      <c r="I113" s="7"/>
    </row>
    <row r="114">
      <c r="A114" s="8"/>
      <c r="B114" s="8"/>
      <c r="C114" s="8"/>
      <c r="D114" s="8"/>
      <c r="E114" s="8"/>
      <c r="F114" s="8"/>
      <c r="G114" s="8"/>
      <c r="H114" s="47"/>
      <c r="I114" s="7"/>
    </row>
    <row r="115">
      <c r="A115" s="8"/>
      <c r="B115" s="8"/>
      <c r="C115" s="8"/>
      <c r="D115" s="8"/>
      <c r="E115" s="8"/>
      <c r="F115" s="8"/>
      <c r="G115" s="8"/>
      <c r="H115" s="47"/>
      <c r="I115" s="7"/>
    </row>
    <row r="116">
      <c r="A116" s="8"/>
      <c r="B116" s="8"/>
      <c r="C116" s="8"/>
      <c r="D116" s="8"/>
      <c r="E116" s="8"/>
      <c r="F116" s="8"/>
      <c r="G116" s="8"/>
      <c r="H116" s="47"/>
      <c r="I116" s="7"/>
    </row>
    <row r="117">
      <c r="A117" s="8"/>
      <c r="B117" s="8"/>
      <c r="C117" s="8"/>
      <c r="D117" s="8"/>
      <c r="E117" s="8"/>
      <c r="F117" s="8"/>
      <c r="G117" s="8"/>
      <c r="H117" s="47"/>
      <c r="I117" s="7"/>
    </row>
    <row r="118">
      <c r="A118" s="8"/>
      <c r="B118" s="8"/>
      <c r="C118" s="8"/>
      <c r="D118" s="8"/>
      <c r="E118" s="8"/>
      <c r="F118" s="8"/>
      <c r="G118" s="8"/>
      <c r="H118" s="47"/>
      <c r="I118" s="7"/>
    </row>
    <row r="119">
      <c r="A119" s="8"/>
      <c r="B119" s="8"/>
      <c r="C119" s="8"/>
      <c r="D119" s="8"/>
      <c r="E119" s="8"/>
      <c r="F119" s="8"/>
      <c r="G119" s="8"/>
      <c r="H119" s="47"/>
      <c r="I119" s="7"/>
    </row>
    <row r="120">
      <c r="A120" s="8"/>
      <c r="B120" s="8"/>
      <c r="C120" s="8"/>
      <c r="D120" s="8"/>
      <c r="E120" s="8"/>
      <c r="F120" s="8"/>
      <c r="G120" s="8"/>
      <c r="H120" s="47"/>
      <c r="I120" s="7"/>
    </row>
    <row r="121">
      <c r="A121" s="8"/>
      <c r="B121" s="8"/>
      <c r="C121" s="8"/>
      <c r="D121" s="8"/>
      <c r="E121" s="8"/>
      <c r="F121" s="8"/>
      <c r="G121" s="8"/>
      <c r="H121" s="47"/>
      <c r="I121" s="7"/>
    </row>
    <row r="122">
      <c r="A122" s="8"/>
      <c r="B122" s="8"/>
      <c r="C122" s="8"/>
      <c r="D122" s="8"/>
      <c r="E122" s="8"/>
      <c r="F122" s="8"/>
      <c r="G122" s="8"/>
      <c r="H122" s="47"/>
      <c r="I122" s="7"/>
    </row>
    <row r="123">
      <c r="A123" s="8"/>
      <c r="B123" s="8"/>
      <c r="C123" s="8"/>
      <c r="D123" s="8"/>
      <c r="E123" s="8"/>
      <c r="F123" s="8"/>
      <c r="G123" s="8"/>
      <c r="H123" s="47"/>
      <c r="I123" s="7"/>
    </row>
    <row r="124">
      <c r="A124" s="8"/>
      <c r="B124" s="8"/>
      <c r="C124" s="8"/>
      <c r="D124" s="8"/>
      <c r="E124" s="8"/>
      <c r="F124" s="8"/>
      <c r="G124" s="8"/>
      <c r="H124" s="47"/>
      <c r="I124" s="7"/>
    </row>
    <row r="125">
      <c r="A125" s="8"/>
      <c r="B125" s="8"/>
      <c r="C125" s="8"/>
      <c r="D125" s="8"/>
      <c r="E125" s="8"/>
      <c r="F125" s="8"/>
      <c r="G125" s="8"/>
      <c r="H125" s="47"/>
      <c r="I125" s="7"/>
    </row>
    <row r="126">
      <c r="A126" s="8"/>
      <c r="B126" s="8"/>
      <c r="C126" s="8"/>
      <c r="D126" s="8"/>
      <c r="E126" s="8"/>
      <c r="F126" s="8"/>
      <c r="G126" s="8"/>
      <c r="H126" s="47"/>
      <c r="I126" s="7"/>
    </row>
    <row r="127">
      <c r="A127" s="8"/>
      <c r="B127" s="8"/>
      <c r="C127" s="8"/>
      <c r="D127" s="8"/>
      <c r="E127" s="8"/>
      <c r="F127" s="8"/>
      <c r="G127" s="8"/>
      <c r="H127" s="47"/>
      <c r="I127" s="7"/>
    </row>
    <row r="128">
      <c r="A128" s="8"/>
      <c r="B128" s="8"/>
      <c r="C128" s="8"/>
      <c r="D128" s="8"/>
      <c r="E128" s="8"/>
      <c r="F128" s="8"/>
      <c r="G128" s="8"/>
      <c r="H128" s="47"/>
      <c r="I128" s="7"/>
    </row>
    <row r="129">
      <c r="A129" s="8"/>
      <c r="B129" s="8"/>
      <c r="C129" s="8"/>
      <c r="D129" s="8"/>
      <c r="E129" s="8"/>
      <c r="F129" s="8"/>
      <c r="G129" s="8"/>
      <c r="H129" s="47"/>
      <c r="I129" s="7"/>
    </row>
    <row r="130">
      <c r="A130" s="8"/>
      <c r="B130" s="8"/>
      <c r="C130" s="8"/>
      <c r="D130" s="8"/>
      <c r="E130" s="8"/>
      <c r="F130" s="8"/>
      <c r="G130" s="8"/>
      <c r="H130" s="47"/>
      <c r="I130" s="7"/>
    </row>
    <row r="131">
      <c r="A131" s="8"/>
      <c r="B131" s="8"/>
      <c r="C131" s="8"/>
      <c r="D131" s="8"/>
      <c r="E131" s="8"/>
      <c r="F131" s="8"/>
      <c r="G131" s="8"/>
      <c r="H131" s="47"/>
      <c r="I131" s="7"/>
    </row>
    <row r="132">
      <c r="A132" s="8"/>
      <c r="B132" s="8"/>
      <c r="C132" s="8"/>
      <c r="D132" s="8"/>
      <c r="E132" s="8"/>
      <c r="F132" s="8"/>
      <c r="G132" s="8"/>
      <c r="H132" s="47"/>
      <c r="I132" s="7"/>
    </row>
    <row r="133">
      <c r="A133" s="8"/>
      <c r="B133" s="8"/>
      <c r="C133" s="8"/>
      <c r="D133" s="8"/>
      <c r="E133" s="8"/>
      <c r="F133" s="8"/>
      <c r="G133" s="8"/>
      <c r="H133" s="47"/>
      <c r="I133" s="7"/>
    </row>
    <row r="134">
      <c r="A134" s="8"/>
      <c r="B134" s="8"/>
      <c r="C134" s="8"/>
      <c r="D134" s="8"/>
      <c r="E134" s="8"/>
      <c r="F134" s="8"/>
      <c r="G134" s="8"/>
      <c r="H134" s="47"/>
      <c r="I134" s="7"/>
    </row>
    <row r="135">
      <c r="A135" s="8"/>
      <c r="B135" s="8"/>
      <c r="C135" s="8"/>
      <c r="D135" s="8"/>
      <c r="E135" s="8"/>
      <c r="F135" s="8"/>
      <c r="G135" s="8"/>
      <c r="H135" s="47"/>
      <c r="I135" s="7"/>
    </row>
    <row r="136">
      <c r="A136" s="8"/>
      <c r="B136" s="8"/>
      <c r="C136" s="8"/>
      <c r="D136" s="8"/>
      <c r="E136" s="8"/>
      <c r="F136" s="8"/>
      <c r="G136" s="8"/>
      <c r="H136" s="47"/>
      <c r="I136" s="7"/>
    </row>
    <row r="137">
      <c r="A137" s="8"/>
      <c r="B137" s="8"/>
      <c r="C137" s="8"/>
      <c r="D137" s="8"/>
      <c r="E137" s="8"/>
      <c r="F137" s="8"/>
      <c r="G137" s="8"/>
      <c r="H137" s="47"/>
      <c r="I137" s="7"/>
    </row>
    <row r="138">
      <c r="A138" s="8"/>
      <c r="B138" s="8"/>
      <c r="C138" s="8"/>
      <c r="D138" s="8"/>
      <c r="E138" s="8"/>
      <c r="F138" s="8"/>
      <c r="G138" s="8"/>
      <c r="H138" s="47"/>
      <c r="I138" s="7"/>
    </row>
    <row r="139">
      <c r="A139" s="8"/>
      <c r="B139" s="8"/>
      <c r="C139" s="8"/>
      <c r="D139" s="8"/>
      <c r="E139" s="8"/>
      <c r="F139" s="8"/>
      <c r="G139" s="8"/>
      <c r="H139" s="47"/>
      <c r="I139" s="7"/>
    </row>
    <row r="140">
      <c r="A140" s="8"/>
      <c r="B140" s="8"/>
      <c r="C140" s="8"/>
      <c r="D140" s="8"/>
      <c r="E140" s="8"/>
      <c r="F140" s="8"/>
      <c r="G140" s="8"/>
      <c r="H140" s="47"/>
      <c r="I140" s="7"/>
    </row>
    <row r="141">
      <c r="A141" s="8"/>
      <c r="B141" s="8"/>
      <c r="C141" s="8"/>
      <c r="D141" s="8"/>
      <c r="E141" s="8"/>
      <c r="F141" s="8"/>
      <c r="G141" s="8"/>
      <c r="H141" s="47"/>
      <c r="I141" s="7"/>
    </row>
    <row r="142">
      <c r="A142" s="8"/>
      <c r="B142" s="8"/>
      <c r="C142" s="8"/>
      <c r="D142" s="8"/>
      <c r="E142" s="8"/>
      <c r="F142" s="8"/>
      <c r="G142" s="8"/>
      <c r="H142" s="47"/>
      <c r="I142" s="7"/>
    </row>
    <row r="143">
      <c r="A143" s="8"/>
      <c r="B143" s="8"/>
      <c r="C143" s="8"/>
      <c r="D143" s="8"/>
      <c r="E143" s="8"/>
      <c r="F143" s="8"/>
      <c r="G143" s="8"/>
      <c r="H143" s="47"/>
      <c r="I143" s="7"/>
    </row>
    <row r="144">
      <c r="A144" s="8"/>
      <c r="B144" s="8"/>
      <c r="C144" s="8"/>
      <c r="D144" s="8"/>
      <c r="E144" s="8"/>
      <c r="F144" s="8"/>
      <c r="G144" s="8"/>
      <c r="H144" s="47"/>
      <c r="I144" s="7"/>
    </row>
    <row r="145">
      <c r="A145" s="8"/>
      <c r="B145" s="8"/>
      <c r="C145" s="8"/>
      <c r="D145" s="8"/>
      <c r="E145" s="8"/>
      <c r="F145" s="8"/>
      <c r="G145" s="8"/>
      <c r="H145" s="47"/>
      <c r="I145" s="7"/>
    </row>
    <row r="146">
      <c r="A146" s="8"/>
      <c r="B146" s="8"/>
      <c r="C146" s="8"/>
      <c r="D146" s="8"/>
      <c r="E146" s="8"/>
      <c r="F146" s="8"/>
      <c r="G146" s="8"/>
      <c r="H146" s="47"/>
      <c r="I146" s="7"/>
    </row>
    <row r="147">
      <c r="A147" s="8"/>
      <c r="B147" s="8"/>
      <c r="C147" s="8"/>
      <c r="D147" s="8"/>
      <c r="E147" s="8"/>
      <c r="F147" s="8"/>
      <c r="G147" s="8"/>
      <c r="H147" s="47"/>
      <c r="I147" s="7"/>
    </row>
    <row r="148">
      <c r="A148" s="8"/>
      <c r="B148" s="8"/>
      <c r="C148" s="8"/>
      <c r="D148" s="8"/>
      <c r="E148" s="8"/>
      <c r="F148" s="8"/>
      <c r="G148" s="8"/>
      <c r="H148" s="47"/>
      <c r="I148" s="7"/>
    </row>
    <row r="149">
      <c r="A149" s="8"/>
      <c r="B149" s="8"/>
      <c r="C149" s="8"/>
      <c r="D149" s="8"/>
      <c r="E149" s="8"/>
      <c r="F149" s="8"/>
      <c r="G149" s="8"/>
      <c r="H149" s="47"/>
      <c r="I149" s="7"/>
    </row>
    <row r="150">
      <c r="A150" s="8"/>
      <c r="B150" s="8"/>
      <c r="C150" s="8"/>
      <c r="D150" s="8"/>
      <c r="E150" s="8"/>
      <c r="F150" s="8"/>
      <c r="G150" s="8"/>
      <c r="H150" s="47"/>
      <c r="I150" s="7"/>
    </row>
    <row r="151">
      <c r="A151" s="8"/>
      <c r="B151" s="8"/>
      <c r="C151" s="8"/>
      <c r="D151" s="8"/>
      <c r="E151" s="8"/>
      <c r="F151" s="8"/>
      <c r="G151" s="8"/>
      <c r="H151" s="47"/>
      <c r="I151" s="7"/>
    </row>
    <row r="152">
      <c r="A152" s="8"/>
      <c r="B152" s="8"/>
      <c r="C152" s="8"/>
      <c r="D152" s="8"/>
      <c r="E152" s="8"/>
      <c r="F152" s="8"/>
      <c r="G152" s="8"/>
      <c r="H152" s="47"/>
      <c r="I152" s="7"/>
    </row>
    <row r="153">
      <c r="A153" s="8"/>
      <c r="B153" s="8"/>
      <c r="C153" s="8"/>
      <c r="D153" s="8"/>
      <c r="E153" s="8"/>
      <c r="F153" s="8"/>
      <c r="G153" s="8"/>
      <c r="H153" s="47"/>
      <c r="I153" s="7"/>
    </row>
    <row r="154">
      <c r="A154" s="8"/>
      <c r="B154" s="8"/>
      <c r="C154" s="8"/>
      <c r="D154" s="8"/>
      <c r="E154" s="8"/>
      <c r="F154" s="8"/>
      <c r="G154" s="8"/>
      <c r="H154" s="47"/>
      <c r="I154" s="7"/>
    </row>
    <row r="155">
      <c r="A155" s="8"/>
      <c r="B155" s="8"/>
      <c r="C155" s="8"/>
      <c r="D155" s="8"/>
      <c r="E155" s="8"/>
      <c r="F155" s="8"/>
      <c r="G155" s="8"/>
      <c r="H155" s="47"/>
      <c r="I155" s="7"/>
    </row>
    <row r="156">
      <c r="A156" s="8"/>
      <c r="B156" s="8"/>
      <c r="C156" s="8"/>
      <c r="D156" s="8"/>
      <c r="E156" s="8"/>
      <c r="F156" s="8"/>
      <c r="G156" s="8"/>
      <c r="H156" s="47"/>
      <c r="I156" s="7"/>
    </row>
    <row r="157">
      <c r="A157" s="8"/>
      <c r="B157" s="8"/>
      <c r="C157" s="8"/>
      <c r="D157" s="8"/>
      <c r="E157" s="8"/>
      <c r="F157" s="8"/>
      <c r="G157" s="8"/>
      <c r="H157" s="47"/>
      <c r="I157" s="7"/>
    </row>
    <row r="158">
      <c r="A158" s="8"/>
      <c r="B158" s="8"/>
      <c r="C158" s="8"/>
      <c r="D158" s="8"/>
      <c r="E158" s="8"/>
      <c r="F158" s="8"/>
      <c r="G158" s="8"/>
      <c r="H158" s="47"/>
      <c r="I158" s="7"/>
    </row>
    <row r="159">
      <c r="A159" s="8"/>
      <c r="B159" s="8"/>
      <c r="C159" s="8"/>
      <c r="D159" s="8"/>
      <c r="E159" s="8"/>
      <c r="F159" s="8"/>
      <c r="G159" s="8"/>
      <c r="H159" s="47"/>
      <c r="I159" s="7"/>
    </row>
    <row r="160">
      <c r="A160" s="8"/>
      <c r="B160" s="8"/>
      <c r="C160" s="8"/>
      <c r="D160" s="8"/>
      <c r="E160" s="8"/>
      <c r="F160" s="8"/>
      <c r="G160" s="8"/>
      <c r="H160" s="47"/>
      <c r="I160" s="7"/>
    </row>
    <row r="161">
      <c r="A161" s="8"/>
      <c r="B161" s="8"/>
      <c r="C161" s="8"/>
      <c r="D161" s="8"/>
      <c r="E161" s="8"/>
      <c r="F161" s="8"/>
      <c r="G161" s="8"/>
      <c r="H161" s="47"/>
      <c r="I161" s="7"/>
    </row>
    <row r="162">
      <c r="A162" s="8"/>
      <c r="B162" s="8"/>
      <c r="C162" s="8"/>
      <c r="D162" s="8"/>
      <c r="E162" s="8"/>
      <c r="F162" s="8"/>
      <c r="G162" s="8"/>
      <c r="H162" s="47"/>
      <c r="I162" s="7"/>
    </row>
    <row r="163">
      <c r="A163" s="8"/>
      <c r="B163" s="8"/>
      <c r="C163" s="8"/>
      <c r="D163" s="8"/>
      <c r="E163" s="8"/>
      <c r="F163" s="8"/>
      <c r="G163" s="8"/>
      <c r="H163" s="47"/>
      <c r="I163" s="7"/>
    </row>
    <row r="164">
      <c r="A164" s="8"/>
      <c r="B164" s="8"/>
      <c r="C164" s="8"/>
      <c r="D164" s="8"/>
      <c r="E164" s="8"/>
      <c r="F164" s="8"/>
      <c r="G164" s="8"/>
      <c r="H164" s="47"/>
      <c r="I164" s="7"/>
    </row>
    <row r="165">
      <c r="A165" s="8"/>
      <c r="B165" s="8"/>
      <c r="C165" s="8"/>
      <c r="D165" s="8"/>
      <c r="E165" s="8"/>
      <c r="F165" s="8"/>
      <c r="G165" s="8"/>
      <c r="H165" s="47"/>
      <c r="I165" s="7"/>
    </row>
    <row r="166">
      <c r="A166" s="8"/>
      <c r="B166" s="8"/>
      <c r="C166" s="8"/>
      <c r="D166" s="8"/>
      <c r="E166" s="8"/>
      <c r="F166" s="8"/>
      <c r="G166" s="8"/>
      <c r="H166" s="47"/>
      <c r="I166" s="7"/>
    </row>
    <row r="167">
      <c r="A167" s="8"/>
      <c r="B167" s="8"/>
      <c r="C167" s="8"/>
      <c r="D167" s="8"/>
      <c r="E167" s="8"/>
      <c r="F167" s="8"/>
      <c r="G167" s="8"/>
      <c r="H167" s="47"/>
      <c r="I167" s="7"/>
    </row>
    <row r="168">
      <c r="A168" s="8"/>
      <c r="B168" s="8"/>
      <c r="C168" s="8"/>
      <c r="D168" s="8"/>
      <c r="E168" s="8"/>
      <c r="F168" s="8"/>
      <c r="G168" s="8"/>
      <c r="H168" s="47"/>
      <c r="I168" s="7"/>
    </row>
    <row r="169">
      <c r="A169" s="8"/>
      <c r="B169" s="8"/>
      <c r="C169" s="8"/>
      <c r="D169" s="8"/>
      <c r="E169" s="8"/>
      <c r="F169" s="8"/>
      <c r="G169" s="8"/>
      <c r="H169" s="47"/>
      <c r="I169" s="7"/>
    </row>
    <row r="170">
      <c r="A170" s="8"/>
      <c r="B170" s="8"/>
      <c r="C170" s="8"/>
      <c r="D170" s="8"/>
      <c r="E170" s="8"/>
      <c r="F170" s="8"/>
      <c r="G170" s="8"/>
      <c r="H170" s="47"/>
      <c r="I170" s="7"/>
    </row>
    <row r="171">
      <c r="A171" s="8"/>
      <c r="B171" s="8"/>
      <c r="C171" s="8"/>
      <c r="D171" s="8"/>
      <c r="E171" s="8"/>
      <c r="F171" s="8"/>
      <c r="G171" s="8"/>
      <c r="H171" s="47"/>
      <c r="I171" s="7"/>
    </row>
    <row r="172">
      <c r="A172" s="8"/>
      <c r="B172" s="8"/>
      <c r="C172" s="8"/>
      <c r="D172" s="8"/>
      <c r="E172" s="8"/>
      <c r="F172" s="8"/>
      <c r="G172" s="8"/>
      <c r="H172" s="47"/>
      <c r="I172" s="7"/>
    </row>
    <row r="173">
      <c r="A173" s="8"/>
      <c r="B173" s="8"/>
      <c r="C173" s="8"/>
      <c r="D173" s="8"/>
      <c r="E173" s="8"/>
      <c r="F173" s="8"/>
      <c r="G173" s="8"/>
      <c r="H173" s="47"/>
      <c r="I173" s="7"/>
    </row>
    <row r="174">
      <c r="A174" s="8"/>
      <c r="B174" s="8"/>
      <c r="C174" s="8"/>
      <c r="D174" s="8"/>
      <c r="E174" s="8"/>
      <c r="F174" s="8"/>
      <c r="G174" s="8"/>
      <c r="H174" s="47"/>
      <c r="I174" s="7"/>
    </row>
    <row r="175">
      <c r="A175" s="8"/>
      <c r="B175" s="8"/>
      <c r="C175" s="8"/>
      <c r="D175" s="8"/>
      <c r="E175" s="8"/>
      <c r="F175" s="8"/>
      <c r="G175" s="8"/>
      <c r="H175" s="47"/>
      <c r="I175" s="7"/>
    </row>
    <row r="176">
      <c r="A176" s="8"/>
      <c r="B176" s="8"/>
      <c r="C176" s="8"/>
      <c r="D176" s="8"/>
      <c r="E176" s="8"/>
      <c r="F176" s="8"/>
      <c r="G176" s="8"/>
      <c r="H176" s="47"/>
      <c r="I176" s="7"/>
    </row>
    <row r="177">
      <c r="A177" s="8"/>
      <c r="B177" s="8"/>
      <c r="C177" s="8"/>
      <c r="D177" s="8"/>
      <c r="E177" s="8"/>
      <c r="F177" s="8"/>
      <c r="G177" s="8"/>
      <c r="H177" s="47"/>
      <c r="I177" s="7"/>
    </row>
    <row r="178">
      <c r="A178" s="8"/>
      <c r="B178" s="8"/>
      <c r="C178" s="8"/>
      <c r="D178" s="8"/>
      <c r="E178" s="8"/>
      <c r="F178" s="8"/>
      <c r="G178" s="8"/>
      <c r="H178" s="47"/>
      <c r="I178" s="7"/>
    </row>
    <row r="179">
      <c r="A179" s="8"/>
      <c r="B179" s="8"/>
      <c r="C179" s="8"/>
      <c r="D179" s="8"/>
      <c r="E179" s="8"/>
      <c r="F179" s="8"/>
      <c r="G179" s="8"/>
      <c r="H179" s="47"/>
      <c r="I179" s="7"/>
    </row>
    <row r="180">
      <c r="A180" s="8"/>
      <c r="B180" s="8"/>
      <c r="C180" s="8"/>
      <c r="D180" s="8"/>
      <c r="E180" s="8"/>
      <c r="F180" s="8"/>
      <c r="G180" s="8"/>
      <c r="H180" s="47"/>
      <c r="I180" s="7"/>
    </row>
    <row r="181">
      <c r="A181" s="8"/>
      <c r="B181" s="8"/>
      <c r="C181" s="8"/>
      <c r="D181" s="8"/>
      <c r="E181" s="8"/>
      <c r="F181" s="8"/>
      <c r="G181" s="8"/>
      <c r="H181" s="47"/>
      <c r="I181" s="7"/>
    </row>
    <row r="182">
      <c r="A182" s="8"/>
      <c r="B182" s="8"/>
      <c r="C182" s="8"/>
      <c r="D182" s="8"/>
      <c r="E182" s="8"/>
      <c r="F182" s="8"/>
      <c r="G182" s="8"/>
      <c r="H182" s="47"/>
      <c r="I182" s="7"/>
    </row>
    <row r="183">
      <c r="A183" s="8"/>
      <c r="B183" s="8"/>
      <c r="C183" s="8"/>
      <c r="D183" s="8"/>
      <c r="E183" s="8"/>
      <c r="F183" s="8"/>
      <c r="G183" s="8"/>
      <c r="H183" s="47"/>
      <c r="I183" s="7"/>
    </row>
    <row r="184">
      <c r="A184" s="8"/>
      <c r="B184" s="8"/>
      <c r="C184" s="8"/>
      <c r="D184" s="8"/>
      <c r="E184" s="8"/>
      <c r="F184" s="8"/>
      <c r="G184" s="8"/>
      <c r="H184" s="47"/>
      <c r="I184" s="7"/>
    </row>
    <row r="185">
      <c r="A185" s="8"/>
      <c r="B185" s="8"/>
      <c r="C185" s="8"/>
      <c r="D185" s="8"/>
      <c r="E185" s="8"/>
      <c r="F185" s="8"/>
      <c r="G185" s="8"/>
      <c r="H185" s="47"/>
      <c r="I185" s="7"/>
    </row>
    <row r="186">
      <c r="A186" s="8"/>
      <c r="B186" s="8"/>
      <c r="C186" s="8"/>
      <c r="D186" s="8"/>
      <c r="E186" s="8"/>
      <c r="F186" s="8"/>
      <c r="G186" s="8"/>
      <c r="H186" s="47"/>
      <c r="I186" s="7"/>
    </row>
    <row r="187">
      <c r="A187" s="8"/>
      <c r="B187" s="8"/>
      <c r="C187" s="8"/>
      <c r="D187" s="8"/>
      <c r="E187" s="8"/>
      <c r="F187" s="8"/>
      <c r="G187" s="8"/>
      <c r="H187" s="47"/>
      <c r="I187" s="7"/>
    </row>
    <row r="188">
      <c r="A188" s="8"/>
      <c r="B188" s="8"/>
      <c r="C188" s="8"/>
      <c r="D188" s="8"/>
      <c r="E188" s="8"/>
      <c r="F188" s="8"/>
      <c r="G188" s="8"/>
      <c r="H188" s="47"/>
      <c r="I188" s="7"/>
    </row>
    <row r="189">
      <c r="A189" s="8"/>
      <c r="B189" s="8"/>
      <c r="C189" s="8"/>
      <c r="D189" s="8"/>
      <c r="E189" s="8"/>
      <c r="F189" s="8"/>
      <c r="G189" s="8"/>
      <c r="H189" s="47"/>
      <c r="I189" s="7"/>
    </row>
    <row r="190">
      <c r="A190" s="8"/>
      <c r="B190" s="8"/>
      <c r="C190" s="8"/>
      <c r="D190" s="8"/>
      <c r="E190" s="8"/>
      <c r="F190" s="8"/>
      <c r="G190" s="8"/>
      <c r="H190" s="47"/>
      <c r="I190" s="7"/>
    </row>
    <row r="191">
      <c r="A191" s="8"/>
      <c r="B191" s="8"/>
      <c r="C191" s="8"/>
      <c r="D191" s="8"/>
      <c r="E191" s="8"/>
      <c r="F191" s="8"/>
      <c r="G191" s="8"/>
      <c r="H191" s="47"/>
      <c r="I191" s="7"/>
    </row>
    <row r="192">
      <c r="A192" s="8"/>
      <c r="B192" s="8"/>
      <c r="C192" s="8"/>
      <c r="D192" s="8"/>
      <c r="E192" s="8"/>
      <c r="F192" s="8"/>
      <c r="G192" s="8"/>
      <c r="H192" s="47"/>
      <c r="I192" s="7"/>
    </row>
    <row r="193">
      <c r="A193" s="8"/>
      <c r="B193" s="8"/>
      <c r="C193" s="8"/>
      <c r="D193" s="8"/>
      <c r="E193" s="8"/>
      <c r="F193" s="8"/>
      <c r="G193" s="8"/>
      <c r="H193" s="47"/>
      <c r="I193" s="7"/>
    </row>
    <row r="194">
      <c r="A194" s="8"/>
      <c r="B194" s="8"/>
      <c r="C194" s="8"/>
      <c r="D194" s="8"/>
      <c r="E194" s="8"/>
      <c r="F194" s="8"/>
      <c r="G194" s="8"/>
      <c r="H194" s="47"/>
      <c r="I194" s="7"/>
    </row>
    <row r="195">
      <c r="A195" s="8"/>
      <c r="B195" s="8"/>
      <c r="C195" s="8"/>
      <c r="D195" s="8"/>
      <c r="E195" s="8"/>
      <c r="F195" s="8"/>
      <c r="G195" s="8"/>
      <c r="H195" s="47"/>
      <c r="I195" s="7"/>
    </row>
    <row r="196">
      <c r="A196" s="8"/>
      <c r="B196" s="8"/>
      <c r="C196" s="8"/>
      <c r="D196" s="8"/>
      <c r="E196" s="8"/>
      <c r="F196" s="8"/>
      <c r="G196" s="8"/>
      <c r="H196" s="47"/>
      <c r="I196" s="7"/>
    </row>
    <row r="197">
      <c r="A197" s="8"/>
      <c r="B197" s="8"/>
      <c r="C197" s="8"/>
      <c r="D197" s="8"/>
      <c r="E197" s="8"/>
      <c r="F197" s="8"/>
      <c r="G197" s="8"/>
      <c r="H197" s="47"/>
      <c r="I197" s="7"/>
    </row>
    <row r="198">
      <c r="A198" s="8"/>
      <c r="B198" s="8"/>
      <c r="C198" s="8"/>
      <c r="D198" s="8"/>
      <c r="E198" s="8"/>
      <c r="F198" s="8"/>
      <c r="G198" s="8"/>
      <c r="H198" s="47"/>
      <c r="I198" s="7"/>
    </row>
    <row r="199">
      <c r="A199" s="8"/>
      <c r="B199" s="8"/>
      <c r="C199" s="8"/>
      <c r="D199" s="8"/>
      <c r="E199" s="8"/>
      <c r="F199" s="8"/>
      <c r="G199" s="8"/>
      <c r="H199" s="47"/>
      <c r="I199" s="7"/>
    </row>
    <row r="200">
      <c r="A200" s="8"/>
      <c r="B200" s="8"/>
      <c r="C200" s="8"/>
      <c r="D200" s="8"/>
      <c r="E200" s="8"/>
      <c r="F200" s="8"/>
      <c r="G200" s="8"/>
      <c r="H200" s="47"/>
      <c r="I200" s="7"/>
    </row>
    <row r="201">
      <c r="A201" s="8"/>
      <c r="B201" s="8"/>
      <c r="C201" s="8"/>
      <c r="D201" s="8"/>
      <c r="E201" s="8"/>
      <c r="F201" s="8"/>
      <c r="G201" s="8"/>
      <c r="H201" s="47"/>
      <c r="I201" s="7"/>
    </row>
    <row r="202">
      <c r="A202" s="8"/>
      <c r="B202" s="8"/>
      <c r="C202" s="8"/>
      <c r="D202" s="8"/>
      <c r="E202" s="8"/>
      <c r="F202" s="8"/>
      <c r="G202" s="8"/>
      <c r="H202" s="47"/>
      <c r="I202" s="7"/>
    </row>
    <row r="203">
      <c r="A203" s="8"/>
      <c r="B203" s="8"/>
      <c r="C203" s="8"/>
      <c r="D203" s="8"/>
      <c r="E203" s="8"/>
      <c r="F203" s="8"/>
      <c r="G203" s="8"/>
      <c r="H203" s="47"/>
      <c r="I203" s="7"/>
    </row>
    <row r="204">
      <c r="A204" s="8"/>
      <c r="B204" s="8"/>
      <c r="C204" s="8"/>
      <c r="D204" s="8"/>
      <c r="E204" s="8"/>
      <c r="F204" s="8"/>
      <c r="G204" s="8"/>
      <c r="H204" s="47"/>
      <c r="I204" s="7"/>
    </row>
    <row r="205">
      <c r="A205" s="8"/>
      <c r="B205" s="8"/>
      <c r="C205" s="8"/>
      <c r="D205" s="8"/>
      <c r="E205" s="8"/>
      <c r="F205" s="8"/>
      <c r="G205" s="8"/>
      <c r="H205" s="47"/>
      <c r="I205" s="7"/>
    </row>
    <row r="206">
      <c r="A206" s="8"/>
      <c r="B206" s="8"/>
      <c r="C206" s="8"/>
      <c r="D206" s="8"/>
      <c r="E206" s="8"/>
      <c r="F206" s="8"/>
      <c r="G206" s="8"/>
      <c r="H206" s="47"/>
      <c r="I206" s="7"/>
    </row>
    <row r="207">
      <c r="A207" s="8"/>
      <c r="B207" s="8"/>
      <c r="C207" s="8"/>
      <c r="D207" s="8"/>
      <c r="E207" s="8"/>
      <c r="F207" s="8"/>
      <c r="G207" s="8"/>
      <c r="H207" s="47"/>
      <c r="I207" s="7"/>
    </row>
    <row r="208">
      <c r="A208" s="8"/>
      <c r="B208" s="8"/>
      <c r="C208" s="8"/>
      <c r="D208" s="8"/>
      <c r="E208" s="8"/>
      <c r="F208" s="8"/>
      <c r="G208" s="8"/>
      <c r="H208" s="47"/>
      <c r="I208" s="7"/>
    </row>
    <row r="209">
      <c r="A209" s="8"/>
      <c r="B209" s="8"/>
      <c r="C209" s="8"/>
      <c r="D209" s="8"/>
      <c r="E209" s="8"/>
      <c r="F209" s="8"/>
      <c r="G209" s="8"/>
      <c r="H209" s="47"/>
      <c r="I209" s="7"/>
    </row>
    <row r="210">
      <c r="A210" s="8"/>
      <c r="B210" s="8"/>
      <c r="C210" s="8"/>
      <c r="D210" s="8"/>
      <c r="E210" s="8"/>
      <c r="F210" s="8"/>
      <c r="G210" s="8"/>
      <c r="H210" s="47"/>
      <c r="I210" s="7"/>
    </row>
    <row r="211">
      <c r="A211" s="8"/>
      <c r="B211" s="8"/>
      <c r="C211" s="8"/>
      <c r="D211" s="8"/>
      <c r="E211" s="8"/>
      <c r="F211" s="8"/>
      <c r="G211" s="8"/>
      <c r="H211" s="47"/>
      <c r="I211" s="7"/>
    </row>
    <row r="212">
      <c r="A212" s="8"/>
      <c r="B212" s="8"/>
      <c r="C212" s="8"/>
      <c r="D212" s="8"/>
      <c r="E212" s="8"/>
      <c r="F212" s="8"/>
      <c r="G212" s="8"/>
      <c r="H212" s="47"/>
      <c r="I212" s="7"/>
    </row>
    <row r="213">
      <c r="A213" s="8"/>
      <c r="B213" s="8"/>
      <c r="C213" s="8"/>
      <c r="D213" s="8"/>
      <c r="E213" s="8"/>
      <c r="F213" s="8"/>
      <c r="G213" s="8"/>
      <c r="H213" s="47"/>
      <c r="I213" s="7"/>
    </row>
    <row r="214">
      <c r="A214" s="8"/>
      <c r="B214" s="8"/>
      <c r="C214" s="8"/>
      <c r="D214" s="8"/>
      <c r="E214" s="8"/>
      <c r="F214" s="8"/>
      <c r="G214" s="8"/>
      <c r="H214" s="47"/>
      <c r="I214" s="7"/>
    </row>
    <row r="215">
      <c r="A215" s="8"/>
      <c r="B215" s="8"/>
      <c r="C215" s="8"/>
      <c r="D215" s="8"/>
      <c r="E215" s="8"/>
      <c r="F215" s="8"/>
      <c r="G215" s="8"/>
      <c r="H215" s="47"/>
      <c r="I215" s="7"/>
    </row>
    <row r="216">
      <c r="A216" s="8"/>
      <c r="B216" s="8"/>
      <c r="C216" s="8"/>
      <c r="D216" s="8"/>
      <c r="E216" s="8"/>
      <c r="F216" s="8"/>
      <c r="G216" s="8"/>
      <c r="H216" s="47"/>
      <c r="I216" s="7"/>
    </row>
    <row r="217">
      <c r="A217" s="8"/>
      <c r="B217" s="8"/>
      <c r="C217" s="8"/>
      <c r="D217" s="8"/>
      <c r="E217" s="8"/>
      <c r="F217" s="8"/>
      <c r="G217" s="8"/>
      <c r="H217" s="47"/>
      <c r="I217" s="7"/>
    </row>
    <row r="218">
      <c r="A218" s="8"/>
      <c r="B218" s="8"/>
      <c r="C218" s="8"/>
      <c r="D218" s="8"/>
      <c r="E218" s="8"/>
      <c r="F218" s="8"/>
      <c r="G218" s="8"/>
      <c r="H218" s="47"/>
      <c r="I218" s="7"/>
    </row>
    <row r="219">
      <c r="A219" s="8"/>
      <c r="B219" s="8"/>
      <c r="C219" s="8"/>
      <c r="D219" s="8"/>
      <c r="E219" s="8"/>
      <c r="F219" s="8"/>
      <c r="G219" s="8"/>
      <c r="H219" s="47"/>
      <c r="I219" s="7"/>
    </row>
    <row r="220">
      <c r="A220" s="8"/>
      <c r="B220" s="8"/>
      <c r="C220" s="8"/>
      <c r="D220" s="8"/>
      <c r="E220" s="8"/>
      <c r="F220" s="8"/>
      <c r="G220" s="8"/>
      <c r="H220" s="47"/>
      <c r="I220" s="7"/>
    </row>
    <row r="221">
      <c r="A221" s="8"/>
      <c r="B221" s="8"/>
      <c r="C221" s="8"/>
      <c r="D221" s="8"/>
      <c r="E221" s="8"/>
      <c r="F221" s="8"/>
      <c r="G221" s="8"/>
      <c r="H221" s="47"/>
      <c r="I221" s="7"/>
    </row>
    <row r="222">
      <c r="A222" s="8"/>
      <c r="B222" s="8"/>
      <c r="C222" s="8"/>
      <c r="D222" s="8"/>
      <c r="E222" s="8"/>
      <c r="F222" s="8"/>
      <c r="G222" s="8"/>
      <c r="H222" s="47"/>
      <c r="I222" s="7"/>
    </row>
    <row r="223">
      <c r="A223" s="8"/>
      <c r="B223" s="8"/>
      <c r="C223" s="8"/>
      <c r="D223" s="8"/>
      <c r="E223" s="8"/>
      <c r="F223" s="8"/>
      <c r="G223" s="8"/>
      <c r="H223" s="47"/>
      <c r="I223" s="7"/>
    </row>
    <row r="224">
      <c r="A224" s="8"/>
      <c r="B224" s="8"/>
      <c r="C224" s="8"/>
      <c r="D224" s="8"/>
      <c r="E224" s="8"/>
      <c r="F224" s="8"/>
      <c r="G224" s="8"/>
      <c r="H224" s="47"/>
      <c r="I224" s="7"/>
    </row>
    <row r="225">
      <c r="A225" s="8"/>
      <c r="B225" s="8"/>
      <c r="C225" s="8"/>
      <c r="D225" s="8"/>
      <c r="E225" s="8"/>
      <c r="F225" s="8"/>
      <c r="G225" s="8"/>
      <c r="H225" s="47"/>
      <c r="I225" s="7"/>
    </row>
    <row r="226">
      <c r="A226" s="8"/>
      <c r="B226" s="8"/>
      <c r="C226" s="8"/>
      <c r="D226" s="8"/>
      <c r="E226" s="8"/>
      <c r="F226" s="8"/>
      <c r="G226" s="8"/>
      <c r="H226" s="47"/>
      <c r="I226" s="7"/>
    </row>
    <row r="227">
      <c r="A227" s="8"/>
      <c r="B227" s="8"/>
      <c r="C227" s="8"/>
      <c r="D227" s="8"/>
      <c r="E227" s="8"/>
      <c r="F227" s="8"/>
      <c r="G227" s="8"/>
      <c r="H227" s="47"/>
      <c r="I227" s="7"/>
    </row>
    <row r="228">
      <c r="A228" s="8"/>
      <c r="B228" s="8"/>
      <c r="C228" s="8"/>
      <c r="D228" s="8"/>
      <c r="E228" s="8"/>
      <c r="F228" s="8"/>
      <c r="G228" s="8"/>
      <c r="H228" s="47"/>
      <c r="I228" s="7"/>
    </row>
    <row r="229">
      <c r="A229" s="8"/>
      <c r="B229" s="8"/>
      <c r="C229" s="8"/>
      <c r="D229" s="8"/>
      <c r="E229" s="8"/>
      <c r="F229" s="8"/>
      <c r="G229" s="8"/>
      <c r="H229" s="47"/>
      <c r="I229" s="7"/>
    </row>
    <row r="230">
      <c r="A230" s="8"/>
      <c r="B230" s="8"/>
      <c r="C230" s="8"/>
      <c r="D230" s="8"/>
      <c r="E230" s="8"/>
      <c r="F230" s="8"/>
      <c r="G230" s="8"/>
      <c r="H230" s="47"/>
      <c r="I230" s="7"/>
    </row>
    <row r="231">
      <c r="A231" s="8"/>
      <c r="B231" s="8"/>
      <c r="C231" s="8"/>
      <c r="D231" s="8"/>
      <c r="E231" s="8"/>
      <c r="F231" s="8"/>
      <c r="G231" s="8"/>
      <c r="H231" s="47"/>
      <c r="I231" s="7"/>
    </row>
    <row r="232">
      <c r="A232" s="8"/>
      <c r="B232" s="8"/>
      <c r="C232" s="8"/>
      <c r="D232" s="8"/>
      <c r="E232" s="8"/>
      <c r="F232" s="8"/>
      <c r="G232" s="8"/>
      <c r="H232" s="47"/>
      <c r="I232" s="7"/>
    </row>
    <row r="233">
      <c r="A233" s="8"/>
      <c r="B233" s="8"/>
      <c r="C233" s="8"/>
      <c r="D233" s="8"/>
      <c r="E233" s="8"/>
      <c r="F233" s="8"/>
      <c r="G233" s="8"/>
      <c r="H233" s="47"/>
      <c r="I233" s="7"/>
    </row>
    <row r="234">
      <c r="A234" s="8"/>
      <c r="B234" s="8"/>
      <c r="C234" s="8"/>
      <c r="D234" s="8"/>
      <c r="E234" s="8"/>
      <c r="F234" s="8"/>
      <c r="G234" s="8"/>
      <c r="H234" s="47"/>
      <c r="I234" s="7"/>
    </row>
    <row r="235">
      <c r="A235" s="8"/>
      <c r="B235" s="8"/>
      <c r="C235" s="8"/>
      <c r="D235" s="8"/>
      <c r="E235" s="8"/>
      <c r="F235" s="8"/>
      <c r="G235" s="8"/>
      <c r="H235" s="47"/>
      <c r="I235" s="7"/>
    </row>
    <row r="236">
      <c r="A236" s="8"/>
      <c r="B236" s="8"/>
      <c r="C236" s="8"/>
      <c r="D236" s="8"/>
      <c r="E236" s="8"/>
      <c r="F236" s="8"/>
      <c r="G236" s="8"/>
      <c r="H236" s="47"/>
      <c r="I236" s="7"/>
    </row>
    <row r="237">
      <c r="A237" s="8"/>
      <c r="B237" s="8"/>
      <c r="C237" s="8"/>
      <c r="D237" s="8"/>
      <c r="E237" s="8"/>
      <c r="F237" s="8"/>
      <c r="G237" s="8"/>
      <c r="H237" s="47"/>
      <c r="I237" s="7"/>
    </row>
    <row r="238">
      <c r="A238" s="8"/>
      <c r="B238" s="8"/>
      <c r="C238" s="8"/>
      <c r="D238" s="8"/>
      <c r="E238" s="8"/>
      <c r="F238" s="8"/>
      <c r="G238" s="8"/>
      <c r="H238" s="47"/>
      <c r="I238" s="7"/>
    </row>
    <row r="239">
      <c r="A239" s="8"/>
      <c r="B239" s="8"/>
      <c r="C239" s="8"/>
      <c r="D239" s="8"/>
      <c r="E239" s="8"/>
      <c r="F239" s="8"/>
      <c r="G239" s="8"/>
      <c r="H239" s="47"/>
      <c r="I239" s="7"/>
    </row>
    <row r="240">
      <c r="A240" s="8"/>
      <c r="B240" s="8"/>
      <c r="C240" s="8"/>
      <c r="D240" s="8"/>
      <c r="E240" s="8"/>
      <c r="F240" s="8"/>
      <c r="G240" s="8"/>
      <c r="H240" s="47"/>
      <c r="I240" s="7"/>
    </row>
    <row r="241">
      <c r="A241" s="8"/>
      <c r="B241" s="8"/>
      <c r="C241" s="8"/>
      <c r="D241" s="8"/>
      <c r="E241" s="8"/>
      <c r="F241" s="8"/>
      <c r="G241" s="8"/>
      <c r="H241" s="47"/>
      <c r="I241" s="7"/>
    </row>
    <row r="242">
      <c r="A242" s="8"/>
      <c r="B242" s="8"/>
      <c r="C242" s="8"/>
      <c r="D242" s="8"/>
      <c r="E242" s="8"/>
      <c r="F242" s="8"/>
      <c r="G242" s="8"/>
      <c r="H242" s="47"/>
      <c r="I242" s="7"/>
    </row>
    <row r="243">
      <c r="A243" s="8"/>
      <c r="B243" s="8"/>
      <c r="C243" s="8"/>
      <c r="D243" s="8"/>
      <c r="E243" s="8"/>
      <c r="F243" s="8"/>
      <c r="G243" s="8"/>
      <c r="H243" s="47"/>
      <c r="I243" s="7"/>
    </row>
    <row r="244">
      <c r="A244" s="8"/>
      <c r="B244" s="8"/>
      <c r="C244" s="8"/>
      <c r="D244" s="8"/>
      <c r="E244" s="8"/>
      <c r="F244" s="8"/>
      <c r="G244" s="8"/>
      <c r="H244" s="47"/>
      <c r="I244" s="7"/>
    </row>
    <row r="245">
      <c r="A245" s="8"/>
      <c r="B245" s="8"/>
      <c r="C245" s="8"/>
      <c r="D245" s="8"/>
      <c r="E245" s="8"/>
      <c r="F245" s="8"/>
      <c r="G245" s="8"/>
      <c r="H245" s="47"/>
      <c r="I245" s="7"/>
    </row>
    <row r="246">
      <c r="A246" s="8"/>
      <c r="B246" s="8"/>
      <c r="C246" s="8"/>
      <c r="D246" s="8"/>
      <c r="E246" s="8"/>
      <c r="F246" s="8"/>
      <c r="G246" s="8"/>
      <c r="H246" s="47"/>
      <c r="I246" s="7"/>
    </row>
    <row r="247">
      <c r="A247" s="8"/>
      <c r="B247" s="8"/>
      <c r="C247" s="8"/>
      <c r="D247" s="8"/>
      <c r="E247" s="8"/>
      <c r="F247" s="8"/>
      <c r="G247" s="8"/>
      <c r="H247" s="47"/>
      <c r="I247" s="7"/>
    </row>
    <row r="248">
      <c r="A248" s="8"/>
      <c r="B248" s="8"/>
      <c r="C248" s="8"/>
      <c r="D248" s="8"/>
      <c r="E248" s="8"/>
      <c r="F248" s="8"/>
      <c r="G248" s="8"/>
      <c r="H248" s="47"/>
      <c r="I248" s="7"/>
    </row>
    <row r="249">
      <c r="A249" s="8"/>
      <c r="B249" s="8"/>
      <c r="C249" s="8"/>
      <c r="D249" s="8"/>
      <c r="E249" s="8"/>
      <c r="F249" s="8"/>
      <c r="G249" s="8"/>
      <c r="H249" s="47"/>
      <c r="I249" s="7"/>
    </row>
    <row r="250">
      <c r="A250" s="8"/>
      <c r="B250" s="8"/>
      <c r="C250" s="8"/>
      <c r="D250" s="8"/>
      <c r="E250" s="8"/>
      <c r="F250" s="8"/>
      <c r="G250" s="8"/>
      <c r="H250" s="47"/>
      <c r="I250" s="7"/>
    </row>
    <row r="251">
      <c r="A251" s="8"/>
      <c r="B251" s="8"/>
      <c r="C251" s="8"/>
      <c r="D251" s="8"/>
      <c r="E251" s="8"/>
      <c r="F251" s="8"/>
      <c r="G251" s="8"/>
      <c r="H251" s="47"/>
      <c r="I251" s="7"/>
    </row>
    <row r="252">
      <c r="A252" s="8"/>
      <c r="B252" s="8"/>
      <c r="C252" s="8"/>
      <c r="D252" s="8"/>
      <c r="E252" s="8"/>
      <c r="F252" s="8"/>
      <c r="G252" s="8"/>
      <c r="H252" s="47"/>
      <c r="I252" s="7"/>
    </row>
    <row r="253">
      <c r="A253" s="8"/>
      <c r="B253" s="8"/>
      <c r="C253" s="8"/>
      <c r="D253" s="8"/>
      <c r="E253" s="8"/>
      <c r="F253" s="8"/>
      <c r="G253" s="8"/>
      <c r="H253" s="47"/>
      <c r="I253" s="7"/>
    </row>
    <row r="254">
      <c r="A254" s="8"/>
      <c r="B254" s="8"/>
      <c r="C254" s="8"/>
      <c r="D254" s="8"/>
      <c r="E254" s="8"/>
      <c r="F254" s="8"/>
      <c r="G254" s="8"/>
      <c r="H254" s="47"/>
      <c r="I254" s="7"/>
    </row>
    <row r="255">
      <c r="A255" s="8"/>
      <c r="B255" s="8"/>
      <c r="C255" s="8"/>
      <c r="D255" s="8"/>
      <c r="E255" s="8"/>
      <c r="F255" s="8"/>
      <c r="G255" s="8"/>
      <c r="H255" s="47"/>
      <c r="I255" s="7"/>
    </row>
    <row r="256">
      <c r="A256" s="8"/>
      <c r="B256" s="8"/>
      <c r="C256" s="8"/>
      <c r="D256" s="8"/>
      <c r="E256" s="8"/>
      <c r="F256" s="8"/>
      <c r="G256" s="8"/>
      <c r="H256" s="47"/>
      <c r="I256" s="7"/>
    </row>
    <row r="257">
      <c r="A257" s="8"/>
      <c r="B257" s="8"/>
      <c r="C257" s="8"/>
      <c r="D257" s="8"/>
      <c r="E257" s="8"/>
      <c r="F257" s="8"/>
      <c r="G257" s="8"/>
      <c r="H257" s="47"/>
      <c r="I257" s="7"/>
    </row>
    <row r="258">
      <c r="A258" s="8"/>
      <c r="B258" s="8"/>
      <c r="C258" s="8"/>
      <c r="D258" s="8"/>
      <c r="E258" s="8"/>
      <c r="F258" s="8"/>
      <c r="G258" s="8"/>
      <c r="H258" s="47"/>
      <c r="I258" s="7"/>
    </row>
    <row r="259">
      <c r="A259" s="8"/>
      <c r="B259" s="8"/>
      <c r="C259" s="8"/>
      <c r="D259" s="8"/>
      <c r="E259" s="8"/>
      <c r="F259" s="8"/>
      <c r="G259" s="8"/>
      <c r="H259" s="47"/>
      <c r="I259" s="7"/>
    </row>
    <row r="260">
      <c r="A260" s="8"/>
      <c r="B260" s="8"/>
      <c r="C260" s="8"/>
      <c r="D260" s="8"/>
      <c r="E260" s="8"/>
      <c r="F260" s="8"/>
      <c r="G260" s="8"/>
      <c r="H260" s="47"/>
      <c r="I260" s="7"/>
    </row>
    <row r="261">
      <c r="A261" s="8"/>
      <c r="B261" s="8"/>
      <c r="C261" s="8"/>
      <c r="D261" s="8"/>
      <c r="E261" s="8"/>
      <c r="F261" s="8"/>
      <c r="G261" s="8"/>
      <c r="H261" s="47"/>
      <c r="I261" s="7"/>
    </row>
    <row r="262">
      <c r="A262" s="8"/>
      <c r="B262" s="8"/>
      <c r="C262" s="8"/>
      <c r="D262" s="8"/>
      <c r="E262" s="8"/>
      <c r="F262" s="8"/>
      <c r="G262" s="8"/>
      <c r="H262" s="47"/>
      <c r="I262" s="7"/>
    </row>
    <row r="263">
      <c r="A263" s="8"/>
      <c r="B263" s="8"/>
      <c r="C263" s="8"/>
      <c r="D263" s="8"/>
      <c r="E263" s="8"/>
      <c r="F263" s="8"/>
      <c r="G263" s="8"/>
      <c r="H263" s="47"/>
      <c r="I263" s="7"/>
    </row>
    <row r="264">
      <c r="A264" s="8"/>
      <c r="B264" s="8"/>
      <c r="C264" s="8"/>
      <c r="D264" s="8"/>
      <c r="E264" s="8"/>
      <c r="F264" s="8"/>
      <c r="G264" s="8"/>
      <c r="H264" s="47"/>
      <c r="I264" s="7"/>
    </row>
    <row r="265">
      <c r="A265" s="8"/>
      <c r="B265" s="8"/>
      <c r="C265" s="8"/>
      <c r="D265" s="8"/>
      <c r="E265" s="8"/>
      <c r="F265" s="8"/>
      <c r="G265" s="8"/>
      <c r="H265" s="47"/>
      <c r="I265" s="7"/>
    </row>
    <row r="266">
      <c r="A266" s="8"/>
      <c r="B266" s="8"/>
      <c r="C266" s="8"/>
      <c r="D266" s="8"/>
      <c r="E266" s="8"/>
      <c r="F266" s="8"/>
      <c r="G266" s="8"/>
      <c r="H266" s="47"/>
      <c r="I266" s="7"/>
    </row>
    <row r="267">
      <c r="A267" s="8"/>
      <c r="B267" s="8"/>
      <c r="C267" s="8"/>
      <c r="D267" s="8"/>
      <c r="E267" s="8"/>
      <c r="F267" s="8"/>
      <c r="G267" s="8"/>
      <c r="H267" s="47"/>
      <c r="I267" s="7"/>
    </row>
    <row r="268">
      <c r="A268" s="8"/>
      <c r="B268" s="8"/>
      <c r="C268" s="8"/>
      <c r="D268" s="8"/>
      <c r="E268" s="8"/>
      <c r="F268" s="8"/>
      <c r="G268" s="8"/>
      <c r="H268" s="47"/>
      <c r="I268" s="7"/>
    </row>
    <row r="269">
      <c r="A269" s="8"/>
      <c r="B269" s="8"/>
      <c r="C269" s="8"/>
      <c r="D269" s="8"/>
      <c r="E269" s="8"/>
      <c r="F269" s="8"/>
      <c r="G269" s="8"/>
      <c r="H269" s="47"/>
      <c r="I269" s="7"/>
    </row>
    <row r="270">
      <c r="A270" s="8"/>
      <c r="B270" s="8"/>
      <c r="C270" s="8"/>
      <c r="D270" s="8"/>
      <c r="E270" s="8"/>
      <c r="F270" s="8"/>
      <c r="G270" s="8"/>
      <c r="H270" s="47"/>
      <c r="I270" s="7"/>
    </row>
    <row r="271">
      <c r="A271" s="8"/>
      <c r="B271" s="8"/>
      <c r="C271" s="8"/>
      <c r="D271" s="8"/>
      <c r="E271" s="8"/>
      <c r="F271" s="8"/>
      <c r="G271" s="8"/>
      <c r="H271" s="47"/>
      <c r="I271" s="7"/>
    </row>
    <row r="272">
      <c r="A272" s="8"/>
      <c r="B272" s="8"/>
      <c r="C272" s="8"/>
      <c r="D272" s="8"/>
      <c r="E272" s="8"/>
      <c r="F272" s="8"/>
      <c r="G272" s="8"/>
      <c r="H272" s="47"/>
      <c r="I272" s="7"/>
    </row>
    <row r="273">
      <c r="A273" s="8"/>
      <c r="B273" s="8"/>
      <c r="C273" s="8"/>
      <c r="D273" s="8"/>
      <c r="E273" s="8"/>
      <c r="F273" s="8"/>
      <c r="G273" s="8"/>
      <c r="H273" s="47"/>
      <c r="I273" s="7"/>
    </row>
    <row r="274">
      <c r="A274" s="8"/>
      <c r="B274" s="8"/>
      <c r="C274" s="8"/>
      <c r="D274" s="8"/>
      <c r="E274" s="8"/>
      <c r="F274" s="8"/>
      <c r="G274" s="8"/>
      <c r="H274" s="47"/>
      <c r="I274" s="7"/>
    </row>
    <row r="275">
      <c r="A275" s="8"/>
      <c r="B275" s="8"/>
      <c r="C275" s="8"/>
      <c r="D275" s="8"/>
      <c r="E275" s="8"/>
      <c r="F275" s="8"/>
      <c r="G275" s="8"/>
      <c r="H275" s="47"/>
      <c r="I275" s="7"/>
    </row>
    <row r="276">
      <c r="A276" s="8"/>
      <c r="B276" s="8"/>
      <c r="C276" s="8"/>
      <c r="D276" s="8"/>
      <c r="E276" s="8"/>
      <c r="F276" s="8"/>
      <c r="G276" s="8"/>
      <c r="H276" s="47"/>
      <c r="I276" s="7"/>
    </row>
    <row r="277">
      <c r="A277" s="8"/>
      <c r="B277" s="8"/>
      <c r="C277" s="8"/>
      <c r="D277" s="8"/>
      <c r="E277" s="8"/>
      <c r="F277" s="8"/>
      <c r="G277" s="8"/>
      <c r="H277" s="47"/>
      <c r="I277" s="7"/>
    </row>
    <row r="278">
      <c r="A278" s="8"/>
      <c r="B278" s="8"/>
      <c r="C278" s="8"/>
      <c r="D278" s="8"/>
      <c r="E278" s="8"/>
      <c r="F278" s="8"/>
      <c r="G278" s="8"/>
      <c r="H278" s="47"/>
      <c r="I278" s="7"/>
    </row>
    <row r="279">
      <c r="A279" s="8"/>
      <c r="B279" s="8"/>
      <c r="C279" s="8"/>
      <c r="D279" s="8"/>
      <c r="E279" s="8"/>
      <c r="F279" s="8"/>
      <c r="G279" s="8"/>
      <c r="H279" s="47"/>
      <c r="I279" s="7"/>
    </row>
    <row r="280">
      <c r="A280" s="8"/>
      <c r="B280" s="8"/>
      <c r="C280" s="8"/>
      <c r="D280" s="8"/>
      <c r="E280" s="8"/>
      <c r="F280" s="8"/>
      <c r="G280" s="8"/>
      <c r="H280" s="47"/>
      <c r="I280" s="7"/>
    </row>
    <row r="281">
      <c r="A281" s="8"/>
      <c r="B281" s="8"/>
      <c r="C281" s="8"/>
      <c r="D281" s="8"/>
      <c r="E281" s="8"/>
      <c r="F281" s="8"/>
      <c r="G281" s="8"/>
      <c r="H281" s="47"/>
      <c r="I281" s="7"/>
    </row>
    <row r="282">
      <c r="A282" s="8"/>
      <c r="B282" s="8"/>
      <c r="C282" s="8"/>
      <c r="D282" s="8"/>
      <c r="E282" s="8"/>
      <c r="F282" s="8"/>
      <c r="G282" s="8"/>
      <c r="H282" s="47"/>
      <c r="I282" s="7"/>
    </row>
    <row r="283">
      <c r="A283" s="8"/>
      <c r="B283" s="8"/>
      <c r="C283" s="8"/>
      <c r="D283" s="8"/>
      <c r="E283" s="8"/>
      <c r="F283" s="8"/>
      <c r="G283" s="8"/>
      <c r="H283" s="47"/>
      <c r="I283" s="7"/>
    </row>
    <row r="284">
      <c r="A284" s="8"/>
      <c r="B284" s="8"/>
      <c r="C284" s="8"/>
      <c r="D284" s="8"/>
      <c r="E284" s="8"/>
      <c r="F284" s="8"/>
      <c r="G284" s="8"/>
      <c r="H284" s="47"/>
      <c r="I284" s="7"/>
    </row>
    <row r="285">
      <c r="A285" s="8"/>
      <c r="B285" s="8"/>
      <c r="C285" s="8"/>
      <c r="D285" s="8"/>
      <c r="E285" s="8"/>
      <c r="F285" s="8"/>
      <c r="G285" s="8"/>
      <c r="H285" s="47"/>
      <c r="I285" s="7"/>
    </row>
    <row r="286">
      <c r="A286" s="8"/>
      <c r="B286" s="8"/>
      <c r="C286" s="8"/>
      <c r="D286" s="8"/>
      <c r="E286" s="8"/>
      <c r="F286" s="8"/>
      <c r="G286" s="8"/>
      <c r="H286" s="47"/>
      <c r="I286" s="7"/>
    </row>
    <row r="287">
      <c r="A287" s="8"/>
      <c r="B287" s="8"/>
      <c r="C287" s="8"/>
      <c r="D287" s="8"/>
      <c r="E287" s="8"/>
      <c r="F287" s="8"/>
      <c r="G287" s="8"/>
      <c r="H287" s="47"/>
      <c r="I287" s="7"/>
    </row>
    <row r="288">
      <c r="A288" s="8"/>
      <c r="B288" s="8"/>
      <c r="C288" s="8"/>
      <c r="D288" s="8"/>
      <c r="E288" s="8"/>
      <c r="F288" s="8"/>
      <c r="G288" s="8"/>
      <c r="H288" s="47"/>
      <c r="I288" s="7"/>
    </row>
    <row r="289">
      <c r="A289" s="8"/>
      <c r="B289" s="8"/>
      <c r="C289" s="8"/>
      <c r="D289" s="8"/>
      <c r="E289" s="8"/>
      <c r="F289" s="8"/>
      <c r="G289" s="8"/>
      <c r="H289" s="47"/>
      <c r="I289" s="7"/>
    </row>
    <row r="290">
      <c r="A290" s="8"/>
      <c r="B290" s="8"/>
      <c r="C290" s="8"/>
      <c r="D290" s="8"/>
      <c r="E290" s="8"/>
      <c r="F290" s="8"/>
      <c r="G290" s="8"/>
      <c r="H290" s="47"/>
      <c r="I290" s="7"/>
    </row>
    <row r="291">
      <c r="A291" s="8"/>
      <c r="B291" s="8"/>
      <c r="C291" s="8"/>
      <c r="D291" s="8"/>
      <c r="E291" s="8"/>
      <c r="F291" s="8"/>
      <c r="G291" s="8"/>
      <c r="H291" s="47"/>
      <c r="I291" s="7"/>
    </row>
    <row r="292">
      <c r="A292" s="8"/>
      <c r="B292" s="8"/>
      <c r="C292" s="8"/>
      <c r="D292" s="8"/>
      <c r="E292" s="8"/>
      <c r="F292" s="8"/>
      <c r="G292" s="8"/>
      <c r="H292" s="47"/>
      <c r="I292" s="7"/>
    </row>
    <row r="293">
      <c r="A293" s="8"/>
      <c r="B293" s="8"/>
      <c r="C293" s="8"/>
      <c r="D293" s="8"/>
      <c r="E293" s="8"/>
      <c r="F293" s="8"/>
      <c r="G293" s="8"/>
      <c r="H293" s="47"/>
      <c r="I293" s="7"/>
    </row>
    <row r="294">
      <c r="A294" s="8"/>
      <c r="B294" s="8"/>
      <c r="C294" s="8"/>
      <c r="D294" s="8"/>
      <c r="E294" s="8"/>
      <c r="F294" s="8"/>
      <c r="G294" s="8"/>
      <c r="H294" s="47"/>
      <c r="I294" s="7"/>
    </row>
    <row r="295">
      <c r="A295" s="8"/>
      <c r="B295" s="8"/>
      <c r="C295" s="8"/>
      <c r="D295" s="8"/>
      <c r="E295" s="8"/>
      <c r="F295" s="8"/>
      <c r="G295" s="8"/>
      <c r="H295" s="47"/>
      <c r="I295" s="7"/>
    </row>
    <row r="296">
      <c r="A296" s="8"/>
      <c r="B296" s="8"/>
      <c r="C296" s="8"/>
      <c r="D296" s="8"/>
      <c r="E296" s="8"/>
      <c r="F296" s="8"/>
      <c r="G296" s="8"/>
      <c r="H296" s="47"/>
      <c r="I296" s="7"/>
    </row>
    <row r="297">
      <c r="A297" s="8"/>
      <c r="B297" s="8"/>
      <c r="C297" s="8"/>
      <c r="D297" s="8"/>
      <c r="E297" s="8"/>
      <c r="F297" s="8"/>
      <c r="G297" s="8"/>
      <c r="H297" s="47"/>
      <c r="I297" s="7"/>
    </row>
    <row r="298">
      <c r="A298" s="8"/>
      <c r="B298" s="8"/>
      <c r="C298" s="8"/>
      <c r="D298" s="8"/>
      <c r="E298" s="8"/>
      <c r="F298" s="8"/>
      <c r="G298" s="8"/>
      <c r="H298" s="47"/>
      <c r="I298" s="7"/>
    </row>
    <row r="299">
      <c r="A299" s="8"/>
      <c r="B299" s="8"/>
      <c r="C299" s="8"/>
      <c r="D299" s="8"/>
      <c r="E299" s="8"/>
      <c r="F299" s="8"/>
      <c r="G299" s="8"/>
      <c r="H299" s="47"/>
      <c r="I299" s="7"/>
    </row>
    <row r="300">
      <c r="A300" s="8"/>
      <c r="B300" s="8"/>
      <c r="C300" s="8"/>
      <c r="D300" s="8"/>
      <c r="E300" s="8"/>
      <c r="F300" s="8"/>
      <c r="G300" s="8"/>
      <c r="H300" s="47"/>
      <c r="I300" s="7"/>
    </row>
    <row r="301">
      <c r="A301" s="8"/>
      <c r="B301" s="8"/>
      <c r="C301" s="8"/>
      <c r="D301" s="8"/>
      <c r="E301" s="8"/>
      <c r="F301" s="8"/>
      <c r="G301" s="8"/>
      <c r="H301" s="47"/>
      <c r="I301" s="7"/>
    </row>
    <row r="302">
      <c r="A302" s="8"/>
      <c r="B302" s="8"/>
      <c r="C302" s="8"/>
      <c r="D302" s="8"/>
      <c r="E302" s="8"/>
      <c r="F302" s="8"/>
      <c r="G302" s="8"/>
      <c r="H302" s="47"/>
      <c r="I302" s="7"/>
    </row>
    <row r="303">
      <c r="A303" s="8"/>
      <c r="B303" s="8"/>
      <c r="C303" s="8"/>
      <c r="D303" s="8"/>
      <c r="E303" s="8"/>
      <c r="F303" s="8"/>
      <c r="G303" s="8"/>
      <c r="H303" s="47"/>
      <c r="I303" s="7"/>
    </row>
    <row r="304">
      <c r="A304" s="8"/>
      <c r="B304" s="8"/>
      <c r="C304" s="8"/>
      <c r="D304" s="8"/>
      <c r="E304" s="8"/>
      <c r="F304" s="8"/>
      <c r="G304" s="8"/>
      <c r="H304" s="47"/>
      <c r="I304" s="7"/>
    </row>
    <row r="305">
      <c r="A305" s="8"/>
      <c r="B305" s="8"/>
      <c r="C305" s="8"/>
      <c r="D305" s="8"/>
      <c r="E305" s="8"/>
      <c r="F305" s="8"/>
      <c r="G305" s="8"/>
      <c r="H305" s="47"/>
      <c r="I305" s="7"/>
    </row>
    <row r="306">
      <c r="A306" s="8"/>
      <c r="B306" s="8"/>
      <c r="C306" s="8"/>
      <c r="D306" s="8"/>
      <c r="E306" s="8"/>
      <c r="F306" s="8"/>
      <c r="G306" s="8"/>
      <c r="H306" s="47"/>
      <c r="I306" s="7"/>
    </row>
    <row r="307">
      <c r="A307" s="8"/>
      <c r="B307" s="8"/>
      <c r="C307" s="8"/>
      <c r="D307" s="8"/>
      <c r="E307" s="8"/>
      <c r="F307" s="8"/>
      <c r="G307" s="8"/>
      <c r="H307" s="47"/>
      <c r="I307" s="7"/>
    </row>
    <row r="308">
      <c r="A308" s="8"/>
      <c r="B308" s="8"/>
      <c r="C308" s="8"/>
      <c r="D308" s="8"/>
      <c r="E308" s="8"/>
      <c r="F308" s="8"/>
      <c r="G308" s="8"/>
      <c r="H308" s="47"/>
      <c r="I308" s="7"/>
    </row>
    <row r="309">
      <c r="A309" s="8"/>
      <c r="B309" s="8"/>
      <c r="C309" s="8"/>
      <c r="D309" s="8"/>
      <c r="E309" s="8"/>
      <c r="F309" s="8"/>
      <c r="G309" s="8"/>
      <c r="H309" s="47"/>
      <c r="I309" s="7"/>
    </row>
    <row r="310">
      <c r="A310" s="8"/>
      <c r="B310" s="8"/>
      <c r="C310" s="8"/>
      <c r="D310" s="8"/>
      <c r="E310" s="8"/>
      <c r="F310" s="8"/>
      <c r="G310" s="8"/>
      <c r="H310" s="47"/>
      <c r="I310" s="7"/>
    </row>
    <row r="311">
      <c r="A311" s="8"/>
      <c r="B311" s="8"/>
      <c r="C311" s="8"/>
      <c r="D311" s="8"/>
      <c r="E311" s="8"/>
      <c r="F311" s="8"/>
      <c r="G311" s="8"/>
      <c r="H311" s="47"/>
      <c r="I311" s="7"/>
    </row>
    <row r="312">
      <c r="A312" s="8"/>
      <c r="B312" s="8"/>
      <c r="C312" s="8"/>
      <c r="D312" s="8"/>
      <c r="E312" s="8"/>
      <c r="F312" s="8"/>
      <c r="G312" s="8"/>
      <c r="H312" s="47"/>
      <c r="I312" s="7"/>
    </row>
    <row r="313">
      <c r="A313" s="8"/>
      <c r="B313" s="8"/>
      <c r="C313" s="8"/>
      <c r="D313" s="8"/>
      <c r="E313" s="8"/>
      <c r="F313" s="8"/>
      <c r="G313" s="8"/>
      <c r="H313" s="47"/>
      <c r="I313" s="7"/>
    </row>
    <row r="314">
      <c r="A314" s="8"/>
      <c r="B314" s="8"/>
      <c r="C314" s="8"/>
      <c r="D314" s="8"/>
      <c r="E314" s="8"/>
      <c r="F314" s="8"/>
      <c r="G314" s="8"/>
      <c r="H314" s="47"/>
      <c r="I314" s="7"/>
    </row>
    <row r="315">
      <c r="A315" s="8"/>
      <c r="B315" s="8"/>
      <c r="C315" s="8"/>
      <c r="D315" s="8"/>
      <c r="E315" s="8"/>
      <c r="F315" s="8"/>
      <c r="G315" s="8"/>
      <c r="H315" s="47"/>
      <c r="I315" s="7"/>
    </row>
    <row r="316">
      <c r="A316" s="8"/>
      <c r="B316" s="8"/>
      <c r="C316" s="8"/>
      <c r="D316" s="8"/>
      <c r="E316" s="8"/>
      <c r="F316" s="8"/>
      <c r="G316" s="8"/>
      <c r="H316" s="47"/>
      <c r="I316" s="7"/>
    </row>
    <row r="317">
      <c r="A317" s="8"/>
      <c r="B317" s="8"/>
      <c r="C317" s="8"/>
      <c r="D317" s="8"/>
      <c r="E317" s="8"/>
      <c r="F317" s="8"/>
      <c r="G317" s="8"/>
      <c r="H317" s="47"/>
      <c r="I317" s="7"/>
    </row>
    <row r="318">
      <c r="A318" s="8"/>
      <c r="B318" s="8"/>
      <c r="C318" s="8"/>
      <c r="D318" s="8"/>
      <c r="E318" s="8"/>
      <c r="F318" s="8"/>
      <c r="G318" s="8"/>
      <c r="H318" s="47"/>
      <c r="I318" s="7"/>
    </row>
    <row r="319">
      <c r="A319" s="8"/>
      <c r="B319" s="8"/>
      <c r="C319" s="8"/>
      <c r="D319" s="8"/>
      <c r="E319" s="8"/>
      <c r="F319" s="8"/>
      <c r="G319" s="8"/>
      <c r="H319" s="47"/>
      <c r="I319" s="7"/>
    </row>
    <row r="320">
      <c r="A320" s="8"/>
      <c r="B320" s="8"/>
      <c r="C320" s="8"/>
      <c r="D320" s="8"/>
      <c r="E320" s="8"/>
      <c r="F320" s="8"/>
      <c r="G320" s="8"/>
      <c r="H320" s="47"/>
      <c r="I320" s="7"/>
    </row>
    <row r="321">
      <c r="A321" s="8"/>
      <c r="B321" s="8"/>
      <c r="C321" s="8"/>
      <c r="D321" s="8"/>
      <c r="E321" s="8"/>
      <c r="F321" s="8"/>
      <c r="G321" s="8"/>
      <c r="H321" s="47"/>
      <c r="I321" s="7"/>
    </row>
    <row r="322">
      <c r="A322" s="8"/>
      <c r="B322" s="8"/>
      <c r="C322" s="8"/>
      <c r="D322" s="8"/>
      <c r="E322" s="8"/>
      <c r="F322" s="8"/>
      <c r="G322" s="8"/>
      <c r="H322" s="47"/>
      <c r="I322" s="7"/>
    </row>
    <row r="323">
      <c r="A323" s="8"/>
      <c r="B323" s="8"/>
      <c r="C323" s="8"/>
      <c r="D323" s="8"/>
      <c r="E323" s="8"/>
      <c r="F323" s="8"/>
      <c r="G323" s="8"/>
      <c r="H323" s="47"/>
      <c r="I323" s="7"/>
    </row>
    <row r="324">
      <c r="A324" s="8"/>
      <c r="B324" s="8"/>
      <c r="C324" s="8"/>
      <c r="D324" s="8"/>
      <c r="E324" s="8"/>
      <c r="F324" s="8"/>
      <c r="G324" s="8"/>
      <c r="H324" s="47"/>
      <c r="I324" s="7"/>
    </row>
    <row r="325">
      <c r="A325" s="8"/>
      <c r="B325" s="8"/>
      <c r="C325" s="8"/>
      <c r="D325" s="8"/>
      <c r="E325" s="8"/>
      <c r="F325" s="8"/>
      <c r="G325" s="8"/>
      <c r="H325" s="47"/>
      <c r="I325" s="7"/>
    </row>
    <row r="326">
      <c r="A326" s="8"/>
      <c r="B326" s="8"/>
      <c r="C326" s="8"/>
      <c r="D326" s="8"/>
      <c r="E326" s="8"/>
      <c r="F326" s="8"/>
      <c r="G326" s="8"/>
      <c r="H326" s="47"/>
      <c r="I326" s="7"/>
    </row>
    <row r="327">
      <c r="A327" s="8"/>
      <c r="B327" s="8"/>
      <c r="C327" s="8"/>
      <c r="D327" s="8"/>
      <c r="E327" s="8"/>
      <c r="F327" s="8"/>
      <c r="G327" s="8"/>
      <c r="H327" s="47"/>
      <c r="I327" s="7"/>
    </row>
    <row r="328">
      <c r="A328" s="8"/>
      <c r="B328" s="8"/>
      <c r="C328" s="8"/>
      <c r="D328" s="8"/>
      <c r="E328" s="8"/>
      <c r="F328" s="8"/>
      <c r="G328" s="8"/>
      <c r="H328" s="47"/>
      <c r="I328" s="7"/>
    </row>
    <row r="329">
      <c r="A329" s="8"/>
      <c r="B329" s="8"/>
      <c r="C329" s="8"/>
      <c r="D329" s="8"/>
      <c r="E329" s="8"/>
      <c r="F329" s="8"/>
      <c r="G329" s="8"/>
      <c r="H329" s="47"/>
      <c r="I329" s="7"/>
    </row>
    <row r="330">
      <c r="A330" s="8"/>
      <c r="B330" s="8"/>
      <c r="C330" s="8"/>
      <c r="D330" s="8"/>
      <c r="E330" s="8"/>
      <c r="F330" s="8"/>
      <c r="G330" s="8"/>
      <c r="H330" s="47"/>
      <c r="I330" s="7"/>
    </row>
    <row r="331">
      <c r="A331" s="8"/>
      <c r="B331" s="8"/>
      <c r="C331" s="8"/>
      <c r="D331" s="8"/>
      <c r="E331" s="8"/>
      <c r="F331" s="8"/>
      <c r="G331" s="8"/>
      <c r="H331" s="47"/>
      <c r="I331" s="7"/>
    </row>
    <row r="332">
      <c r="A332" s="8"/>
      <c r="B332" s="8"/>
      <c r="C332" s="8"/>
      <c r="D332" s="8"/>
      <c r="E332" s="8"/>
      <c r="F332" s="8"/>
      <c r="G332" s="8"/>
      <c r="H332" s="47"/>
      <c r="I332" s="7"/>
    </row>
    <row r="333">
      <c r="A333" s="8"/>
      <c r="B333" s="8"/>
      <c r="C333" s="8"/>
      <c r="D333" s="8"/>
      <c r="E333" s="8"/>
      <c r="F333" s="8"/>
      <c r="G333" s="8"/>
      <c r="H333" s="47"/>
      <c r="I333" s="7"/>
    </row>
    <row r="334">
      <c r="A334" s="8"/>
      <c r="B334" s="8"/>
      <c r="C334" s="8"/>
      <c r="D334" s="8"/>
      <c r="E334" s="8"/>
      <c r="F334" s="8"/>
      <c r="G334" s="8"/>
      <c r="H334" s="47"/>
      <c r="I334" s="7"/>
    </row>
    <row r="335">
      <c r="A335" s="8"/>
      <c r="B335" s="8"/>
      <c r="C335" s="8"/>
      <c r="D335" s="8"/>
      <c r="E335" s="8"/>
      <c r="F335" s="8"/>
      <c r="G335" s="8"/>
      <c r="H335" s="47"/>
      <c r="I335" s="7"/>
    </row>
    <row r="336">
      <c r="A336" s="8"/>
      <c r="B336" s="8"/>
      <c r="C336" s="8"/>
      <c r="D336" s="8"/>
      <c r="E336" s="8"/>
      <c r="F336" s="8"/>
      <c r="G336" s="8"/>
      <c r="H336" s="47"/>
      <c r="I336" s="7"/>
    </row>
    <row r="337">
      <c r="A337" s="8"/>
      <c r="B337" s="8"/>
      <c r="C337" s="8"/>
      <c r="D337" s="8"/>
      <c r="E337" s="8"/>
      <c r="F337" s="8"/>
      <c r="G337" s="8"/>
      <c r="H337" s="47"/>
      <c r="I337" s="7"/>
    </row>
    <row r="338">
      <c r="A338" s="8"/>
      <c r="B338" s="8"/>
      <c r="C338" s="8"/>
      <c r="D338" s="8"/>
      <c r="E338" s="8"/>
      <c r="F338" s="8"/>
      <c r="G338" s="8"/>
      <c r="H338" s="47"/>
      <c r="I338" s="7"/>
    </row>
    <row r="339">
      <c r="A339" s="8"/>
      <c r="B339" s="8"/>
      <c r="C339" s="8"/>
      <c r="D339" s="8"/>
      <c r="E339" s="8"/>
      <c r="F339" s="8"/>
      <c r="G339" s="8"/>
      <c r="H339" s="47"/>
      <c r="I339" s="7"/>
    </row>
    <row r="340">
      <c r="A340" s="8"/>
      <c r="B340" s="8"/>
      <c r="C340" s="8"/>
      <c r="D340" s="8"/>
      <c r="E340" s="8"/>
      <c r="F340" s="8"/>
      <c r="G340" s="8"/>
      <c r="H340" s="47"/>
      <c r="I340" s="7"/>
    </row>
    <row r="341">
      <c r="A341" s="8"/>
      <c r="B341" s="8"/>
      <c r="C341" s="8"/>
      <c r="D341" s="8"/>
      <c r="E341" s="8"/>
      <c r="F341" s="8"/>
      <c r="G341" s="8"/>
      <c r="H341" s="47"/>
      <c r="I341" s="7"/>
    </row>
    <row r="342">
      <c r="A342" s="8"/>
      <c r="B342" s="8"/>
      <c r="C342" s="8"/>
      <c r="D342" s="8"/>
      <c r="E342" s="8"/>
      <c r="F342" s="8"/>
      <c r="G342" s="8"/>
      <c r="H342" s="47"/>
      <c r="I342" s="7"/>
    </row>
    <row r="343">
      <c r="A343" s="8"/>
      <c r="B343" s="8"/>
      <c r="C343" s="8"/>
      <c r="D343" s="8"/>
      <c r="E343" s="8"/>
      <c r="F343" s="8"/>
      <c r="G343" s="8"/>
      <c r="H343" s="47"/>
      <c r="I343" s="7"/>
    </row>
    <row r="344">
      <c r="A344" s="8"/>
      <c r="B344" s="8"/>
      <c r="C344" s="8"/>
      <c r="D344" s="8"/>
      <c r="E344" s="8"/>
      <c r="F344" s="8"/>
      <c r="G344" s="8"/>
      <c r="H344" s="47"/>
      <c r="I344" s="7"/>
    </row>
    <row r="345">
      <c r="A345" s="8"/>
      <c r="B345" s="8"/>
      <c r="C345" s="8"/>
      <c r="D345" s="8"/>
      <c r="E345" s="8"/>
      <c r="F345" s="8"/>
      <c r="G345" s="8"/>
      <c r="H345" s="47"/>
      <c r="I345" s="7"/>
    </row>
    <row r="346">
      <c r="A346" s="8"/>
      <c r="B346" s="8"/>
      <c r="C346" s="8"/>
      <c r="D346" s="8"/>
      <c r="E346" s="8"/>
      <c r="F346" s="8"/>
      <c r="G346" s="8"/>
      <c r="H346" s="47"/>
      <c r="I346" s="7"/>
    </row>
    <row r="347">
      <c r="A347" s="8"/>
      <c r="B347" s="8"/>
      <c r="C347" s="8"/>
      <c r="D347" s="8"/>
      <c r="E347" s="8"/>
      <c r="F347" s="8"/>
      <c r="G347" s="8"/>
      <c r="H347" s="47"/>
      <c r="I347" s="7"/>
    </row>
    <row r="348">
      <c r="A348" s="8"/>
      <c r="B348" s="8"/>
      <c r="C348" s="8"/>
      <c r="D348" s="8"/>
      <c r="E348" s="8"/>
      <c r="F348" s="8"/>
      <c r="G348" s="8"/>
      <c r="H348" s="47"/>
      <c r="I348" s="7"/>
    </row>
    <row r="349">
      <c r="A349" s="8"/>
      <c r="B349" s="8"/>
      <c r="C349" s="8"/>
      <c r="D349" s="8"/>
      <c r="E349" s="8"/>
      <c r="F349" s="8"/>
      <c r="G349" s="8"/>
      <c r="H349" s="47"/>
      <c r="I349" s="7"/>
    </row>
    <row r="350">
      <c r="A350" s="8"/>
      <c r="B350" s="8"/>
      <c r="C350" s="8"/>
      <c r="D350" s="8"/>
      <c r="E350" s="8"/>
      <c r="F350" s="8"/>
      <c r="G350" s="8"/>
      <c r="H350" s="47"/>
      <c r="I350" s="7"/>
    </row>
    <row r="351">
      <c r="A351" s="8"/>
      <c r="B351" s="8"/>
      <c r="C351" s="8"/>
      <c r="D351" s="8"/>
      <c r="E351" s="8"/>
      <c r="F351" s="8"/>
      <c r="G351" s="8"/>
      <c r="H351" s="47"/>
      <c r="I351" s="7"/>
    </row>
    <row r="352">
      <c r="A352" s="8"/>
      <c r="B352" s="8"/>
      <c r="C352" s="8"/>
      <c r="D352" s="8"/>
      <c r="E352" s="8"/>
      <c r="F352" s="8"/>
      <c r="G352" s="8"/>
      <c r="H352" s="47"/>
      <c r="I352" s="7"/>
    </row>
    <row r="353">
      <c r="A353" s="8"/>
      <c r="B353" s="8"/>
      <c r="C353" s="8"/>
      <c r="D353" s="8"/>
      <c r="E353" s="8"/>
      <c r="F353" s="8"/>
      <c r="G353" s="8"/>
      <c r="H353" s="47"/>
      <c r="I353" s="7"/>
    </row>
    <row r="354">
      <c r="A354" s="8"/>
      <c r="B354" s="8"/>
      <c r="C354" s="8"/>
      <c r="D354" s="8"/>
      <c r="E354" s="8"/>
      <c r="F354" s="8"/>
      <c r="G354" s="8"/>
      <c r="H354" s="47"/>
      <c r="I354" s="7"/>
    </row>
    <row r="355">
      <c r="A355" s="8"/>
      <c r="B355" s="8"/>
      <c r="C355" s="8"/>
      <c r="D355" s="8"/>
      <c r="E355" s="8"/>
      <c r="F355" s="8"/>
      <c r="G355" s="8"/>
      <c r="H355" s="47"/>
      <c r="I355" s="7"/>
    </row>
    <row r="356">
      <c r="A356" s="8"/>
      <c r="B356" s="8"/>
      <c r="C356" s="8"/>
      <c r="D356" s="8"/>
      <c r="E356" s="8"/>
      <c r="F356" s="8"/>
      <c r="G356" s="8"/>
      <c r="H356" s="47"/>
      <c r="I356" s="7"/>
    </row>
    <row r="357">
      <c r="A357" s="8"/>
      <c r="B357" s="8"/>
      <c r="C357" s="8"/>
      <c r="D357" s="8"/>
      <c r="E357" s="8"/>
      <c r="F357" s="8"/>
      <c r="G357" s="8"/>
      <c r="H357" s="47"/>
      <c r="I357" s="7"/>
    </row>
    <row r="358">
      <c r="A358" s="8"/>
      <c r="B358" s="8"/>
      <c r="C358" s="8"/>
      <c r="D358" s="8"/>
      <c r="E358" s="8"/>
      <c r="F358" s="8"/>
      <c r="G358" s="8"/>
      <c r="H358" s="47"/>
      <c r="I358" s="7"/>
    </row>
    <row r="359">
      <c r="A359" s="8"/>
      <c r="B359" s="8"/>
      <c r="C359" s="8"/>
      <c r="D359" s="8"/>
      <c r="E359" s="8"/>
      <c r="F359" s="8"/>
      <c r="G359" s="8"/>
      <c r="H359" s="47"/>
      <c r="I359" s="7"/>
    </row>
    <row r="360">
      <c r="A360" s="8"/>
      <c r="B360" s="8"/>
      <c r="C360" s="8"/>
      <c r="D360" s="8"/>
      <c r="E360" s="8"/>
      <c r="F360" s="8"/>
      <c r="G360" s="8"/>
      <c r="H360" s="47"/>
      <c r="I360" s="7"/>
    </row>
    <row r="361">
      <c r="A361" s="8"/>
      <c r="B361" s="8"/>
      <c r="C361" s="8"/>
      <c r="D361" s="8"/>
      <c r="E361" s="8"/>
      <c r="F361" s="8"/>
      <c r="G361" s="8"/>
      <c r="H361" s="47"/>
      <c r="I361" s="7"/>
    </row>
    <row r="362">
      <c r="A362" s="8"/>
      <c r="B362" s="8"/>
      <c r="C362" s="8"/>
      <c r="D362" s="8"/>
      <c r="E362" s="8"/>
      <c r="F362" s="8"/>
      <c r="G362" s="8"/>
      <c r="H362" s="47"/>
      <c r="I362" s="7"/>
    </row>
    <row r="363">
      <c r="A363" s="8"/>
      <c r="B363" s="8"/>
      <c r="C363" s="8"/>
      <c r="D363" s="8"/>
      <c r="E363" s="8"/>
      <c r="F363" s="8"/>
      <c r="G363" s="8"/>
      <c r="H363" s="47"/>
      <c r="I363" s="7"/>
    </row>
    <row r="364">
      <c r="A364" s="8"/>
      <c r="B364" s="8"/>
      <c r="C364" s="8"/>
      <c r="D364" s="8"/>
      <c r="E364" s="8"/>
      <c r="F364" s="8"/>
      <c r="G364" s="8"/>
      <c r="H364" s="47"/>
      <c r="I364" s="7"/>
    </row>
    <row r="365">
      <c r="A365" s="8"/>
      <c r="B365" s="8"/>
      <c r="C365" s="8"/>
      <c r="D365" s="8"/>
      <c r="E365" s="8"/>
      <c r="F365" s="8"/>
      <c r="G365" s="8"/>
      <c r="H365" s="47"/>
      <c r="I365" s="7"/>
    </row>
    <row r="366">
      <c r="A366" s="8"/>
      <c r="B366" s="8"/>
      <c r="C366" s="8"/>
      <c r="D366" s="8"/>
      <c r="E366" s="8"/>
      <c r="F366" s="8"/>
      <c r="G366" s="8"/>
      <c r="H366" s="47"/>
      <c r="I366" s="7"/>
    </row>
    <row r="367">
      <c r="A367" s="8"/>
      <c r="B367" s="8"/>
      <c r="C367" s="8"/>
      <c r="D367" s="8"/>
      <c r="E367" s="8"/>
      <c r="F367" s="8"/>
      <c r="G367" s="8"/>
      <c r="H367" s="47"/>
      <c r="I367" s="7"/>
    </row>
    <row r="368">
      <c r="A368" s="8"/>
      <c r="B368" s="8"/>
      <c r="C368" s="8"/>
      <c r="D368" s="8"/>
      <c r="E368" s="8"/>
      <c r="F368" s="8"/>
      <c r="G368" s="8"/>
      <c r="H368" s="47"/>
      <c r="I368" s="7"/>
    </row>
    <row r="369">
      <c r="A369" s="8"/>
      <c r="B369" s="8"/>
      <c r="C369" s="8"/>
      <c r="D369" s="8"/>
      <c r="E369" s="8"/>
      <c r="F369" s="8"/>
      <c r="G369" s="8"/>
      <c r="H369" s="47"/>
      <c r="I369" s="7"/>
    </row>
    <row r="370">
      <c r="A370" s="8"/>
      <c r="B370" s="8"/>
      <c r="C370" s="8"/>
      <c r="D370" s="8"/>
      <c r="E370" s="8"/>
      <c r="F370" s="8"/>
      <c r="G370" s="8"/>
      <c r="H370" s="47"/>
      <c r="I370" s="7"/>
    </row>
    <row r="371">
      <c r="A371" s="8"/>
      <c r="B371" s="8"/>
      <c r="C371" s="8"/>
      <c r="D371" s="8"/>
      <c r="E371" s="8"/>
      <c r="F371" s="8"/>
      <c r="G371" s="8"/>
      <c r="H371" s="47"/>
      <c r="I371" s="7"/>
    </row>
    <row r="372">
      <c r="A372" s="8"/>
      <c r="B372" s="8"/>
      <c r="C372" s="8"/>
      <c r="D372" s="8"/>
      <c r="E372" s="8"/>
      <c r="F372" s="8"/>
      <c r="G372" s="8"/>
      <c r="H372" s="47"/>
      <c r="I372" s="7"/>
    </row>
    <row r="373">
      <c r="A373" s="8"/>
      <c r="B373" s="8"/>
      <c r="C373" s="8"/>
      <c r="D373" s="8"/>
      <c r="E373" s="8"/>
      <c r="F373" s="8"/>
      <c r="G373" s="8"/>
      <c r="H373" s="47"/>
      <c r="I373" s="7"/>
    </row>
    <row r="374">
      <c r="A374" s="8"/>
      <c r="B374" s="8"/>
      <c r="C374" s="8"/>
      <c r="D374" s="8"/>
      <c r="E374" s="8"/>
      <c r="F374" s="8"/>
      <c r="G374" s="8"/>
      <c r="H374" s="47"/>
      <c r="I374" s="7"/>
    </row>
    <row r="375">
      <c r="A375" s="8"/>
      <c r="B375" s="8"/>
      <c r="C375" s="8"/>
      <c r="D375" s="8"/>
      <c r="E375" s="8"/>
      <c r="F375" s="8"/>
      <c r="G375" s="8"/>
      <c r="H375" s="47"/>
      <c r="I375" s="7"/>
    </row>
    <row r="376">
      <c r="A376" s="8"/>
      <c r="B376" s="8"/>
      <c r="C376" s="8"/>
      <c r="D376" s="8"/>
      <c r="E376" s="8"/>
      <c r="F376" s="8"/>
      <c r="G376" s="8"/>
      <c r="H376" s="47"/>
      <c r="I376" s="7"/>
    </row>
    <row r="377">
      <c r="A377" s="8"/>
      <c r="B377" s="8"/>
      <c r="C377" s="8"/>
      <c r="D377" s="8"/>
      <c r="E377" s="8"/>
      <c r="F377" s="8"/>
      <c r="G377" s="8"/>
      <c r="H377" s="47"/>
      <c r="I377" s="7"/>
    </row>
    <row r="378">
      <c r="A378" s="8"/>
      <c r="B378" s="8"/>
      <c r="C378" s="8"/>
      <c r="D378" s="8"/>
      <c r="E378" s="8"/>
      <c r="F378" s="8"/>
      <c r="G378" s="8"/>
      <c r="H378" s="47"/>
      <c r="I378" s="7"/>
    </row>
    <row r="379">
      <c r="A379" s="8"/>
      <c r="B379" s="8"/>
      <c r="C379" s="8"/>
      <c r="D379" s="8"/>
      <c r="E379" s="8"/>
      <c r="F379" s="8"/>
      <c r="G379" s="8"/>
      <c r="H379" s="47"/>
      <c r="I379" s="7"/>
    </row>
    <row r="380">
      <c r="A380" s="8"/>
      <c r="B380" s="8"/>
      <c r="C380" s="8"/>
      <c r="D380" s="8"/>
      <c r="E380" s="8"/>
      <c r="F380" s="8"/>
      <c r="G380" s="8"/>
      <c r="H380" s="47"/>
      <c r="I380" s="7"/>
    </row>
    <row r="381">
      <c r="A381" s="8"/>
      <c r="B381" s="8"/>
      <c r="C381" s="8"/>
      <c r="D381" s="8"/>
      <c r="E381" s="8"/>
      <c r="F381" s="8"/>
      <c r="G381" s="8"/>
      <c r="H381" s="47"/>
      <c r="I381" s="7"/>
    </row>
    <row r="382">
      <c r="A382" s="8"/>
      <c r="B382" s="8"/>
      <c r="C382" s="8"/>
      <c r="D382" s="8"/>
      <c r="E382" s="8"/>
      <c r="F382" s="8"/>
      <c r="G382" s="8"/>
      <c r="H382" s="47"/>
      <c r="I382" s="7"/>
    </row>
    <row r="383">
      <c r="A383" s="8"/>
      <c r="B383" s="8"/>
      <c r="C383" s="8"/>
      <c r="D383" s="8"/>
      <c r="E383" s="8"/>
      <c r="F383" s="8"/>
      <c r="G383" s="8"/>
      <c r="H383" s="47"/>
      <c r="I383" s="7"/>
    </row>
    <row r="384">
      <c r="A384" s="8"/>
      <c r="B384" s="8"/>
      <c r="C384" s="8"/>
      <c r="D384" s="8"/>
      <c r="E384" s="8"/>
      <c r="F384" s="8"/>
      <c r="G384" s="8"/>
      <c r="H384" s="47"/>
      <c r="I384" s="7"/>
    </row>
    <row r="385">
      <c r="A385" s="8"/>
      <c r="B385" s="8"/>
      <c r="C385" s="8"/>
      <c r="D385" s="8"/>
      <c r="E385" s="8"/>
      <c r="F385" s="8"/>
      <c r="G385" s="8"/>
      <c r="H385" s="47"/>
      <c r="I385" s="7"/>
    </row>
    <row r="386">
      <c r="A386" s="8"/>
      <c r="B386" s="8"/>
      <c r="C386" s="8"/>
      <c r="D386" s="8"/>
      <c r="E386" s="8"/>
      <c r="F386" s="8"/>
      <c r="G386" s="8"/>
      <c r="H386" s="47"/>
      <c r="I386" s="7"/>
    </row>
    <row r="387">
      <c r="A387" s="8"/>
      <c r="B387" s="8"/>
      <c r="C387" s="8"/>
      <c r="D387" s="8"/>
      <c r="E387" s="8"/>
      <c r="F387" s="8"/>
      <c r="G387" s="8"/>
      <c r="H387" s="47"/>
      <c r="I387" s="7"/>
    </row>
    <row r="388">
      <c r="A388" s="8"/>
      <c r="B388" s="8"/>
      <c r="C388" s="8"/>
      <c r="D388" s="8"/>
      <c r="E388" s="8"/>
      <c r="F388" s="8"/>
      <c r="G388" s="8"/>
      <c r="H388" s="47"/>
      <c r="I388" s="7"/>
    </row>
    <row r="389">
      <c r="A389" s="8"/>
      <c r="B389" s="8"/>
      <c r="C389" s="8"/>
      <c r="D389" s="8"/>
      <c r="E389" s="8"/>
      <c r="F389" s="8"/>
      <c r="G389" s="8"/>
      <c r="H389" s="47"/>
      <c r="I389" s="7"/>
    </row>
    <row r="390">
      <c r="A390" s="8"/>
      <c r="B390" s="8"/>
      <c r="C390" s="8"/>
      <c r="D390" s="8"/>
      <c r="E390" s="8"/>
      <c r="F390" s="8"/>
      <c r="G390" s="8"/>
      <c r="H390" s="47"/>
      <c r="I390" s="7"/>
    </row>
    <row r="391">
      <c r="A391" s="8"/>
      <c r="B391" s="8"/>
      <c r="C391" s="8"/>
      <c r="D391" s="8"/>
      <c r="E391" s="8"/>
      <c r="F391" s="8"/>
      <c r="G391" s="8"/>
      <c r="H391" s="47"/>
      <c r="I391" s="7"/>
    </row>
    <row r="392">
      <c r="A392" s="8"/>
      <c r="B392" s="8"/>
      <c r="C392" s="8"/>
      <c r="D392" s="8"/>
      <c r="E392" s="8"/>
      <c r="F392" s="8"/>
      <c r="G392" s="8"/>
      <c r="H392" s="47"/>
      <c r="I392" s="7"/>
    </row>
    <row r="393">
      <c r="A393" s="8"/>
      <c r="B393" s="8"/>
      <c r="C393" s="8"/>
      <c r="D393" s="8"/>
      <c r="E393" s="8"/>
      <c r="F393" s="8"/>
      <c r="G393" s="8"/>
      <c r="H393" s="47"/>
      <c r="I393" s="7"/>
    </row>
    <row r="394">
      <c r="A394" s="8"/>
      <c r="B394" s="8"/>
      <c r="C394" s="8"/>
      <c r="D394" s="8"/>
      <c r="E394" s="8"/>
      <c r="F394" s="8"/>
      <c r="G394" s="8"/>
      <c r="H394" s="47"/>
      <c r="I394" s="7"/>
    </row>
    <row r="395">
      <c r="A395" s="8"/>
      <c r="B395" s="8"/>
      <c r="C395" s="8"/>
      <c r="D395" s="8"/>
      <c r="E395" s="8"/>
      <c r="F395" s="8"/>
      <c r="G395" s="8"/>
      <c r="H395" s="47"/>
      <c r="I395" s="7"/>
    </row>
    <row r="396">
      <c r="A396" s="8"/>
      <c r="B396" s="8"/>
      <c r="C396" s="8"/>
      <c r="D396" s="8"/>
      <c r="E396" s="8"/>
      <c r="F396" s="8"/>
      <c r="G396" s="8"/>
      <c r="H396" s="47"/>
      <c r="I396" s="7"/>
    </row>
    <row r="397">
      <c r="A397" s="8"/>
      <c r="B397" s="8"/>
      <c r="C397" s="8"/>
      <c r="D397" s="8"/>
      <c r="E397" s="8"/>
      <c r="F397" s="8"/>
      <c r="G397" s="8"/>
      <c r="H397" s="47"/>
      <c r="I397" s="7"/>
    </row>
    <row r="398">
      <c r="A398" s="8"/>
      <c r="B398" s="8"/>
      <c r="C398" s="8"/>
      <c r="D398" s="8"/>
      <c r="E398" s="8"/>
      <c r="F398" s="8"/>
      <c r="G398" s="8"/>
      <c r="H398" s="47"/>
      <c r="I398" s="7"/>
    </row>
    <row r="399">
      <c r="A399" s="8"/>
      <c r="B399" s="8"/>
      <c r="C399" s="8"/>
      <c r="D399" s="8"/>
      <c r="E399" s="8"/>
      <c r="F399" s="8"/>
      <c r="G399" s="8"/>
      <c r="H399" s="47"/>
      <c r="I399" s="7"/>
    </row>
    <row r="400">
      <c r="A400" s="8"/>
      <c r="B400" s="8"/>
      <c r="C400" s="8"/>
      <c r="D400" s="8"/>
      <c r="E400" s="8"/>
      <c r="F400" s="8"/>
      <c r="G400" s="8"/>
      <c r="H400" s="47"/>
      <c r="I400" s="7"/>
    </row>
    <row r="401">
      <c r="A401" s="8"/>
      <c r="B401" s="8"/>
      <c r="C401" s="8"/>
      <c r="D401" s="8"/>
      <c r="E401" s="8"/>
      <c r="F401" s="8"/>
      <c r="G401" s="8"/>
      <c r="H401" s="47"/>
      <c r="I401" s="7"/>
    </row>
    <row r="402">
      <c r="A402" s="8"/>
      <c r="B402" s="8"/>
      <c r="C402" s="8"/>
      <c r="D402" s="8"/>
      <c r="E402" s="8"/>
      <c r="F402" s="8"/>
      <c r="G402" s="8"/>
      <c r="H402" s="47"/>
      <c r="I402" s="7"/>
    </row>
    <row r="403">
      <c r="A403" s="8"/>
      <c r="B403" s="8"/>
      <c r="C403" s="8"/>
      <c r="D403" s="8"/>
      <c r="E403" s="8"/>
      <c r="F403" s="8"/>
      <c r="G403" s="8"/>
      <c r="H403" s="47"/>
      <c r="I403" s="7"/>
    </row>
    <row r="404">
      <c r="A404" s="8"/>
      <c r="B404" s="8"/>
      <c r="C404" s="8"/>
      <c r="D404" s="8"/>
      <c r="E404" s="8"/>
      <c r="F404" s="8"/>
      <c r="G404" s="8"/>
      <c r="H404" s="47"/>
      <c r="I404" s="7"/>
    </row>
    <row r="405">
      <c r="A405" s="8"/>
      <c r="B405" s="8"/>
      <c r="C405" s="8"/>
      <c r="D405" s="8"/>
      <c r="E405" s="8"/>
      <c r="F405" s="8"/>
      <c r="G405" s="8"/>
      <c r="H405" s="47"/>
      <c r="I405" s="7"/>
    </row>
    <row r="406">
      <c r="A406" s="8"/>
      <c r="B406" s="8"/>
      <c r="C406" s="8"/>
      <c r="D406" s="8"/>
      <c r="E406" s="8"/>
      <c r="F406" s="8"/>
      <c r="G406" s="8"/>
      <c r="H406" s="47"/>
      <c r="I406" s="7"/>
    </row>
    <row r="407">
      <c r="A407" s="8"/>
      <c r="B407" s="8"/>
      <c r="C407" s="8"/>
      <c r="D407" s="8"/>
      <c r="E407" s="8"/>
      <c r="F407" s="8"/>
      <c r="G407" s="8"/>
      <c r="H407" s="47"/>
      <c r="I407" s="7"/>
    </row>
    <row r="408">
      <c r="A408" s="8"/>
      <c r="B408" s="8"/>
      <c r="C408" s="8"/>
      <c r="D408" s="8"/>
      <c r="E408" s="8"/>
      <c r="F408" s="8"/>
      <c r="G408" s="8"/>
      <c r="H408" s="47"/>
      <c r="I408" s="7"/>
    </row>
    <row r="409">
      <c r="A409" s="8"/>
      <c r="B409" s="8"/>
      <c r="C409" s="8"/>
      <c r="D409" s="8"/>
      <c r="E409" s="8"/>
      <c r="F409" s="8"/>
      <c r="G409" s="8"/>
      <c r="H409" s="47"/>
      <c r="I409" s="7"/>
    </row>
    <row r="410">
      <c r="A410" s="8"/>
      <c r="B410" s="8"/>
      <c r="C410" s="8"/>
      <c r="D410" s="8"/>
      <c r="E410" s="8"/>
      <c r="F410" s="8"/>
      <c r="G410" s="8"/>
      <c r="H410" s="47"/>
      <c r="I410" s="7"/>
    </row>
    <row r="411">
      <c r="A411" s="8"/>
      <c r="B411" s="8"/>
      <c r="C411" s="8"/>
      <c r="D411" s="8"/>
      <c r="E411" s="8"/>
      <c r="F411" s="8"/>
      <c r="G411" s="8"/>
      <c r="H411" s="47"/>
      <c r="I411" s="7"/>
    </row>
    <row r="412">
      <c r="A412" s="8"/>
      <c r="B412" s="8"/>
      <c r="C412" s="8"/>
      <c r="D412" s="8"/>
      <c r="E412" s="8"/>
      <c r="F412" s="8"/>
      <c r="G412" s="8"/>
      <c r="H412" s="47"/>
      <c r="I412" s="7"/>
    </row>
    <row r="413">
      <c r="A413" s="8"/>
      <c r="B413" s="8"/>
      <c r="C413" s="8"/>
      <c r="D413" s="8"/>
      <c r="E413" s="8"/>
      <c r="F413" s="8"/>
      <c r="G413" s="8"/>
      <c r="H413" s="47"/>
      <c r="I413" s="7"/>
    </row>
    <row r="414">
      <c r="A414" s="8"/>
      <c r="B414" s="8"/>
      <c r="C414" s="8"/>
      <c r="D414" s="8"/>
      <c r="E414" s="8"/>
      <c r="F414" s="8"/>
      <c r="G414" s="8"/>
      <c r="H414" s="47"/>
      <c r="I414" s="7"/>
    </row>
    <row r="415">
      <c r="A415" s="8"/>
      <c r="B415" s="8"/>
      <c r="C415" s="8"/>
      <c r="D415" s="8"/>
      <c r="E415" s="8"/>
      <c r="F415" s="8"/>
      <c r="G415" s="8"/>
      <c r="H415" s="47"/>
      <c r="I415" s="7"/>
    </row>
    <row r="416">
      <c r="A416" s="8"/>
      <c r="B416" s="8"/>
      <c r="C416" s="8"/>
      <c r="D416" s="8"/>
      <c r="E416" s="8"/>
      <c r="F416" s="8"/>
      <c r="G416" s="8"/>
      <c r="H416" s="47"/>
      <c r="I416" s="7"/>
    </row>
    <row r="417">
      <c r="A417" s="8"/>
      <c r="B417" s="8"/>
      <c r="C417" s="8"/>
      <c r="D417" s="8"/>
      <c r="E417" s="8"/>
      <c r="F417" s="8"/>
      <c r="G417" s="8"/>
      <c r="H417" s="47"/>
      <c r="I417" s="7"/>
    </row>
    <row r="418">
      <c r="A418" s="8"/>
      <c r="B418" s="8"/>
      <c r="C418" s="8"/>
      <c r="D418" s="8"/>
      <c r="E418" s="8"/>
      <c r="F418" s="8"/>
      <c r="G418" s="8"/>
      <c r="H418" s="47"/>
      <c r="I418" s="7"/>
    </row>
    <row r="419">
      <c r="A419" s="8"/>
      <c r="B419" s="8"/>
      <c r="C419" s="8"/>
      <c r="D419" s="8"/>
      <c r="E419" s="8"/>
      <c r="F419" s="8"/>
      <c r="G419" s="8"/>
      <c r="H419" s="47"/>
      <c r="I419" s="7"/>
    </row>
    <row r="420">
      <c r="A420" s="8"/>
      <c r="B420" s="8"/>
      <c r="C420" s="8"/>
      <c r="D420" s="8"/>
      <c r="E420" s="8"/>
      <c r="F420" s="8"/>
      <c r="G420" s="8"/>
      <c r="H420" s="47"/>
      <c r="I420" s="7"/>
    </row>
    <row r="421">
      <c r="A421" s="8"/>
      <c r="B421" s="8"/>
      <c r="C421" s="8"/>
      <c r="D421" s="8"/>
      <c r="E421" s="8"/>
      <c r="F421" s="8"/>
      <c r="G421" s="8"/>
      <c r="H421" s="47"/>
      <c r="I421" s="7"/>
    </row>
    <row r="422">
      <c r="A422" s="8"/>
      <c r="B422" s="8"/>
      <c r="C422" s="8"/>
      <c r="D422" s="8"/>
      <c r="E422" s="8"/>
      <c r="F422" s="8"/>
      <c r="G422" s="8"/>
      <c r="H422" s="47"/>
      <c r="I422" s="7"/>
    </row>
    <row r="423">
      <c r="A423" s="8"/>
      <c r="B423" s="8"/>
      <c r="C423" s="8"/>
      <c r="D423" s="8"/>
      <c r="E423" s="8"/>
      <c r="F423" s="8"/>
      <c r="G423" s="8"/>
      <c r="H423" s="47"/>
      <c r="I423" s="7"/>
    </row>
    <row r="424">
      <c r="A424" s="8"/>
      <c r="B424" s="8"/>
      <c r="C424" s="8"/>
      <c r="D424" s="8"/>
      <c r="E424" s="8"/>
      <c r="F424" s="8"/>
      <c r="G424" s="8"/>
      <c r="H424" s="47"/>
      <c r="I424" s="7"/>
    </row>
    <row r="425">
      <c r="A425" s="8"/>
      <c r="B425" s="8"/>
      <c r="C425" s="8"/>
      <c r="D425" s="8"/>
      <c r="E425" s="8"/>
      <c r="F425" s="8"/>
      <c r="G425" s="8"/>
      <c r="H425" s="47"/>
      <c r="I425" s="7"/>
    </row>
    <row r="426">
      <c r="A426" s="8"/>
      <c r="B426" s="8"/>
      <c r="C426" s="8"/>
      <c r="D426" s="8"/>
      <c r="E426" s="8"/>
      <c r="F426" s="8"/>
      <c r="G426" s="8"/>
      <c r="H426" s="47"/>
      <c r="I426" s="7"/>
    </row>
    <row r="427">
      <c r="A427" s="8"/>
      <c r="B427" s="8"/>
      <c r="C427" s="8"/>
      <c r="D427" s="8"/>
      <c r="E427" s="8"/>
      <c r="F427" s="8"/>
      <c r="G427" s="8"/>
      <c r="H427" s="47"/>
      <c r="I427" s="7"/>
    </row>
    <row r="428">
      <c r="A428" s="8"/>
      <c r="B428" s="8"/>
      <c r="C428" s="8"/>
      <c r="D428" s="8"/>
      <c r="E428" s="8"/>
      <c r="F428" s="8"/>
      <c r="G428" s="8"/>
      <c r="H428" s="47"/>
      <c r="I428" s="7"/>
    </row>
    <row r="429">
      <c r="A429" s="8"/>
      <c r="B429" s="8"/>
      <c r="C429" s="8"/>
      <c r="D429" s="8"/>
      <c r="E429" s="8"/>
      <c r="F429" s="8"/>
      <c r="G429" s="8"/>
      <c r="H429" s="47"/>
      <c r="I429" s="7"/>
    </row>
    <row r="430">
      <c r="A430" s="8"/>
      <c r="B430" s="8"/>
      <c r="C430" s="8"/>
      <c r="D430" s="8"/>
      <c r="E430" s="8"/>
      <c r="F430" s="8"/>
      <c r="G430" s="8"/>
      <c r="H430" s="47"/>
      <c r="I430" s="7"/>
    </row>
    <row r="431">
      <c r="A431" s="8"/>
      <c r="B431" s="8"/>
      <c r="C431" s="8"/>
      <c r="D431" s="8"/>
      <c r="E431" s="8"/>
      <c r="F431" s="8"/>
      <c r="G431" s="8"/>
      <c r="H431" s="47"/>
      <c r="I431" s="7"/>
    </row>
    <row r="432">
      <c r="A432" s="8"/>
      <c r="B432" s="8"/>
      <c r="C432" s="8"/>
      <c r="D432" s="8"/>
      <c r="E432" s="8"/>
      <c r="F432" s="8"/>
      <c r="G432" s="8"/>
      <c r="H432" s="47"/>
      <c r="I432" s="7"/>
    </row>
    <row r="433">
      <c r="A433" s="8"/>
      <c r="B433" s="8"/>
      <c r="C433" s="8"/>
      <c r="D433" s="8"/>
      <c r="E433" s="8"/>
      <c r="F433" s="8"/>
      <c r="G433" s="8"/>
      <c r="H433" s="47"/>
      <c r="I433" s="7"/>
    </row>
    <row r="434">
      <c r="A434" s="8"/>
      <c r="B434" s="8"/>
      <c r="C434" s="8"/>
      <c r="D434" s="8"/>
      <c r="E434" s="8"/>
      <c r="F434" s="8"/>
      <c r="G434" s="8"/>
      <c r="H434" s="47"/>
      <c r="I434" s="7"/>
    </row>
    <row r="435">
      <c r="A435" s="8"/>
      <c r="B435" s="8"/>
      <c r="C435" s="8"/>
      <c r="D435" s="8"/>
      <c r="E435" s="8"/>
      <c r="F435" s="8"/>
      <c r="G435" s="8"/>
      <c r="H435" s="47"/>
      <c r="I435" s="7"/>
    </row>
    <row r="436">
      <c r="A436" s="8"/>
      <c r="B436" s="8"/>
      <c r="C436" s="8"/>
      <c r="D436" s="8"/>
      <c r="E436" s="8"/>
      <c r="F436" s="8"/>
      <c r="G436" s="8"/>
      <c r="H436" s="47"/>
      <c r="I436" s="7"/>
    </row>
    <row r="437">
      <c r="A437" s="8"/>
      <c r="B437" s="8"/>
      <c r="C437" s="8"/>
      <c r="D437" s="8"/>
      <c r="E437" s="8"/>
      <c r="F437" s="8"/>
      <c r="G437" s="8"/>
      <c r="H437" s="47"/>
      <c r="I437" s="7"/>
    </row>
    <row r="438">
      <c r="A438" s="8"/>
      <c r="B438" s="8"/>
      <c r="C438" s="8"/>
      <c r="D438" s="8"/>
      <c r="E438" s="8"/>
      <c r="F438" s="8"/>
      <c r="G438" s="8"/>
      <c r="H438" s="47"/>
      <c r="I438" s="7"/>
    </row>
    <row r="439">
      <c r="A439" s="8"/>
      <c r="B439" s="8"/>
      <c r="C439" s="8"/>
      <c r="D439" s="8"/>
      <c r="E439" s="8"/>
      <c r="F439" s="8"/>
      <c r="G439" s="8"/>
      <c r="H439" s="47"/>
      <c r="I439" s="7"/>
    </row>
    <row r="440">
      <c r="A440" s="8"/>
      <c r="B440" s="8"/>
      <c r="C440" s="8"/>
      <c r="D440" s="8"/>
      <c r="E440" s="8"/>
      <c r="F440" s="8"/>
      <c r="G440" s="8"/>
      <c r="H440" s="47"/>
      <c r="I440" s="7"/>
    </row>
    <row r="441">
      <c r="A441" s="8"/>
      <c r="B441" s="8"/>
      <c r="C441" s="8"/>
      <c r="D441" s="8"/>
      <c r="E441" s="8"/>
      <c r="F441" s="8"/>
      <c r="G441" s="8"/>
      <c r="H441" s="47"/>
      <c r="I441" s="7"/>
    </row>
    <row r="442">
      <c r="A442" s="8"/>
      <c r="B442" s="8"/>
      <c r="C442" s="8"/>
      <c r="D442" s="8"/>
      <c r="E442" s="8"/>
      <c r="F442" s="8"/>
      <c r="G442" s="8"/>
      <c r="H442" s="47"/>
      <c r="I442" s="7"/>
    </row>
    <row r="443">
      <c r="A443" s="8"/>
      <c r="B443" s="8"/>
      <c r="C443" s="8"/>
      <c r="D443" s="8"/>
      <c r="E443" s="8"/>
      <c r="F443" s="8"/>
      <c r="G443" s="8"/>
      <c r="H443" s="47"/>
      <c r="I443" s="7"/>
    </row>
    <row r="444">
      <c r="A444" s="8"/>
      <c r="B444" s="8"/>
      <c r="C444" s="8"/>
      <c r="D444" s="8"/>
      <c r="E444" s="8"/>
      <c r="F444" s="8"/>
      <c r="G444" s="8"/>
      <c r="H444" s="47"/>
      <c r="I444" s="7"/>
    </row>
    <row r="445">
      <c r="A445" s="8"/>
      <c r="B445" s="8"/>
      <c r="C445" s="8"/>
      <c r="D445" s="8"/>
      <c r="E445" s="8"/>
      <c r="F445" s="8"/>
      <c r="G445" s="8"/>
      <c r="H445" s="47"/>
      <c r="I445" s="7"/>
    </row>
    <row r="446">
      <c r="A446" s="8"/>
      <c r="B446" s="8"/>
      <c r="C446" s="8"/>
      <c r="D446" s="8"/>
      <c r="E446" s="8"/>
      <c r="F446" s="8"/>
      <c r="G446" s="8"/>
      <c r="H446" s="47"/>
      <c r="I446" s="7"/>
    </row>
    <row r="447">
      <c r="A447" s="8"/>
      <c r="B447" s="8"/>
      <c r="C447" s="8"/>
      <c r="D447" s="8"/>
      <c r="E447" s="8"/>
      <c r="F447" s="8"/>
      <c r="G447" s="8"/>
      <c r="H447" s="47"/>
      <c r="I447" s="7"/>
    </row>
    <row r="448">
      <c r="A448" s="8"/>
      <c r="B448" s="8"/>
      <c r="C448" s="8"/>
      <c r="D448" s="8"/>
      <c r="E448" s="8"/>
      <c r="F448" s="8"/>
      <c r="G448" s="8"/>
      <c r="H448" s="47"/>
      <c r="I448" s="7"/>
    </row>
    <row r="449">
      <c r="A449" s="8"/>
      <c r="B449" s="8"/>
      <c r="C449" s="8"/>
      <c r="D449" s="8"/>
      <c r="E449" s="8"/>
      <c r="F449" s="8"/>
      <c r="G449" s="8"/>
      <c r="H449" s="47"/>
      <c r="I449" s="7"/>
    </row>
    <row r="450">
      <c r="A450" s="8"/>
      <c r="B450" s="8"/>
      <c r="C450" s="8"/>
      <c r="D450" s="8"/>
      <c r="E450" s="8"/>
      <c r="F450" s="8"/>
      <c r="G450" s="8"/>
      <c r="H450" s="47"/>
      <c r="I450" s="7"/>
    </row>
    <row r="451">
      <c r="A451" s="8"/>
      <c r="B451" s="8"/>
      <c r="C451" s="8"/>
      <c r="D451" s="8"/>
      <c r="E451" s="8"/>
      <c r="F451" s="8"/>
      <c r="G451" s="8"/>
      <c r="H451" s="47"/>
      <c r="I451" s="7"/>
    </row>
    <row r="452">
      <c r="A452" s="8"/>
      <c r="B452" s="8"/>
      <c r="C452" s="8"/>
      <c r="D452" s="8"/>
      <c r="E452" s="8"/>
      <c r="F452" s="8"/>
      <c r="G452" s="8"/>
      <c r="H452" s="47"/>
      <c r="I452" s="7"/>
    </row>
    <row r="453">
      <c r="A453" s="8"/>
      <c r="B453" s="8"/>
      <c r="C453" s="8"/>
      <c r="D453" s="8"/>
      <c r="E453" s="8"/>
      <c r="F453" s="8"/>
      <c r="G453" s="8"/>
      <c r="H453" s="47"/>
      <c r="I453" s="7"/>
    </row>
    <row r="454">
      <c r="A454" s="8"/>
      <c r="B454" s="8"/>
      <c r="C454" s="8"/>
      <c r="D454" s="8"/>
      <c r="E454" s="8"/>
      <c r="F454" s="8"/>
      <c r="G454" s="8"/>
      <c r="H454" s="47"/>
      <c r="I454" s="7"/>
    </row>
    <row r="455">
      <c r="A455" s="8"/>
      <c r="B455" s="8"/>
      <c r="C455" s="8"/>
      <c r="D455" s="8"/>
      <c r="E455" s="8"/>
      <c r="F455" s="8"/>
      <c r="G455" s="8"/>
      <c r="H455" s="47"/>
      <c r="I455" s="7"/>
    </row>
    <row r="456">
      <c r="A456" s="8"/>
      <c r="B456" s="8"/>
      <c r="C456" s="8"/>
      <c r="D456" s="8"/>
      <c r="E456" s="8"/>
      <c r="F456" s="8"/>
      <c r="G456" s="8"/>
      <c r="H456" s="47"/>
      <c r="I456" s="7"/>
    </row>
    <row r="457">
      <c r="A457" s="8"/>
      <c r="B457" s="8"/>
      <c r="C457" s="8"/>
      <c r="D457" s="8"/>
      <c r="E457" s="8"/>
      <c r="F457" s="8"/>
      <c r="G457" s="8"/>
      <c r="H457" s="47"/>
      <c r="I457" s="7"/>
    </row>
    <row r="458">
      <c r="A458" s="8"/>
      <c r="B458" s="8"/>
      <c r="C458" s="8"/>
      <c r="D458" s="8"/>
      <c r="E458" s="8"/>
      <c r="F458" s="8"/>
      <c r="G458" s="8"/>
      <c r="H458" s="47"/>
      <c r="I458" s="7"/>
    </row>
    <row r="459">
      <c r="A459" s="8"/>
      <c r="B459" s="8"/>
      <c r="C459" s="8"/>
      <c r="D459" s="8"/>
      <c r="E459" s="8"/>
      <c r="F459" s="8"/>
      <c r="G459" s="8"/>
      <c r="H459" s="47"/>
      <c r="I459" s="7"/>
    </row>
    <row r="460">
      <c r="A460" s="8"/>
      <c r="B460" s="8"/>
      <c r="C460" s="8"/>
      <c r="D460" s="8"/>
      <c r="E460" s="8"/>
      <c r="F460" s="8"/>
      <c r="G460" s="8"/>
      <c r="H460" s="47"/>
      <c r="I460" s="7"/>
    </row>
    <row r="461">
      <c r="A461" s="8"/>
      <c r="B461" s="8"/>
      <c r="C461" s="8"/>
      <c r="D461" s="8"/>
      <c r="E461" s="8"/>
      <c r="F461" s="8"/>
      <c r="G461" s="8"/>
      <c r="H461" s="47"/>
      <c r="I461" s="7"/>
    </row>
    <row r="462">
      <c r="A462" s="8"/>
      <c r="B462" s="8"/>
      <c r="C462" s="8"/>
      <c r="D462" s="8"/>
      <c r="E462" s="8"/>
      <c r="F462" s="8"/>
      <c r="G462" s="8"/>
      <c r="H462" s="47"/>
      <c r="I462" s="7"/>
    </row>
    <row r="463">
      <c r="A463" s="8"/>
      <c r="B463" s="8"/>
      <c r="C463" s="8"/>
      <c r="D463" s="8"/>
      <c r="E463" s="8"/>
      <c r="F463" s="8"/>
      <c r="G463" s="8"/>
      <c r="H463" s="47"/>
      <c r="I463" s="7"/>
    </row>
    <row r="464">
      <c r="A464" s="8"/>
      <c r="B464" s="8"/>
      <c r="C464" s="8"/>
      <c r="D464" s="8"/>
      <c r="E464" s="8"/>
      <c r="F464" s="8"/>
      <c r="G464" s="8"/>
      <c r="H464" s="47"/>
      <c r="I464" s="7"/>
    </row>
    <row r="465">
      <c r="A465" s="8"/>
      <c r="B465" s="8"/>
      <c r="C465" s="8"/>
      <c r="D465" s="8"/>
      <c r="E465" s="8"/>
      <c r="F465" s="8"/>
      <c r="G465" s="8"/>
      <c r="H465" s="47"/>
      <c r="I465" s="7"/>
    </row>
    <row r="466">
      <c r="A466" s="8"/>
      <c r="B466" s="8"/>
      <c r="C466" s="8"/>
      <c r="D466" s="8"/>
      <c r="E466" s="8"/>
      <c r="F466" s="8"/>
      <c r="G466" s="8"/>
      <c r="H466" s="47"/>
      <c r="I466" s="7"/>
    </row>
    <row r="467">
      <c r="A467" s="8"/>
      <c r="B467" s="8"/>
      <c r="C467" s="8"/>
      <c r="D467" s="8"/>
      <c r="E467" s="8"/>
      <c r="F467" s="8"/>
      <c r="G467" s="8"/>
      <c r="H467" s="47"/>
      <c r="I467" s="7"/>
    </row>
    <row r="468">
      <c r="A468" s="8"/>
      <c r="B468" s="8"/>
      <c r="C468" s="8"/>
      <c r="D468" s="8"/>
      <c r="E468" s="8"/>
      <c r="F468" s="8"/>
      <c r="G468" s="8"/>
      <c r="H468" s="47"/>
      <c r="I468" s="7"/>
    </row>
    <row r="469">
      <c r="A469" s="8"/>
      <c r="B469" s="8"/>
      <c r="C469" s="8"/>
      <c r="D469" s="8"/>
      <c r="E469" s="8"/>
      <c r="F469" s="8"/>
      <c r="G469" s="8"/>
      <c r="H469" s="47"/>
      <c r="I469" s="7"/>
    </row>
    <row r="470">
      <c r="A470" s="8"/>
      <c r="B470" s="8"/>
      <c r="C470" s="8"/>
      <c r="D470" s="8"/>
      <c r="E470" s="8"/>
      <c r="F470" s="8"/>
      <c r="G470" s="8"/>
      <c r="H470" s="47"/>
      <c r="I470" s="7"/>
    </row>
    <row r="471">
      <c r="A471" s="8"/>
      <c r="B471" s="8"/>
      <c r="C471" s="8"/>
      <c r="D471" s="8"/>
      <c r="E471" s="8"/>
      <c r="F471" s="8"/>
      <c r="G471" s="8"/>
      <c r="H471" s="47"/>
      <c r="I471" s="7"/>
    </row>
    <row r="472">
      <c r="A472" s="8"/>
      <c r="B472" s="8"/>
      <c r="C472" s="8"/>
      <c r="D472" s="8"/>
      <c r="E472" s="8"/>
      <c r="F472" s="8"/>
      <c r="G472" s="8"/>
      <c r="H472" s="47"/>
      <c r="I472" s="7"/>
    </row>
    <row r="473">
      <c r="A473" s="8"/>
      <c r="B473" s="8"/>
      <c r="C473" s="8"/>
      <c r="D473" s="8"/>
      <c r="E473" s="8"/>
      <c r="F473" s="8"/>
      <c r="G473" s="8"/>
      <c r="H473" s="47"/>
      <c r="I473" s="7"/>
    </row>
    <row r="474">
      <c r="A474" s="8"/>
      <c r="B474" s="8"/>
      <c r="C474" s="8"/>
      <c r="D474" s="8"/>
      <c r="E474" s="8"/>
      <c r="F474" s="8"/>
      <c r="G474" s="8"/>
      <c r="H474" s="47"/>
      <c r="I474" s="7"/>
    </row>
    <row r="475">
      <c r="A475" s="8"/>
      <c r="B475" s="8"/>
      <c r="C475" s="8"/>
      <c r="D475" s="8"/>
      <c r="E475" s="8"/>
      <c r="F475" s="8"/>
      <c r="G475" s="8"/>
      <c r="H475" s="47"/>
      <c r="I475" s="7"/>
    </row>
    <row r="476">
      <c r="A476" s="8"/>
      <c r="B476" s="8"/>
      <c r="C476" s="8"/>
      <c r="D476" s="8"/>
      <c r="E476" s="8"/>
      <c r="F476" s="8"/>
      <c r="G476" s="8"/>
      <c r="H476" s="47"/>
      <c r="I476" s="7"/>
    </row>
    <row r="477">
      <c r="A477" s="8"/>
      <c r="B477" s="8"/>
      <c r="C477" s="8"/>
      <c r="D477" s="8"/>
      <c r="E477" s="8"/>
      <c r="F477" s="8"/>
      <c r="G477" s="8"/>
      <c r="H477" s="47"/>
      <c r="I477" s="7"/>
    </row>
    <row r="478">
      <c r="A478" s="8"/>
      <c r="B478" s="8"/>
      <c r="C478" s="8"/>
      <c r="D478" s="8"/>
      <c r="E478" s="8"/>
      <c r="F478" s="8"/>
      <c r="G478" s="8"/>
      <c r="H478" s="47"/>
      <c r="I478" s="7"/>
    </row>
    <row r="479">
      <c r="A479" s="8"/>
      <c r="B479" s="8"/>
      <c r="C479" s="8"/>
      <c r="D479" s="8"/>
      <c r="E479" s="8"/>
      <c r="F479" s="8"/>
      <c r="G479" s="8"/>
      <c r="H479" s="47"/>
      <c r="I479" s="7"/>
    </row>
    <row r="480">
      <c r="A480" s="8"/>
      <c r="B480" s="8"/>
      <c r="C480" s="8"/>
      <c r="D480" s="8"/>
      <c r="E480" s="8"/>
      <c r="F480" s="8"/>
      <c r="G480" s="8"/>
      <c r="H480" s="47"/>
      <c r="I480" s="7"/>
    </row>
    <row r="481">
      <c r="A481" s="8"/>
      <c r="B481" s="8"/>
      <c r="C481" s="8"/>
      <c r="D481" s="8"/>
      <c r="E481" s="8"/>
      <c r="F481" s="8"/>
      <c r="G481" s="8"/>
      <c r="H481" s="47"/>
      <c r="I481" s="7"/>
    </row>
    <row r="482">
      <c r="A482" s="8"/>
      <c r="B482" s="8"/>
      <c r="C482" s="8"/>
      <c r="D482" s="8"/>
      <c r="E482" s="8"/>
      <c r="F482" s="8"/>
      <c r="G482" s="8"/>
      <c r="H482" s="47"/>
      <c r="I482" s="7"/>
    </row>
    <row r="483">
      <c r="A483" s="8"/>
      <c r="B483" s="8"/>
      <c r="C483" s="8"/>
      <c r="D483" s="8"/>
      <c r="E483" s="8"/>
      <c r="F483" s="8"/>
      <c r="G483" s="8"/>
      <c r="H483" s="47"/>
      <c r="I483" s="7"/>
    </row>
    <row r="484">
      <c r="A484" s="8"/>
      <c r="B484" s="8"/>
      <c r="C484" s="8"/>
      <c r="D484" s="8"/>
      <c r="E484" s="8"/>
      <c r="F484" s="8"/>
      <c r="G484" s="8"/>
      <c r="H484" s="47"/>
      <c r="I484" s="7"/>
    </row>
    <row r="485">
      <c r="A485" s="8"/>
      <c r="B485" s="8"/>
      <c r="C485" s="8"/>
      <c r="D485" s="8"/>
      <c r="E485" s="8"/>
      <c r="F485" s="8"/>
      <c r="G485" s="8"/>
      <c r="H485" s="47"/>
      <c r="I485" s="7"/>
    </row>
    <row r="486">
      <c r="A486" s="8"/>
      <c r="B486" s="8"/>
      <c r="C486" s="8"/>
      <c r="D486" s="8"/>
      <c r="E486" s="8"/>
      <c r="F486" s="8"/>
      <c r="G486" s="8"/>
      <c r="H486" s="47"/>
      <c r="I486" s="7"/>
    </row>
    <row r="487">
      <c r="A487" s="8"/>
      <c r="B487" s="8"/>
      <c r="C487" s="8"/>
      <c r="D487" s="8"/>
      <c r="E487" s="8"/>
      <c r="F487" s="8"/>
      <c r="G487" s="8"/>
      <c r="H487" s="47"/>
      <c r="I487" s="7"/>
    </row>
    <row r="488">
      <c r="A488" s="8"/>
      <c r="B488" s="8"/>
      <c r="C488" s="8"/>
      <c r="D488" s="8"/>
      <c r="E488" s="8"/>
      <c r="F488" s="8"/>
      <c r="G488" s="8"/>
      <c r="H488" s="47"/>
      <c r="I488" s="7"/>
    </row>
    <row r="489">
      <c r="A489" s="8"/>
      <c r="B489" s="8"/>
      <c r="C489" s="8"/>
      <c r="D489" s="8"/>
      <c r="E489" s="8"/>
      <c r="F489" s="8"/>
      <c r="G489" s="8"/>
      <c r="H489" s="47"/>
      <c r="I489" s="7"/>
    </row>
    <row r="490">
      <c r="A490" s="8"/>
      <c r="B490" s="8"/>
      <c r="C490" s="8"/>
      <c r="D490" s="8"/>
      <c r="E490" s="8"/>
      <c r="F490" s="8"/>
      <c r="G490" s="8"/>
      <c r="H490" s="47"/>
      <c r="I490" s="7"/>
    </row>
    <row r="491">
      <c r="A491" s="8"/>
      <c r="B491" s="8"/>
      <c r="C491" s="8"/>
      <c r="D491" s="8"/>
      <c r="E491" s="8"/>
      <c r="F491" s="8"/>
      <c r="G491" s="8"/>
      <c r="H491" s="47"/>
      <c r="I491" s="7"/>
    </row>
    <row r="492">
      <c r="A492" s="8"/>
      <c r="B492" s="8"/>
      <c r="C492" s="8"/>
      <c r="D492" s="8"/>
      <c r="E492" s="8"/>
      <c r="F492" s="8"/>
      <c r="G492" s="8"/>
      <c r="H492" s="47"/>
      <c r="I492" s="7"/>
    </row>
    <row r="493">
      <c r="A493" s="8"/>
      <c r="B493" s="8"/>
      <c r="C493" s="8"/>
      <c r="D493" s="8"/>
      <c r="E493" s="8"/>
      <c r="F493" s="8"/>
      <c r="G493" s="8"/>
      <c r="H493" s="47"/>
      <c r="I493" s="7"/>
    </row>
    <row r="494">
      <c r="A494" s="8"/>
      <c r="B494" s="8"/>
      <c r="C494" s="8"/>
      <c r="D494" s="8"/>
      <c r="E494" s="8"/>
      <c r="F494" s="8"/>
      <c r="G494" s="8"/>
      <c r="H494" s="47"/>
      <c r="I494" s="7"/>
    </row>
    <row r="495">
      <c r="A495" s="8"/>
      <c r="B495" s="8"/>
      <c r="C495" s="8"/>
      <c r="D495" s="8"/>
      <c r="E495" s="8"/>
      <c r="F495" s="8"/>
      <c r="G495" s="8"/>
      <c r="H495" s="47"/>
      <c r="I495" s="7"/>
    </row>
    <row r="496">
      <c r="A496" s="8"/>
      <c r="B496" s="8"/>
      <c r="C496" s="8"/>
      <c r="D496" s="8"/>
      <c r="E496" s="8"/>
      <c r="F496" s="8"/>
      <c r="G496" s="8"/>
      <c r="H496" s="47"/>
      <c r="I496" s="7"/>
    </row>
    <row r="497">
      <c r="A497" s="8"/>
      <c r="B497" s="8"/>
      <c r="C497" s="8"/>
      <c r="D497" s="8"/>
      <c r="E497" s="8"/>
      <c r="F497" s="8"/>
      <c r="G497" s="8"/>
      <c r="H497" s="47"/>
      <c r="I497" s="7"/>
    </row>
    <row r="498">
      <c r="A498" s="8"/>
      <c r="B498" s="8"/>
      <c r="C498" s="8"/>
      <c r="D498" s="8"/>
      <c r="E498" s="8"/>
      <c r="F498" s="8"/>
      <c r="G498" s="8"/>
      <c r="H498" s="47"/>
      <c r="I498" s="7"/>
    </row>
    <row r="499">
      <c r="A499" s="8"/>
      <c r="B499" s="8"/>
      <c r="C499" s="8"/>
      <c r="D499" s="8"/>
      <c r="E499" s="8"/>
      <c r="F499" s="8"/>
      <c r="G499" s="8"/>
      <c r="H499" s="47"/>
      <c r="I499" s="7"/>
    </row>
    <row r="500">
      <c r="A500" s="8"/>
      <c r="B500" s="8"/>
      <c r="C500" s="8"/>
      <c r="D500" s="8"/>
      <c r="E500" s="8"/>
      <c r="F500" s="8"/>
      <c r="G500" s="8"/>
      <c r="H500" s="47"/>
      <c r="I500" s="7"/>
    </row>
    <row r="501">
      <c r="A501" s="8"/>
      <c r="B501" s="8"/>
      <c r="C501" s="8"/>
      <c r="D501" s="8"/>
      <c r="E501" s="8"/>
      <c r="F501" s="8"/>
      <c r="G501" s="8"/>
      <c r="H501" s="47"/>
      <c r="I501" s="7"/>
    </row>
    <row r="502">
      <c r="A502" s="8"/>
      <c r="B502" s="8"/>
      <c r="C502" s="8"/>
      <c r="D502" s="8"/>
      <c r="E502" s="8"/>
      <c r="F502" s="8"/>
      <c r="G502" s="8"/>
      <c r="H502" s="47"/>
      <c r="I502" s="7"/>
    </row>
    <row r="503">
      <c r="A503" s="8"/>
      <c r="B503" s="8"/>
      <c r="C503" s="8"/>
      <c r="D503" s="8"/>
      <c r="E503" s="8"/>
      <c r="F503" s="8"/>
      <c r="G503" s="8"/>
      <c r="H503" s="47"/>
      <c r="I503" s="7"/>
    </row>
    <row r="504">
      <c r="A504" s="8"/>
      <c r="B504" s="8"/>
      <c r="C504" s="8"/>
      <c r="D504" s="8"/>
      <c r="E504" s="8"/>
      <c r="F504" s="8"/>
      <c r="G504" s="8"/>
      <c r="H504" s="47"/>
      <c r="I504" s="7"/>
    </row>
    <row r="505">
      <c r="A505" s="8"/>
      <c r="B505" s="8"/>
      <c r="C505" s="8"/>
      <c r="D505" s="8"/>
      <c r="E505" s="8"/>
      <c r="F505" s="8"/>
      <c r="G505" s="8"/>
      <c r="H505" s="47"/>
      <c r="I505" s="7"/>
    </row>
    <row r="506">
      <c r="A506" s="8"/>
      <c r="B506" s="8"/>
      <c r="C506" s="8"/>
      <c r="D506" s="8"/>
      <c r="E506" s="8"/>
      <c r="F506" s="8"/>
      <c r="G506" s="8"/>
      <c r="H506" s="47"/>
      <c r="I506" s="7"/>
    </row>
    <row r="507">
      <c r="A507" s="8"/>
      <c r="B507" s="8"/>
      <c r="C507" s="8"/>
      <c r="D507" s="8"/>
      <c r="E507" s="8"/>
      <c r="F507" s="8"/>
      <c r="G507" s="8"/>
      <c r="H507" s="47"/>
      <c r="I507" s="7"/>
    </row>
    <row r="508">
      <c r="A508" s="8"/>
      <c r="B508" s="8"/>
      <c r="C508" s="8"/>
      <c r="D508" s="8"/>
      <c r="E508" s="8"/>
      <c r="F508" s="8"/>
      <c r="G508" s="8"/>
      <c r="H508" s="47"/>
      <c r="I508" s="7"/>
    </row>
    <row r="509">
      <c r="A509" s="8"/>
      <c r="B509" s="8"/>
      <c r="C509" s="8"/>
      <c r="D509" s="8"/>
      <c r="E509" s="8"/>
      <c r="F509" s="8"/>
      <c r="G509" s="8"/>
      <c r="H509" s="47"/>
      <c r="I509" s="7"/>
    </row>
    <row r="510">
      <c r="A510" s="8"/>
      <c r="B510" s="8"/>
      <c r="C510" s="8"/>
      <c r="D510" s="8"/>
      <c r="E510" s="8"/>
      <c r="F510" s="8"/>
      <c r="G510" s="8"/>
      <c r="H510" s="47"/>
      <c r="I510" s="7"/>
    </row>
    <row r="511">
      <c r="A511" s="8"/>
      <c r="B511" s="8"/>
      <c r="C511" s="8"/>
      <c r="D511" s="8"/>
      <c r="E511" s="8"/>
      <c r="F511" s="8"/>
      <c r="G511" s="8"/>
      <c r="H511" s="47"/>
      <c r="I511" s="7"/>
    </row>
    <row r="512">
      <c r="A512" s="8"/>
      <c r="B512" s="8"/>
      <c r="C512" s="8"/>
      <c r="D512" s="8"/>
      <c r="E512" s="8"/>
      <c r="F512" s="8"/>
      <c r="G512" s="8"/>
      <c r="H512" s="47"/>
      <c r="I512" s="7"/>
    </row>
    <row r="513">
      <c r="A513" s="8"/>
      <c r="B513" s="8"/>
      <c r="C513" s="8"/>
      <c r="D513" s="8"/>
      <c r="E513" s="8"/>
      <c r="F513" s="8"/>
      <c r="G513" s="8"/>
      <c r="H513" s="47"/>
      <c r="I513" s="7"/>
    </row>
    <row r="514">
      <c r="A514" s="8"/>
      <c r="B514" s="8"/>
      <c r="C514" s="8"/>
      <c r="D514" s="8"/>
      <c r="E514" s="8"/>
      <c r="F514" s="8"/>
      <c r="G514" s="8"/>
      <c r="H514" s="47"/>
      <c r="I514" s="7"/>
    </row>
    <row r="515">
      <c r="A515" s="8"/>
      <c r="B515" s="8"/>
      <c r="C515" s="8"/>
      <c r="D515" s="8"/>
      <c r="E515" s="8"/>
      <c r="F515" s="8"/>
      <c r="G515" s="8"/>
      <c r="H515" s="47"/>
      <c r="I515" s="7"/>
    </row>
    <row r="516">
      <c r="A516" s="8"/>
      <c r="B516" s="8"/>
      <c r="C516" s="8"/>
      <c r="D516" s="8"/>
      <c r="E516" s="8"/>
      <c r="F516" s="8"/>
      <c r="G516" s="8"/>
      <c r="H516" s="47"/>
      <c r="I516" s="7"/>
    </row>
    <row r="517">
      <c r="A517" s="8"/>
      <c r="B517" s="8"/>
      <c r="C517" s="8"/>
      <c r="D517" s="8"/>
      <c r="E517" s="8"/>
      <c r="F517" s="8"/>
      <c r="G517" s="8"/>
      <c r="H517" s="47"/>
      <c r="I517" s="7"/>
    </row>
    <row r="518">
      <c r="A518" s="8"/>
      <c r="B518" s="8"/>
      <c r="C518" s="8"/>
      <c r="D518" s="8"/>
      <c r="E518" s="8"/>
      <c r="F518" s="8"/>
      <c r="G518" s="8"/>
      <c r="H518" s="47"/>
      <c r="I518" s="7"/>
    </row>
    <row r="519">
      <c r="A519" s="8"/>
      <c r="B519" s="8"/>
      <c r="C519" s="8"/>
      <c r="D519" s="8"/>
      <c r="E519" s="8"/>
      <c r="F519" s="8"/>
      <c r="G519" s="8"/>
      <c r="H519" s="47"/>
      <c r="I519" s="7"/>
    </row>
    <row r="520">
      <c r="A520" s="8"/>
      <c r="B520" s="8"/>
      <c r="C520" s="8"/>
      <c r="D520" s="8"/>
      <c r="E520" s="8"/>
      <c r="F520" s="8"/>
      <c r="G520" s="8"/>
      <c r="H520" s="47"/>
      <c r="I520" s="7"/>
    </row>
    <row r="521">
      <c r="A521" s="8"/>
      <c r="B521" s="8"/>
      <c r="C521" s="8"/>
      <c r="D521" s="8"/>
      <c r="E521" s="8"/>
      <c r="F521" s="8"/>
      <c r="G521" s="8"/>
      <c r="H521" s="47"/>
      <c r="I521" s="7"/>
    </row>
    <row r="522">
      <c r="A522" s="8"/>
      <c r="B522" s="8"/>
      <c r="C522" s="8"/>
      <c r="D522" s="8"/>
      <c r="E522" s="8"/>
      <c r="F522" s="8"/>
      <c r="G522" s="8"/>
      <c r="H522" s="47"/>
      <c r="I522" s="7"/>
    </row>
    <row r="523">
      <c r="A523" s="8"/>
      <c r="B523" s="8"/>
      <c r="C523" s="8"/>
      <c r="D523" s="8"/>
      <c r="E523" s="8"/>
      <c r="F523" s="8"/>
      <c r="G523" s="8"/>
      <c r="H523" s="47"/>
      <c r="I523" s="7"/>
    </row>
    <row r="524">
      <c r="A524" s="8"/>
      <c r="B524" s="8"/>
      <c r="C524" s="8"/>
      <c r="D524" s="8"/>
      <c r="E524" s="8"/>
      <c r="F524" s="8"/>
      <c r="G524" s="8"/>
      <c r="H524" s="47"/>
      <c r="I524" s="7"/>
    </row>
    <row r="525">
      <c r="A525" s="8"/>
      <c r="B525" s="8"/>
      <c r="C525" s="8"/>
      <c r="D525" s="8"/>
      <c r="E525" s="8"/>
      <c r="F525" s="8"/>
      <c r="G525" s="8"/>
      <c r="H525" s="47"/>
      <c r="I525" s="7"/>
    </row>
    <row r="526">
      <c r="A526" s="8"/>
      <c r="B526" s="8"/>
      <c r="C526" s="8"/>
      <c r="D526" s="8"/>
      <c r="E526" s="8"/>
      <c r="F526" s="8"/>
      <c r="G526" s="8"/>
      <c r="H526" s="47"/>
      <c r="I526" s="7"/>
    </row>
    <row r="527">
      <c r="A527" s="8"/>
      <c r="B527" s="8"/>
      <c r="C527" s="8"/>
      <c r="D527" s="8"/>
      <c r="E527" s="8"/>
      <c r="F527" s="8"/>
      <c r="G527" s="8"/>
      <c r="H527" s="47"/>
      <c r="I527" s="7"/>
    </row>
    <row r="528">
      <c r="A528" s="8"/>
      <c r="B528" s="8"/>
      <c r="C528" s="8"/>
      <c r="D528" s="8"/>
      <c r="E528" s="8"/>
      <c r="F528" s="8"/>
      <c r="G528" s="8"/>
      <c r="H528" s="47"/>
      <c r="I528" s="7"/>
    </row>
    <row r="529">
      <c r="A529" s="8"/>
      <c r="B529" s="8"/>
      <c r="C529" s="8"/>
      <c r="D529" s="8"/>
      <c r="E529" s="8"/>
      <c r="F529" s="8"/>
      <c r="G529" s="8"/>
      <c r="H529" s="47"/>
      <c r="I529" s="7"/>
    </row>
    <row r="530">
      <c r="A530" s="8"/>
      <c r="B530" s="8"/>
      <c r="C530" s="8"/>
      <c r="D530" s="8"/>
      <c r="E530" s="8"/>
      <c r="F530" s="8"/>
      <c r="G530" s="8"/>
      <c r="H530" s="47"/>
      <c r="I530" s="7"/>
    </row>
    <row r="531">
      <c r="A531" s="8"/>
      <c r="B531" s="8"/>
      <c r="C531" s="8"/>
      <c r="D531" s="8"/>
      <c r="E531" s="8"/>
      <c r="F531" s="8"/>
      <c r="G531" s="8"/>
      <c r="H531" s="47"/>
      <c r="I531" s="7"/>
    </row>
    <row r="532">
      <c r="A532" s="8"/>
      <c r="B532" s="8"/>
      <c r="C532" s="8"/>
      <c r="D532" s="8"/>
      <c r="E532" s="8"/>
      <c r="F532" s="8"/>
      <c r="G532" s="8"/>
      <c r="H532" s="47"/>
      <c r="I532" s="7"/>
    </row>
    <row r="533">
      <c r="A533" s="8"/>
      <c r="B533" s="8"/>
      <c r="C533" s="8"/>
      <c r="D533" s="8"/>
      <c r="E533" s="8"/>
      <c r="F533" s="8"/>
      <c r="G533" s="8"/>
      <c r="H533" s="47"/>
      <c r="I533" s="7"/>
    </row>
    <row r="534">
      <c r="A534" s="8"/>
      <c r="B534" s="8"/>
      <c r="C534" s="8"/>
      <c r="D534" s="8"/>
      <c r="E534" s="8"/>
      <c r="F534" s="8"/>
      <c r="G534" s="8"/>
      <c r="H534" s="47"/>
      <c r="I534" s="7"/>
    </row>
    <row r="535">
      <c r="A535" s="8"/>
      <c r="B535" s="8"/>
      <c r="C535" s="8"/>
      <c r="D535" s="8"/>
      <c r="E535" s="8"/>
      <c r="F535" s="8"/>
      <c r="G535" s="8"/>
      <c r="H535" s="47"/>
      <c r="I535" s="7"/>
    </row>
    <row r="536">
      <c r="A536" s="8"/>
      <c r="B536" s="8"/>
      <c r="C536" s="8"/>
      <c r="D536" s="8"/>
      <c r="E536" s="8"/>
      <c r="F536" s="8"/>
      <c r="G536" s="8"/>
      <c r="H536" s="47"/>
      <c r="I536" s="7"/>
    </row>
    <row r="537">
      <c r="A537" s="8"/>
      <c r="B537" s="8"/>
      <c r="C537" s="8"/>
      <c r="D537" s="8"/>
      <c r="E537" s="8"/>
      <c r="F537" s="8"/>
      <c r="G537" s="8"/>
      <c r="H537" s="47"/>
      <c r="I537" s="7"/>
    </row>
    <row r="538">
      <c r="A538" s="8"/>
      <c r="B538" s="8"/>
      <c r="C538" s="8"/>
      <c r="D538" s="8"/>
      <c r="E538" s="8"/>
      <c r="F538" s="8"/>
      <c r="G538" s="8"/>
      <c r="H538" s="47"/>
      <c r="I538" s="7"/>
    </row>
    <row r="539">
      <c r="A539" s="8"/>
      <c r="B539" s="8"/>
      <c r="C539" s="8"/>
      <c r="D539" s="8"/>
      <c r="E539" s="8"/>
      <c r="F539" s="8"/>
      <c r="G539" s="8"/>
      <c r="H539" s="47"/>
      <c r="I539" s="7"/>
    </row>
    <row r="540">
      <c r="A540" s="8"/>
      <c r="B540" s="8"/>
      <c r="C540" s="8"/>
      <c r="D540" s="8"/>
      <c r="E540" s="8"/>
      <c r="F540" s="8"/>
      <c r="G540" s="8"/>
      <c r="H540" s="47"/>
      <c r="I540" s="7"/>
    </row>
    <row r="541">
      <c r="A541" s="8"/>
      <c r="B541" s="8"/>
      <c r="C541" s="8"/>
      <c r="D541" s="8"/>
      <c r="E541" s="8"/>
      <c r="F541" s="8"/>
      <c r="G541" s="8"/>
      <c r="H541" s="47"/>
      <c r="I541" s="7"/>
    </row>
    <row r="542">
      <c r="A542" s="8"/>
      <c r="B542" s="8"/>
      <c r="C542" s="8"/>
      <c r="D542" s="8"/>
      <c r="E542" s="8"/>
      <c r="F542" s="8"/>
      <c r="G542" s="8"/>
      <c r="H542" s="47"/>
      <c r="I542" s="7"/>
    </row>
    <row r="543">
      <c r="A543" s="8"/>
      <c r="B543" s="8"/>
      <c r="C543" s="8"/>
      <c r="D543" s="8"/>
      <c r="E543" s="8"/>
      <c r="F543" s="8"/>
      <c r="G543" s="8"/>
      <c r="H543" s="47"/>
      <c r="I543" s="7"/>
    </row>
    <row r="544">
      <c r="A544" s="8"/>
      <c r="B544" s="8"/>
      <c r="C544" s="8"/>
      <c r="D544" s="8"/>
      <c r="E544" s="8"/>
      <c r="F544" s="8"/>
      <c r="G544" s="8"/>
      <c r="H544" s="47"/>
      <c r="I544" s="7"/>
    </row>
    <row r="545">
      <c r="A545" s="8"/>
      <c r="B545" s="8"/>
      <c r="C545" s="8"/>
      <c r="D545" s="8"/>
      <c r="E545" s="8"/>
      <c r="F545" s="8"/>
      <c r="G545" s="8"/>
      <c r="H545" s="47"/>
      <c r="I545" s="7"/>
    </row>
    <row r="546">
      <c r="A546" s="8"/>
      <c r="B546" s="8"/>
      <c r="C546" s="8"/>
      <c r="D546" s="8"/>
      <c r="E546" s="8"/>
      <c r="F546" s="8"/>
      <c r="G546" s="8"/>
      <c r="H546" s="47"/>
      <c r="I546" s="7"/>
    </row>
    <row r="547">
      <c r="A547" s="8"/>
      <c r="B547" s="8"/>
      <c r="C547" s="8"/>
      <c r="D547" s="8"/>
      <c r="E547" s="8"/>
      <c r="F547" s="8"/>
      <c r="G547" s="8"/>
      <c r="H547" s="47"/>
      <c r="I547" s="7"/>
    </row>
    <row r="548">
      <c r="A548" s="8"/>
      <c r="B548" s="8"/>
      <c r="C548" s="8"/>
      <c r="D548" s="8"/>
      <c r="E548" s="8"/>
      <c r="F548" s="8"/>
      <c r="G548" s="8"/>
      <c r="H548" s="47"/>
      <c r="I548" s="7"/>
    </row>
    <row r="549">
      <c r="A549" s="8"/>
      <c r="B549" s="8"/>
      <c r="C549" s="8"/>
      <c r="D549" s="8"/>
      <c r="E549" s="8"/>
      <c r="F549" s="8"/>
      <c r="G549" s="8"/>
      <c r="H549" s="47"/>
      <c r="I549" s="7"/>
    </row>
    <row r="550">
      <c r="A550" s="8"/>
      <c r="B550" s="8"/>
      <c r="C550" s="8"/>
      <c r="D550" s="8"/>
      <c r="E550" s="8"/>
      <c r="F550" s="8"/>
      <c r="G550" s="8"/>
      <c r="H550" s="47"/>
      <c r="I550" s="7"/>
    </row>
    <row r="551">
      <c r="A551" s="8"/>
      <c r="B551" s="8"/>
      <c r="C551" s="8"/>
      <c r="D551" s="8"/>
      <c r="E551" s="8"/>
      <c r="F551" s="8"/>
      <c r="G551" s="8"/>
      <c r="H551" s="47"/>
      <c r="I551" s="7"/>
    </row>
    <row r="552">
      <c r="A552" s="8"/>
      <c r="B552" s="8"/>
      <c r="C552" s="8"/>
      <c r="D552" s="8"/>
      <c r="E552" s="8"/>
      <c r="F552" s="8"/>
      <c r="G552" s="8"/>
      <c r="H552" s="47"/>
      <c r="I552" s="7"/>
    </row>
    <row r="553">
      <c r="A553" s="8"/>
      <c r="B553" s="8"/>
      <c r="C553" s="8"/>
      <c r="D553" s="8"/>
      <c r="E553" s="8"/>
      <c r="F553" s="8"/>
      <c r="G553" s="8"/>
      <c r="H553" s="47"/>
      <c r="I553" s="7"/>
    </row>
    <row r="554">
      <c r="A554" s="8"/>
      <c r="B554" s="8"/>
      <c r="C554" s="8"/>
      <c r="D554" s="8"/>
      <c r="E554" s="8"/>
      <c r="F554" s="8"/>
      <c r="G554" s="8"/>
      <c r="H554" s="47"/>
      <c r="I554" s="7"/>
    </row>
    <row r="555">
      <c r="A555" s="8"/>
      <c r="B555" s="8"/>
      <c r="C555" s="8"/>
      <c r="D555" s="8"/>
      <c r="E555" s="8"/>
      <c r="F555" s="8"/>
      <c r="G555" s="8"/>
      <c r="H555" s="47"/>
      <c r="I555" s="7"/>
    </row>
    <row r="556">
      <c r="A556" s="8"/>
      <c r="B556" s="8"/>
      <c r="C556" s="8"/>
      <c r="D556" s="8"/>
      <c r="E556" s="8"/>
      <c r="F556" s="8"/>
      <c r="G556" s="8"/>
      <c r="H556" s="47"/>
      <c r="I556" s="7"/>
    </row>
    <row r="557">
      <c r="A557" s="8"/>
      <c r="B557" s="8"/>
      <c r="C557" s="8"/>
      <c r="D557" s="8"/>
      <c r="E557" s="8"/>
      <c r="F557" s="8"/>
      <c r="G557" s="8"/>
      <c r="H557" s="47"/>
      <c r="I557" s="7"/>
    </row>
    <row r="558">
      <c r="A558" s="8"/>
      <c r="B558" s="8"/>
      <c r="C558" s="8"/>
      <c r="D558" s="8"/>
      <c r="E558" s="8"/>
      <c r="F558" s="8"/>
      <c r="G558" s="8"/>
      <c r="H558" s="47"/>
      <c r="I558" s="7"/>
    </row>
    <row r="559">
      <c r="A559" s="8"/>
      <c r="B559" s="8"/>
      <c r="C559" s="8"/>
      <c r="D559" s="8"/>
      <c r="E559" s="8"/>
      <c r="F559" s="8"/>
      <c r="G559" s="8"/>
      <c r="H559" s="47"/>
      <c r="I559" s="7"/>
    </row>
    <row r="560">
      <c r="A560" s="8"/>
      <c r="B560" s="8"/>
      <c r="C560" s="8"/>
      <c r="D560" s="8"/>
      <c r="E560" s="8"/>
      <c r="F560" s="8"/>
      <c r="G560" s="8"/>
      <c r="H560" s="47"/>
      <c r="I560" s="7"/>
    </row>
    <row r="561">
      <c r="A561" s="8"/>
      <c r="B561" s="8"/>
      <c r="C561" s="8"/>
      <c r="D561" s="8"/>
      <c r="E561" s="8"/>
      <c r="F561" s="8"/>
      <c r="G561" s="8"/>
      <c r="H561" s="47"/>
      <c r="I561" s="7"/>
    </row>
    <row r="562">
      <c r="A562" s="8"/>
      <c r="B562" s="8"/>
      <c r="C562" s="8"/>
      <c r="D562" s="8"/>
      <c r="E562" s="8"/>
      <c r="F562" s="8"/>
      <c r="G562" s="8"/>
      <c r="H562" s="47"/>
      <c r="I562" s="7"/>
    </row>
    <row r="563">
      <c r="A563" s="8"/>
      <c r="B563" s="8"/>
      <c r="C563" s="8"/>
      <c r="D563" s="8"/>
      <c r="E563" s="8"/>
      <c r="F563" s="8"/>
      <c r="G563" s="8"/>
      <c r="H563" s="47"/>
      <c r="I563" s="7"/>
    </row>
    <row r="564">
      <c r="A564" s="8"/>
      <c r="B564" s="8"/>
      <c r="C564" s="8"/>
      <c r="D564" s="8"/>
      <c r="E564" s="8"/>
      <c r="F564" s="8"/>
      <c r="G564" s="8"/>
      <c r="H564" s="47"/>
      <c r="I564" s="7"/>
    </row>
    <row r="565">
      <c r="A565" s="8"/>
      <c r="B565" s="8"/>
      <c r="C565" s="8"/>
      <c r="D565" s="8"/>
      <c r="E565" s="8"/>
      <c r="F565" s="8"/>
      <c r="G565" s="8"/>
      <c r="H565" s="47"/>
      <c r="I565" s="7"/>
    </row>
    <row r="566">
      <c r="A566" s="8"/>
      <c r="B566" s="8"/>
      <c r="C566" s="8"/>
      <c r="D566" s="8"/>
      <c r="E566" s="8"/>
      <c r="F566" s="8"/>
      <c r="G566" s="8"/>
      <c r="H566" s="47"/>
      <c r="I566" s="7"/>
    </row>
    <row r="567">
      <c r="A567" s="8"/>
      <c r="B567" s="8"/>
      <c r="C567" s="8"/>
      <c r="D567" s="8"/>
      <c r="E567" s="8"/>
      <c r="F567" s="8"/>
      <c r="G567" s="8"/>
      <c r="H567" s="47"/>
      <c r="I567" s="7"/>
    </row>
    <row r="568">
      <c r="A568" s="8"/>
      <c r="B568" s="8"/>
      <c r="C568" s="8"/>
      <c r="D568" s="8"/>
      <c r="E568" s="8"/>
      <c r="F568" s="8"/>
      <c r="G568" s="8"/>
      <c r="H568" s="47"/>
      <c r="I568" s="7"/>
    </row>
    <row r="569">
      <c r="A569" s="8"/>
      <c r="B569" s="8"/>
      <c r="C569" s="8"/>
      <c r="D569" s="8"/>
      <c r="E569" s="8"/>
      <c r="F569" s="8"/>
      <c r="G569" s="8"/>
      <c r="H569" s="47"/>
      <c r="I569" s="7"/>
    </row>
    <row r="570">
      <c r="A570" s="8"/>
      <c r="B570" s="8"/>
      <c r="C570" s="8"/>
      <c r="D570" s="8"/>
      <c r="E570" s="8"/>
      <c r="F570" s="8"/>
      <c r="G570" s="8"/>
      <c r="H570" s="47"/>
      <c r="I570" s="7"/>
    </row>
    <row r="571">
      <c r="A571" s="8"/>
      <c r="B571" s="8"/>
      <c r="C571" s="8"/>
      <c r="D571" s="8"/>
      <c r="E571" s="8"/>
      <c r="F571" s="8"/>
      <c r="G571" s="8"/>
      <c r="H571" s="47"/>
      <c r="I571" s="7"/>
    </row>
    <row r="572">
      <c r="A572" s="8"/>
      <c r="B572" s="8"/>
      <c r="C572" s="8"/>
      <c r="D572" s="8"/>
      <c r="E572" s="8"/>
      <c r="F572" s="8"/>
      <c r="G572" s="8"/>
      <c r="H572" s="47"/>
      <c r="I572" s="7"/>
    </row>
    <row r="573">
      <c r="A573" s="8"/>
      <c r="B573" s="8"/>
      <c r="C573" s="8"/>
      <c r="D573" s="8"/>
      <c r="E573" s="8"/>
      <c r="F573" s="8"/>
      <c r="G573" s="8"/>
      <c r="H573" s="47"/>
      <c r="I573" s="7"/>
    </row>
    <row r="574">
      <c r="A574" s="8"/>
      <c r="B574" s="8"/>
      <c r="C574" s="8"/>
      <c r="D574" s="8"/>
      <c r="E574" s="8"/>
      <c r="F574" s="8"/>
      <c r="G574" s="8"/>
      <c r="H574" s="47"/>
      <c r="I574" s="7"/>
    </row>
    <row r="575">
      <c r="A575" s="8"/>
      <c r="B575" s="8"/>
      <c r="C575" s="8"/>
      <c r="D575" s="8"/>
      <c r="E575" s="8"/>
      <c r="F575" s="8"/>
      <c r="G575" s="8"/>
      <c r="H575" s="47"/>
      <c r="I575" s="7"/>
    </row>
    <row r="576">
      <c r="A576" s="8"/>
      <c r="B576" s="8"/>
      <c r="C576" s="8"/>
      <c r="D576" s="8"/>
      <c r="E576" s="8"/>
      <c r="F576" s="8"/>
      <c r="G576" s="8"/>
      <c r="H576" s="47"/>
      <c r="I576" s="7"/>
    </row>
    <row r="577">
      <c r="A577" s="8"/>
      <c r="B577" s="8"/>
      <c r="C577" s="8"/>
      <c r="D577" s="8"/>
      <c r="E577" s="8"/>
      <c r="F577" s="8"/>
      <c r="G577" s="8"/>
      <c r="H577" s="47"/>
      <c r="I577" s="7"/>
    </row>
    <row r="578">
      <c r="A578" s="8"/>
      <c r="B578" s="8"/>
      <c r="C578" s="8"/>
      <c r="D578" s="8"/>
      <c r="E578" s="8"/>
      <c r="F578" s="8"/>
      <c r="G578" s="8"/>
      <c r="H578" s="47"/>
      <c r="I578" s="7"/>
    </row>
    <row r="579">
      <c r="A579" s="8"/>
      <c r="B579" s="8"/>
      <c r="C579" s="8"/>
      <c r="D579" s="8"/>
      <c r="E579" s="8"/>
      <c r="F579" s="8"/>
      <c r="G579" s="8"/>
      <c r="H579" s="47"/>
      <c r="I579" s="7"/>
    </row>
    <row r="580">
      <c r="A580" s="8"/>
      <c r="B580" s="8"/>
      <c r="C580" s="8"/>
      <c r="D580" s="8"/>
      <c r="E580" s="8"/>
      <c r="F580" s="8"/>
      <c r="G580" s="8"/>
      <c r="H580" s="47"/>
      <c r="I580" s="7"/>
    </row>
    <row r="581">
      <c r="A581" s="8"/>
      <c r="B581" s="8"/>
      <c r="C581" s="8"/>
      <c r="D581" s="8"/>
      <c r="E581" s="8"/>
      <c r="F581" s="8"/>
      <c r="G581" s="8"/>
      <c r="H581" s="47"/>
      <c r="I581" s="7"/>
    </row>
    <row r="582">
      <c r="A582" s="8"/>
      <c r="B582" s="8"/>
      <c r="C582" s="8"/>
      <c r="D582" s="8"/>
      <c r="E582" s="8"/>
      <c r="F582" s="8"/>
      <c r="G582" s="8"/>
      <c r="H582" s="47"/>
      <c r="I582" s="7"/>
    </row>
    <row r="583">
      <c r="A583" s="8"/>
      <c r="B583" s="8"/>
      <c r="C583" s="8"/>
      <c r="D583" s="8"/>
      <c r="E583" s="8"/>
      <c r="F583" s="8"/>
      <c r="G583" s="8"/>
      <c r="H583" s="47"/>
      <c r="I583" s="7"/>
    </row>
    <row r="584">
      <c r="A584" s="8"/>
      <c r="B584" s="8"/>
      <c r="C584" s="8"/>
      <c r="D584" s="8"/>
      <c r="E584" s="8"/>
      <c r="F584" s="8"/>
      <c r="G584" s="8"/>
      <c r="H584" s="47"/>
      <c r="I584" s="7"/>
    </row>
    <row r="585">
      <c r="A585" s="8"/>
      <c r="B585" s="8"/>
      <c r="C585" s="8"/>
      <c r="D585" s="8"/>
      <c r="E585" s="8"/>
      <c r="F585" s="8"/>
      <c r="G585" s="8"/>
      <c r="H585" s="47"/>
      <c r="I585" s="7"/>
    </row>
    <row r="586">
      <c r="A586" s="8"/>
      <c r="B586" s="8"/>
      <c r="C586" s="8"/>
      <c r="D586" s="8"/>
      <c r="E586" s="8"/>
      <c r="F586" s="8"/>
      <c r="G586" s="8"/>
      <c r="H586" s="47"/>
      <c r="I586" s="7"/>
    </row>
    <row r="587">
      <c r="A587" s="8"/>
      <c r="B587" s="8"/>
      <c r="C587" s="8"/>
      <c r="D587" s="8"/>
      <c r="E587" s="8"/>
      <c r="F587" s="8"/>
      <c r="G587" s="8"/>
      <c r="H587" s="47"/>
      <c r="I587" s="7"/>
    </row>
    <row r="588">
      <c r="A588" s="8"/>
      <c r="B588" s="8"/>
      <c r="C588" s="8"/>
      <c r="D588" s="8"/>
      <c r="E588" s="8"/>
      <c r="F588" s="8"/>
      <c r="G588" s="8"/>
      <c r="H588" s="47"/>
      <c r="I588" s="7"/>
    </row>
    <row r="589">
      <c r="A589" s="8"/>
      <c r="B589" s="8"/>
      <c r="C589" s="8"/>
      <c r="D589" s="8"/>
      <c r="E589" s="8"/>
      <c r="F589" s="8"/>
      <c r="G589" s="8"/>
      <c r="H589" s="47"/>
      <c r="I589" s="7"/>
    </row>
    <row r="590">
      <c r="A590" s="8"/>
      <c r="B590" s="8"/>
      <c r="C590" s="8"/>
      <c r="D590" s="8"/>
      <c r="E590" s="8"/>
      <c r="F590" s="8"/>
      <c r="G590" s="8"/>
      <c r="H590" s="47"/>
      <c r="I590" s="7"/>
    </row>
    <row r="591">
      <c r="A591" s="8"/>
      <c r="B591" s="8"/>
      <c r="C591" s="8"/>
      <c r="D591" s="8"/>
      <c r="E591" s="8"/>
      <c r="F591" s="8"/>
      <c r="G591" s="8"/>
      <c r="H591" s="47"/>
      <c r="I591" s="7"/>
    </row>
    <row r="592">
      <c r="A592" s="8"/>
      <c r="B592" s="8"/>
      <c r="C592" s="8"/>
      <c r="D592" s="8"/>
      <c r="E592" s="8"/>
      <c r="F592" s="8"/>
      <c r="G592" s="8"/>
      <c r="H592" s="47"/>
      <c r="I592" s="7"/>
    </row>
    <row r="593">
      <c r="A593" s="8"/>
      <c r="B593" s="8"/>
      <c r="C593" s="8"/>
      <c r="D593" s="8"/>
      <c r="E593" s="8"/>
      <c r="F593" s="8"/>
      <c r="G593" s="8"/>
      <c r="H593" s="47"/>
      <c r="I593" s="7"/>
    </row>
    <row r="594">
      <c r="A594" s="8"/>
      <c r="B594" s="8"/>
      <c r="C594" s="8"/>
      <c r="D594" s="8"/>
      <c r="E594" s="8"/>
      <c r="F594" s="8"/>
      <c r="G594" s="8"/>
      <c r="H594" s="47"/>
      <c r="I594" s="7"/>
    </row>
    <row r="595">
      <c r="A595" s="8"/>
      <c r="B595" s="8"/>
      <c r="C595" s="8"/>
      <c r="D595" s="8"/>
      <c r="E595" s="8"/>
      <c r="F595" s="8"/>
      <c r="G595" s="8"/>
      <c r="H595" s="47"/>
      <c r="I595" s="7"/>
    </row>
    <row r="596">
      <c r="A596" s="8"/>
      <c r="B596" s="8"/>
      <c r="C596" s="8"/>
      <c r="D596" s="8"/>
      <c r="E596" s="8"/>
      <c r="F596" s="8"/>
      <c r="G596" s="8"/>
      <c r="H596" s="47"/>
      <c r="I596" s="7"/>
    </row>
    <row r="597">
      <c r="A597" s="8"/>
      <c r="B597" s="8"/>
      <c r="C597" s="8"/>
      <c r="D597" s="8"/>
      <c r="E597" s="8"/>
      <c r="F597" s="8"/>
      <c r="G597" s="8"/>
      <c r="H597" s="47"/>
      <c r="I597" s="7"/>
    </row>
    <row r="598">
      <c r="A598" s="8"/>
      <c r="B598" s="8"/>
      <c r="C598" s="8"/>
      <c r="D598" s="8"/>
      <c r="E598" s="8"/>
      <c r="F598" s="8"/>
      <c r="G598" s="8"/>
      <c r="H598" s="47"/>
      <c r="I598" s="7"/>
    </row>
    <row r="599">
      <c r="A599" s="8"/>
      <c r="B599" s="8"/>
      <c r="C599" s="8"/>
      <c r="D599" s="8"/>
      <c r="E599" s="8"/>
      <c r="F599" s="8"/>
      <c r="G599" s="8"/>
      <c r="H599" s="47"/>
      <c r="I599" s="7"/>
    </row>
    <row r="600">
      <c r="A600" s="8"/>
      <c r="B600" s="8"/>
      <c r="C600" s="8"/>
      <c r="D600" s="8"/>
      <c r="E600" s="8"/>
      <c r="F600" s="8"/>
      <c r="G600" s="8"/>
      <c r="H600" s="47"/>
      <c r="I600" s="7"/>
    </row>
    <row r="601">
      <c r="A601" s="8"/>
      <c r="B601" s="8"/>
      <c r="C601" s="8"/>
      <c r="D601" s="8"/>
      <c r="E601" s="8"/>
      <c r="F601" s="8"/>
      <c r="G601" s="8"/>
      <c r="H601" s="47"/>
      <c r="I601" s="7"/>
    </row>
    <row r="602">
      <c r="A602" s="8"/>
      <c r="B602" s="8"/>
      <c r="C602" s="8"/>
      <c r="D602" s="8"/>
      <c r="E602" s="8"/>
      <c r="F602" s="8"/>
      <c r="G602" s="8"/>
      <c r="H602" s="47"/>
      <c r="I602" s="7"/>
    </row>
    <row r="603">
      <c r="A603" s="8"/>
      <c r="B603" s="8"/>
      <c r="C603" s="8"/>
      <c r="D603" s="8"/>
      <c r="E603" s="8"/>
      <c r="F603" s="8"/>
      <c r="G603" s="8"/>
      <c r="H603" s="47"/>
      <c r="I603" s="7"/>
    </row>
    <row r="604">
      <c r="A604" s="8"/>
      <c r="B604" s="8"/>
      <c r="C604" s="8"/>
      <c r="D604" s="8"/>
      <c r="E604" s="8"/>
      <c r="F604" s="8"/>
      <c r="G604" s="8"/>
      <c r="H604" s="47"/>
      <c r="I604" s="7"/>
    </row>
    <row r="605">
      <c r="A605" s="8"/>
      <c r="B605" s="8"/>
      <c r="C605" s="8"/>
      <c r="D605" s="8"/>
      <c r="E605" s="8"/>
      <c r="F605" s="8"/>
      <c r="G605" s="8"/>
      <c r="H605" s="47"/>
      <c r="I605" s="7"/>
    </row>
    <row r="606">
      <c r="A606" s="8"/>
      <c r="B606" s="8"/>
      <c r="C606" s="8"/>
      <c r="D606" s="8"/>
      <c r="E606" s="8"/>
      <c r="F606" s="8"/>
      <c r="G606" s="8"/>
      <c r="H606" s="47"/>
      <c r="I606" s="7"/>
    </row>
    <row r="607">
      <c r="A607" s="8"/>
      <c r="B607" s="8"/>
      <c r="C607" s="8"/>
      <c r="D607" s="8"/>
      <c r="E607" s="8"/>
      <c r="F607" s="8"/>
      <c r="G607" s="8"/>
      <c r="H607" s="47"/>
      <c r="I607" s="7"/>
    </row>
    <row r="608">
      <c r="A608" s="8"/>
      <c r="B608" s="8"/>
      <c r="C608" s="8"/>
      <c r="D608" s="8"/>
      <c r="E608" s="8"/>
      <c r="F608" s="8"/>
      <c r="G608" s="8"/>
      <c r="H608" s="47"/>
      <c r="I608" s="7"/>
    </row>
    <row r="609">
      <c r="A609" s="8"/>
      <c r="B609" s="8"/>
      <c r="C609" s="8"/>
      <c r="D609" s="8"/>
      <c r="E609" s="8"/>
      <c r="F609" s="8"/>
      <c r="G609" s="8"/>
      <c r="H609" s="47"/>
      <c r="I609" s="7"/>
    </row>
    <row r="610">
      <c r="A610" s="8"/>
      <c r="B610" s="8"/>
      <c r="C610" s="8"/>
      <c r="D610" s="8"/>
      <c r="E610" s="8"/>
      <c r="F610" s="8"/>
      <c r="G610" s="8"/>
      <c r="H610" s="47"/>
      <c r="I610" s="7"/>
    </row>
    <row r="611">
      <c r="A611" s="8"/>
      <c r="B611" s="8"/>
      <c r="C611" s="8"/>
      <c r="D611" s="8"/>
      <c r="E611" s="8"/>
      <c r="F611" s="8"/>
      <c r="G611" s="8"/>
      <c r="H611" s="47"/>
      <c r="I611" s="7"/>
    </row>
    <row r="612">
      <c r="A612" s="8"/>
      <c r="B612" s="8"/>
      <c r="C612" s="8"/>
      <c r="D612" s="8"/>
      <c r="E612" s="8"/>
      <c r="F612" s="8"/>
      <c r="G612" s="8"/>
      <c r="H612" s="47"/>
      <c r="I612" s="7"/>
    </row>
    <row r="613">
      <c r="A613" s="8"/>
      <c r="B613" s="8"/>
      <c r="C613" s="8"/>
      <c r="D613" s="8"/>
      <c r="E613" s="8"/>
      <c r="F613" s="8"/>
      <c r="G613" s="8"/>
      <c r="H613" s="47"/>
      <c r="I613" s="7"/>
    </row>
    <row r="614">
      <c r="A614" s="8"/>
      <c r="B614" s="8"/>
      <c r="C614" s="8"/>
      <c r="D614" s="8"/>
      <c r="E614" s="8"/>
      <c r="F614" s="8"/>
      <c r="G614" s="8"/>
      <c r="H614" s="47"/>
      <c r="I614" s="7"/>
    </row>
    <row r="615">
      <c r="A615" s="8"/>
      <c r="B615" s="8"/>
      <c r="C615" s="8"/>
      <c r="D615" s="8"/>
      <c r="E615" s="8"/>
      <c r="F615" s="8"/>
      <c r="G615" s="8"/>
      <c r="H615" s="47"/>
      <c r="I615" s="7"/>
    </row>
    <row r="616">
      <c r="A616" s="8"/>
      <c r="B616" s="8"/>
      <c r="C616" s="8"/>
      <c r="D616" s="8"/>
      <c r="E616" s="8"/>
      <c r="F616" s="8"/>
      <c r="G616" s="8"/>
      <c r="H616" s="47"/>
      <c r="I616" s="7"/>
    </row>
    <row r="617">
      <c r="A617" s="8"/>
      <c r="B617" s="8"/>
      <c r="C617" s="8"/>
      <c r="D617" s="8"/>
      <c r="E617" s="8"/>
      <c r="F617" s="8"/>
      <c r="G617" s="8"/>
      <c r="H617" s="47"/>
      <c r="I617" s="7"/>
    </row>
    <row r="618">
      <c r="A618" s="8"/>
      <c r="B618" s="8"/>
      <c r="C618" s="8"/>
      <c r="D618" s="8"/>
      <c r="E618" s="8"/>
      <c r="F618" s="8"/>
      <c r="G618" s="8"/>
      <c r="H618" s="47"/>
      <c r="I618" s="7"/>
    </row>
    <row r="619">
      <c r="A619" s="8"/>
      <c r="B619" s="8"/>
      <c r="C619" s="8"/>
      <c r="D619" s="8"/>
      <c r="E619" s="8"/>
      <c r="F619" s="8"/>
      <c r="G619" s="8"/>
      <c r="H619" s="47"/>
      <c r="I619" s="7"/>
    </row>
    <row r="620">
      <c r="A620" s="8"/>
      <c r="B620" s="8"/>
      <c r="C620" s="8"/>
      <c r="D620" s="8"/>
      <c r="E620" s="8"/>
      <c r="F620" s="8"/>
      <c r="G620" s="8"/>
      <c r="H620" s="47"/>
      <c r="I620" s="7"/>
    </row>
    <row r="621">
      <c r="A621" s="8"/>
      <c r="B621" s="8"/>
      <c r="C621" s="8"/>
      <c r="D621" s="8"/>
      <c r="E621" s="8"/>
      <c r="F621" s="8"/>
      <c r="G621" s="8"/>
      <c r="H621" s="47"/>
      <c r="I621" s="7"/>
    </row>
    <row r="622">
      <c r="A622" s="8"/>
      <c r="B622" s="8"/>
      <c r="C622" s="8"/>
      <c r="D622" s="8"/>
      <c r="E622" s="8"/>
      <c r="F622" s="8"/>
      <c r="G622" s="8"/>
      <c r="H622" s="47"/>
      <c r="I622" s="7"/>
    </row>
    <row r="623">
      <c r="A623" s="8"/>
      <c r="B623" s="8"/>
      <c r="C623" s="8"/>
      <c r="D623" s="8"/>
      <c r="E623" s="8"/>
      <c r="F623" s="8"/>
      <c r="G623" s="8"/>
      <c r="H623" s="47"/>
      <c r="I623" s="7"/>
    </row>
    <row r="624">
      <c r="A624" s="8"/>
      <c r="B624" s="8"/>
      <c r="C624" s="8"/>
      <c r="D624" s="8"/>
      <c r="E624" s="8"/>
      <c r="F624" s="8"/>
      <c r="G624" s="8"/>
      <c r="H624" s="47"/>
      <c r="I624" s="7"/>
    </row>
    <row r="625">
      <c r="A625" s="8"/>
      <c r="B625" s="8"/>
      <c r="C625" s="8"/>
      <c r="D625" s="8"/>
      <c r="E625" s="8"/>
      <c r="F625" s="8"/>
      <c r="G625" s="8"/>
      <c r="H625" s="47"/>
      <c r="I625" s="7"/>
    </row>
    <row r="626">
      <c r="A626" s="8"/>
      <c r="B626" s="8"/>
      <c r="C626" s="8"/>
      <c r="D626" s="8"/>
      <c r="E626" s="8"/>
      <c r="F626" s="8"/>
      <c r="G626" s="8"/>
      <c r="H626" s="47"/>
      <c r="I626" s="7"/>
    </row>
    <row r="627">
      <c r="A627" s="8"/>
      <c r="B627" s="8"/>
      <c r="C627" s="8"/>
      <c r="D627" s="8"/>
      <c r="E627" s="8"/>
      <c r="F627" s="8"/>
      <c r="G627" s="8"/>
      <c r="H627" s="47"/>
      <c r="I627" s="7"/>
    </row>
    <row r="628">
      <c r="A628" s="8"/>
      <c r="B628" s="8"/>
      <c r="C628" s="8"/>
      <c r="D628" s="8"/>
      <c r="E628" s="8"/>
      <c r="F628" s="8"/>
      <c r="G628" s="8"/>
      <c r="H628" s="47"/>
      <c r="I628" s="7"/>
    </row>
    <row r="629">
      <c r="A629" s="8"/>
      <c r="B629" s="8"/>
      <c r="C629" s="8"/>
      <c r="D629" s="8"/>
      <c r="E629" s="8"/>
      <c r="F629" s="8"/>
      <c r="G629" s="8"/>
      <c r="H629" s="47"/>
      <c r="I629" s="7"/>
    </row>
    <row r="630">
      <c r="A630" s="8"/>
      <c r="B630" s="8"/>
      <c r="C630" s="8"/>
      <c r="D630" s="8"/>
      <c r="E630" s="8"/>
      <c r="F630" s="8"/>
      <c r="G630" s="8"/>
      <c r="H630" s="47"/>
      <c r="I630" s="7"/>
    </row>
    <row r="631">
      <c r="A631" s="8"/>
      <c r="B631" s="8"/>
      <c r="C631" s="8"/>
      <c r="D631" s="8"/>
      <c r="E631" s="8"/>
      <c r="F631" s="8"/>
      <c r="G631" s="8"/>
      <c r="H631" s="47"/>
      <c r="I631" s="7"/>
    </row>
    <row r="632">
      <c r="A632" s="8"/>
      <c r="B632" s="8"/>
      <c r="C632" s="8"/>
      <c r="D632" s="8"/>
      <c r="E632" s="8"/>
      <c r="F632" s="8"/>
      <c r="G632" s="8"/>
      <c r="H632" s="47"/>
      <c r="I632" s="7"/>
    </row>
    <row r="633">
      <c r="A633" s="8"/>
      <c r="B633" s="8"/>
      <c r="C633" s="8"/>
      <c r="D633" s="8"/>
      <c r="E633" s="8"/>
      <c r="F633" s="8"/>
      <c r="G633" s="8"/>
      <c r="H633" s="47"/>
      <c r="I633" s="7"/>
    </row>
    <row r="634">
      <c r="A634" s="8"/>
      <c r="B634" s="8"/>
      <c r="C634" s="8"/>
      <c r="D634" s="8"/>
      <c r="E634" s="8"/>
      <c r="F634" s="8"/>
      <c r="G634" s="8"/>
      <c r="H634" s="47"/>
      <c r="I634" s="7"/>
    </row>
    <row r="635">
      <c r="A635" s="8"/>
      <c r="B635" s="8"/>
      <c r="C635" s="8"/>
      <c r="D635" s="8"/>
      <c r="E635" s="8"/>
      <c r="F635" s="8"/>
      <c r="G635" s="8"/>
      <c r="H635" s="47"/>
      <c r="I635" s="7"/>
    </row>
    <row r="636">
      <c r="A636" s="8"/>
      <c r="B636" s="8"/>
      <c r="C636" s="8"/>
      <c r="D636" s="8"/>
      <c r="E636" s="8"/>
      <c r="F636" s="8"/>
      <c r="G636" s="8"/>
      <c r="H636" s="47"/>
      <c r="I636" s="7"/>
    </row>
    <row r="637">
      <c r="A637" s="8"/>
      <c r="B637" s="8"/>
      <c r="C637" s="8"/>
      <c r="D637" s="8"/>
      <c r="E637" s="8"/>
      <c r="F637" s="8"/>
      <c r="G637" s="8"/>
      <c r="H637" s="47"/>
      <c r="I637" s="7"/>
    </row>
    <row r="638">
      <c r="A638" s="8"/>
      <c r="B638" s="8"/>
      <c r="C638" s="8"/>
      <c r="D638" s="8"/>
      <c r="E638" s="8"/>
      <c r="F638" s="8"/>
      <c r="G638" s="8"/>
      <c r="H638" s="47"/>
      <c r="I638" s="7"/>
    </row>
    <row r="639">
      <c r="A639" s="8"/>
      <c r="B639" s="8"/>
      <c r="C639" s="8"/>
      <c r="D639" s="8"/>
      <c r="E639" s="8"/>
      <c r="F639" s="8"/>
      <c r="G639" s="8"/>
      <c r="H639" s="47"/>
      <c r="I639" s="7"/>
    </row>
    <row r="640">
      <c r="A640" s="8"/>
      <c r="B640" s="8"/>
      <c r="C640" s="8"/>
      <c r="D640" s="8"/>
      <c r="E640" s="8"/>
      <c r="F640" s="8"/>
      <c r="G640" s="8"/>
      <c r="H640" s="47"/>
      <c r="I640" s="7"/>
    </row>
    <row r="641">
      <c r="A641" s="8"/>
      <c r="B641" s="8"/>
      <c r="C641" s="8"/>
      <c r="D641" s="8"/>
      <c r="E641" s="8"/>
      <c r="F641" s="8"/>
      <c r="G641" s="8"/>
      <c r="H641" s="47"/>
      <c r="I641" s="7"/>
    </row>
    <row r="642">
      <c r="A642" s="8"/>
      <c r="B642" s="8"/>
      <c r="C642" s="8"/>
      <c r="D642" s="8"/>
      <c r="E642" s="8"/>
      <c r="F642" s="8"/>
      <c r="G642" s="8"/>
      <c r="H642" s="47"/>
      <c r="I642" s="7"/>
    </row>
    <row r="643">
      <c r="A643" s="8"/>
      <c r="B643" s="8"/>
      <c r="C643" s="8"/>
      <c r="D643" s="8"/>
      <c r="E643" s="8"/>
      <c r="F643" s="8"/>
      <c r="G643" s="8"/>
      <c r="H643" s="47"/>
      <c r="I643" s="7"/>
    </row>
    <row r="644">
      <c r="A644" s="8"/>
      <c r="B644" s="8"/>
      <c r="C644" s="8"/>
      <c r="D644" s="8"/>
      <c r="E644" s="8"/>
      <c r="F644" s="8"/>
      <c r="G644" s="8"/>
      <c r="H644" s="47"/>
      <c r="I644" s="7"/>
    </row>
    <row r="645">
      <c r="A645" s="8"/>
      <c r="B645" s="8"/>
      <c r="C645" s="8"/>
      <c r="D645" s="8"/>
      <c r="E645" s="8"/>
      <c r="F645" s="8"/>
      <c r="G645" s="8"/>
      <c r="H645" s="47"/>
      <c r="I645" s="7"/>
    </row>
    <row r="646">
      <c r="A646" s="8"/>
      <c r="B646" s="8"/>
      <c r="C646" s="8"/>
      <c r="D646" s="8"/>
      <c r="E646" s="8"/>
      <c r="F646" s="8"/>
      <c r="G646" s="8"/>
      <c r="H646" s="47"/>
      <c r="I646" s="7"/>
    </row>
    <row r="647">
      <c r="A647" s="8"/>
      <c r="B647" s="8"/>
      <c r="C647" s="8"/>
      <c r="D647" s="8"/>
      <c r="E647" s="8"/>
      <c r="F647" s="8"/>
      <c r="G647" s="8"/>
      <c r="H647" s="47"/>
      <c r="I647" s="7"/>
    </row>
    <row r="648">
      <c r="A648" s="8"/>
      <c r="B648" s="8"/>
      <c r="C648" s="8"/>
      <c r="D648" s="8"/>
      <c r="E648" s="8"/>
      <c r="F648" s="8"/>
      <c r="G648" s="8"/>
      <c r="H648" s="47"/>
      <c r="I648" s="7"/>
    </row>
    <row r="649">
      <c r="A649" s="8"/>
      <c r="B649" s="8"/>
      <c r="C649" s="8"/>
      <c r="D649" s="8"/>
      <c r="E649" s="8"/>
      <c r="F649" s="8"/>
      <c r="G649" s="8"/>
      <c r="H649" s="47"/>
      <c r="I649" s="7"/>
    </row>
    <row r="650">
      <c r="A650" s="8"/>
      <c r="B650" s="8"/>
      <c r="C650" s="8"/>
      <c r="D650" s="8"/>
      <c r="E650" s="8"/>
      <c r="F650" s="8"/>
      <c r="G650" s="8"/>
      <c r="H650" s="47"/>
      <c r="I650" s="7"/>
    </row>
    <row r="651">
      <c r="A651" s="8"/>
      <c r="B651" s="8"/>
      <c r="C651" s="8"/>
      <c r="D651" s="8"/>
      <c r="E651" s="8"/>
      <c r="F651" s="8"/>
      <c r="G651" s="8"/>
      <c r="H651" s="47"/>
      <c r="I651" s="7"/>
    </row>
    <row r="652">
      <c r="A652" s="8"/>
      <c r="B652" s="8"/>
      <c r="C652" s="8"/>
      <c r="D652" s="8"/>
      <c r="E652" s="8"/>
      <c r="F652" s="8"/>
      <c r="G652" s="8"/>
      <c r="H652" s="47"/>
      <c r="I652" s="7"/>
    </row>
    <row r="653">
      <c r="A653" s="8"/>
      <c r="B653" s="8"/>
      <c r="C653" s="8"/>
      <c r="D653" s="8"/>
      <c r="E653" s="8"/>
      <c r="F653" s="8"/>
      <c r="G653" s="8"/>
      <c r="H653" s="47"/>
      <c r="I653" s="7"/>
    </row>
    <row r="654">
      <c r="A654" s="8"/>
      <c r="B654" s="8"/>
      <c r="C654" s="8"/>
      <c r="D654" s="8"/>
      <c r="E654" s="8"/>
      <c r="F654" s="8"/>
      <c r="G654" s="8"/>
      <c r="H654" s="47"/>
      <c r="I654" s="7"/>
    </row>
    <row r="655">
      <c r="A655" s="8"/>
      <c r="B655" s="8"/>
      <c r="C655" s="8"/>
      <c r="D655" s="8"/>
      <c r="E655" s="8"/>
      <c r="F655" s="8"/>
      <c r="G655" s="8"/>
      <c r="H655" s="47"/>
      <c r="I655" s="7"/>
    </row>
    <row r="656">
      <c r="A656" s="8"/>
      <c r="B656" s="8"/>
      <c r="C656" s="8"/>
      <c r="D656" s="8"/>
      <c r="E656" s="8"/>
      <c r="F656" s="8"/>
      <c r="G656" s="8"/>
      <c r="H656" s="47"/>
      <c r="I656" s="7"/>
    </row>
    <row r="657">
      <c r="A657" s="8"/>
      <c r="B657" s="8"/>
      <c r="C657" s="8"/>
      <c r="D657" s="8"/>
      <c r="E657" s="8"/>
      <c r="F657" s="8"/>
      <c r="G657" s="8"/>
      <c r="H657" s="47"/>
      <c r="I657" s="7"/>
    </row>
    <row r="658">
      <c r="A658" s="8"/>
      <c r="B658" s="8"/>
      <c r="C658" s="8"/>
      <c r="D658" s="8"/>
      <c r="E658" s="8"/>
      <c r="F658" s="8"/>
      <c r="G658" s="8"/>
      <c r="H658" s="47"/>
      <c r="I658" s="7"/>
    </row>
    <row r="659">
      <c r="A659" s="8"/>
      <c r="B659" s="8"/>
      <c r="C659" s="8"/>
      <c r="D659" s="8"/>
      <c r="E659" s="8"/>
      <c r="F659" s="8"/>
      <c r="G659" s="8"/>
      <c r="H659" s="47"/>
      <c r="I659" s="7"/>
    </row>
    <row r="660">
      <c r="A660" s="8"/>
      <c r="B660" s="8"/>
      <c r="C660" s="8"/>
      <c r="D660" s="8"/>
      <c r="E660" s="8"/>
      <c r="F660" s="8"/>
      <c r="G660" s="8"/>
      <c r="H660" s="47"/>
      <c r="I660" s="7"/>
    </row>
    <row r="661">
      <c r="A661" s="8"/>
      <c r="B661" s="8"/>
      <c r="C661" s="8"/>
      <c r="D661" s="8"/>
      <c r="E661" s="8"/>
      <c r="F661" s="8"/>
      <c r="G661" s="8"/>
      <c r="H661" s="47"/>
      <c r="I661" s="7"/>
    </row>
    <row r="662">
      <c r="A662" s="8"/>
      <c r="B662" s="8"/>
      <c r="C662" s="8"/>
      <c r="D662" s="8"/>
      <c r="E662" s="8"/>
      <c r="F662" s="8"/>
      <c r="G662" s="8"/>
      <c r="H662" s="47"/>
      <c r="I662" s="7"/>
    </row>
    <row r="663">
      <c r="A663" s="8"/>
      <c r="B663" s="8"/>
      <c r="C663" s="8"/>
      <c r="D663" s="8"/>
      <c r="E663" s="8"/>
      <c r="F663" s="8"/>
      <c r="G663" s="8"/>
      <c r="H663" s="47"/>
      <c r="I663" s="7"/>
    </row>
    <row r="664">
      <c r="A664" s="8"/>
      <c r="B664" s="8"/>
      <c r="C664" s="8"/>
      <c r="D664" s="8"/>
      <c r="E664" s="8"/>
      <c r="F664" s="8"/>
      <c r="G664" s="8"/>
      <c r="H664" s="47"/>
      <c r="I664" s="7"/>
    </row>
    <row r="665">
      <c r="A665" s="8"/>
      <c r="B665" s="8"/>
      <c r="C665" s="8"/>
      <c r="D665" s="8"/>
      <c r="E665" s="8"/>
      <c r="F665" s="8"/>
      <c r="G665" s="8"/>
      <c r="H665" s="47"/>
      <c r="I665" s="7"/>
    </row>
    <row r="666">
      <c r="A666" s="8"/>
      <c r="B666" s="8"/>
      <c r="C666" s="8"/>
      <c r="D666" s="8"/>
      <c r="E666" s="8"/>
      <c r="F666" s="8"/>
      <c r="G666" s="8"/>
      <c r="H666" s="47"/>
      <c r="I666" s="7"/>
    </row>
    <row r="667">
      <c r="A667" s="8"/>
      <c r="B667" s="8"/>
      <c r="C667" s="8"/>
      <c r="D667" s="8"/>
      <c r="E667" s="8"/>
      <c r="F667" s="8"/>
      <c r="G667" s="8"/>
      <c r="H667" s="47"/>
      <c r="I667" s="7"/>
    </row>
    <row r="668">
      <c r="A668" s="8"/>
      <c r="B668" s="8"/>
      <c r="C668" s="8"/>
      <c r="D668" s="8"/>
      <c r="E668" s="8"/>
      <c r="F668" s="8"/>
      <c r="G668" s="8"/>
      <c r="H668" s="47"/>
      <c r="I668" s="7"/>
    </row>
    <row r="669">
      <c r="A669" s="8"/>
      <c r="B669" s="8"/>
      <c r="C669" s="8"/>
      <c r="D669" s="8"/>
      <c r="E669" s="8"/>
      <c r="F669" s="8"/>
      <c r="G669" s="8"/>
      <c r="H669" s="47"/>
      <c r="I669" s="7"/>
    </row>
    <row r="670">
      <c r="A670" s="8"/>
      <c r="B670" s="8"/>
      <c r="C670" s="8"/>
      <c r="D670" s="8"/>
      <c r="E670" s="8"/>
      <c r="F670" s="8"/>
      <c r="G670" s="8"/>
      <c r="H670" s="47"/>
      <c r="I670" s="7"/>
    </row>
    <row r="671">
      <c r="A671" s="8"/>
      <c r="B671" s="8"/>
      <c r="C671" s="8"/>
      <c r="D671" s="8"/>
      <c r="E671" s="8"/>
      <c r="F671" s="8"/>
      <c r="G671" s="8"/>
      <c r="H671" s="47"/>
      <c r="I671" s="7"/>
    </row>
    <row r="672">
      <c r="A672" s="8"/>
      <c r="B672" s="8"/>
      <c r="C672" s="8"/>
      <c r="D672" s="8"/>
      <c r="E672" s="8"/>
      <c r="F672" s="8"/>
      <c r="G672" s="8"/>
      <c r="H672" s="47"/>
      <c r="I672" s="7"/>
    </row>
    <row r="673">
      <c r="A673" s="8"/>
      <c r="B673" s="8"/>
      <c r="C673" s="8"/>
      <c r="D673" s="8"/>
      <c r="E673" s="8"/>
      <c r="F673" s="8"/>
      <c r="G673" s="8"/>
      <c r="H673" s="47"/>
      <c r="I673" s="7"/>
    </row>
    <row r="674">
      <c r="A674" s="8"/>
      <c r="B674" s="8"/>
      <c r="C674" s="8"/>
      <c r="D674" s="8"/>
      <c r="E674" s="8"/>
      <c r="F674" s="8"/>
      <c r="G674" s="8"/>
      <c r="H674" s="47"/>
      <c r="I674" s="7"/>
    </row>
    <row r="675">
      <c r="A675" s="8"/>
      <c r="B675" s="8"/>
      <c r="C675" s="8"/>
      <c r="D675" s="8"/>
      <c r="E675" s="8"/>
      <c r="F675" s="8"/>
      <c r="G675" s="8"/>
      <c r="H675" s="47"/>
      <c r="I675" s="7"/>
    </row>
    <row r="676">
      <c r="A676" s="8"/>
      <c r="B676" s="8"/>
      <c r="C676" s="8"/>
      <c r="D676" s="8"/>
      <c r="E676" s="8"/>
      <c r="F676" s="8"/>
      <c r="G676" s="8"/>
      <c r="H676" s="47"/>
      <c r="I676" s="7"/>
    </row>
    <row r="677">
      <c r="A677" s="8"/>
      <c r="B677" s="8"/>
      <c r="C677" s="8"/>
      <c r="D677" s="8"/>
      <c r="E677" s="8"/>
      <c r="F677" s="8"/>
      <c r="G677" s="8"/>
      <c r="H677" s="47"/>
      <c r="I677" s="7"/>
    </row>
    <row r="678">
      <c r="A678" s="8"/>
      <c r="B678" s="8"/>
      <c r="C678" s="8"/>
      <c r="D678" s="8"/>
      <c r="E678" s="8"/>
      <c r="F678" s="8"/>
      <c r="G678" s="8"/>
      <c r="H678" s="47"/>
      <c r="I678" s="7"/>
    </row>
    <row r="679">
      <c r="A679" s="8"/>
      <c r="B679" s="8"/>
      <c r="C679" s="8"/>
      <c r="D679" s="8"/>
      <c r="E679" s="8"/>
      <c r="F679" s="8"/>
      <c r="G679" s="8"/>
      <c r="H679" s="47"/>
      <c r="I679" s="7"/>
    </row>
    <row r="680">
      <c r="A680" s="8"/>
      <c r="B680" s="8"/>
      <c r="C680" s="8"/>
      <c r="D680" s="8"/>
      <c r="E680" s="8"/>
      <c r="F680" s="8"/>
      <c r="G680" s="8"/>
      <c r="H680" s="47"/>
      <c r="I680" s="7"/>
    </row>
    <row r="681">
      <c r="A681" s="8"/>
      <c r="B681" s="8"/>
      <c r="C681" s="8"/>
      <c r="D681" s="8"/>
      <c r="E681" s="8"/>
      <c r="F681" s="8"/>
      <c r="G681" s="8"/>
      <c r="H681" s="47"/>
      <c r="I681" s="7"/>
    </row>
    <row r="682">
      <c r="A682" s="8"/>
      <c r="B682" s="8"/>
      <c r="C682" s="8"/>
      <c r="D682" s="8"/>
      <c r="E682" s="8"/>
      <c r="F682" s="8"/>
      <c r="G682" s="8"/>
      <c r="H682" s="47"/>
      <c r="I682" s="7"/>
    </row>
    <row r="683">
      <c r="A683" s="8"/>
      <c r="B683" s="8"/>
      <c r="C683" s="8"/>
      <c r="D683" s="8"/>
      <c r="E683" s="8"/>
      <c r="F683" s="8"/>
      <c r="G683" s="8"/>
      <c r="H683" s="47"/>
      <c r="I683" s="7"/>
    </row>
    <row r="684">
      <c r="A684" s="8"/>
      <c r="B684" s="8"/>
      <c r="C684" s="8"/>
      <c r="D684" s="8"/>
      <c r="E684" s="8"/>
      <c r="F684" s="8"/>
      <c r="G684" s="8"/>
      <c r="H684" s="47"/>
      <c r="I684" s="7"/>
    </row>
    <row r="685">
      <c r="A685" s="8"/>
      <c r="B685" s="8"/>
      <c r="C685" s="8"/>
      <c r="D685" s="8"/>
      <c r="E685" s="8"/>
      <c r="F685" s="8"/>
      <c r="G685" s="8"/>
      <c r="H685" s="47"/>
      <c r="I685" s="7"/>
    </row>
    <row r="686">
      <c r="A686" s="8"/>
      <c r="B686" s="8"/>
      <c r="C686" s="8"/>
      <c r="D686" s="8"/>
      <c r="E686" s="8"/>
      <c r="F686" s="8"/>
      <c r="G686" s="8"/>
      <c r="H686" s="47"/>
      <c r="I686" s="7"/>
    </row>
    <row r="687">
      <c r="A687" s="8"/>
      <c r="B687" s="8"/>
      <c r="C687" s="8"/>
      <c r="D687" s="8"/>
      <c r="E687" s="8"/>
      <c r="F687" s="8"/>
      <c r="G687" s="8"/>
      <c r="H687" s="47"/>
      <c r="I687" s="7"/>
    </row>
    <row r="688">
      <c r="A688" s="8"/>
      <c r="B688" s="8"/>
      <c r="C688" s="8"/>
      <c r="D688" s="8"/>
      <c r="E688" s="8"/>
      <c r="F688" s="8"/>
      <c r="G688" s="8"/>
      <c r="H688" s="47"/>
      <c r="I688" s="7"/>
    </row>
    <row r="689">
      <c r="A689" s="8"/>
      <c r="B689" s="8"/>
      <c r="C689" s="8"/>
      <c r="D689" s="8"/>
      <c r="E689" s="8"/>
      <c r="F689" s="8"/>
      <c r="G689" s="8"/>
      <c r="H689" s="47"/>
      <c r="I689" s="7"/>
    </row>
    <row r="690">
      <c r="A690" s="8"/>
      <c r="B690" s="8"/>
      <c r="C690" s="8"/>
      <c r="D690" s="8"/>
      <c r="E690" s="8"/>
      <c r="F690" s="8"/>
      <c r="G690" s="8"/>
      <c r="H690" s="47"/>
      <c r="I690" s="7"/>
    </row>
    <row r="691">
      <c r="A691" s="8"/>
      <c r="B691" s="8"/>
      <c r="C691" s="8"/>
      <c r="D691" s="8"/>
      <c r="E691" s="8"/>
      <c r="F691" s="8"/>
      <c r="G691" s="8"/>
      <c r="H691" s="47"/>
      <c r="I691" s="7"/>
    </row>
    <row r="692">
      <c r="A692" s="8"/>
      <c r="B692" s="8"/>
      <c r="C692" s="8"/>
      <c r="D692" s="8"/>
      <c r="E692" s="8"/>
      <c r="F692" s="8"/>
      <c r="G692" s="8"/>
      <c r="H692" s="47"/>
      <c r="I692" s="7"/>
    </row>
    <row r="693">
      <c r="A693" s="8"/>
      <c r="B693" s="8"/>
      <c r="C693" s="8"/>
      <c r="D693" s="8"/>
      <c r="E693" s="8"/>
      <c r="F693" s="8"/>
      <c r="G693" s="8"/>
      <c r="H693" s="47"/>
      <c r="I693" s="7"/>
    </row>
    <row r="694">
      <c r="A694" s="8"/>
      <c r="B694" s="8"/>
      <c r="C694" s="8"/>
      <c r="D694" s="8"/>
      <c r="E694" s="8"/>
      <c r="F694" s="8"/>
      <c r="G694" s="8"/>
      <c r="H694" s="47"/>
      <c r="I694" s="7"/>
    </row>
    <row r="695">
      <c r="A695" s="8"/>
      <c r="B695" s="8"/>
      <c r="C695" s="8"/>
      <c r="D695" s="8"/>
      <c r="E695" s="8"/>
      <c r="F695" s="8"/>
      <c r="G695" s="8"/>
      <c r="H695" s="47"/>
      <c r="I695" s="7"/>
    </row>
    <row r="696">
      <c r="A696" s="8"/>
      <c r="B696" s="8"/>
      <c r="C696" s="8"/>
      <c r="D696" s="8"/>
      <c r="E696" s="8"/>
      <c r="F696" s="8"/>
      <c r="G696" s="8"/>
      <c r="H696" s="47"/>
      <c r="I696" s="7"/>
    </row>
    <row r="697">
      <c r="A697" s="8"/>
      <c r="B697" s="8"/>
      <c r="C697" s="8"/>
      <c r="D697" s="8"/>
      <c r="E697" s="8"/>
      <c r="F697" s="8"/>
      <c r="G697" s="8"/>
      <c r="H697" s="47"/>
      <c r="I697" s="7"/>
    </row>
    <row r="698">
      <c r="A698" s="8"/>
      <c r="B698" s="8"/>
      <c r="C698" s="8"/>
      <c r="D698" s="8"/>
      <c r="E698" s="8"/>
      <c r="F698" s="8"/>
      <c r="G698" s="8"/>
      <c r="H698" s="47"/>
      <c r="I698" s="7"/>
    </row>
    <row r="699">
      <c r="A699" s="8"/>
      <c r="B699" s="8"/>
      <c r="C699" s="8"/>
      <c r="D699" s="8"/>
      <c r="E699" s="8"/>
      <c r="F699" s="8"/>
      <c r="G699" s="8"/>
      <c r="H699" s="47"/>
      <c r="I699" s="7"/>
    </row>
    <row r="700">
      <c r="A700" s="8"/>
      <c r="B700" s="8"/>
      <c r="C700" s="8"/>
      <c r="D700" s="8"/>
      <c r="E700" s="8"/>
      <c r="F700" s="8"/>
      <c r="G700" s="8"/>
      <c r="H700" s="47"/>
      <c r="I700" s="7"/>
    </row>
    <row r="701">
      <c r="A701" s="8"/>
      <c r="B701" s="8"/>
      <c r="C701" s="8"/>
      <c r="D701" s="8"/>
      <c r="E701" s="8"/>
      <c r="F701" s="8"/>
      <c r="G701" s="8"/>
      <c r="H701" s="47"/>
      <c r="I701" s="7"/>
    </row>
    <row r="702">
      <c r="A702" s="8"/>
      <c r="B702" s="8"/>
      <c r="C702" s="8"/>
      <c r="D702" s="8"/>
      <c r="E702" s="8"/>
      <c r="F702" s="8"/>
      <c r="G702" s="8"/>
      <c r="H702" s="47"/>
      <c r="I702" s="7"/>
    </row>
    <row r="703">
      <c r="A703" s="8"/>
      <c r="B703" s="8"/>
      <c r="C703" s="8"/>
      <c r="D703" s="8"/>
      <c r="E703" s="8"/>
      <c r="F703" s="8"/>
      <c r="G703" s="8"/>
      <c r="H703" s="47"/>
      <c r="I703" s="7"/>
    </row>
    <row r="704">
      <c r="A704" s="8"/>
      <c r="B704" s="8"/>
      <c r="C704" s="8"/>
      <c r="D704" s="8"/>
      <c r="E704" s="8"/>
      <c r="F704" s="8"/>
      <c r="G704" s="8"/>
      <c r="H704" s="47"/>
      <c r="I704" s="7"/>
    </row>
    <row r="705">
      <c r="A705" s="8"/>
      <c r="B705" s="8"/>
      <c r="C705" s="8"/>
      <c r="D705" s="8"/>
      <c r="E705" s="8"/>
      <c r="F705" s="8"/>
      <c r="G705" s="8"/>
      <c r="H705" s="47"/>
      <c r="I705" s="7"/>
    </row>
    <row r="706">
      <c r="A706" s="8"/>
      <c r="B706" s="8"/>
      <c r="C706" s="8"/>
      <c r="D706" s="8"/>
      <c r="E706" s="8"/>
      <c r="F706" s="8"/>
      <c r="G706" s="8"/>
      <c r="H706" s="47"/>
      <c r="I706" s="7"/>
    </row>
    <row r="707">
      <c r="A707" s="8"/>
      <c r="B707" s="8"/>
      <c r="C707" s="8"/>
      <c r="D707" s="8"/>
      <c r="E707" s="8"/>
      <c r="F707" s="8"/>
      <c r="G707" s="8"/>
      <c r="H707" s="47"/>
      <c r="I707" s="7"/>
    </row>
    <row r="708">
      <c r="A708" s="8"/>
      <c r="B708" s="8"/>
      <c r="C708" s="8"/>
      <c r="D708" s="8"/>
      <c r="E708" s="8"/>
      <c r="F708" s="8"/>
      <c r="G708" s="8"/>
      <c r="H708" s="47"/>
      <c r="I708" s="7"/>
    </row>
    <row r="709">
      <c r="A709" s="8"/>
      <c r="B709" s="8"/>
      <c r="C709" s="8"/>
      <c r="D709" s="8"/>
      <c r="E709" s="8"/>
      <c r="F709" s="8"/>
      <c r="G709" s="8"/>
      <c r="H709" s="47"/>
      <c r="I709" s="7"/>
    </row>
    <row r="710">
      <c r="A710" s="8"/>
      <c r="B710" s="8"/>
      <c r="C710" s="8"/>
      <c r="D710" s="8"/>
      <c r="E710" s="8"/>
      <c r="F710" s="8"/>
      <c r="G710" s="8"/>
      <c r="H710" s="47"/>
      <c r="I710" s="7"/>
    </row>
    <row r="711">
      <c r="A711" s="8"/>
      <c r="B711" s="8"/>
      <c r="C711" s="8"/>
      <c r="D711" s="8"/>
      <c r="E711" s="8"/>
      <c r="F711" s="8"/>
      <c r="G711" s="8"/>
      <c r="H711" s="47"/>
      <c r="I711" s="7"/>
    </row>
    <row r="712">
      <c r="A712" s="8"/>
      <c r="B712" s="8"/>
      <c r="C712" s="8"/>
      <c r="D712" s="8"/>
      <c r="E712" s="8"/>
      <c r="F712" s="8"/>
      <c r="G712" s="8"/>
      <c r="H712" s="47"/>
      <c r="I712" s="7"/>
    </row>
    <row r="713">
      <c r="A713" s="8"/>
      <c r="B713" s="8"/>
      <c r="C713" s="8"/>
      <c r="D713" s="8"/>
      <c r="E713" s="8"/>
      <c r="F713" s="8"/>
      <c r="G713" s="8"/>
      <c r="H713" s="47"/>
      <c r="I713" s="7"/>
    </row>
    <row r="714">
      <c r="A714" s="8"/>
      <c r="B714" s="8"/>
      <c r="C714" s="8"/>
      <c r="D714" s="8"/>
      <c r="E714" s="8"/>
      <c r="F714" s="8"/>
      <c r="G714" s="8"/>
      <c r="H714" s="47"/>
      <c r="I714" s="7"/>
    </row>
    <row r="715">
      <c r="A715" s="8"/>
      <c r="B715" s="8"/>
      <c r="C715" s="8"/>
      <c r="D715" s="8"/>
      <c r="E715" s="8"/>
      <c r="F715" s="8"/>
      <c r="G715" s="8"/>
      <c r="H715" s="47"/>
      <c r="I715" s="7"/>
    </row>
    <row r="716">
      <c r="A716" s="8"/>
      <c r="B716" s="8"/>
      <c r="C716" s="8"/>
      <c r="D716" s="8"/>
      <c r="E716" s="8"/>
      <c r="F716" s="8"/>
      <c r="G716" s="8"/>
      <c r="H716" s="47"/>
      <c r="I716" s="7"/>
    </row>
    <row r="717">
      <c r="A717" s="8"/>
      <c r="B717" s="8"/>
      <c r="C717" s="8"/>
      <c r="D717" s="8"/>
      <c r="E717" s="8"/>
      <c r="F717" s="8"/>
      <c r="G717" s="8"/>
      <c r="H717" s="47"/>
      <c r="I717" s="7"/>
    </row>
    <row r="718">
      <c r="A718" s="8"/>
      <c r="B718" s="8"/>
      <c r="C718" s="8"/>
      <c r="D718" s="8"/>
      <c r="E718" s="8"/>
      <c r="F718" s="8"/>
      <c r="G718" s="8"/>
      <c r="H718" s="47"/>
      <c r="I718" s="7"/>
    </row>
    <row r="719">
      <c r="A719" s="8"/>
      <c r="B719" s="8"/>
      <c r="C719" s="8"/>
      <c r="D719" s="8"/>
      <c r="E719" s="8"/>
      <c r="F719" s="8"/>
      <c r="G719" s="8"/>
      <c r="H719" s="47"/>
      <c r="I719" s="7"/>
    </row>
    <row r="720">
      <c r="A720" s="8"/>
      <c r="B720" s="8"/>
      <c r="C720" s="8"/>
      <c r="D720" s="8"/>
      <c r="E720" s="8"/>
      <c r="F720" s="8"/>
      <c r="G720" s="8"/>
      <c r="H720" s="47"/>
      <c r="I720" s="7"/>
    </row>
    <row r="721">
      <c r="A721" s="8"/>
      <c r="B721" s="8"/>
      <c r="C721" s="8"/>
      <c r="D721" s="8"/>
      <c r="E721" s="8"/>
      <c r="F721" s="8"/>
      <c r="G721" s="8"/>
      <c r="H721" s="47"/>
      <c r="I721" s="7"/>
    </row>
    <row r="722">
      <c r="A722" s="8"/>
      <c r="B722" s="8"/>
      <c r="C722" s="8"/>
      <c r="D722" s="8"/>
      <c r="E722" s="8"/>
      <c r="F722" s="8"/>
      <c r="G722" s="8"/>
      <c r="H722" s="47"/>
      <c r="I722" s="7"/>
    </row>
    <row r="723">
      <c r="A723" s="8"/>
      <c r="B723" s="8"/>
      <c r="C723" s="8"/>
      <c r="D723" s="8"/>
      <c r="E723" s="8"/>
      <c r="F723" s="8"/>
      <c r="G723" s="8"/>
      <c r="H723" s="47"/>
      <c r="I723" s="7"/>
    </row>
    <row r="724">
      <c r="A724" s="8"/>
      <c r="B724" s="8"/>
      <c r="C724" s="8"/>
      <c r="D724" s="8"/>
      <c r="E724" s="8"/>
      <c r="F724" s="8"/>
      <c r="G724" s="8"/>
      <c r="H724" s="47"/>
      <c r="I724" s="7"/>
    </row>
    <row r="725">
      <c r="A725" s="8"/>
      <c r="B725" s="8"/>
      <c r="C725" s="8"/>
      <c r="D725" s="8"/>
      <c r="E725" s="8"/>
      <c r="F725" s="8"/>
      <c r="G725" s="8"/>
      <c r="H725" s="47"/>
      <c r="I725" s="7"/>
    </row>
    <row r="726">
      <c r="A726" s="8"/>
      <c r="B726" s="8"/>
      <c r="C726" s="8"/>
      <c r="D726" s="8"/>
      <c r="E726" s="8"/>
      <c r="F726" s="8"/>
      <c r="G726" s="8"/>
      <c r="H726" s="47"/>
      <c r="I726" s="7"/>
    </row>
    <row r="727">
      <c r="A727" s="8"/>
      <c r="B727" s="8"/>
      <c r="C727" s="8"/>
      <c r="D727" s="8"/>
      <c r="E727" s="8"/>
      <c r="F727" s="8"/>
      <c r="G727" s="8"/>
      <c r="H727" s="47"/>
      <c r="I727" s="7"/>
    </row>
    <row r="728">
      <c r="A728" s="8"/>
      <c r="B728" s="8"/>
      <c r="C728" s="8"/>
      <c r="D728" s="8"/>
      <c r="E728" s="8"/>
      <c r="F728" s="8"/>
      <c r="G728" s="8"/>
      <c r="H728" s="47"/>
      <c r="I728" s="7"/>
    </row>
    <row r="729">
      <c r="A729" s="8"/>
      <c r="B729" s="8"/>
      <c r="C729" s="8"/>
      <c r="D729" s="8"/>
      <c r="E729" s="8"/>
      <c r="F729" s="8"/>
      <c r="G729" s="8"/>
      <c r="H729" s="47"/>
      <c r="I729" s="7"/>
    </row>
    <row r="730">
      <c r="A730" s="8"/>
      <c r="B730" s="8"/>
      <c r="C730" s="8"/>
      <c r="D730" s="8"/>
      <c r="E730" s="8"/>
      <c r="F730" s="8"/>
      <c r="G730" s="8"/>
      <c r="H730" s="47"/>
      <c r="I730" s="7"/>
    </row>
    <row r="731">
      <c r="A731" s="8"/>
      <c r="B731" s="8"/>
      <c r="C731" s="8"/>
      <c r="D731" s="8"/>
      <c r="E731" s="8"/>
      <c r="F731" s="8"/>
      <c r="G731" s="8"/>
      <c r="H731" s="47"/>
      <c r="I731" s="7"/>
    </row>
    <row r="732">
      <c r="A732" s="8"/>
      <c r="B732" s="8"/>
      <c r="C732" s="8"/>
      <c r="D732" s="8"/>
      <c r="E732" s="8"/>
      <c r="F732" s="8"/>
      <c r="G732" s="8"/>
      <c r="H732" s="47"/>
      <c r="I732" s="7"/>
    </row>
    <row r="733">
      <c r="A733" s="8"/>
      <c r="B733" s="8"/>
      <c r="C733" s="8"/>
      <c r="D733" s="8"/>
      <c r="E733" s="8"/>
      <c r="F733" s="8"/>
      <c r="G733" s="8"/>
      <c r="H733" s="47"/>
      <c r="I733" s="7"/>
    </row>
    <row r="734">
      <c r="A734" s="8"/>
      <c r="B734" s="8"/>
      <c r="C734" s="8"/>
      <c r="D734" s="8"/>
      <c r="E734" s="8"/>
      <c r="F734" s="8"/>
      <c r="G734" s="8"/>
      <c r="H734" s="47"/>
      <c r="I734" s="7"/>
    </row>
    <row r="735">
      <c r="A735" s="8"/>
      <c r="B735" s="8"/>
      <c r="C735" s="8"/>
      <c r="D735" s="8"/>
      <c r="E735" s="8"/>
      <c r="F735" s="8"/>
      <c r="G735" s="8"/>
      <c r="H735" s="47"/>
      <c r="I735" s="7"/>
    </row>
    <row r="736">
      <c r="A736" s="8"/>
      <c r="B736" s="8"/>
      <c r="C736" s="8"/>
      <c r="D736" s="8"/>
      <c r="E736" s="8"/>
      <c r="F736" s="8"/>
      <c r="G736" s="8"/>
      <c r="H736" s="47"/>
      <c r="I736" s="7"/>
    </row>
    <row r="737">
      <c r="A737" s="8"/>
      <c r="B737" s="8"/>
      <c r="C737" s="8"/>
      <c r="D737" s="8"/>
      <c r="E737" s="8"/>
      <c r="F737" s="8"/>
      <c r="G737" s="8"/>
      <c r="H737" s="47"/>
      <c r="I737" s="7"/>
    </row>
    <row r="738">
      <c r="A738" s="8"/>
      <c r="B738" s="8"/>
      <c r="C738" s="8"/>
      <c r="D738" s="8"/>
      <c r="E738" s="8"/>
      <c r="F738" s="8"/>
      <c r="G738" s="8"/>
      <c r="H738" s="47"/>
      <c r="I738" s="7"/>
    </row>
    <row r="739">
      <c r="A739" s="8"/>
      <c r="B739" s="8"/>
      <c r="C739" s="8"/>
      <c r="D739" s="8"/>
      <c r="E739" s="8"/>
      <c r="F739" s="8"/>
      <c r="G739" s="8"/>
      <c r="H739" s="47"/>
      <c r="I739" s="7"/>
    </row>
    <row r="740">
      <c r="A740" s="8"/>
      <c r="B740" s="8"/>
      <c r="C740" s="8"/>
      <c r="D740" s="8"/>
      <c r="E740" s="8"/>
      <c r="F740" s="8"/>
      <c r="G740" s="8"/>
      <c r="H740" s="47"/>
      <c r="I740" s="7"/>
    </row>
    <row r="741">
      <c r="A741" s="8"/>
      <c r="B741" s="8"/>
      <c r="C741" s="8"/>
      <c r="D741" s="8"/>
      <c r="E741" s="8"/>
      <c r="F741" s="8"/>
      <c r="G741" s="8"/>
      <c r="H741" s="47"/>
      <c r="I741" s="7"/>
    </row>
    <row r="742">
      <c r="A742" s="8"/>
      <c r="B742" s="8"/>
      <c r="C742" s="8"/>
      <c r="D742" s="8"/>
      <c r="E742" s="8"/>
      <c r="F742" s="8"/>
      <c r="G742" s="8"/>
      <c r="H742" s="47"/>
      <c r="I742" s="7"/>
    </row>
    <row r="743">
      <c r="A743" s="8"/>
      <c r="B743" s="8"/>
      <c r="C743" s="8"/>
      <c r="D743" s="8"/>
      <c r="E743" s="8"/>
      <c r="F743" s="8"/>
      <c r="G743" s="8"/>
      <c r="H743" s="47"/>
      <c r="I743" s="7"/>
    </row>
    <row r="744">
      <c r="A744" s="8"/>
      <c r="B744" s="8"/>
      <c r="C744" s="8"/>
      <c r="D744" s="8"/>
      <c r="E744" s="8"/>
      <c r="F744" s="8"/>
      <c r="G744" s="8"/>
      <c r="H744" s="47"/>
      <c r="I744" s="7"/>
    </row>
    <row r="745">
      <c r="A745" s="8"/>
      <c r="B745" s="8"/>
      <c r="C745" s="8"/>
      <c r="D745" s="8"/>
      <c r="E745" s="8"/>
      <c r="F745" s="8"/>
      <c r="G745" s="8"/>
      <c r="H745" s="47"/>
      <c r="I745" s="7"/>
    </row>
    <row r="746">
      <c r="A746" s="8"/>
      <c r="B746" s="8"/>
      <c r="C746" s="8"/>
      <c r="D746" s="8"/>
      <c r="E746" s="8"/>
      <c r="F746" s="8"/>
      <c r="G746" s="8"/>
      <c r="H746" s="47"/>
      <c r="I746" s="7"/>
    </row>
    <row r="747">
      <c r="A747" s="8"/>
      <c r="B747" s="8"/>
      <c r="C747" s="8"/>
      <c r="D747" s="8"/>
      <c r="E747" s="8"/>
      <c r="F747" s="8"/>
      <c r="G747" s="8"/>
      <c r="H747" s="47"/>
      <c r="I747" s="7"/>
    </row>
    <row r="748">
      <c r="A748" s="8"/>
      <c r="B748" s="8"/>
      <c r="C748" s="8"/>
      <c r="D748" s="8"/>
      <c r="E748" s="8"/>
      <c r="F748" s="8"/>
      <c r="G748" s="8"/>
      <c r="H748" s="47"/>
      <c r="I748" s="7"/>
    </row>
    <row r="749">
      <c r="A749" s="8"/>
      <c r="B749" s="8"/>
      <c r="C749" s="8"/>
      <c r="D749" s="8"/>
      <c r="E749" s="8"/>
      <c r="F749" s="8"/>
      <c r="G749" s="8"/>
      <c r="H749" s="47"/>
      <c r="I749" s="7"/>
    </row>
    <row r="750">
      <c r="A750" s="8"/>
      <c r="B750" s="8"/>
      <c r="C750" s="8"/>
      <c r="D750" s="8"/>
      <c r="E750" s="8"/>
      <c r="F750" s="8"/>
      <c r="G750" s="8"/>
      <c r="H750" s="47"/>
      <c r="I750" s="7"/>
    </row>
    <row r="751">
      <c r="A751" s="8"/>
      <c r="B751" s="8"/>
      <c r="C751" s="8"/>
      <c r="D751" s="8"/>
      <c r="E751" s="8"/>
      <c r="F751" s="8"/>
      <c r="G751" s="8"/>
      <c r="H751" s="47"/>
      <c r="I751" s="7"/>
    </row>
    <row r="752">
      <c r="A752" s="8"/>
      <c r="B752" s="8"/>
      <c r="C752" s="8"/>
      <c r="D752" s="8"/>
      <c r="E752" s="8"/>
      <c r="F752" s="8"/>
      <c r="G752" s="8"/>
      <c r="H752" s="47"/>
      <c r="I752" s="7"/>
    </row>
    <row r="753">
      <c r="A753" s="8"/>
      <c r="B753" s="8"/>
      <c r="C753" s="8"/>
      <c r="D753" s="8"/>
      <c r="E753" s="8"/>
      <c r="F753" s="8"/>
      <c r="G753" s="8"/>
      <c r="H753" s="47"/>
      <c r="I753" s="7"/>
    </row>
    <row r="754">
      <c r="A754" s="8"/>
      <c r="B754" s="8"/>
      <c r="C754" s="8"/>
      <c r="D754" s="8"/>
      <c r="E754" s="8"/>
      <c r="F754" s="8"/>
      <c r="G754" s="8"/>
      <c r="H754" s="47"/>
      <c r="I754" s="7"/>
    </row>
    <row r="755">
      <c r="A755" s="8"/>
      <c r="B755" s="8"/>
      <c r="C755" s="8"/>
      <c r="D755" s="8"/>
      <c r="E755" s="8"/>
      <c r="F755" s="8"/>
      <c r="G755" s="8"/>
      <c r="H755" s="47"/>
      <c r="I755" s="7"/>
    </row>
    <row r="756">
      <c r="A756" s="8"/>
      <c r="B756" s="8"/>
      <c r="C756" s="8"/>
      <c r="D756" s="8"/>
      <c r="E756" s="8"/>
      <c r="F756" s="8"/>
      <c r="G756" s="8"/>
      <c r="H756" s="47"/>
      <c r="I756" s="7"/>
    </row>
    <row r="757">
      <c r="A757" s="8"/>
      <c r="B757" s="8"/>
      <c r="C757" s="8"/>
      <c r="D757" s="8"/>
      <c r="E757" s="8"/>
      <c r="F757" s="8"/>
      <c r="G757" s="8"/>
      <c r="H757" s="47"/>
      <c r="I757" s="7"/>
    </row>
    <row r="758">
      <c r="A758" s="8"/>
      <c r="B758" s="8"/>
      <c r="C758" s="8"/>
      <c r="D758" s="8"/>
      <c r="E758" s="8"/>
      <c r="F758" s="8"/>
      <c r="G758" s="8"/>
      <c r="H758" s="47"/>
      <c r="I758" s="7"/>
    </row>
    <row r="759">
      <c r="A759" s="8"/>
      <c r="B759" s="8"/>
      <c r="C759" s="8"/>
      <c r="D759" s="8"/>
      <c r="E759" s="8"/>
      <c r="F759" s="8"/>
      <c r="G759" s="8"/>
      <c r="H759" s="47"/>
      <c r="I759" s="7"/>
    </row>
    <row r="760">
      <c r="A760" s="8"/>
      <c r="B760" s="8"/>
      <c r="C760" s="8"/>
      <c r="D760" s="8"/>
      <c r="E760" s="8"/>
      <c r="F760" s="8"/>
      <c r="G760" s="8"/>
      <c r="H760" s="47"/>
      <c r="I760" s="7"/>
    </row>
    <row r="761">
      <c r="A761" s="8"/>
      <c r="B761" s="8"/>
      <c r="C761" s="8"/>
      <c r="D761" s="8"/>
      <c r="E761" s="8"/>
      <c r="F761" s="8"/>
      <c r="G761" s="8"/>
      <c r="H761" s="47"/>
      <c r="I761" s="7"/>
    </row>
    <row r="762">
      <c r="A762" s="8"/>
      <c r="B762" s="8"/>
      <c r="C762" s="8"/>
      <c r="D762" s="8"/>
      <c r="E762" s="8"/>
      <c r="F762" s="8"/>
      <c r="G762" s="8"/>
      <c r="H762" s="47"/>
      <c r="I762" s="7"/>
    </row>
    <row r="763">
      <c r="A763" s="8"/>
      <c r="B763" s="8"/>
      <c r="C763" s="8"/>
      <c r="D763" s="8"/>
      <c r="E763" s="8"/>
      <c r="F763" s="8"/>
      <c r="G763" s="8"/>
      <c r="H763" s="47"/>
      <c r="I763" s="7"/>
    </row>
    <row r="764">
      <c r="A764" s="8"/>
      <c r="B764" s="8"/>
      <c r="C764" s="8"/>
      <c r="D764" s="8"/>
      <c r="E764" s="8"/>
      <c r="F764" s="8"/>
      <c r="G764" s="8"/>
      <c r="H764" s="47"/>
      <c r="I764" s="7"/>
    </row>
    <row r="765">
      <c r="A765" s="8"/>
      <c r="B765" s="8"/>
      <c r="C765" s="8"/>
      <c r="D765" s="8"/>
      <c r="E765" s="8"/>
      <c r="F765" s="8"/>
      <c r="G765" s="8"/>
      <c r="H765" s="47"/>
      <c r="I765" s="7"/>
    </row>
    <row r="766">
      <c r="A766" s="8"/>
      <c r="B766" s="8"/>
      <c r="C766" s="8"/>
      <c r="D766" s="8"/>
      <c r="E766" s="8"/>
      <c r="F766" s="8"/>
      <c r="G766" s="8"/>
      <c r="H766" s="47"/>
      <c r="I766" s="7"/>
    </row>
    <row r="767">
      <c r="A767" s="8"/>
      <c r="B767" s="8"/>
      <c r="C767" s="8"/>
      <c r="D767" s="8"/>
      <c r="E767" s="8"/>
      <c r="F767" s="8"/>
      <c r="G767" s="8"/>
      <c r="H767" s="47"/>
      <c r="I767" s="7"/>
    </row>
    <row r="768">
      <c r="A768" s="8"/>
      <c r="B768" s="8"/>
      <c r="C768" s="8"/>
      <c r="D768" s="8"/>
      <c r="E768" s="8"/>
      <c r="F768" s="8"/>
      <c r="G768" s="8"/>
      <c r="H768" s="47"/>
      <c r="I768" s="7"/>
    </row>
    <row r="769">
      <c r="A769" s="8"/>
      <c r="B769" s="8"/>
      <c r="C769" s="8"/>
      <c r="D769" s="8"/>
      <c r="E769" s="8"/>
      <c r="F769" s="8"/>
      <c r="G769" s="8"/>
      <c r="H769" s="47"/>
      <c r="I769" s="7"/>
    </row>
    <row r="770">
      <c r="A770" s="8"/>
      <c r="B770" s="8"/>
      <c r="C770" s="8"/>
      <c r="D770" s="8"/>
      <c r="E770" s="8"/>
      <c r="F770" s="8"/>
      <c r="G770" s="8"/>
      <c r="H770" s="47"/>
      <c r="I770" s="7"/>
    </row>
    <row r="771">
      <c r="A771" s="8"/>
      <c r="B771" s="8"/>
      <c r="C771" s="8"/>
      <c r="D771" s="8"/>
      <c r="E771" s="8"/>
      <c r="F771" s="8"/>
      <c r="G771" s="8"/>
      <c r="H771" s="47"/>
      <c r="I771" s="7"/>
    </row>
    <row r="772">
      <c r="A772" s="8"/>
      <c r="B772" s="8"/>
      <c r="C772" s="8"/>
      <c r="D772" s="8"/>
      <c r="E772" s="8"/>
      <c r="F772" s="8"/>
      <c r="G772" s="8"/>
      <c r="H772" s="47"/>
      <c r="I772" s="7"/>
    </row>
    <row r="773">
      <c r="A773" s="8"/>
      <c r="B773" s="8"/>
      <c r="C773" s="8"/>
      <c r="D773" s="8"/>
      <c r="E773" s="8"/>
      <c r="F773" s="8"/>
      <c r="G773" s="8"/>
      <c r="H773" s="47"/>
      <c r="I773" s="7"/>
    </row>
    <row r="774">
      <c r="A774" s="8"/>
      <c r="B774" s="8"/>
      <c r="C774" s="8"/>
      <c r="D774" s="8"/>
      <c r="E774" s="8"/>
      <c r="F774" s="8"/>
      <c r="G774" s="8"/>
      <c r="H774" s="47"/>
      <c r="I774" s="7"/>
    </row>
    <row r="775">
      <c r="A775" s="8"/>
      <c r="B775" s="8"/>
      <c r="C775" s="8"/>
      <c r="D775" s="8"/>
      <c r="E775" s="8"/>
      <c r="F775" s="8"/>
      <c r="G775" s="8"/>
      <c r="H775" s="47"/>
      <c r="I775" s="7"/>
    </row>
    <row r="776">
      <c r="A776" s="8"/>
      <c r="B776" s="8"/>
      <c r="C776" s="8"/>
      <c r="D776" s="8"/>
      <c r="E776" s="8"/>
      <c r="F776" s="8"/>
      <c r="G776" s="8"/>
      <c r="H776" s="47"/>
      <c r="I776" s="7"/>
    </row>
    <row r="777">
      <c r="A777" s="8"/>
      <c r="B777" s="8"/>
      <c r="C777" s="8"/>
      <c r="D777" s="8"/>
      <c r="E777" s="8"/>
      <c r="F777" s="8"/>
      <c r="G777" s="8"/>
      <c r="H777" s="47"/>
      <c r="I777" s="7"/>
    </row>
    <row r="778">
      <c r="A778" s="8"/>
      <c r="B778" s="8"/>
      <c r="C778" s="8"/>
      <c r="D778" s="8"/>
      <c r="E778" s="8"/>
      <c r="F778" s="8"/>
      <c r="G778" s="8"/>
      <c r="H778" s="47"/>
      <c r="I778" s="7"/>
    </row>
    <row r="779">
      <c r="A779" s="8"/>
      <c r="B779" s="8"/>
      <c r="C779" s="8"/>
      <c r="D779" s="8"/>
      <c r="E779" s="8"/>
      <c r="F779" s="8"/>
      <c r="G779" s="8"/>
      <c r="H779" s="47"/>
      <c r="I779" s="7"/>
    </row>
    <row r="780">
      <c r="A780" s="8"/>
      <c r="B780" s="8"/>
      <c r="C780" s="8"/>
      <c r="D780" s="8"/>
      <c r="E780" s="8"/>
      <c r="F780" s="8"/>
      <c r="G780" s="8"/>
      <c r="H780" s="47"/>
      <c r="I780" s="7"/>
    </row>
    <row r="781">
      <c r="A781" s="8"/>
      <c r="B781" s="8"/>
      <c r="C781" s="8"/>
      <c r="D781" s="8"/>
      <c r="E781" s="8"/>
      <c r="F781" s="8"/>
      <c r="G781" s="8"/>
      <c r="H781" s="47"/>
      <c r="I781" s="7"/>
    </row>
    <row r="782">
      <c r="A782" s="8"/>
      <c r="B782" s="8"/>
      <c r="C782" s="8"/>
      <c r="D782" s="8"/>
      <c r="E782" s="8"/>
      <c r="F782" s="8"/>
      <c r="G782" s="8"/>
      <c r="H782" s="47"/>
      <c r="I782" s="7"/>
    </row>
    <row r="783">
      <c r="A783" s="8"/>
      <c r="B783" s="8"/>
      <c r="C783" s="8"/>
      <c r="D783" s="8"/>
      <c r="E783" s="8"/>
      <c r="F783" s="8"/>
      <c r="G783" s="8"/>
      <c r="H783" s="47"/>
      <c r="I783" s="7"/>
    </row>
    <row r="784">
      <c r="A784" s="8"/>
      <c r="B784" s="8"/>
      <c r="C784" s="8"/>
      <c r="D784" s="8"/>
      <c r="E784" s="8"/>
      <c r="F784" s="8"/>
      <c r="G784" s="8"/>
      <c r="H784" s="47"/>
      <c r="I784" s="7"/>
    </row>
    <row r="785">
      <c r="A785" s="8"/>
      <c r="B785" s="8"/>
      <c r="C785" s="8"/>
      <c r="D785" s="8"/>
      <c r="E785" s="8"/>
      <c r="F785" s="8"/>
      <c r="G785" s="8"/>
      <c r="H785" s="47"/>
      <c r="I785" s="7"/>
    </row>
    <row r="786">
      <c r="A786" s="8"/>
      <c r="B786" s="8"/>
      <c r="C786" s="8"/>
      <c r="D786" s="8"/>
      <c r="E786" s="8"/>
      <c r="F786" s="8"/>
      <c r="G786" s="8"/>
      <c r="H786" s="47"/>
      <c r="I786" s="7"/>
    </row>
    <row r="787">
      <c r="A787" s="8"/>
      <c r="B787" s="8"/>
      <c r="C787" s="8"/>
      <c r="D787" s="8"/>
      <c r="E787" s="8"/>
      <c r="F787" s="8"/>
      <c r="G787" s="8"/>
      <c r="H787" s="47"/>
      <c r="I787" s="7"/>
    </row>
    <row r="788">
      <c r="A788" s="8"/>
      <c r="B788" s="8"/>
      <c r="C788" s="8"/>
      <c r="D788" s="8"/>
      <c r="E788" s="8"/>
      <c r="F788" s="8"/>
      <c r="G788" s="8"/>
      <c r="H788" s="47"/>
      <c r="I788" s="7"/>
    </row>
    <row r="789">
      <c r="A789" s="8"/>
      <c r="B789" s="8"/>
      <c r="C789" s="8"/>
      <c r="D789" s="8"/>
      <c r="E789" s="8"/>
      <c r="F789" s="8"/>
      <c r="G789" s="8"/>
      <c r="H789" s="47"/>
      <c r="I789" s="7"/>
    </row>
    <row r="790">
      <c r="A790" s="8"/>
      <c r="B790" s="8"/>
      <c r="C790" s="8"/>
      <c r="D790" s="8"/>
      <c r="E790" s="8"/>
      <c r="F790" s="8"/>
      <c r="G790" s="8"/>
      <c r="H790" s="47"/>
      <c r="I790" s="7"/>
    </row>
    <row r="791">
      <c r="A791" s="8"/>
      <c r="B791" s="8"/>
      <c r="C791" s="8"/>
      <c r="D791" s="8"/>
      <c r="E791" s="8"/>
      <c r="F791" s="8"/>
      <c r="G791" s="8"/>
      <c r="H791" s="47"/>
      <c r="I791" s="7"/>
    </row>
    <row r="792">
      <c r="A792" s="8"/>
      <c r="B792" s="8"/>
      <c r="C792" s="8"/>
      <c r="D792" s="8"/>
      <c r="E792" s="8"/>
      <c r="F792" s="8"/>
      <c r="G792" s="8"/>
      <c r="H792" s="47"/>
      <c r="I792" s="7"/>
    </row>
    <row r="793">
      <c r="A793" s="8"/>
      <c r="B793" s="8"/>
      <c r="C793" s="8"/>
      <c r="D793" s="8"/>
      <c r="E793" s="8"/>
      <c r="F793" s="8"/>
      <c r="G793" s="8"/>
      <c r="H793" s="47"/>
      <c r="I793" s="7"/>
    </row>
    <row r="794">
      <c r="A794" s="8"/>
      <c r="B794" s="8"/>
      <c r="C794" s="8"/>
      <c r="D794" s="8"/>
      <c r="E794" s="8"/>
      <c r="F794" s="8"/>
      <c r="G794" s="8"/>
      <c r="H794" s="47"/>
      <c r="I794" s="7"/>
    </row>
    <row r="795">
      <c r="A795" s="8"/>
      <c r="B795" s="8"/>
      <c r="C795" s="8"/>
      <c r="D795" s="8"/>
      <c r="E795" s="8"/>
      <c r="F795" s="8"/>
      <c r="G795" s="8"/>
      <c r="H795" s="47"/>
      <c r="I795" s="7"/>
    </row>
    <row r="796">
      <c r="A796" s="8"/>
      <c r="B796" s="8"/>
      <c r="C796" s="8"/>
      <c r="D796" s="8"/>
      <c r="E796" s="8"/>
      <c r="F796" s="8"/>
      <c r="G796" s="8"/>
      <c r="H796" s="47"/>
      <c r="I796" s="7"/>
    </row>
    <row r="797">
      <c r="A797" s="8"/>
      <c r="B797" s="8"/>
      <c r="C797" s="8"/>
      <c r="D797" s="8"/>
      <c r="E797" s="8"/>
      <c r="F797" s="8"/>
      <c r="G797" s="8"/>
      <c r="H797" s="47"/>
      <c r="I797" s="7"/>
    </row>
    <row r="798">
      <c r="A798" s="8"/>
      <c r="B798" s="8"/>
      <c r="C798" s="8"/>
      <c r="D798" s="8"/>
      <c r="E798" s="8"/>
      <c r="F798" s="8"/>
      <c r="G798" s="8"/>
      <c r="H798" s="47"/>
      <c r="I798" s="7"/>
    </row>
    <row r="799">
      <c r="A799" s="8"/>
      <c r="B799" s="8"/>
      <c r="C799" s="8"/>
      <c r="D799" s="8"/>
      <c r="E799" s="8"/>
      <c r="F799" s="8"/>
      <c r="G799" s="8"/>
      <c r="H799" s="47"/>
      <c r="I799" s="7"/>
    </row>
    <row r="800">
      <c r="A800" s="8"/>
      <c r="B800" s="8"/>
      <c r="C800" s="8"/>
      <c r="D800" s="8"/>
      <c r="E800" s="8"/>
      <c r="F800" s="8"/>
      <c r="G800" s="8"/>
      <c r="H800" s="47"/>
      <c r="I800" s="7"/>
    </row>
    <row r="801">
      <c r="A801" s="8"/>
      <c r="B801" s="8"/>
      <c r="C801" s="8"/>
      <c r="D801" s="8"/>
      <c r="E801" s="8"/>
      <c r="F801" s="8"/>
      <c r="G801" s="8"/>
      <c r="H801" s="47"/>
      <c r="I801" s="7"/>
    </row>
    <row r="802">
      <c r="A802" s="8"/>
      <c r="B802" s="8"/>
      <c r="C802" s="8"/>
      <c r="D802" s="8"/>
      <c r="E802" s="8"/>
      <c r="F802" s="8"/>
      <c r="G802" s="8"/>
      <c r="H802" s="47"/>
      <c r="I802" s="7"/>
    </row>
    <row r="803">
      <c r="A803" s="8"/>
      <c r="B803" s="8"/>
      <c r="C803" s="8"/>
      <c r="D803" s="8"/>
      <c r="E803" s="8"/>
      <c r="F803" s="8"/>
      <c r="G803" s="8"/>
      <c r="H803" s="47"/>
      <c r="I803" s="7"/>
    </row>
    <row r="804">
      <c r="A804" s="8"/>
      <c r="B804" s="8"/>
      <c r="C804" s="8"/>
      <c r="D804" s="8"/>
      <c r="E804" s="8"/>
      <c r="F804" s="8"/>
      <c r="G804" s="8"/>
      <c r="H804" s="47"/>
      <c r="I804" s="7"/>
    </row>
    <row r="805">
      <c r="A805" s="8"/>
      <c r="B805" s="8"/>
      <c r="C805" s="8"/>
      <c r="D805" s="8"/>
      <c r="E805" s="8"/>
      <c r="F805" s="8"/>
      <c r="G805" s="8"/>
      <c r="H805" s="47"/>
      <c r="I805" s="7"/>
    </row>
    <row r="806">
      <c r="A806" s="8"/>
      <c r="B806" s="8"/>
      <c r="C806" s="8"/>
      <c r="D806" s="8"/>
      <c r="E806" s="8"/>
      <c r="F806" s="8"/>
      <c r="G806" s="8"/>
      <c r="H806" s="47"/>
      <c r="I806" s="7"/>
    </row>
    <row r="807">
      <c r="A807" s="8"/>
      <c r="B807" s="8"/>
      <c r="C807" s="8"/>
      <c r="D807" s="8"/>
      <c r="E807" s="8"/>
      <c r="F807" s="8"/>
      <c r="G807" s="8"/>
      <c r="H807" s="47"/>
      <c r="I807" s="7"/>
    </row>
    <row r="808">
      <c r="A808" s="8"/>
      <c r="B808" s="8"/>
      <c r="C808" s="8"/>
      <c r="D808" s="8"/>
      <c r="E808" s="8"/>
      <c r="F808" s="8"/>
      <c r="G808" s="8"/>
      <c r="H808" s="47"/>
      <c r="I808" s="7"/>
    </row>
    <row r="809">
      <c r="A809" s="8"/>
      <c r="B809" s="8"/>
      <c r="C809" s="8"/>
      <c r="D809" s="8"/>
      <c r="E809" s="8"/>
      <c r="F809" s="8"/>
      <c r="G809" s="8"/>
      <c r="H809" s="47"/>
      <c r="I809" s="7"/>
    </row>
    <row r="810">
      <c r="A810" s="8"/>
      <c r="B810" s="8"/>
      <c r="C810" s="8"/>
      <c r="D810" s="8"/>
      <c r="E810" s="8"/>
      <c r="F810" s="8"/>
      <c r="G810" s="8"/>
      <c r="H810" s="47"/>
      <c r="I810" s="7"/>
    </row>
    <row r="811">
      <c r="A811" s="8"/>
      <c r="B811" s="8"/>
      <c r="C811" s="8"/>
      <c r="D811" s="8"/>
      <c r="E811" s="8"/>
      <c r="F811" s="8"/>
      <c r="G811" s="8"/>
      <c r="H811" s="47"/>
      <c r="I811" s="7"/>
    </row>
    <row r="812">
      <c r="A812" s="8"/>
      <c r="B812" s="8"/>
      <c r="C812" s="8"/>
      <c r="D812" s="8"/>
      <c r="E812" s="8"/>
      <c r="F812" s="8"/>
      <c r="G812" s="8"/>
      <c r="H812" s="47"/>
      <c r="I812" s="7"/>
    </row>
    <row r="813">
      <c r="A813" s="8"/>
      <c r="B813" s="8"/>
      <c r="C813" s="8"/>
      <c r="D813" s="8"/>
      <c r="E813" s="8"/>
      <c r="F813" s="8"/>
      <c r="G813" s="8"/>
      <c r="H813" s="47"/>
      <c r="I813" s="7"/>
    </row>
    <row r="814">
      <c r="A814" s="8"/>
      <c r="B814" s="8"/>
      <c r="C814" s="8"/>
      <c r="D814" s="8"/>
      <c r="E814" s="8"/>
      <c r="F814" s="8"/>
      <c r="G814" s="8"/>
      <c r="H814" s="47"/>
      <c r="I814" s="7"/>
    </row>
    <row r="815">
      <c r="A815" s="8"/>
      <c r="B815" s="8"/>
      <c r="C815" s="8"/>
      <c r="D815" s="8"/>
      <c r="E815" s="8"/>
      <c r="F815" s="8"/>
      <c r="G815" s="8"/>
      <c r="H815" s="47"/>
      <c r="I815" s="7"/>
    </row>
    <row r="816">
      <c r="A816" s="8"/>
      <c r="B816" s="8"/>
      <c r="C816" s="8"/>
      <c r="D816" s="8"/>
      <c r="E816" s="8"/>
      <c r="F816" s="8"/>
      <c r="G816" s="8"/>
      <c r="H816" s="47"/>
      <c r="I816" s="7"/>
    </row>
    <row r="817">
      <c r="A817" s="8"/>
      <c r="B817" s="8"/>
      <c r="C817" s="8"/>
      <c r="D817" s="8"/>
      <c r="E817" s="8"/>
      <c r="F817" s="8"/>
      <c r="G817" s="8"/>
      <c r="H817" s="47"/>
      <c r="I817" s="7"/>
    </row>
    <row r="818">
      <c r="A818" s="8"/>
      <c r="B818" s="8"/>
      <c r="C818" s="8"/>
      <c r="D818" s="8"/>
      <c r="E818" s="8"/>
      <c r="F818" s="8"/>
      <c r="G818" s="8"/>
      <c r="H818" s="47"/>
      <c r="I818" s="7"/>
    </row>
    <row r="819">
      <c r="A819" s="8"/>
      <c r="B819" s="8"/>
      <c r="C819" s="8"/>
      <c r="D819" s="8"/>
      <c r="E819" s="8"/>
      <c r="F819" s="8"/>
      <c r="G819" s="8"/>
      <c r="H819" s="47"/>
      <c r="I819" s="7"/>
    </row>
    <row r="820">
      <c r="A820" s="8"/>
      <c r="B820" s="8"/>
      <c r="C820" s="8"/>
      <c r="D820" s="8"/>
      <c r="E820" s="8"/>
      <c r="F820" s="8"/>
      <c r="G820" s="8"/>
      <c r="H820" s="47"/>
      <c r="I820" s="7"/>
    </row>
    <row r="821">
      <c r="A821" s="8"/>
      <c r="B821" s="8"/>
      <c r="C821" s="8"/>
      <c r="D821" s="8"/>
      <c r="E821" s="8"/>
      <c r="F821" s="8"/>
      <c r="G821" s="8"/>
      <c r="H821" s="47"/>
      <c r="I821" s="7"/>
    </row>
    <row r="822">
      <c r="A822" s="8"/>
      <c r="B822" s="8"/>
      <c r="C822" s="8"/>
      <c r="D822" s="8"/>
      <c r="E822" s="8"/>
      <c r="F822" s="8"/>
      <c r="G822" s="8"/>
      <c r="H822" s="47"/>
      <c r="I822" s="7"/>
    </row>
    <row r="823">
      <c r="A823" s="8"/>
      <c r="B823" s="8"/>
      <c r="C823" s="8"/>
      <c r="D823" s="8"/>
      <c r="E823" s="8"/>
      <c r="F823" s="8"/>
      <c r="G823" s="8"/>
      <c r="H823" s="47"/>
      <c r="I823" s="7"/>
    </row>
    <row r="824">
      <c r="A824" s="8"/>
      <c r="B824" s="8"/>
      <c r="C824" s="8"/>
      <c r="D824" s="8"/>
      <c r="E824" s="8"/>
      <c r="F824" s="8"/>
      <c r="G824" s="8"/>
      <c r="H824" s="47"/>
      <c r="I824" s="7"/>
    </row>
    <row r="825">
      <c r="A825" s="8"/>
      <c r="B825" s="8"/>
      <c r="C825" s="8"/>
      <c r="D825" s="8"/>
      <c r="E825" s="8"/>
      <c r="F825" s="8"/>
      <c r="G825" s="8"/>
      <c r="H825" s="47"/>
      <c r="I825" s="7"/>
    </row>
    <row r="826">
      <c r="A826" s="8"/>
      <c r="B826" s="8"/>
      <c r="C826" s="8"/>
      <c r="D826" s="8"/>
      <c r="E826" s="8"/>
      <c r="F826" s="8"/>
      <c r="G826" s="8"/>
      <c r="H826" s="47"/>
      <c r="I826" s="7"/>
    </row>
    <row r="827">
      <c r="A827" s="8"/>
      <c r="B827" s="8"/>
      <c r="C827" s="8"/>
      <c r="D827" s="8"/>
      <c r="E827" s="8"/>
      <c r="F827" s="8"/>
      <c r="G827" s="8"/>
      <c r="H827" s="47"/>
      <c r="I827" s="7"/>
    </row>
    <row r="828">
      <c r="A828" s="8"/>
      <c r="B828" s="8"/>
      <c r="C828" s="8"/>
      <c r="D828" s="8"/>
      <c r="E828" s="8"/>
      <c r="F828" s="8"/>
      <c r="G828" s="8"/>
      <c r="H828" s="47"/>
      <c r="I828" s="7"/>
    </row>
    <row r="829">
      <c r="A829" s="8"/>
      <c r="B829" s="8"/>
      <c r="C829" s="8"/>
      <c r="D829" s="8"/>
      <c r="E829" s="8"/>
      <c r="F829" s="8"/>
      <c r="G829" s="8"/>
      <c r="H829" s="47"/>
      <c r="I829" s="7"/>
    </row>
    <row r="830">
      <c r="A830" s="8"/>
      <c r="B830" s="8"/>
      <c r="C830" s="8"/>
      <c r="D830" s="8"/>
      <c r="E830" s="8"/>
      <c r="F830" s="8"/>
      <c r="G830" s="8"/>
      <c r="H830" s="47"/>
      <c r="I830" s="7"/>
    </row>
    <row r="831">
      <c r="A831" s="8"/>
      <c r="B831" s="8"/>
      <c r="C831" s="8"/>
      <c r="D831" s="8"/>
      <c r="E831" s="8"/>
      <c r="F831" s="8"/>
      <c r="G831" s="8"/>
      <c r="H831" s="47"/>
      <c r="I831" s="7"/>
    </row>
    <row r="832">
      <c r="A832" s="8"/>
      <c r="B832" s="8"/>
      <c r="C832" s="8"/>
      <c r="D832" s="8"/>
      <c r="E832" s="8"/>
      <c r="F832" s="8"/>
      <c r="G832" s="8"/>
      <c r="H832" s="47"/>
      <c r="I832" s="7"/>
    </row>
    <row r="833">
      <c r="A833" s="8"/>
      <c r="B833" s="8"/>
      <c r="C833" s="8"/>
      <c r="D833" s="8"/>
      <c r="E833" s="8"/>
      <c r="F833" s="8"/>
      <c r="G833" s="8"/>
      <c r="H833" s="47"/>
      <c r="I833" s="7"/>
    </row>
    <row r="834">
      <c r="A834" s="8"/>
      <c r="B834" s="8"/>
      <c r="C834" s="8"/>
      <c r="D834" s="8"/>
      <c r="E834" s="8"/>
      <c r="F834" s="8"/>
      <c r="G834" s="8"/>
      <c r="H834" s="47"/>
      <c r="I834" s="7"/>
    </row>
    <row r="835">
      <c r="A835" s="8"/>
      <c r="B835" s="8"/>
      <c r="C835" s="8"/>
      <c r="D835" s="8"/>
      <c r="E835" s="8"/>
      <c r="F835" s="8"/>
      <c r="G835" s="8"/>
      <c r="H835" s="47"/>
      <c r="I835" s="7"/>
    </row>
    <row r="836">
      <c r="A836" s="8"/>
      <c r="B836" s="8"/>
      <c r="C836" s="8"/>
      <c r="D836" s="8"/>
      <c r="E836" s="8"/>
      <c r="F836" s="8"/>
      <c r="G836" s="8"/>
      <c r="H836" s="47"/>
      <c r="I836" s="7"/>
    </row>
    <row r="837">
      <c r="A837" s="8"/>
      <c r="B837" s="8"/>
      <c r="C837" s="8"/>
      <c r="D837" s="8"/>
      <c r="E837" s="8"/>
      <c r="F837" s="8"/>
      <c r="G837" s="8"/>
      <c r="H837" s="47"/>
      <c r="I837" s="7"/>
    </row>
    <row r="838">
      <c r="A838" s="8"/>
      <c r="B838" s="8"/>
      <c r="C838" s="8"/>
      <c r="D838" s="8"/>
      <c r="E838" s="8"/>
      <c r="F838" s="8"/>
      <c r="G838" s="8"/>
      <c r="H838" s="47"/>
      <c r="I838" s="7"/>
    </row>
    <row r="839">
      <c r="A839" s="8"/>
      <c r="B839" s="8"/>
      <c r="C839" s="8"/>
      <c r="D839" s="8"/>
      <c r="E839" s="8"/>
      <c r="F839" s="8"/>
      <c r="G839" s="8"/>
      <c r="H839" s="47"/>
      <c r="I839" s="7"/>
    </row>
    <row r="840">
      <c r="A840" s="8"/>
      <c r="B840" s="8"/>
      <c r="C840" s="8"/>
      <c r="D840" s="8"/>
      <c r="E840" s="8"/>
      <c r="F840" s="8"/>
      <c r="G840" s="8"/>
      <c r="H840" s="47"/>
      <c r="I840" s="7"/>
    </row>
    <row r="841">
      <c r="A841" s="8"/>
      <c r="B841" s="8"/>
      <c r="C841" s="8"/>
      <c r="D841" s="8"/>
      <c r="E841" s="8"/>
      <c r="F841" s="8"/>
      <c r="G841" s="8"/>
      <c r="H841" s="47"/>
      <c r="I841" s="7"/>
    </row>
    <row r="842">
      <c r="A842" s="8"/>
      <c r="B842" s="8"/>
      <c r="C842" s="8"/>
      <c r="D842" s="8"/>
      <c r="E842" s="8"/>
      <c r="F842" s="8"/>
      <c r="G842" s="8"/>
      <c r="H842" s="47"/>
      <c r="I842" s="7"/>
    </row>
    <row r="843">
      <c r="A843" s="8"/>
      <c r="B843" s="8"/>
      <c r="C843" s="8"/>
      <c r="D843" s="8"/>
      <c r="E843" s="8"/>
      <c r="F843" s="8"/>
      <c r="G843" s="8"/>
      <c r="H843" s="47"/>
      <c r="I843" s="7"/>
    </row>
    <row r="844">
      <c r="A844" s="8"/>
      <c r="B844" s="8"/>
      <c r="C844" s="8"/>
      <c r="D844" s="8"/>
      <c r="E844" s="8"/>
      <c r="F844" s="8"/>
      <c r="G844" s="8"/>
      <c r="H844" s="47"/>
      <c r="I844" s="7"/>
    </row>
    <row r="845">
      <c r="A845" s="8"/>
      <c r="B845" s="8"/>
      <c r="C845" s="8"/>
      <c r="D845" s="8"/>
      <c r="E845" s="8"/>
      <c r="F845" s="8"/>
      <c r="G845" s="8"/>
      <c r="H845" s="47"/>
      <c r="I845" s="7"/>
    </row>
    <row r="846">
      <c r="A846" s="8"/>
      <c r="B846" s="8"/>
      <c r="C846" s="8"/>
      <c r="D846" s="8"/>
      <c r="E846" s="8"/>
      <c r="F846" s="8"/>
      <c r="G846" s="8"/>
      <c r="H846" s="47"/>
      <c r="I846" s="7"/>
    </row>
    <row r="847">
      <c r="A847" s="8"/>
      <c r="B847" s="8"/>
      <c r="C847" s="8"/>
      <c r="D847" s="8"/>
      <c r="E847" s="8"/>
      <c r="F847" s="8"/>
      <c r="G847" s="8"/>
      <c r="H847" s="47"/>
      <c r="I847" s="7"/>
    </row>
    <row r="848">
      <c r="A848" s="8"/>
      <c r="B848" s="8"/>
      <c r="C848" s="8"/>
      <c r="D848" s="8"/>
      <c r="E848" s="8"/>
      <c r="F848" s="8"/>
      <c r="G848" s="8"/>
      <c r="H848" s="47"/>
      <c r="I848" s="7"/>
    </row>
    <row r="849">
      <c r="A849" s="8"/>
      <c r="B849" s="8"/>
      <c r="C849" s="8"/>
      <c r="D849" s="8"/>
      <c r="E849" s="8"/>
      <c r="F849" s="8"/>
      <c r="G849" s="8"/>
      <c r="H849" s="47"/>
      <c r="I849" s="7"/>
    </row>
    <row r="850">
      <c r="A850" s="8"/>
      <c r="B850" s="8"/>
      <c r="C850" s="8"/>
      <c r="D850" s="8"/>
      <c r="E850" s="8"/>
      <c r="F850" s="8"/>
      <c r="G850" s="8"/>
      <c r="H850" s="47"/>
      <c r="I850" s="7"/>
    </row>
    <row r="851">
      <c r="A851" s="8"/>
      <c r="B851" s="8"/>
      <c r="C851" s="8"/>
      <c r="D851" s="8"/>
      <c r="E851" s="8"/>
      <c r="F851" s="8"/>
      <c r="G851" s="8"/>
      <c r="H851" s="47"/>
      <c r="I851" s="7"/>
    </row>
    <row r="852">
      <c r="A852" s="8"/>
      <c r="B852" s="8"/>
      <c r="C852" s="8"/>
      <c r="D852" s="8"/>
      <c r="E852" s="8"/>
      <c r="F852" s="8"/>
      <c r="G852" s="8"/>
      <c r="H852" s="47"/>
      <c r="I852" s="7"/>
    </row>
    <row r="853">
      <c r="A853" s="8"/>
      <c r="B853" s="8"/>
      <c r="C853" s="8"/>
      <c r="D853" s="8"/>
      <c r="E853" s="8"/>
      <c r="F853" s="8"/>
      <c r="G853" s="8"/>
      <c r="H853" s="47"/>
      <c r="I853" s="7"/>
    </row>
    <row r="854">
      <c r="A854" s="8"/>
      <c r="B854" s="8"/>
      <c r="C854" s="8"/>
      <c r="D854" s="8"/>
      <c r="E854" s="8"/>
      <c r="F854" s="8"/>
      <c r="G854" s="8"/>
      <c r="H854" s="47"/>
      <c r="I854" s="7"/>
    </row>
    <row r="855">
      <c r="A855" s="8"/>
      <c r="B855" s="8"/>
      <c r="C855" s="8"/>
      <c r="D855" s="8"/>
      <c r="E855" s="8"/>
      <c r="F855" s="8"/>
      <c r="G855" s="8"/>
      <c r="H855" s="47"/>
      <c r="I855" s="7"/>
    </row>
    <row r="856">
      <c r="A856" s="8"/>
      <c r="B856" s="8"/>
      <c r="C856" s="8"/>
      <c r="D856" s="8"/>
      <c r="E856" s="8"/>
      <c r="F856" s="8"/>
      <c r="G856" s="8"/>
      <c r="H856" s="47"/>
      <c r="I856" s="7"/>
    </row>
    <row r="857">
      <c r="A857" s="8"/>
      <c r="B857" s="8"/>
      <c r="C857" s="8"/>
      <c r="D857" s="8"/>
      <c r="E857" s="8"/>
      <c r="F857" s="8"/>
      <c r="G857" s="8"/>
      <c r="H857" s="47"/>
      <c r="I857" s="7"/>
    </row>
    <row r="858">
      <c r="A858" s="8"/>
      <c r="B858" s="8"/>
      <c r="C858" s="8"/>
      <c r="D858" s="8"/>
      <c r="E858" s="8"/>
      <c r="F858" s="8"/>
      <c r="G858" s="8"/>
      <c r="H858" s="47"/>
      <c r="I858" s="7"/>
    </row>
    <row r="859">
      <c r="A859" s="8"/>
      <c r="B859" s="8"/>
      <c r="C859" s="8"/>
      <c r="D859" s="8"/>
      <c r="E859" s="8"/>
      <c r="F859" s="8"/>
      <c r="G859" s="8"/>
      <c r="H859" s="47"/>
      <c r="I859" s="7"/>
    </row>
    <row r="860">
      <c r="A860" s="8"/>
      <c r="B860" s="8"/>
      <c r="C860" s="8"/>
      <c r="D860" s="8"/>
      <c r="E860" s="8"/>
      <c r="F860" s="8"/>
      <c r="G860" s="8"/>
      <c r="H860" s="47"/>
      <c r="I860" s="7"/>
    </row>
    <row r="861">
      <c r="A861" s="8"/>
      <c r="B861" s="8"/>
      <c r="C861" s="8"/>
      <c r="D861" s="8"/>
      <c r="E861" s="8"/>
      <c r="F861" s="8"/>
      <c r="G861" s="8"/>
      <c r="H861" s="47"/>
      <c r="I861" s="7"/>
    </row>
    <row r="862">
      <c r="A862" s="8"/>
      <c r="B862" s="8"/>
      <c r="C862" s="8"/>
      <c r="D862" s="8"/>
      <c r="E862" s="8"/>
      <c r="F862" s="8"/>
      <c r="G862" s="8"/>
      <c r="H862" s="47"/>
      <c r="I862" s="7"/>
    </row>
    <row r="863">
      <c r="A863" s="8"/>
      <c r="B863" s="8"/>
      <c r="C863" s="8"/>
      <c r="D863" s="8"/>
      <c r="E863" s="8"/>
      <c r="F863" s="8"/>
      <c r="G863" s="8"/>
      <c r="H863" s="47"/>
      <c r="I863" s="7"/>
    </row>
    <row r="864">
      <c r="A864" s="8"/>
      <c r="B864" s="8"/>
      <c r="C864" s="8"/>
      <c r="D864" s="8"/>
      <c r="E864" s="8"/>
      <c r="F864" s="8"/>
      <c r="G864" s="8"/>
      <c r="H864" s="47"/>
      <c r="I864" s="7"/>
    </row>
    <row r="865">
      <c r="A865" s="8"/>
      <c r="B865" s="8"/>
      <c r="C865" s="8"/>
      <c r="D865" s="8"/>
      <c r="E865" s="8"/>
      <c r="F865" s="8"/>
      <c r="G865" s="8"/>
      <c r="H865" s="47"/>
      <c r="I865" s="7"/>
    </row>
    <row r="866">
      <c r="A866" s="8"/>
      <c r="B866" s="8"/>
      <c r="C866" s="8"/>
      <c r="D866" s="8"/>
      <c r="E866" s="8"/>
      <c r="F866" s="8"/>
      <c r="G866" s="8"/>
      <c r="H866" s="47"/>
      <c r="I866" s="7"/>
    </row>
    <row r="867">
      <c r="A867" s="8"/>
      <c r="B867" s="8"/>
      <c r="C867" s="8"/>
      <c r="D867" s="8"/>
      <c r="E867" s="8"/>
      <c r="F867" s="8"/>
      <c r="G867" s="8"/>
      <c r="H867" s="47"/>
      <c r="I867" s="7"/>
    </row>
    <row r="868">
      <c r="A868" s="8"/>
      <c r="B868" s="8"/>
      <c r="C868" s="8"/>
      <c r="D868" s="8"/>
      <c r="E868" s="8"/>
      <c r="F868" s="8"/>
      <c r="G868" s="8"/>
      <c r="H868" s="47"/>
      <c r="I868" s="7"/>
    </row>
    <row r="869">
      <c r="A869" s="8"/>
      <c r="B869" s="8"/>
      <c r="C869" s="8"/>
      <c r="D869" s="8"/>
      <c r="E869" s="8"/>
      <c r="F869" s="8"/>
      <c r="G869" s="8"/>
      <c r="H869" s="47"/>
      <c r="I869" s="7"/>
    </row>
    <row r="870">
      <c r="A870" s="8"/>
      <c r="B870" s="8"/>
      <c r="C870" s="8"/>
      <c r="D870" s="8"/>
      <c r="E870" s="8"/>
      <c r="F870" s="8"/>
      <c r="G870" s="8"/>
      <c r="H870" s="47"/>
      <c r="I870" s="7"/>
    </row>
    <row r="871">
      <c r="A871" s="8"/>
      <c r="B871" s="8"/>
      <c r="C871" s="8"/>
      <c r="D871" s="8"/>
      <c r="E871" s="8"/>
      <c r="F871" s="8"/>
      <c r="G871" s="8"/>
      <c r="H871" s="47"/>
      <c r="I871" s="7"/>
    </row>
    <row r="872">
      <c r="A872" s="8"/>
      <c r="B872" s="8"/>
      <c r="C872" s="8"/>
      <c r="D872" s="8"/>
      <c r="E872" s="8"/>
      <c r="F872" s="8"/>
      <c r="G872" s="8"/>
      <c r="H872" s="47"/>
      <c r="I872" s="7"/>
    </row>
    <row r="873">
      <c r="A873" s="8"/>
      <c r="B873" s="8"/>
      <c r="C873" s="8"/>
      <c r="D873" s="8"/>
      <c r="E873" s="8"/>
      <c r="F873" s="8"/>
      <c r="G873" s="8"/>
      <c r="H873" s="47"/>
      <c r="I873" s="7"/>
    </row>
    <row r="874">
      <c r="A874" s="8"/>
      <c r="B874" s="8"/>
      <c r="C874" s="8"/>
      <c r="D874" s="8"/>
      <c r="E874" s="8"/>
      <c r="F874" s="8"/>
      <c r="G874" s="8"/>
      <c r="H874" s="47"/>
      <c r="I874" s="7"/>
    </row>
    <row r="875">
      <c r="A875" s="8"/>
      <c r="B875" s="8"/>
      <c r="C875" s="8"/>
      <c r="D875" s="8"/>
      <c r="E875" s="8"/>
      <c r="F875" s="8"/>
      <c r="G875" s="8"/>
      <c r="H875" s="47"/>
      <c r="I875" s="7"/>
    </row>
    <row r="876">
      <c r="A876" s="8"/>
      <c r="B876" s="8"/>
      <c r="C876" s="8"/>
      <c r="D876" s="8"/>
      <c r="E876" s="8"/>
      <c r="F876" s="8"/>
      <c r="G876" s="8"/>
      <c r="H876" s="47"/>
      <c r="I876" s="7"/>
    </row>
    <row r="877">
      <c r="A877" s="8"/>
      <c r="B877" s="8"/>
      <c r="C877" s="8"/>
      <c r="D877" s="8"/>
      <c r="E877" s="8"/>
      <c r="F877" s="8"/>
      <c r="G877" s="8"/>
      <c r="H877" s="47"/>
      <c r="I877" s="7"/>
    </row>
    <row r="878">
      <c r="A878" s="8"/>
      <c r="B878" s="8"/>
      <c r="C878" s="8"/>
      <c r="D878" s="8"/>
      <c r="E878" s="8"/>
      <c r="F878" s="8"/>
      <c r="G878" s="8"/>
      <c r="H878" s="47"/>
      <c r="I878" s="7"/>
    </row>
    <row r="879">
      <c r="A879" s="8"/>
      <c r="B879" s="8"/>
      <c r="C879" s="8"/>
      <c r="D879" s="8"/>
      <c r="E879" s="8"/>
      <c r="F879" s="8"/>
      <c r="G879" s="8"/>
      <c r="H879" s="47"/>
      <c r="I879" s="7"/>
    </row>
    <row r="880">
      <c r="A880" s="8"/>
      <c r="B880" s="8"/>
      <c r="C880" s="8"/>
      <c r="D880" s="8"/>
      <c r="E880" s="8"/>
      <c r="F880" s="8"/>
      <c r="G880" s="8"/>
      <c r="H880" s="47"/>
      <c r="I880" s="7"/>
    </row>
    <row r="881">
      <c r="A881" s="8"/>
      <c r="B881" s="8"/>
      <c r="C881" s="8"/>
      <c r="D881" s="8"/>
      <c r="E881" s="8"/>
      <c r="F881" s="8"/>
      <c r="G881" s="8"/>
      <c r="H881" s="47"/>
      <c r="I881" s="7"/>
    </row>
    <row r="882">
      <c r="A882" s="8"/>
      <c r="B882" s="8"/>
      <c r="C882" s="8"/>
      <c r="D882" s="8"/>
      <c r="E882" s="8"/>
      <c r="F882" s="8"/>
      <c r="G882" s="8"/>
      <c r="H882" s="47"/>
      <c r="I882" s="7"/>
    </row>
    <row r="883">
      <c r="A883" s="8"/>
      <c r="B883" s="8"/>
      <c r="C883" s="8"/>
      <c r="D883" s="8"/>
      <c r="E883" s="8"/>
      <c r="F883" s="8"/>
      <c r="G883" s="8"/>
      <c r="H883" s="47"/>
      <c r="I883" s="7"/>
    </row>
    <row r="884">
      <c r="A884" s="8"/>
      <c r="B884" s="8"/>
      <c r="C884" s="8"/>
      <c r="D884" s="8"/>
      <c r="E884" s="8"/>
      <c r="F884" s="8"/>
      <c r="G884" s="8"/>
      <c r="H884" s="47"/>
      <c r="I884" s="7"/>
    </row>
    <row r="885">
      <c r="A885" s="8"/>
      <c r="B885" s="8"/>
      <c r="C885" s="8"/>
      <c r="D885" s="8"/>
      <c r="E885" s="8"/>
      <c r="F885" s="8"/>
      <c r="G885" s="8"/>
      <c r="H885" s="47"/>
      <c r="I885" s="7"/>
    </row>
    <row r="886">
      <c r="A886" s="8"/>
      <c r="B886" s="8"/>
      <c r="C886" s="8"/>
      <c r="D886" s="8"/>
      <c r="E886" s="8"/>
      <c r="F886" s="8"/>
      <c r="G886" s="8"/>
      <c r="H886" s="47"/>
      <c r="I886" s="7"/>
    </row>
    <row r="887">
      <c r="A887" s="8"/>
      <c r="B887" s="8"/>
      <c r="C887" s="8"/>
      <c r="D887" s="8"/>
      <c r="E887" s="8"/>
      <c r="F887" s="8"/>
      <c r="G887" s="8"/>
      <c r="H887" s="47"/>
      <c r="I887" s="7"/>
    </row>
    <row r="888">
      <c r="A888" s="8"/>
      <c r="B888" s="8"/>
      <c r="C888" s="8"/>
      <c r="D888" s="8"/>
      <c r="E888" s="8"/>
      <c r="F888" s="8"/>
      <c r="G888" s="8"/>
      <c r="H888" s="47"/>
      <c r="I888" s="7"/>
    </row>
    <row r="889">
      <c r="A889" s="8"/>
      <c r="B889" s="8"/>
      <c r="C889" s="8"/>
      <c r="D889" s="8"/>
      <c r="E889" s="8"/>
      <c r="F889" s="8"/>
      <c r="G889" s="8"/>
      <c r="H889" s="47"/>
      <c r="I889" s="7"/>
    </row>
    <row r="890">
      <c r="A890" s="8"/>
      <c r="B890" s="8"/>
      <c r="C890" s="8"/>
      <c r="D890" s="8"/>
      <c r="E890" s="8"/>
      <c r="F890" s="8"/>
      <c r="G890" s="8"/>
      <c r="H890" s="47"/>
      <c r="I890" s="7"/>
    </row>
    <row r="891">
      <c r="A891" s="8"/>
      <c r="B891" s="8"/>
      <c r="C891" s="8"/>
      <c r="D891" s="8"/>
      <c r="E891" s="8"/>
      <c r="F891" s="8"/>
      <c r="G891" s="8"/>
      <c r="H891" s="47"/>
      <c r="I891" s="7"/>
    </row>
    <row r="892">
      <c r="A892" s="8"/>
      <c r="B892" s="8"/>
      <c r="C892" s="8"/>
      <c r="D892" s="8"/>
      <c r="E892" s="8"/>
      <c r="F892" s="8"/>
      <c r="G892" s="8"/>
      <c r="H892" s="47"/>
      <c r="I892" s="7"/>
    </row>
    <row r="893">
      <c r="A893" s="8"/>
      <c r="B893" s="8"/>
      <c r="C893" s="8"/>
      <c r="D893" s="8"/>
      <c r="E893" s="8"/>
      <c r="F893" s="8"/>
      <c r="G893" s="8"/>
      <c r="H893" s="47"/>
      <c r="I893" s="7"/>
    </row>
    <row r="894">
      <c r="A894" s="8"/>
      <c r="B894" s="8"/>
      <c r="C894" s="8"/>
      <c r="D894" s="8"/>
      <c r="E894" s="8"/>
      <c r="F894" s="8"/>
      <c r="G894" s="8"/>
      <c r="H894" s="47"/>
      <c r="I894" s="7"/>
    </row>
    <row r="895">
      <c r="A895" s="8"/>
      <c r="B895" s="8"/>
      <c r="C895" s="8"/>
      <c r="D895" s="8"/>
      <c r="E895" s="8"/>
      <c r="F895" s="8"/>
      <c r="G895" s="8"/>
      <c r="H895" s="47"/>
      <c r="I895" s="7"/>
    </row>
    <row r="896">
      <c r="A896" s="8"/>
      <c r="B896" s="8"/>
      <c r="C896" s="8"/>
      <c r="D896" s="8"/>
      <c r="E896" s="8"/>
      <c r="F896" s="8"/>
      <c r="G896" s="8"/>
      <c r="H896" s="47"/>
      <c r="I896" s="7"/>
    </row>
    <row r="897">
      <c r="A897" s="8"/>
      <c r="B897" s="8"/>
      <c r="C897" s="8"/>
      <c r="D897" s="8"/>
      <c r="E897" s="8"/>
      <c r="F897" s="8"/>
      <c r="G897" s="8"/>
      <c r="H897" s="47"/>
      <c r="I897" s="7"/>
    </row>
    <row r="898">
      <c r="A898" s="8"/>
      <c r="B898" s="8"/>
      <c r="C898" s="8"/>
      <c r="D898" s="8"/>
      <c r="E898" s="8"/>
      <c r="F898" s="8"/>
      <c r="G898" s="8"/>
      <c r="H898" s="47"/>
      <c r="I898" s="7"/>
    </row>
    <row r="899">
      <c r="A899" s="8"/>
      <c r="B899" s="8"/>
      <c r="C899" s="8"/>
      <c r="D899" s="8"/>
      <c r="E899" s="8"/>
      <c r="F899" s="8"/>
      <c r="G899" s="8"/>
      <c r="H899" s="47"/>
      <c r="I899" s="7"/>
    </row>
    <row r="900">
      <c r="A900" s="8"/>
      <c r="B900" s="8"/>
      <c r="C900" s="8"/>
      <c r="D900" s="8"/>
      <c r="E900" s="8"/>
      <c r="F900" s="8"/>
      <c r="G900" s="8"/>
      <c r="H900" s="47"/>
      <c r="I900" s="7"/>
    </row>
    <row r="901">
      <c r="A901" s="8"/>
      <c r="B901" s="8"/>
      <c r="C901" s="8"/>
      <c r="D901" s="8"/>
      <c r="E901" s="8"/>
      <c r="F901" s="8"/>
      <c r="G901" s="8"/>
      <c r="H901" s="47"/>
      <c r="I901" s="7"/>
    </row>
    <row r="902">
      <c r="A902" s="8"/>
      <c r="B902" s="8"/>
      <c r="C902" s="8"/>
      <c r="D902" s="8"/>
      <c r="E902" s="8"/>
      <c r="F902" s="8"/>
      <c r="G902" s="8"/>
      <c r="H902" s="47"/>
      <c r="I902" s="7"/>
    </row>
    <row r="903">
      <c r="A903" s="8"/>
      <c r="B903" s="8"/>
      <c r="C903" s="8"/>
      <c r="D903" s="8"/>
      <c r="E903" s="8"/>
      <c r="F903" s="8"/>
      <c r="G903" s="8"/>
      <c r="H903" s="47"/>
      <c r="I903" s="7"/>
    </row>
    <row r="904">
      <c r="A904" s="8"/>
      <c r="B904" s="8"/>
      <c r="C904" s="8"/>
      <c r="D904" s="8"/>
      <c r="E904" s="8"/>
      <c r="F904" s="8"/>
      <c r="G904" s="8"/>
      <c r="H904" s="47"/>
      <c r="I904" s="7"/>
    </row>
    <row r="905">
      <c r="A905" s="8"/>
      <c r="B905" s="8"/>
      <c r="C905" s="8"/>
      <c r="D905" s="8"/>
      <c r="E905" s="8"/>
      <c r="F905" s="8"/>
      <c r="G905" s="8"/>
      <c r="H905" s="47"/>
      <c r="I905" s="7"/>
    </row>
    <row r="906">
      <c r="A906" s="8"/>
      <c r="B906" s="8"/>
      <c r="C906" s="8"/>
      <c r="D906" s="8"/>
      <c r="E906" s="8"/>
      <c r="F906" s="8"/>
      <c r="G906" s="8"/>
      <c r="H906" s="47"/>
      <c r="I906" s="7"/>
    </row>
    <row r="907">
      <c r="A907" s="8"/>
      <c r="B907" s="8"/>
      <c r="C907" s="8"/>
      <c r="D907" s="8"/>
      <c r="E907" s="8"/>
      <c r="F907" s="8"/>
      <c r="G907" s="8"/>
      <c r="H907" s="47"/>
      <c r="I907" s="7"/>
    </row>
    <row r="908">
      <c r="A908" s="8"/>
      <c r="B908" s="8"/>
      <c r="C908" s="8"/>
      <c r="D908" s="8"/>
      <c r="E908" s="8"/>
      <c r="F908" s="8"/>
      <c r="G908" s="8"/>
      <c r="H908" s="47"/>
      <c r="I908" s="7"/>
    </row>
    <row r="909">
      <c r="A909" s="8"/>
      <c r="B909" s="8"/>
      <c r="C909" s="8"/>
      <c r="D909" s="8"/>
      <c r="E909" s="8"/>
      <c r="F909" s="8"/>
      <c r="G909" s="8"/>
      <c r="H909" s="47"/>
      <c r="I909" s="7"/>
    </row>
    <row r="910">
      <c r="A910" s="8"/>
      <c r="B910" s="8"/>
      <c r="C910" s="8"/>
      <c r="D910" s="8"/>
      <c r="E910" s="8"/>
      <c r="F910" s="8"/>
      <c r="G910" s="8"/>
      <c r="H910" s="47"/>
      <c r="I910" s="7"/>
    </row>
    <row r="911">
      <c r="A911" s="8"/>
      <c r="B911" s="8"/>
      <c r="C911" s="8"/>
      <c r="D911" s="8"/>
      <c r="E911" s="8"/>
      <c r="F911" s="8"/>
      <c r="G911" s="8"/>
      <c r="H911" s="47"/>
      <c r="I911" s="7"/>
    </row>
    <row r="912">
      <c r="A912" s="8"/>
      <c r="B912" s="8"/>
      <c r="C912" s="8"/>
      <c r="D912" s="8"/>
      <c r="E912" s="8"/>
      <c r="F912" s="8"/>
      <c r="G912" s="8"/>
      <c r="H912" s="47"/>
      <c r="I912" s="7"/>
    </row>
    <row r="913">
      <c r="A913" s="8"/>
      <c r="B913" s="8"/>
      <c r="C913" s="8"/>
      <c r="D913" s="8"/>
      <c r="E913" s="8"/>
      <c r="F913" s="8"/>
      <c r="G913" s="8"/>
      <c r="H913" s="47"/>
      <c r="I913" s="7"/>
    </row>
    <row r="914">
      <c r="A914" s="8"/>
      <c r="B914" s="8"/>
      <c r="C914" s="8"/>
      <c r="D914" s="8"/>
      <c r="E914" s="8"/>
      <c r="F914" s="8"/>
      <c r="G914" s="8"/>
      <c r="H914" s="47"/>
      <c r="I914" s="7"/>
    </row>
    <row r="915">
      <c r="A915" s="8"/>
      <c r="B915" s="8"/>
      <c r="C915" s="8"/>
      <c r="D915" s="8"/>
      <c r="E915" s="8"/>
      <c r="F915" s="8"/>
      <c r="G915" s="8"/>
      <c r="H915" s="47"/>
      <c r="I915" s="7"/>
    </row>
    <row r="916">
      <c r="A916" s="8"/>
      <c r="B916" s="8"/>
      <c r="C916" s="8"/>
      <c r="D916" s="8"/>
      <c r="E916" s="8"/>
      <c r="F916" s="8"/>
      <c r="G916" s="8"/>
      <c r="H916" s="47"/>
      <c r="I916" s="7"/>
    </row>
    <row r="917">
      <c r="A917" s="8"/>
      <c r="B917" s="8"/>
      <c r="C917" s="8"/>
      <c r="D917" s="8"/>
      <c r="E917" s="8"/>
      <c r="F917" s="8"/>
      <c r="G917" s="8"/>
      <c r="H917" s="47"/>
      <c r="I917" s="7"/>
    </row>
    <row r="918">
      <c r="A918" s="8"/>
      <c r="B918" s="8"/>
      <c r="C918" s="8"/>
      <c r="D918" s="8"/>
      <c r="E918" s="8"/>
      <c r="F918" s="8"/>
      <c r="G918" s="8"/>
      <c r="H918" s="47"/>
      <c r="I918" s="7"/>
    </row>
    <row r="919">
      <c r="A919" s="8"/>
      <c r="B919" s="8"/>
      <c r="C919" s="8"/>
      <c r="D919" s="8"/>
      <c r="E919" s="8"/>
      <c r="F919" s="8"/>
      <c r="G919" s="8"/>
      <c r="H919" s="47"/>
      <c r="I919" s="7"/>
    </row>
    <row r="920">
      <c r="A920" s="8"/>
      <c r="B920" s="8"/>
      <c r="C920" s="8"/>
      <c r="D920" s="8"/>
      <c r="E920" s="8"/>
      <c r="F920" s="8"/>
      <c r="G920" s="8"/>
      <c r="H920" s="47"/>
      <c r="I920" s="7"/>
    </row>
    <row r="921">
      <c r="A921" s="8"/>
      <c r="B921" s="8"/>
      <c r="C921" s="8"/>
      <c r="D921" s="8"/>
      <c r="E921" s="8"/>
      <c r="F921" s="8"/>
      <c r="G921" s="8"/>
      <c r="H921" s="47"/>
      <c r="I921" s="7"/>
    </row>
    <row r="922">
      <c r="A922" s="8"/>
      <c r="B922" s="8"/>
      <c r="C922" s="8"/>
      <c r="D922" s="8"/>
      <c r="E922" s="8"/>
      <c r="F922" s="8"/>
      <c r="G922" s="8"/>
      <c r="H922" s="47"/>
      <c r="I922" s="7"/>
    </row>
    <row r="923">
      <c r="A923" s="8"/>
      <c r="B923" s="8"/>
      <c r="C923" s="8"/>
      <c r="D923" s="8"/>
      <c r="E923" s="8"/>
      <c r="F923" s="8"/>
      <c r="G923" s="8"/>
      <c r="H923" s="47"/>
      <c r="I923" s="7"/>
    </row>
    <row r="924">
      <c r="A924" s="8"/>
      <c r="B924" s="8"/>
      <c r="C924" s="8"/>
      <c r="D924" s="8"/>
      <c r="E924" s="8"/>
      <c r="F924" s="8"/>
      <c r="G924" s="8"/>
      <c r="H924" s="47"/>
      <c r="I924" s="7"/>
    </row>
    <row r="925">
      <c r="A925" s="8"/>
      <c r="B925" s="8"/>
      <c r="C925" s="8"/>
      <c r="D925" s="8"/>
      <c r="E925" s="8"/>
      <c r="F925" s="8"/>
      <c r="G925" s="8"/>
      <c r="H925" s="47"/>
      <c r="I925" s="7"/>
    </row>
    <row r="926">
      <c r="A926" s="8"/>
      <c r="B926" s="8"/>
      <c r="C926" s="8"/>
      <c r="D926" s="8"/>
      <c r="E926" s="8"/>
      <c r="F926" s="8"/>
      <c r="G926" s="8"/>
      <c r="H926" s="47"/>
      <c r="I926" s="7"/>
    </row>
    <row r="927">
      <c r="A927" s="8"/>
      <c r="B927" s="8"/>
      <c r="C927" s="8"/>
      <c r="D927" s="8"/>
      <c r="E927" s="8"/>
      <c r="F927" s="8"/>
      <c r="G927" s="8"/>
      <c r="H927" s="47"/>
      <c r="I927" s="7"/>
    </row>
    <row r="928">
      <c r="A928" s="8"/>
      <c r="B928" s="8"/>
      <c r="C928" s="8"/>
      <c r="D928" s="8"/>
      <c r="E928" s="8"/>
      <c r="F928" s="8"/>
      <c r="G928" s="8"/>
      <c r="H928" s="47"/>
      <c r="I928" s="7"/>
    </row>
    <row r="929">
      <c r="A929" s="8"/>
      <c r="B929" s="8"/>
      <c r="C929" s="8"/>
      <c r="D929" s="8"/>
      <c r="E929" s="8"/>
      <c r="F929" s="8"/>
      <c r="G929" s="8"/>
      <c r="H929" s="47"/>
      <c r="I929" s="7"/>
    </row>
    <row r="930">
      <c r="A930" s="8"/>
      <c r="B930" s="8"/>
      <c r="C930" s="8"/>
      <c r="D930" s="8"/>
      <c r="E930" s="8"/>
      <c r="F930" s="8"/>
      <c r="G930" s="8"/>
      <c r="H930" s="47"/>
      <c r="I930" s="7"/>
    </row>
    <row r="931">
      <c r="A931" s="8"/>
      <c r="B931" s="8"/>
      <c r="C931" s="8"/>
      <c r="D931" s="8"/>
      <c r="E931" s="8"/>
      <c r="F931" s="8"/>
      <c r="G931" s="8"/>
      <c r="H931" s="47"/>
      <c r="I931" s="7"/>
    </row>
    <row r="932">
      <c r="A932" s="8"/>
      <c r="B932" s="8"/>
      <c r="C932" s="8"/>
      <c r="D932" s="8"/>
      <c r="E932" s="8"/>
      <c r="F932" s="8"/>
      <c r="G932" s="8"/>
      <c r="H932" s="47"/>
      <c r="I932" s="7"/>
    </row>
    <row r="933">
      <c r="A933" s="8"/>
      <c r="B933" s="8"/>
      <c r="C933" s="8"/>
      <c r="D933" s="8"/>
      <c r="E933" s="8"/>
      <c r="F933" s="8"/>
      <c r="G933" s="8"/>
      <c r="H933" s="47"/>
      <c r="I933" s="7"/>
    </row>
    <row r="934">
      <c r="A934" s="8"/>
      <c r="B934" s="8"/>
      <c r="C934" s="8"/>
      <c r="D934" s="8"/>
      <c r="E934" s="8"/>
      <c r="F934" s="8"/>
      <c r="G934" s="8"/>
      <c r="H934" s="47"/>
      <c r="I934" s="7"/>
    </row>
    <row r="935">
      <c r="A935" s="8"/>
      <c r="B935" s="8"/>
      <c r="C935" s="8"/>
      <c r="D935" s="8"/>
      <c r="E935" s="8"/>
      <c r="F935" s="8"/>
      <c r="G935" s="8"/>
      <c r="H935" s="47"/>
      <c r="I935" s="7"/>
    </row>
    <row r="936">
      <c r="A936" s="8"/>
      <c r="B936" s="8"/>
      <c r="C936" s="8"/>
      <c r="D936" s="8"/>
      <c r="E936" s="8"/>
      <c r="F936" s="8"/>
      <c r="G936" s="8"/>
      <c r="H936" s="47"/>
      <c r="I936" s="7"/>
    </row>
    <row r="937">
      <c r="A937" s="8"/>
      <c r="B937" s="8"/>
      <c r="C937" s="8"/>
      <c r="D937" s="8"/>
      <c r="E937" s="8"/>
      <c r="F937" s="8"/>
      <c r="G937" s="8"/>
      <c r="H937" s="47"/>
      <c r="I937" s="7"/>
    </row>
    <row r="938">
      <c r="A938" s="8"/>
      <c r="B938" s="8"/>
      <c r="C938" s="8"/>
      <c r="D938" s="8"/>
      <c r="E938" s="8"/>
      <c r="F938" s="8"/>
      <c r="G938" s="8"/>
      <c r="H938" s="47"/>
      <c r="I938" s="7"/>
    </row>
    <row r="939">
      <c r="A939" s="8"/>
      <c r="B939" s="8"/>
      <c r="C939" s="8"/>
      <c r="D939" s="8"/>
      <c r="E939" s="8"/>
      <c r="F939" s="8"/>
      <c r="G939" s="8"/>
      <c r="H939" s="47"/>
      <c r="I939" s="7"/>
    </row>
    <row r="940">
      <c r="A940" s="8"/>
      <c r="B940" s="8"/>
      <c r="C940" s="8"/>
      <c r="D940" s="8"/>
      <c r="E940" s="8"/>
      <c r="F940" s="8"/>
      <c r="G940" s="8"/>
      <c r="H940" s="47"/>
      <c r="I940" s="7"/>
    </row>
    <row r="941">
      <c r="A941" s="8"/>
      <c r="B941" s="8"/>
      <c r="C941" s="8"/>
      <c r="D941" s="8"/>
      <c r="E941" s="8"/>
      <c r="F941" s="8"/>
      <c r="G941" s="8"/>
      <c r="H941" s="47"/>
      <c r="I941" s="7"/>
    </row>
    <row r="942">
      <c r="A942" s="8"/>
      <c r="B942" s="8"/>
      <c r="C942" s="8"/>
      <c r="D942" s="8"/>
      <c r="E942" s="8"/>
      <c r="F942" s="8"/>
      <c r="G942" s="8"/>
      <c r="H942" s="47"/>
      <c r="I942" s="7"/>
    </row>
    <row r="943">
      <c r="A943" s="8"/>
      <c r="B943" s="8"/>
      <c r="C943" s="8"/>
      <c r="D943" s="8"/>
      <c r="E943" s="8"/>
      <c r="F943" s="8"/>
      <c r="G943" s="8"/>
      <c r="H943" s="47"/>
      <c r="I943" s="7"/>
    </row>
    <row r="944">
      <c r="A944" s="8"/>
      <c r="B944" s="8"/>
      <c r="C944" s="8"/>
      <c r="D944" s="8"/>
      <c r="E944" s="8"/>
      <c r="F944" s="8"/>
      <c r="G944" s="8"/>
      <c r="H944" s="47"/>
      <c r="I944" s="7"/>
    </row>
    <row r="945">
      <c r="A945" s="8"/>
      <c r="B945" s="8"/>
      <c r="C945" s="8"/>
      <c r="D945" s="8"/>
      <c r="E945" s="8"/>
      <c r="F945" s="8"/>
      <c r="G945" s="8"/>
      <c r="H945" s="47"/>
      <c r="I945" s="7"/>
    </row>
    <row r="946">
      <c r="A946" s="8"/>
      <c r="B946" s="8"/>
      <c r="C946" s="8"/>
      <c r="D946" s="8"/>
      <c r="E946" s="8"/>
      <c r="F946" s="8"/>
      <c r="G946" s="8"/>
      <c r="H946" s="47"/>
      <c r="I946" s="7"/>
    </row>
    <row r="947">
      <c r="A947" s="8"/>
      <c r="B947" s="8"/>
      <c r="C947" s="8"/>
      <c r="D947" s="8"/>
      <c r="E947" s="8"/>
      <c r="F947" s="8"/>
      <c r="G947" s="8"/>
      <c r="H947" s="47"/>
      <c r="I947" s="7"/>
    </row>
    <row r="948">
      <c r="A948" s="8"/>
      <c r="B948" s="8"/>
      <c r="C948" s="8"/>
      <c r="D948" s="8"/>
      <c r="E948" s="8"/>
      <c r="F948" s="8"/>
      <c r="G948" s="8"/>
      <c r="H948" s="47"/>
      <c r="I948" s="7"/>
    </row>
    <row r="949">
      <c r="A949" s="8"/>
      <c r="B949" s="8"/>
      <c r="C949" s="8"/>
      <c r="D949" s="8"/>
      <c r="E949" s="8"/>
      <c r="F949" s="8"/>
      <c r="G949" s="8"/>
      <c r="H949" s="47"/>
      <c r="I949" s="7"/>
    </row>
    <row r="950">
      <c r="A950" s="8"/>
      <c r="B950" s="8"/>
      <c r="C950" s="8"/>
      <c r="D950" s="8"/>
      <c r="E950" s="8"/>
      <c r="F950" s="8"/>
      <c r="G950" s="8"/>
      <c r="H950" s="47"/>
      <c r="I950" s="7"/>
    </row>
    <row r="951">
      <c r="A951" s="8"/>
      <c r="B951" s="8"/>
      <c r="C951" s="8"/>
      <c r="D951" s="8"/>
      <c r="E951" s="8"/>
      <c r="F951" s="8"/>
      <c r="G951" s="8"/>
      <c r="H951" s="47"/>
      <c r="I951" s="7"/>
    </row>
    <row r="952">
      <c r="A952" s="8"/>
      <c r="B952" s="8"/>
      <c r="C952" s="8"/>
      <c r="D952" s="8"/>
      <c r="E952" s="8"/>
      <c r="F952" s="8"/>
      <c r="G952" s="8"/>
      <c r="H952" s="47"/>
      <c r="I952" s="7"/>
    </row>
    <row r="953">
      <c r="A953" s="8"/>
      <c r="B953" s="8"/>
      <c r="C953" s="8"/>
      <c r="D953" s="8"/>
      <c r="E953" s="8"/>
      <c r="F953" s="8"/>
      <c r="G953" s="8"/>
      <c r="H953" s="47"/>
      <c r="I953" s="7"/>
    </row>
    <row r="954">
      <c r="A954" s="8"/>
      <c r="B954" s="8"/>
      <c r="C954" s="8"/>
      <c r="D954" s="8"/>
      <c r="E954" s="8"/>
      <c r="F954" s="8"/>
      <c r="G954" s="8"/>
      <c r="H954" s="47"/>
      <c r="I954" s="7"/>
    </row>
    <row r="955">
      <c r="A955" s="8"/>
      <c r="B955" s="8"/>
      <c r="C955" s="8"/>
      <c r="D955" s="8"/>
      <c r="E955" s="8"/>
      <c r="F955" s="8"/>
      <c r="G955" s="8"/>
      <c r="H955" s="47"/>
      <c r="I955" s="7"/>
    </row>
    <row r="956">
      <c r="A956" s="8"/>
      <c r="B956" s="8"/>
      <c r="C956" s="8"/>
      <c r="D956" s="8"/>
      <c r="E956" s="8"/>
      <c r="F956" s="8"/>
      <c r="G956" s="8"/>
      <c r="H956" s="47"/>
      <c r="I956" s="7"/>
    </row>
    <row r="957">
      <c r="A957" s="8"/>
      <c r="B957" s="8"/>
      <c r="C957" s="8"/>
      <c r="D957" s="8"/>
      <c r="E957" s="8"/>
      <c r="F957" s="8"/>
      <c r="G957" s="8"/>
      <c r="H957" s="47"/>
      <c r="I957" s="7"/>
    </row>
    <row r="958">
      <c r="A958" s="8"/>
      <c r="B958" s="8"/>
      <c r="C958" s="8"/>
      <c r="D958" s="8"/>
      <c r="E958" s="8"/>
      <c r="F958" s="8"/>
      <c r="G958" s="8"/>
      <c r="H958" s="47"/>
      <c r="I958" s="7"/>
    </row>
    <row r="959">
      <c r="A959" s="8"/>
      <c r="B959" s="8"/>
      <c r="C959" s="8"/>
      <c r="D959" s="8"/>
      <c r="E959" s="8"/>
      <c r="F959" s="8"/>
      <c r="G959" s="8"/>
      <c r="H959" s="47"/>
      <c r="I959" s="7"/>
    </row>
    <row r="960">
      <c r="A960" s="8"/>
      <c r="B960" s="8"/>
      <c r="C960" s="8"/>
      <c r="D960" s="8"/>
      <c r="E960" s="8"/>
      <c r="F960" s="8"/>
      <c r="G960" s="8"/>
      <c r="H960" s="47"/>
      <c r="I960" s="7"/>
    </row>
    <row r="961">
      <c r="A961" s="8"/>
      <c r="B961" s="8"/>
      <c r="C961" s="8"/>
      <c r="D961" s="8"/>
      <c r="E961" s="8"/>
      <c r="F961" s="8"/>
      <c r="G961" s="8"/>
      <c r="H961" s="47"/>
      <c r="I961" s="7"/>
    </row>
    <row r="962">
      <c r="A962" s="8"/>
      <c r="B962" s="8"/>
      <c r="C962" s="8"/>
      <c r="D962" s="8"/>
      <c r="E962" s="8"/>
      <c r="F962" s="8"/>
      <c r="G962" s="8"/>
      <c r="H962" s="47"/>
      <c r="I962" s="7"/>
    </row>
    <row r="963">
      <c r="A963" s="8"/>
      <c r="B963" s="8"/>
      <c r="C963" s="8"/>
      <c r="D963" s="8"/>
      <c r="E963" s="8"/>
      <c r="F963" s="8"/>
      <c r="G963" s="8"/>
      <c r="H963" s="47"/>
      <c r="I963" s="7"/>
    </row>
    <row r="964">
      <c r="A964" s="8"/>
      <c r="B964" s="8"/>
      <c r="C964" s="8"/>
      <c r="D964" s="8"/>
      <c r="E964" s="8"/>
      <c r="F964" s="8"/>
      <c r="G964" s="8"/>
      <c r="H964" s="47"/>
      <c r="I964" s="7"/>
    </row>
    <row r="965">
      <c r="A965" s="8"/>
      <c r="B965" s="8"/>
      <c r="C965" s="8"/>
      <c r="D965" s="8"/>
      <c r="E965" s="8"/>
      <c r="F965" s="8"/>
      <c r="G965" s="8"/>
      <c r="H965" s="47"/>
      <c r="I965" s="7"/>
    </row>
    <row r="966">
      <c r="A966" s="8"/>
      <c r="B966" s="8"/>
      <c r="C966" s="8"/>
      <c r="D966" s="8"/>
      <c r="E966" s="8"/>
      <c r="F966" s="8"/>
      <c r="G966" s="8"/>
      <c r="H966" s="47"/>
      <c r="I966" s="7"/>
    </row>
    <row r="967">
      <c r="A967" s="8"/>
      <c r="B967" s="8"/>
      <c r="C967" s="8"/>
      <c r="D967" s="8"/>
      <c r="E967" s="8"/>
      <c r="F967" s="8"/>
      <c r="G967" s="8"/>
      <c r="H967" s="47"/>
      <c r="I967" s="7"/>
    </row>
    <row r="968">
      <c r="A968" s="8"/>
      <c r="B968" s="8"/>
      <c r="C968" s="8"/>
      <c r="D968" s="8"/>
      <c r="E968" s="8"/>
      <c r="F968" s="8"/>
      <c r="G968" s="8"/>
      <c r="H968" s="47"/>
      <c r="I968" s="7"/>
    </row>
    <row r="969">
      <c r="A969" s="8"/>
      <c r="B969" s="8"/>
      <c r="C969" s="8"/>
      <c r="D969" s="8"/>
      <c r="E969" s="8"/>
      <c r="F969" s="8"/>
      <c r="G969" s="8"/>
      <c r="H969" s="47"/>
      <c r="I969" s="7"/>
    </row>
    <row r="970">
      <c r="A970" s="8"/>
      <c r="B970" s="8"/>
      <c r="C970" s="8"/>
      <c r="D970" s="8"/>
      <c r="E970" s="8"/>
      <c r="F970" s="8"/>
      <c r="G970" s="8"/>
      <c r="H970" s="47"/>
      <c r="I970" s="7"/>
    </row>
    <row r="971">
      <c r="A971" s="8"/>
      <c r="B971" s="8"/>
      <c r="C971" s="8"/>
      <c r="D971" s="8"/>
      <c r="E971" s="8"/>
      <c r="F971" s="8"/>
      <c r="G971" s="8"/>
      <c r="H971" s="47"/>
      <c r="I971" s="7"/>
    </row>
    <row r="972">
      <c r="A972" s="8"/>
      <c r="B972" s="8"/>
      <c r="C972" s="8"/>
      <c r="D972" s="8"/>
      <c r="E972" s="8"/>
      <c r="F972" s="8"/>
      <c r="G972" s="8"/>
      <c r="H972" s="47"/>
      <c r="I972" s="7"/>
    </row>
    <row r="973">
      <c r="A973" s="8"/>
      <c r="B973" s="8"/>
      <c r="C973" s="8"/>
      <c r="D973" s="8"/>
      <c r="E973" s="8"/>
      <c r="F973" s="8"/>
      <c r="G973" s="8"/>
      <c r="H973" s="47"/>
      <c r="I973" s="7"/>
    </row>
    <row r="974">
      <c r="A974" s="8"/>
      <c r="B974" s="8"/>
      <c r="C974" s="8"/>
      <c r="D974" s="8"/>
      <c r="E974" s="8"/>
      <c r="F974" s="8"/>
      <c r="G974" s="8"/>
      <c r="H974" s="47"/>
      <c r="I974" s="7"/>
    </row>
    <row r="975">
      <c r="A975" s="8"/>
      <c r="B975" s="8"/>
      <c r="C975" s="8"/>
      <c r="D975" s="8"/>
      <c r="E975" s="8"/>
      <c r="F975" s="8"/>
      <c r="G975" s="8"/>
      <c r="H975" s="47"/>
      <c r="I975" s="7"/>
    </row>
    <row r="976">
      <c r="A976" s="8"/>
      <c r="B976" s="8"/>
      <c r="C976" s="8"/>
      <c r="D976" s="8"/>
      <c r="E976" s="8"/>
      <c r="F976" s="8"/>
      <c r="G976" s="8"/>
      <c r="H976" s="47"/>
      <c r="I976" s="7"/>
    </row>
    <row r="977">
      <c r="A977" s="8"/>
      <c r="B977" s="8"/>
      <c r="C977" s="8"/>
      <c r="D977" s="8"/>
      <c r="E977" s="8"/>
      <c r="F977" s="8"/>
      <c r="G977" s="8"/>
      <c r="H977" s="47"/>
      <c r="I977" s="7"/>
    </row>
    <row r="978">
      <c r="A978" s="8"/>
      <c r="B978" s="8"/>
      <c r="C978" s="8"/>
      <c r="D978" s="8"/>
      <c r="E978" s="8"/>
      <c r="F978" s="8"/>
      <c r="G978" s="8"/>
      <c r="H978" s="47"/>
      <c r="I978" s="7"/>
    </row>
    <row r="979">
      <c r="A979" s="8"/>
      <c r="B979" s="8"/>
      <c r="C979" s="8"/>
      <c r="D979" s="8"/>
      <c r="E979" s="8"/>
      <c r="F979" s="8"/>
      <c r="G979" s="8"/>
      <c r="H979" s="47"/>
      <c r="I979" s="7"/>
    </row>
    <row r="980">
      <c r="A980" s="8"/>
      <c r="B980" s="8"/>
      <c r="C980" s="8"/>
      <c r="E980" s="8"/>
      <c r="F980" s="8"/>
      <c r="G980" s="8"/>
      <c r="H980" s="47"/>
      <c r="I980" s="7"/>
    </row>
    <row r="981">
      <c r="A981" s="8"/>
      <c r="B981" s="8"/>
      <c r="C981" s="8"/>
      <c r="E981" s="8"/>
      <c r="F981" s="8"/>
      <c r="G981" s="8"/>
      <c r="H981" s="47"/>
      <c r="I981" s="7"/>
    </row>
    <row r="982">
      <c r="A982" s="8"/>
      <c r="B982" s="8"/>
      <c r="C982" s="8"/>
      <c r="E982" s="8"/>
      <c r="F982" s="8"/>
      <c r="G982" s="8"/>
      <c r="H982" s="47"/>
      <c r="I982" s="7"/>
    </row>
    <row r="983">
      <c r="A983" s="8"/>
      <c r="B983" s="8"/>
      <c r="C983" s="8"/>
      <c r="E983" s="8"/>
      <c r="F983" s="8"/>
      <c r="G983" s="8"/>
      <c r="H983" s="47"/>
      <c r="I983" s="7"/>
    </row>
    <row r="984">
      <c r="A984" s="8"/>
      <c r="B984" s="8"/>
      <c r="C984" s="8"/>
      <c r="E984" s="8"/>
      <c r="F984" s="8"/>
      <c r="G984" s="8"/>
      <c r="H984" s="47"/>
      <c r="I984" s="7"/>
    </row>
    <row r="985">
      <c r="A985" s="8"/>
      <c r="B985" s="8"/>
      <c r="C985" s="8"/>
      <c r="E985" s="8"/>
      <c r="F985" s="8"/>
      <c r="G985" s="8"/>
      <c r="H985" s="47"/>
      <c r="I985" s="7"/>
    </row>
    <row r="986">
      <c r="E986" s="8"/>
      <c r="F986" s="8"/>
      <c r="G986" s="8"/>
      <c r="H986" s="47"/>
      <c r="I986" s="7"/>
    </row>
    <row r="987">
      <c r="E987" s="8"/>
      <c r="F987" s="8"/>
      <c r="G987" s="8"/>
      <c r="H987" s="47"/>
      <c r="I987" s="7"/>
    </row>
    <row r="988">
      <c r="E988" s="8"/>
      <c r="F988" s="8"/>
      <c r="G988" s="8"/>
      <c r="H988" s="47"/>
      <c r="I988" s="7"/>
    </row>
    <row r="989">
      <c r="I989" s="7"/>
    </row>
    <row r="990">
      <c r="I990" s="7"/>
    </row>
  </sheetData>
  <mergeCells count="1">
    <mergeCell ref="A1:G1"/>
  </mergeCells>
  <printOptions horizontalCentered="1"/>
  <pageMargins bottom="0.75" footer="0.0" header="0.0" left="0.7" right="0.7" top="0.75"/>
  <pageSetup paperSize="8" orientation="portrait" pageOrder="overThenDown"/>
  <rowBreaks count="1" manualBreakCount="1">
    <brk id="44" man="1"/>
  </rowBreaks>
  <colBreaks count="2" manualBreakCount="2">
    <brk man="1"/>
    <brk id="8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5"/>
    <col customWidth="1" min="3" max="3" width="8.13"/>
    <col customWidth="1" min="4" max="4" width="5.25"/>
    <col customWidth="1" min="5" max="5" width="36.0"/>
    <col customWidth="1" min="6" max="6" width="10.38"/>
    <col customWidth="1" min="7" max="7" width="8.13"/>
  </cols>
  <sheetData>
    <row r="1" ht="129.0" customHeight="1">
      <c r="A1" s="69" t="str">
        <f>CONCATENATE( "ข้อมูล ณ วันที่ ", CHAR(10), TEXT(TODAY(), "dd/mm/yyyy"), CHAR(10),"ราคาอาจมีการเปลี่ยนแปลง")</f>
        <v>ข้อมูล ณ วันที่ 
30/10/2026
ราคาอาจมีการเปลี่ยนแปลง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>
      <c r="A2" s="1" t="str">
        <f t="array" ref="A2:C12">Salad</f>
        <v>🥗 หมวด ร้านยำ</v>
      </c>
      <c r="B2" s="1" t="s">
        <v>1</v>
      </c>
      <c r="C2" s="1" t="s">
        <v>2</v>
      </c>
      <c r="E2" s="1" t="str">
        <f t="array" ref="E2:H15">Grill</f>
        <v>🦑 หมวดหมึกย่าง</v>
      </c>
      <c r="F2" s="1" t="s">
        <v>1</v>
      </c>
      <c r="G2" s="1" t="s">
        <v>2</v>
      </c>
      <c r="H2" s="5"/>
    </row>
    <row r="3">
      <c r="A3" s="9" t="s">
        <v>105</v>
      </c>
      <c r="B3" s="30">
        <v>1064.0</v>
      </c>
      <c r="C3" s="16">
        <v>133.0</v>
      </c>
      <c r="E3" s="9" t="s">
        <v>93</v>
      </c>
      <c r="F3" s="30">
        <v>189.0</v>
      </c>
      <c r="G3" s="16"/>
      <c r="H3" s="5"/>
    </row>
    <row r="4">
      <c r="A4" s="9" t="s">
        <v>6</v>
      </c>
      <c r="B4" s="30">
        <v>540.0</v>
      </c>
      <c r="C4" s="16">
        <v>54.0</v>
      </c>
      <c r="E4" s="9" t="s">
        <v>89</v>
      </c>
      <c r="F4" s="30">
        <v>187.0</v>
      </c>
      <c r="G4" s="16"/>
      <c r="H4" s="5"/>
    </row>
    <row r="5">
      <c r="A5" s="9" t="s">
        <v>8</v>
      </c>
      <c r="B5" s="30">
        <v>590.0</v>
      </c>
      <c r="C5" s="16">
        <v>59.0</v>
      </c>
      <c r="E5" s="9" t="s">
        <v>98</v>
      </c>
      <c r="F5" s="30">
        <v>590.0</v>
      </c>
      <c r="G5" s="16">
        <v>59.0</v>
      </c>
      <c r="H5" s="5"/>
    </row>
    <row r="6">
      <c r="A6" s="9" t="s">
        <v>113</v>
      </c>
      <c r="B6" s="30">
        <v>850.0</v>
      </c>
      <c r="C6" s="16">
        <v>85.0</v>
      </c>
      <c r="E6" s="9" t="s">
        <v>99</v>
      </c>
      <c r="F6" s="30">
        <v>443.0</v>
      </c>
      <c r="G6" s="16">
        <v>59.0</v>
      </c>
      <c r="H6" s="5"/>
    </row>
    <row r="7">
      <c r="A7" s="9" t="s">
        <v>119</v>
      </c>
      <c r="B7" s="30">
        <v>1100.0</v>
      </c>
      <c r="C7" s="16">
        <v>110.0</v>
      </c>
      <c r="E7" s="9" t="s">
        <v>101</v>
      </c>
      <c r="F7" s="30">
        <v>980.0</v>
      </c>
      <c r="G7" s="16"/>
      <c r="H7" s="5"/>
    </row>
    <row r="8">
      <c r="A8" s="9" t="s">
        <v>86</v>
      </c>
      <c r="B8" s="30">
        <v>450.0</v>
      </c>
      <c r="C8" s="16">
        <v>90.0</v>
      </c>
      <c r="E8" s="9" t="s">
        <v>97</v>
      </c>
      <c r="F8" s="30">
        <v>1300.0</v>
      </c>
      <c r="G8" s="16">
        <v>130.0</v>
      </c>
      <c r="H8" s="5"/>
    </row>
    <row r="9">
      <c r="A9" s="9" t="s">
        <v>79</v>
      </c>
      <c r="B9" s="30">
        <v>950.0</v>
      </c>
      <c r="C9" s="16">
        <v>95.0</v>
      </c>
      <c r="E9" s="9" t="s">
        <v>178</v>
      </c>
      <c r="F9" s="30">
        <v>100.0</v>
      </c>
      <c r="G9" s="16"/>
      <c r="H9" s="5"/>
    </row>
    <row r="10">
      <c r="A10" s="9" t="s">
        <v>81</v>
      </c>
      <c r="B10" s="30">
        <v>1180.0</v>
      </c>
      <c r="C10" s="16">
        <v>147.5</v>
      </c>
      <c r="E10" s="9" t="s">
        <v>179</v>
      </c>
      <c r="F10" s="30">
        <v>2750.0</v>
      </c>
      <c r="G10" s="16"/>
      <c r="H10" s="5"/>
    </row>
    <row r="11">
      <c r="A11" s="9" t="s">
        <v>180</v>
      </c>
      <c r="B11" s="30">
        <v>220.0</v>
      </c>
      <c r="C11" s="16">
        <v>11.0</v>
      </c>
      <c r="E11" s="9" t="s">
        <v>181</v>
      </c>
      <c r="F11" s="30">
        <v>280.0</v>
      </c>
      <c r="G11" s="16"/>
      <c r="H11" s="5"/>
    </row>
    <row r="12">
      <c r="A12" s="5"/>
      <c r="B12" s="5"/>
      <c r="C12" s="5"/>
      <c r="E12" s="9" t="s">
        <v>182</v>
      </c>
      <c r="F12" s="30">
        <v>110.0</v>
      </c>
      <c r="G12" s="16"/>
      <c r="H12" s="5"/>
    </row>
    <row r="13">
      <c r="A13" s="1" t="str">
        <f t="array" ref="A13:C23">Nammmm</f>
        <v>🥗 หมวดเครื่องใน และของยำ</v>
      </c>
      <c r="B13" s="1" t="s">
        <v>1</v>
      </c>
      <c r="C13" s="1" t="s">
        <v>2</v>
      </c>
      <c r="E13" s="9" t="s">
        <v>183</v>
      </c>
      <c r="F13" s="30">
        <v>220.0</v>
      </c>
      <c r="G13" s="16"/>
      <c r="H13" s="5"/>
    </row>
    <row r="14">
      <c r="A14" s="9" t="s">
        <v>70</v>
      </c>
      <c r="B14" s="30">
        <v>300.0</v>
      </c>
      <c r="C14" s="16">
        <v>60.0</v>
      </c>
      <c r="E14" s="9" t="s">
        <v>184</v>
      </c>
      <c r="F14" s="30">
        <v>130.0</v>
      </c>
      <c r="G14" s="16"/>
      <c r="H14" s="5"/>
    </row>
    <row r="15">
      <c r="A15" s="9" t="s">
        <v>72</v>
      </c>
      <c r="B15" s="30">
        <v>515.0</v>
      </c>
      <c r="C15" s="16">
        <v>103.0</v>
      </c>
      <c r="E15" s="9"/>
      <c r="F15" s="9"/>
      <c r="G15" s="16"/>
      <c r="H15" s="5"/>
    </row>
    <row r="16">
      <c r="A16" s="9" t="s">
        <v>74</v>
      </c>
      <c r="B16" s="30">
        <v>515.0</v>
      </c>
      <c r="C16" s="16">
        <v>103.0</v>
      </c>
    </row>
    <row r="17">
      <c r="A17" s="9" t="s">
        <v>76</v>
      </c>
      <c r="B17" s="30">
        <v>690.0</v>
      </c>
      <c r="C17" s="16">
        <v>138.0</v>
      </c>
    </row>
    <row r="18">
      <c r="A18" s="9" t="s">
        <v>77</v>
      </c>
      <c r="B18" s="30">
        <v>775.0</v>
      </c>
      <c r="C18" s="16">
        <v>155.0</v>
      </c>
    </row>
    <row r="19">
      <c r="A19" s="9" t="s">
        <v>78</v>
      </c>
      <c r="B19" s="30">
        <v>660.0</v>
      </c>
      <c r="C19" s="16">
        <v>132.0</v>
      </c>
    </row>
    <row r="20">
      <c r="A20" s="9" t="s">
        <v>80</v>
      </c>
      <c r="B20" s="30">
        <v>590.0</v>
      </c>
      <c r="C20" s="16">
        <v>118.0</v>
      </c>
    </row>
    <row r="21">
      <c r="A21" s="9" t="s">
        <v>82</v>
      </c>
      <c r="B21" s="30">
        <v>725.0</v>
      </c>
      <c r="C21" s="16">
        <v>145.0</v>
      </c>
    </row>
    <row r="22">
      <c r="A22" s="9" t="s">
        <v>84</v>
      </c>
      <c r="B22" s="30">
        <v>780.0</v>
      </c>
      <c r="C22" s="16">
        <v>78.0</v>
      </c>
    </row>
    <row r="23">
      <c r="A23" s="9" t="s">
        <v>86</v>
      </c>
      <c r="B23" s="30">
        <v>450.0</v>
      </c>
      <c r="C23" s="16">
        <v>90.0</v>
      </c>
    </row>
    <row r="25">
      <c r="A25" s="1" t="str">
        <f t="array" ref="A25:C37">Noodle</f>
        <v>🍜 หมวดเส้น วุ้นเส้น</v>
      </c>
      <c r="B25" s="1" t="s">
        <v>1</v>
      </c>
      <c r="C25" s="1" t="s">
        <v>2</v>
      </c>
    </row>
    <row r="26">
      <c r="A26" s="9" t="s">
        <v>133</v>
      </c>
      <c r="B26" s="30">
        <v>150.0</v>
      </c>
      <c r="C26" s="16"/>
    </row>
    <row r="27">
      <c r="A27" s="9" t="s">
        <v>135</v>
      </c>
      <c r="B27" s="9">
        <v>140.0</v>
      </c>
      <c r="C27" s="16"/>
    </row>
    <row r="28">
      <c r="A28" s="9" t="s">
        <v>137</v>
      </c>
      <c r="B28" s="9">
        <v>160.0</v>
      </c>
      <c r="C28" s="16"/>
    </row>
    <row r="29">
      <c r="A29" s="9" t="s">
        <v>139</v>
      </c>
      <c r="B29" s="9">
        <v>150.0</v>
      </c>
      <c r="C29" s="16"/>
    </row>
    <row r="30">
      <c r="A30" s="9" t="s">
        <v>141</v>
      </c>
      <c r="B30" s="30">
        <v>235.0</v>
      </c>
      <c r="C30" s="16"/>
    </row>
    <row r="31">
      <c r="A31" s="9" t="s">
        <v>143</v>
      </c>
      <c r="B31" s="9">
        <v>550.0</v>
      </c>
      <c r="C31" s="16">
        <v>55.0</v>
      </c>
    </row>
    <row r="32">
      <c r="A32" s="9" t="s">
        <v>145</v>
      </c>
      <c r="B32" s="9">
        <v>120.0</v>
      </c>
      <c r="C32" s="16"/>
    </row>
    <row r="33">
      <c r="A33" s="9" t="s">
        <v>147</v>
      </c>
      <c r="B33" s="30">
        <v>90.0</v>
      </c>
      <c r="C33" s="16"/>
    </row>
    <row r="34">
      <c r="A34" s="9" t="s">
        <v>149</v>
      </c>
      <c r="B34" s="30">
        <v>400.0</v>
      </c>
      <c r="C34" s="16">
        <v>80.0</v>
      </c>
    </row>
    <row r="35">
      <c r="A35" s="9" t="s">
        <v>151</v>
      </c>
      <c r="B35" s="30">
        <v>285.0</v>
      </c>
      <c r="C35" s="16">
        <v>11.4</v>
      </c>
    </row>
    <row r="36">
      <c r="A36" s="9" t="s">
        <v>153</v>
      </c>
      <c r="B36" s="30">
        <v>490.0</v>
      </c>
      <c r="C36" s="16">
        <v>49.0</v>
      </c>
    </row>
    <row r="37">
      <c r="A37" s="5"/>
      <c r="B37" s="5"/>
      <c r="C37" s="5"/>
    </row>
  </sheetData>
  <mergeCells count="1">
    <mergeCell ref="A1:G1"/>
  </mergeCells>
  <printOptions horizontalCentered="1"/>
  <pageMargins bottom="0.19685039370078738" footer="0.0" header="0.0" left="0.22761324874876473" right="0.15397366827122322" top="0.5701873472712463"/>
  <pageSetup paperSize="9" cellComments="atEnd" orientation="portrait" pageOrder="overThenDown"/>
  <colBreaks count="2" manualBreakCount="2">
    <brk man="1"/>
    <brk id="7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1" t="s">
        <v>185</v>
      </c>
      <c r="B1" s="71" t="s">
        <v>186</v>
      </c>
      <c r="C1" s="71" t="s">
        <v>187</v>
      </c>
      <c r="D1" s="71" t="s">
        <v>188</v>
      </c>
      <c r="E1" s="71" t="s">
        <v>189</v>
      </c>
      <c r="F1" s="71" t="s">
        <v>190</v>
      </c>
    </row>
  </sheetData>
  <drawing r:id="rId1"/>
</worksheet>
</file>