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webextensions/webextension1.xml" ContentType="application/vnd.ms-office.webextension+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07aaf3ff3474f0b"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csgsystems-my.sharepoint.com/personal/grant_thavarajoo_csgi_com/Documents/Build and Code Projects/E2E Delivery Management - Rebuild/"/>
    </mc:Choice>
  </mc:AlternateContent>
  <xr:revisionPtr revIDLastSave="9" documentId="8_{B9824AFF-8167-4F83-8AED-4372A91B2030}" xr6:coauthVersionLast="47" xr6:coauthVersionMax="47" xr10:uidLastSave="{721EBC38-9092-40C4-BCC8-49C02D12DBE7}"/>
  <workbookProtection lockStructure="1"/>
  <bookViews>
    <workbookView minimized="1" xWindow="4035" yWindow="5220" windowWidth="19410" windowHeight="11295" tabRatio="904" activeTab="5" xr2:uid="{00000000-000D-0000-FFFF-FFFF00000000}"/>
  </bookViews>
  <sheets>
    <sheet name="Front Sheet" sheetId="1" r:id="rId1"/>
    <sheet name="ECET Review Flow" sheetId="22" r:id="rId2"/>
    <sheet name="Instructions" sheetId="3" r:id="rId3"/>
    <sheet name="Assumptions" sheetId="20" r:id="rId4"/>
    <sheet name="Attributes" sheetId="4" r:id="rId5"/>
    <sheet name="Detail CUT" sheetId="6" r:id="rId6"/>
    <sheet name="Detail Non-CUT" sheetId="10" r:id="rId7"/>
    <sheet name="Agile Top-Down (S1)" sheetId="8" r:id="rId8"/>
    <sheet name="Agile Top-Down (S2)" sheetId="11" state="veryHidden" r:id="rId9"/>
    <sheet name="Agile Top-Down (S3)" sheetId="12" state="veryHidden" r:id="rId10"/>
    <sheet name="Agile Top-Down (S4)" sheetId="13" state="veryHidden" r:id="rId11"/>
    <sheet name="CUT &amp; Non-CUT Profile" sheetId="7" r:id="rId12"/>
    <sheet name="Domain_BRKDN" sheetId="21" r:id="rId13"/>
    <sheet name="TTS" sheetId="25" r:id="rId14"/>
    <sheet name="TTS_Consolidated" sheetId="24" r:id="rId15"/>
    <sheet name="TTS_Segregated" sheetId="15" r:id="rId16"/>
    <sheet name="Proforma" sheetId="23" r:id="rId17"/>
    <sheet name="Proforma_Segregated" sheetId="18" r:id="rId18"/>
    <sheet name="ResourceCostValues" sheetId="17" r:id="rId19"/>
    <sheet name="Expenses" sheetId="19" r:id="rId20"/>
    <sheet name="Parameters" sheetId="2" r:id="rId21"/>
    <sheet name="Release Notes" sheetId="5" r:id="rId22"/>
    <sheet name="Ribbon Screen Tips" sheetId="14" r:id="rId23"/>
  </sheets>
  <definedNames>
    <definedName name="_xlnm._FilterDatabase" localSheetId="7" hidden="1">'Agile Top-Down (S1)'!$C$10:$E$189</definedName>
    <definedName name="_xlnm._FilterDatabase" localSheetId="3" hidden="1">Assumptions!$B$5:$L$68</definedName>
    <definedName name="_xlnm._FilterDatabase" localSheetId="5" hidden="1">'Detail CUT'!$C$5:$J$256</definedName>
    <definedName name="_xlnm._FilterDatabase" localSheetId="6" hidden="1">'Detail Non-CUT'!$C$5:$J$237</definedName>
    <definedName name="_xlnm._FilterDatabase" localSheetId="16" hidden="1">Proforma!$B$7:$C$35</definedName>
    <definedName name="_xlnm._FilterDatabase" localSheetId="17" hidden="1">Proforma_Segregated!$B$7:$C$10</definedName>
    <definedName name="_xlnm._FilterDatabase" localSheetId="13" hidden="1">TTS!#REF!</definedName>
    <definedName name="_xlnm._FilterDatabase" localSheetId="14" hidden="1">TTS_Consolidated!#REF!</definedName>
    <definedName name="_xlnm._FilterDatabase" localSheetId="15" hidden="1">TTS_Segregated!#REF!</definedName>
    <definedName name="AgileContingencyDefault">Parameters!$B$173</definedName>
    <definedName name="AgileDeveloperCUTCapacityDefault">Parameters!$B$172</definedName>
    <definedName name="AgileIteration_Cutover">Parameters!$A$161</definedName>
    <definedName name="AgileIteration_Design">Parameters!$A$154</definedName>
    <definedName name="AgileIteration_Dev">Parameters!$A$155</definedName>
    <definedName name="AgileIteration_E2E">Parameters!$A$157</definedName>
    <definedName name="AgileIteration_HIP">Parameters!$A$156</definedName>
    <definedName name="AgileIteration_ORT">Parameters!$A$160</definedName>
    <definedName name="AgileIteration_PPT">Parameters!$A$162</definedName>
    <definedName name="AgileIteration_Prep">Parameters!$A$153</definedName>
    <definedName name="AgileIteration_PropSub">Parameters!$A$152</definedName>
    <definedName name="AgileIteration_ScopPrep">Parameters!$A$150</definedName>
    <definedName name="AgileIteration_SIT">Parameters!$A$158</definedName>
    <definedName name="AgileIteration_Study">Parameters!$A$151</definedName>
    <definedName name="AgileIteration_UAT">Parameters!$A$159</definedName>
    <definedName name="AgileIteration_Warranty">Parameters!$A$163</definedName>
    <definedName name="AgileIteration2_SIT">Parameters!$A$167</definedName>
    <definedName name="AgileIteration2_UserTest">Parameters!$A$168</definedName>
    <definedName name="AgileIterationTypeProjectPhase">Parameters!$A$150:$B$163</definedName>
    <definedName name="AgileIterationTypes">Parameters!$A$150:$A$163</definedName>
    <definedName name="AgileIterationTypeSecondary">Parameters!$A$167:$A$168</definedName>
    <definedName name="AgileMonthsRow" localSheetId="7">'Agile Top-Down (S1)'!$I$3:$DY$3</definedName>
    <definedName name="AgileMonthsRow" localSheetId="8">'Agile Top-Down (S2)'!$I$3:$BH$3</definedName>
    <definedName name="AgileMonthsRow" localSheetId="9">'Agile Top-Down (S3)'!$I$3:$BH$3</definedName>
    <definedName name="AgileMonthsRow" localSheetId="10">'Agile Top-Down (S4)'!$I$3:$BL$3</definedName>
    <definedName name="AgileResourceLocations">Parameters!$A$91:$A$147</definedName>
    <definedName name="AgileResourcesCells" localSheetId="7">'Agile Top-Down (S1)'!$I$11:$DY$189</definedName>
    <definedName name="AgileResourcesCells" localSheetId="8">'Agile Top-Down (S2)'!$I$11:$BH$180</definedName>
    <definedName name="AgileResourcesCells" localSheetId="9">'Agile Top-Down (S3)'!$I$11:$BH$179</definedName>
    <definedName name="AgileResourcesCells" localSheetId="10">'Agile Top-Down (S4)'!$I$11:$BL$179</definedName>
    <definedName name="AgileRoles">Parameters!$A$38:$A$87</definedName>
    <definedName name="AgileTab_durationInWeeks">Parameters!$B$214</definedName>
    <definedName name="AgileTab_NoOfMonths">Parameters!$B$217</definedName>
    <definedName name="AgileTab_NoOfResources">Parameters!$B$215</definedName>
    <definedName name="AgileTab_NoOfWeeks">Parameters!$B$216</definedName>
    <definedName name="AgileWarrantyDefault">Parameters!$B$174</definedName>
    <definedName name="AssumptionsDistributionRange">Parameters!$A$309:$A$310</definedName>
    <definedName name="AssumptionsHideRange">Parameters!$A$306</definedName>
    <definedName name="AssumptionsStatusRange">Parameters!$B$309:$B$312</definedName>
    <definedName name="Copyright">Parameters!$A$1</definedName>
    <definedName name="Customer">'Front Sheet'!$B$9</definedName>
    <definedName name="DefaultSolutionComponent">Parameters!$A$195</definedName>
    <definedName name="DomainBreakdownInclRegionOnly">Domain_BRKDN!$L$2</definedName>
    <definedName name="DomainBreakdownInclRegionRole">Domain_BRKDN!$L$1</definedName>
    <definedName name="EstimateDate">'Front Sheet'!$B$12</definedName>
    <definedName name="EstimateStatusList">Parameters!$A$5:$A$8</definedName>
    <definedName name="ExpenseImportFileName">Expenses!$O$16</definedName>
    <definedName name="ExpenseRatesInUSDTable">Expenses!$G$18:$M$251</definedName>
    <definedName name="ExpenseRatesInUSDTableToPopulate">Expenses!$G$20:$M$251</definedName>
    <definedName name="ExpensesProjectExpensesTable">Expenses!$B$6:$V$12</definedName>
    <definedName name="fileNameCell">ResourceCostValues!$O$68</definedName>
    <definedName name="FTEorEffort">Parameters!$A$205:$A$210</definedName>
    <definedName name="HighlightEffortNoScenario">Parameters!$A$201</definedName>
    <definedName name="HighlightScenarioEffort">Parameters!$A$198</definedName>
    <definedName name="MappingFromLocationToOnOffshore">Parameters!$A$356:$B$412</definedName>
    <definedName name="MappingFromSetAgiletoTTSRole">Parameters!$A$249:$B$301</definedName>
    <definedName name="MappingFromTTStoSU">Parameters!$A$327:$B$351</definedName>
    <definedName name="NewResourceRateName">ResourceCostValues!$V$69</definedName>
    <definedName name="pay_by_region" localSheetId="19">ResourceCostValues!$B$3:$Z$60</definedName>
    <definedName name="pay_by_region" localSheetId="16">ResourceCostValues!$B$3:$AA$60</definedName>
    <definedName name="pay_by_region" localSheetId="17">ResourceCostValues!$B$3:$Z$60</definedName>
    <definedName name="pay_by_region">ResourceCostValues!$B$3:$Z$60</definedName>
    <definedName name="pay_by_region_Daily">ResourceCostValues!$B$126:$Z$183</definedName>
    <definedName name="pay_by_region_Day_Hours">ResourceCostValues!$B$66:$D$123</definedName>
    <definedName name="pay_by_region_position_lookup">ResourceCostValues!$AE$5:$AF$28</definedName>
    <definedName name="ProformaDefaultDaysPerMonth">Parameters!$D$208</definedName>
    <definedName name="ProformaDefaultSelectedDisplay">Parameters!$D$205</definedName>
    <definedName name="ProformaIncExpenses">Parameters!$D$211</definedName>
    <definedName name="Project">'Front Sheet'!$A$3</definedName>
    <definedName name="ProjectActivity">Parameters!$A$178:$A$186</definedName>
    <definedName name="ResCostValue_USDDailyRates">ResourceCostValues!$B$127:$AA$183</definedName>
    <definedName name="Resource_Locations" localSheetId="19">ResourceCostValues!$B$4:$B$60</definedName>
    <definedName name="Resource_Locations" localSheetId="16">ResourceCostValues!$B$4:$B$60</definedName>
    <definedName name="Resource_Locations" localSheetId="17">ResourceCostValues!$B$4:$B$60</definedName>
    <definedName name="Resource_Locations">ResourceCostValues!$B$4:$B$60</definedName>
    <definedName name="Resource_Types" localSheetId="19">ResourceCostValues!$B$3:$AB$3</definedName>
    <definedName name="Resource_Types" localSheetId="16">ResourceCostValues!$B$3:$AB$3</definedName>
    <definedName name="Resource_Types" localSheetId="17">ResourceCostValues!$B$3:$AB$3</definedName>
    <definedName name="Resource_Types">ResourceCostValues!$B$3:$AB$3</definedName>
    <definedName name="RibbonScreenTipTexts">'Ribbon Screen Tips'!$B$2:$D$36</definedName>
    <definedName name="Scenario1_Edit_Range1">'Agile Top-Down (S1)'!$A$11:$DY$189</definedName>
    <definedName name="Scenario1_Edit_Range2">'Agile Top-Down (S1)'!$E$2:$E$4</definedName>
    <definedName name="Scenario1Agile_Pivot_Table">'Agile Top-Down (S1)'!$C$11:$DY$189</definedName>
    <definedName name="Scenario1AgileContingency">'Agile Top-Down (S1)'!$E$3</definedName>
    <definedName name="Scenario1AgileDeveloperCUTCapacity">'Agile Top-Down (S1)'!$E$2</definedName>
    <definedName name="Scenario1AgileResourcedCUT">'Agile Top-Down (S1)'!$E$7</definedName>
    <definedName name="Scenario1List">'Detail CUT'!$G$5:$G$268</definedName>
    <definedName name="Scenario1ListNonCUT">'Detail Non-CUT'!$G$5:$G$247</definedName>
    <definedName name="Scenario1Selected">Parameters!$B$12</definedName>
    <definedName name="Scenario1TotalContingency">'Agile Top-Down (S1)'!$EB$195</definedName>
    <definedName name="Scenario1TotalEffort">'Agile Top-Down (S1)'!$EB$198</definedName>
    <definedName name="Scenario1TotalPersonDays">'Agile Top-Down (S1)'!$EB$192</definedName>
    <definedName name="Scenario1TotalWarranty">'Agile Top-Down (S1)'!$EB$196</definedName>
    <definedName name="Scenario1Utilisation">Parameters!$C$12</definedName>
    <definedName name="Scenario1UtilisationScrum">'Agile Top-Down (S1)'!$H$3</definedName>
    <definedName name="Scenario1Warranty">'Agile Top-Down (S1)'!$E$4</definedName>
    <definedName name="Scenario2_Edit_Range1">'Agile Top-Down (S2)'!$A$11:$BH$180</definedName>
    <definedName name="Scenario2_Edit_Range2">'Agile Top-Down (S2)'!$E$2:$E$4</definedName>
    <definedName name="Scenario2AgileContingency">'Agile Top-Down (S2)'!$E$3</definedName>
    <definedName name="Scenario2AgileDeveloperCUTCapacity">'Agile Top-Down (S2)'!$E$2</definedName>
    <definedName name="Scenario2AgileResourcedCUT">'Agile Top-Down (S2)'!$E$7</definedName>
    <definedName name="Scenario2List">'Detail CUT'!$H$5:$H$268</definedName>
    <definedName name="Scenario2ListNonCUT">'Detail Non-CUT'!$H$5:$H$247</definedName>
    <definedName name="Scenario2Selected">Parameters!$B$13</definedName>
    <definedName name="Scenario2TotalContingency">'Agile Top-Down (S2)'!$BK$186</definedName>
    <definedName name="Scenario2TotalEffort">'Agile Top-Down (S2)'!$BK$189</definedName>
    <definedName name="Scenario2TotalPersonDays">'Agile Top-Down (S2)'!$BK$183</definedName>
    <definedName name="Scenario2TotalWarranty">'Agile Top-Down (S2)'!$BK$187</definedName>
    <definedName name="Scenario2Utilisation">Parameters!$C$13</definedName>
    <definedName name="Scenario2Warranty">'Agile Top-Down (S2)'!$E$4</definedName>
    <definedName name="Scenario3_Edit_Range1">'Agile Top-Down (S3)'!$A$11:$BH$179</definedName>
    <definedName name="Scenario3_Edit_Range2">'Agile Top-Down (S3)'!$E$2:$E$4</definedName>
    <definedName name="Scenario3AgileContingency">'Agile Top-Down (S3)'!$E$3</definedName>
    <definedName name="Scenario3AgileDeveloperCUTCapacity">'Agile Top-Down (S3)'!$E$2</definedName>
    <definedName name="Scenario3AgileResourcedCUT">'Agile Top-Down (S3)'!$E$7</definedName>
    <definedName name="Scenario3List">'Detail CUT'!$I$5:$I$268</definedName>
    <definedName name="Scenario3ListNonCUT">'Detail Non-CUT'!$I$5:$I$247</definedName>
    <definedName name="Scenario3Selected">Parameters!$B$14</definedName>
    <definedName name="Scenario3TotalContingency">'Agile Top-Down (S3)'!$BK$185</definedName>
    <definedName name="Scenario3TotalEffort">'Agile Top-Down (S3)'!$BK$188</definedName>
    <definedName name="Scenario3TotalPersonDays">'Agile Top-Down (S3)'!$BK$182</definedName>
    <definedName name="Scenario3TotalWarranty">'Agile Top-Down (S3)'!$BK$186</definedName>
    <definedName name="Scenario3Utilisation">Parameters!$C$14</definedName>
    <definedName name="Scenario3Warranty">'Agile Top-Down (S3)'!$E$4</definedName>
    <definedName name="Scenario4_Edit_Range1">'Agile Top-Down (S4)'!$A$11:$BL$179</definedName>
    <definedName name="Scenario4_Edit_Range2">'Agile Top-Down (S4)'!$E$2:$E$4</definedName>
    <definedName name="Scenario4AgileContingency">'Agile Top-Down (S4)'!$E$3</definedName>
    <definedName name="Scenario4AgileDeveloperCUTCapacity">'Agile Top-Down (S4)'!$E$2</definedName>
    <definedName name="Scenario4AgileResourcedCUT">'Agile Top-Down (S4)'!$E$7</definedName>
    <definedName name="Scenario4List">'Detail CUT'!$J$5:$J$268</definedName>
    <definedName name="Scenario4ListNonCUT">'Detail Non-CUT'!$J$5:$J$247</definedName>
    <definedName name="Scenario4Selected">Parameters!$B$15</definedName>
    <definedName name="Scenario4TotalContingency">'Agile Top-Down (S4)'!$BO$185</definedName>
    <definedName name="Scenario4TotalEffort">'Agile Top-Down (S4)'!$BO$188</definedName>
    <definedName name="Scenario4TotalPersonDays">'Agile Top-Down (S4)'!$BO$182</definedName>
    <definedName name="Scenario4TotalWarranty">'Agile Top-Down (S4)'!$BO$186</definedName>
    <definedName name="Scenario4Utilisation">Parameters!$C$15</definedName>
    <definedName name="Scenario4Warranty">'Agile Top-Down (S4)'!$E$4</definedName>
    <definedName name="ScenarioHeadings">Attributes!$C$4:$F$4</definedName>
    <definedName name="ScenarioSelected">Parameters!$A$192</definedName>
    <definedName name="ScenarioTag">Parameters!$A$31:$A$34</definedName>
    <definedName name="ScenarioTagNames">Attributes!$C$6:$F$9</definedName>
    <definedName name="ScrumRoleProductOwner">Parameters!$A$65</definedName>
    <definedName name="ScrumRoleScrumDeveloper">Parameters!$A$74</definedName>
    <definedName name="ScrumRoleScrumDevTechLead">Parameters!$A$75</definedName>
    <definedName name="ScrumRoleScrumMaster">Parameters!$A$76</definedName>
    <definedName name="ScrumRoleTester">Parameters!$A$77</definedName>
    <definedName name="SelectedScenarioDropdownBoxIndex">Parameters!$B$192</definedName>
    <definedName name="SolComp_1">Parameters!$A$20</definedName>
    <definedName name="SolComp_2">Parameters!$A$21</definedName>
    <definedName name="SolComp_3">Parameters!$A$23</definedName>
    <definedName name="SolComp_4">Parameters!$A$24</definedName>
    <definedName name="SolComp_5">Parameters!$A$25</definedName>
    <definedName name="SolComp_6">Parameters!$A$26</definedName>
    <definedName name="SolComp_7">Parameters!$A$27</definedName>
    <definedName name="SolComp_8">Parameters!$A$19</definedName>
    <definedName name="SolComp_9">Parameters!$A$22</definedName>
    <definedName name="SolutionComponent">Parameters!$A$19:$A$27</definedName>
    <definedName name="SolutionComponentList">'Detail CUT'!$F$5:$F$268</definedName>
    <definedName name="SolutionComponentListNonCUT">'Detail Non-CUT'!$F$5:$F$247</definedName>
    <definedName name="SolutionUnit">Parameters!$A$316:$A$323</definedName>
    <definedName name="staticRefNoList" localSheetId="5">'Detail CUT'!$L$5:$L$268</definedName>
    <definedName name="staticRefNoList" localSheetId="6">'Detail Non-CUT'!$L$5:$L$247</definedName>
    <definedName name="StaticRefNoStart" localSheetId="5">'Detail CUT'!$L$5</definedName>
    <definedName name="StaticRefNoStart" localSheetId="6">'Detail Non-CUT'!$L$5</definedName>
    <definedName name="SV_Estimation_Tool_Version">'Release Notes'!$A$4</definedName>
    <definedName name="TAMGroupType" localSheetId="5">'Detail CUT'!$K$5:$K$268</definedName>
    <definedName name="TAMGroupType" localSheetId="6">'Detail Non-CUT'!$K$5:$K$247</definedName>
    <definedName name="TotalCUTList">'Detail CUT'!$N$5:$N$268</definedName>
    <definedName name="TotalNonCUTList">'Detail Non-CUT'!$N$5:$N$247</definedName>
    <definedName name="TTSRoles">Parameters!$A$222:$A$245</definedName>
    <definedName name="V">ResourceCostValues!$B$127:$Q$183</definedName>
    <definedName name="workdays_by_region">ResourceCostValues!$B$67:$D$123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0" i="6" l="1"/>
  <c r="A40" i="6"/>
  <c r="A94" i="6"/>
  <c r="A93" i="6"/>
  <c r="O23" i="25"/>
  <c r="P17" i="25"/>
  <c r="O17" i="25"/>
  <c r="K42" i="25"/>
  <c r="K38" i="25"/>
  <c r="K37" i="25"/>
  <c r="K36" i="25"/>
  <c r="K35" i="25"/>
  <c r="K34" i="25"/>
  <c r="K29" i="25"/>
  <c r="K28" i="25"/>
  <c r="K27" i="25"/>
  <c r="K26" i="25"/>
  <c r="K25" i="25"/>
  <c r="K24" i="25"/>
  <c r="K23" i="25"/>
  <c r="K22" i="25"/>
  <c r="K21" i="25"/>
  <c r="K20" i="25"/>
  <c r="K19" i="25"/>
  <c r="K18" i="25"/>
  <c r="K17" i="25"/>
  <c r="K16" i="25"/>
  <c r="K15" i="25"/>
  <c r="K14" i="25"/>
  <c r="K13" i="25"/>
  <c r="K12" i="25"/>
  <c r="K11" i="25"/>
  <c r="K10" i="25"/>
  <c r="K9" i="25"/>
  <c r="K8" i="25"/>
  <c r="H39" i="25"/>
  <c r="G39" i="25"/>
  <c r="F39" i="25"/>
  <c r="E39" i="25"/>
  <c r="H38" i="25"/>
  <c r="H37" i="25"/>
  <c r="H36" i="25"/>
  <c r="H35" i="25"/>
  <c r="H34" i="25"/>
  <c r="H30" i="25"/>
  <c r="G30" i="25"/>
  <c r="F30" i="25"/>
  <c r="E30" i="25"/>
  <c r="H29" i="25"/>
  <c r="H28" i="25"/>
  <c r="H27" i="25"/>
  <c r="H26" i="25"/>
  <c r="H25" i="25"/>
  <c r="H24" i="25"/>
  <c r="H23" i="25"/>
  <c r="H22" i="25"/>
  <c r="H21" i="25"/>
  <c r="H20" i="25"/>
  <c r="H19" i="25"/>
  <c r="H18" i="25"/>
  <c r="H17" i="25"/>
  <c r="H16" i="25"/>
  <c r="H15" i="25"/>
  <c r="H14" i="25"/>
  <c r="H13" i="25"/>
  <c r="H12" i="25"/>
  <c r="H11" i="25"/>
  <c r="H10" i="25"/>
  <c r="H9" i="25"/>
  <c r="H8" i="25"/>
  <c r="J18" i="21"/>
  <c r="J17" i="21"/>
  <c r="J16" i="21"/>
  <c r="J15" i="21"/>
  <c r="J14" i="21"/>
  <c r="J13" i="21"/>
  <c r="J12" i="21"/>
  <c r="J11" i="21"/>
  <c r="J10" i="21"/>
  <c r="J9" i="21"/>
  <c r="J8" i="21"/>
  <c r="I19" i="21"/>
  <c r="H19" i="21"/>
  <c r="G19" i="21"/>
  <c r="F19" i="21"/>
  <c r="I18" i="21"/>
  <c r="I17" i="21"/>
  <c r="I16" i="21"/>
  <c r="I15" i="21"/>
  <c r="I14" i="21"/>
  <c r="I13" i="21"/>
  <c r="I12" i="21"/>
  <c r="I11" i="21"/>
  <c r="I10" i="21"/>
  <c r="I9" i="21"/>
  <c r="I8" i="21"/>
  <c r="H33" i="8"/>
  <c r="EC33" i="8"/>
  <c r="EA33" i="8"/>
  <c r="EC32" i="8"/>
  <c r="EA32" i="8"/>
  <c r="A267" i="6"/>
  <c r="Y200" i="8"/>
  <c r="Y199" i="8"/>
  <c r="Y198" i="8"/>
  <c r="Y197" i="8"/>
  <c r="Y195" i="8"/>
  <c r="Y194" i="8"/>
  <c r="Y191" i="8"/>
  <c r="Y192" i="8" s="1"/>
  <c r="Y193" i="8" s="1"/>
  <c r="X200" i="8"/>
  <c r="X199" i="8"/>
  <c r="X198" i="8"/>
  <c r="X197" i="8"/>
  <c r="X195" i="8"/>
  <c r="X194" i="8"/>
  <c r="X191" i="8"/>
  <c r="X192" i="8" s="1"/>
  <c r="X193" i="8" s="1"/>
  <c r="W200" i="8"/>
  <c r="W199" i="8"/>
  <c r="W198" i="8"/>
  <c r="W197" i="8"/>
  <c r="W195" i="8"/>
  <c r="W194" i="8"/>
  <c r="W191" i="8"/>
  <c r="W192" i="8" s="1"/>
  <c r="W193" i="8" s="1"/>
  <c r="V200" i="8"/>
  <c r="V199" i="8"/>
  <c r="V198" i="8"/>
  <c r="V197" i="8"/>
  <c r="V195" i="8"/>
  <c r="V194" i="8"/>
  <c r="V191" i="8"/>
  <c r="V192" i="8" s="1"/>
  <c r="V193" i="8" s="1"/>
  <c r="N242" i="10"/>
  <c r="A242" i="10"/>
  <c r="C19" i="8"/>
  <c r="J19" i="21" l="1"/>
  <c r="EB33" i="8"/>
  <c r="ED33" i="8" s="1"/>
  <c r="EB32" i="8"/>
  <c r="ED32" i="8" s="1"/>
  <c r="O200" i="8"/>
  <c r="O199" i="8"/>
  <c r="O198" i="8"/>
  <c r="O197" i="8"/>
  <c r="O195" i="8"/>
  <c r="O194" i="8"/>
  <c r="O191" i="8"/>
  <c r="O192" i="8" s="1"/>
  <c r="O193" i="8" s="1"/>
  <c r="N200" i="8"/>
  <c r="N199" i="8"/>
  <c r="N198" i="8"/>
  <c r="N197" i="8"/>
  <c r="N195" i="8"/>
  <c r="N194" i="8"/>
  <c r="N191" i="8"/>
  <c r="N192" i="8" s="1"/>
  <c r="N193" i="8" s="1"/>
  <c r="F65" i="8"/>
  <c r="EC65" i="8"/>
  <c r="EA65" i="8"/>
  <c r="F64" i="8"/>
  <c r="EC64" i="8"/>
  <c r="EA64" i="8"/>
  <c r="H63" i="8"/>
  <c r="H64" i="8" s="1"/>
  <c r="F63" i="8"/>
  <c r="EC63" i="8"/>
  <c r="EA63" i="8"/>
  <c r="F71" i="8"/>
  <c r="EC71" i="8"/>
  <c r="EA71" i="8"/>
  <c r="F70" i="8"/>
  <c r="EC70" i="8"/>
  <c r="EA70" i="8"/>
  <c r="F29" i="8"/>
  <c r="EC29" i="8"/>
  <c r="EA29" i="8"/>
  <c r="F28" i="8"/>
  <c r="EC28" i="8"/>
  <c r="EA28" i="8"/>
  <c r="F26" i="8"/>
  <c r="EC26" i="8"/>
  <c r="EA26" i="8"/>
  <c r="F25" i="8"/>
  <c r="EC25" i="8"/>
  <c r="EA25" i="8"/>
  <c r="AQ200" i="8"/>
  <c r="AQ199" i="8"/>
  <c r="AQ198" i="8"/>
  <c r="AQ197" i="8"/>
  <c r="AQ195" i="8"/>
  <c r="AQ194" i="8"/>
  <c r="AQ191" i="8"/>
  <c r="AQ192" i="8" s="1"/>
  <c r="AQ193" i="8" s="1"/>
  <c r="AP200" i="8"/>
  <c r="AP199" i="8"/>
  <c r="AP198" i="8"/>
  <c r="AP197" i="8"/>
  <c r="AP195" i="8"/>
  <c r="AP194" i="8"/>
  <c r="AP191" i="8"/>
  <c r="AP192" i="8" s="1"/>
  <c r="AP193" i="8" s="1"/>
  <c r="F180" i="8"/>
  <c r="EC180" i="8"/>
  <c r="EA180" i="8"/>
  <c r="F168" i="8"/>
  <c r="EC168" i="8"/>
  <c r="EA168" i="8"/>
  <c r="F156" i="8"/>
  <c r="EC156" i="8"/>
  <c r="EA156" i="8"/>
  <c r="CI200" i="8"/>
  <c r="CI199" i="8"/>
  <c r="CI198" i="8"/>
  <c r="CI197" i="8"/>
  <c r="CI195" i="8"/>
  <c r="CI194" i="8"/>
  <c r="CI191" i="8"/>
  <c r="CI192" i="8" s="1"/>
  <c r="CI193" i="8" s="1"/>
  <c r="BZ200" i="8"/>
  <c r="BZ199" i="8"/>
  <c r="BZ198" i="8"/>
  <c r="BZ197" i="8"/>
  <c r="BZ195" i="8"/>
  <c r="BZ194" i="8"/>
  <c r="BZ191" i="8"/>
  <c r="BZ192" i="8" s="1"/>
  <c r="BZ193" i="8" s="1"/>
  <c r="F144" i="8"/>
  <c r="EC144" i="8"/>
  <c r="EA144" i="8"/>
  <c r="H65" i="8" l="1"/>
  <c r="EB65" i="8"/>
  <c r="ED65" i="8" s="1"/>
  <c r="EB64" i="8"/>
  <c r="ED64" i="8" s="1"/>
  <c r="EB63" i="8"/>
  <c r="ED63" i="8" s="1"/>
  <c r="EB71" i="8"/>
  <c r="ED71" i="8" s="1"/>
  <c r="EB70" i="8"/>
  <c r="ED70" i="8" s="1"/>
  <c r="EB29" i="8"/>
  <c r="ED29" i="8" s="1"/>
  <c r="EB28" i="8"/>
  <c r="ED28" i="8" s="1"/>
  <c r="EB26" i="8"/>
  <c r="ED26" i="8" s="1"/>
  <c r="EB25" i="8"/>
  <c r="ED25" i="8" s="1"/>
  <c r="EB180" i="8"/>
  <c r="ED180" i="8" s="1"/>
  <c r="EB168" i="8"/>
  <c r="ED168" i="8" s="1"/>
  <c r="EB156" i="8"/>
  <c r="ED156" i="8" s="1"/>
  <c r="EB144" i="8"/>
  <c r="ED144" i="8" s="1"/>
  <c r="A244" i="10" l="1"/>
  <c r="A243" i="10"/>
  <c r="A92" i="6"/>
  <c r="F47" i="8" l="1"/>
  <c r="EC47" i="8"/>
  <c r="EA47" i="8"/>
  <c r="F46" i="8"/>
  <c r="EC46" i="8"/>
  <c r="EA46" i="8"/>
  <c r="A228" i="10"/>
  <c r="A227" i="10"/>
  <c r="A226" i="10"/>
  <c r="O224" i="10"/>
  <c r="O223" i="10"/>
  <c r="O220" i="10"/>
  <c r="O219" i="10"/>
  <c r="A225" i="10"/>
  <c r="A224" i="10"/>
  <c r="A223" i="10"/>
  <c r="A198" i="10"/>
  <c r="A72" i="10"/>
  <c r="A39" i="10"/>
  <c r="A241" i="10"/>
  <c r="A250" i="6"/>
  <c r="A222" i="6"/>
  <c r="A221" i="6"/>
  <c r="A82" i="6"/>
  <c r="A57" i="6"/>
  <c r="A56" i="6"/>
  <c r="EB47" i="8" l="1"/>
  <c r="ED47" i="8" s="1"/>
  <c r="EB46" i="8"/>
  <c r="ED46" i="8" s="1"/>
  <c r="F61" i="8" l="1"/>
  <c r="EC61" i="8"/>
  <c r="EA61" i="8"/>
  <c r="F58" i="8"/>
  <c r="EC58" i="8"/>
  <c r="EA58" i="8"/>
  <c r="F57" i="8"/>
  <c r="EC57" i="8"/>
  <c r="EA57" i="8"/>
  <c r="AA200" i="8"/>
  <c r="AA199" i="8"/>
  <c r="AA198" i="8"/>
  <c r="AA197" i="8"/>
  <c r="AA195" i="8"/>
  <c r="AA194" i="8"/>
  <c r="AA191" i="8"/>
  <c r="AA192" i="8" s="1"/>
  <c r="AA193" i="8" s="1"/>
  <c r="AM200" i="8"/>
  <c r="AM199" i="8"/>
  <c r="AM198" i="8"/>
  <c r="AM197" i="8"/>
  <c r="AM195" i="8"/>
  <c r="AM194" i="8"/>
  <c r="AM191" i="8"/>
  <c r="AM192" i="8" s="1"/>
  <c r="AM193" i="8" s="1"/>
  <c r="AL200" i="8"/>
  <c r="AL199" i="8"/>
  <c r="AL198" i="8"/>
  <c r="AL197" i="8"/>
  <c r="AL195" i="8"/>
  <c r="AL194" i="8"/>
  <c r="AL191" i="8"/>
  <c r="AL192" i="8" s="1"/>
  <c r="AL193" i="8" s="1"/>
  <c r="AH200" i="8"/>
  <c r="AH199" i="8"/>
  <c r="AH198" i="8"/>
  <c r="AH197" i="8"/>
  <c r="AH195" i="8"/>
  <c r="AH194" i="8"/>
  <c r="AH191" i="8"/>
  <c r="AH192" i="8" s="1"/>
  <c r="AH193" i="8" s="1"/>
  <c r="AG200" i="8"/>
  <c r="AG199" i="8"/>
  <c r="AG198" i="8"/>
  <c r="AG197" i="8"/>
  <c r="AG195" i="8"/>
  <c r="AG194" i="8"/>
  <c r="AG191" i="8"/>
  <c r="AG192" i="8" s="1"/>
  <c r="AG193" i="8" s="1"/>
  <c r="AD200" i="8"/>
  <c r="AD199" i="8"/>
  <c r="AD198" i="8"/>
  <c r="AD197" i="8"/>
  <c r="AD195" i="8"/>
  <c r="AD194" i="8"/>
  <c r="AD191" i="8"/>
  <c r="AD192" i="8" s="1"/>
  <c r="AD193" i="8" s="1"/>
  <c r="AC200" i="8"/>
  <c r="AC199" i="8"/>
  <c r="AC198" i="8"/>
  <c r="AC197" i="8"/>
  <c r="AC195" i="8"/>
  <c r="AC194" i="8"/>
  <c r="AC191" i="8"/>
  <c r="AC192" i="8" s="1"/>
  <c r="AC193" i="8" s="1"/>
  <c r="AB200" i="8"/>
  <c r="AB199" i="8"/>
  <c r="AB198" i="8"/>
  <c r="AB197" i="8"/>
  <c r="AB195" i="8"/>
  <c r="AB194" i="8"/>
  <c r="AB191" i="8"/>
  <c r="AB192" i="8" s="1"/>
  <c r="AB193" i="8" s="1"/>
  <c r="EB61" i="8" l="1"/>
  <c r="ED61" i="8" s="1"/>
  <c r="EB58" i="8"/>
  <c r="ED58" i="8" s="1"/>
  <c r="EB57" i="8"/>
  <c r="ED57" i="8" s="1"/>
  <c r="AS200" i="8"/>
  <c r="AS199" i="8"/>
  <c r="AS198" i="8"/>
  <c r="AS197" i="8"/>
  <c r="AS195" i="8"/>
  <c r="AS194" i="8"/>
  <c r="AS191" i="8"/>
  <c r="AS192" i="8" s="1"/>
  <c r="AS193" i="8" s="1"/>
  <c r="AR200" i="8"/>
  <c r="AR199" i="8"/>
  <c r="AR198" i="8"/>
  <c r="AR197" i="8"/>
  <c r="AR195" i="8"/>
  <c r="AR194" i="8"/>
  <c r="AR191" i="8"/>
  <c r="AR192" i="8" s="1"/>
  <c r="AR193" i="8" s="1"/>
  <c r="BE200" i="8" l="1"/>
  <c r="BE199" i="8"/>
  <c r="BE198" i="8"/>
  <c r="BE197" i="8"/>
  <c r="BE195" i="8"/>
  <c r="BE194" i="8"/>
  <c r="BE191" i="8"/>
  <c r="BE192" i="8" s="1"/>
  <c r="BE193" i="8" s="1"/>
  <c r="BD200" i="8"/>
  <c r="BD199" i="8"/>
  <c r="BD198" i="8"/>
  <c r="BD197" i="8"/>
  <c r="BD195" i="8"/>
  <c r="BD194" i="8"/>
  <c r="BD191" i="8"/>
  <c r="BD192" i="8" s="1"/>
  <c r="BD193" i="8" s="1"/>
  <c r="AX200" i="8"/>
  <c r="AX199" i="8"/>
  <c r="AX198" i="8"/>
  <c r="AX197" i="8"/>
  <c r="AX195" i="8"/>
  <c r="AX194" i="8"/>
  <c r="AX191" i="8"/>
  <c r="AX192" i="8" s="1"/>
  <c r="AX193" i="8" s="1"/>
  <c r="AW200" i="8"/>
  <c r="AW199" i="8"/>
  <c r="AW198" i="8"/>
  <c r="AW197" i="8"/>
  <c r="AW195" i="8"/>
  <c r="AW194" i="8"/>
  <c r="AW191" i="8"/>
  <c r="AW192" i="8" s="1"/>
  <c r="AW193" i="8" s="1"/>
  <c r="A240" i="10"/>
  <c r="DK200" i="8"/>
  <c r="DK199" i="8"/>
  <c r="DK198" i="8"/>
  <c r="DK197" i="8"/>
  <c r="DK195" i="8"/>
  <c r="DK194" i="8"/>
  <c r="DK191" i="8"/>
  <c r="DK192" i="8" s="1"/>
  <c r="DK193" i="8" s="1"/>
  <c r="DJ200" i="8"/>
  <c r="DJ199" i="8"/>
  <c r="DJ198" i="8"/>
  <c r="DJ197" i="8"/>
  <c r="DJ195" i="8"/>
  <c r="DJ194" i="8"/>
  <c r="DJ191" i="8"/>
  <c r="DJ192" i="8" s="1"/>
  <c r="DJ193" i="8" s="1"/>
  <c r="DI200" i="8"/>
  <c r="DI199" i="8"/>
  <c r="DI198" i="8"/>
  <c r="DI197" i="8"/>
  <c r="DI195" i="8"/>
  <c r="DI194" i="8"/>
  <c r="DI191" i="8"/>
  <c r="DI192" i="8" s="1"/>
  <c r="DI193" i="8" s="1"/>
  <c r="DH200" i="8"/>
  <c r="DH199" i="8"/>
  <c r="DH198" i="8"/>
  <c r="DH197" i="8"/>
  <c r="DH195" i="8"/>
  <c r="DH194" i="8"/>
  <c r="DH191" i="8"/>
  <c r="DH192" i="8" s="1"/>
  <c r="DH193" i="8" s="1"/>
  <c r="DG200" i="8"/>
  <c r="DG199" i="8"/>
  <c r="DG198" i="8"/>
  <c r="DG197" i="8"/>
  <c r="DG195" i="8"/>
  <c r="DG194" i="8"/>
  <c r="DG191" i="8"/>
  <c r="DG192" i="8" s="1"/>
  <c r="DG193" i="8" s="1"/>
  <c r="DF200" i="8"/>
  <c r="DF199" i="8"/>
  <c r="DF198" i="8"/>
  <c r="DF197" i="8"/>
  <c r="DF195" i="8"/>
  <c r="DF194" i="8"/>
  <c r="DF191" i="8"/>
  <c r="DF192" i="8" s="1"/>
  <c r="DF193" i="8" s="1"/>
  <c r="DE200" i="8"/>
  <c r="DE199" i="8"/>
  <c r="DE198" i="8"/>
  <c r="DE197" i="8"/>
  <c r="DE195" i="8"/>
  <c r="DE194" i="8"/>
  <c r="DE191" i="8"/>
  <c r="DE192" i="8" s="1"/>
  <c r="DE193" i="8" s="1"/>
  <c r="DD200" i="8"/>
  <c r="DD199" i="8"/>
  <c r="DD198" i="8"/>
  <c r="DD197" i="8"/>
  <c r="DD195" i="8"/>
  <c r="DD194" i="8"/>
  <c r="DD191" i="8"/>
  <c r="DD192" i="8" s="1"/>
  <c r="DD193" i="8" s="1"/>
  <c r="DC200" i="8"/>
  <c r="DC199" i="8"/>
  <c r="DC198" i="8"/>
  <c r="DC197" i="8"/>
  <c r="DC195" i="8"/>
  <c r="DC194" i="8"/>
  <c r="DC191" i="8"/>
  <c r="DC192" i="8" s="1"/>
  <c r="DC193" i="8" s="1"/>
  <c r="DB200" i="8"/>
  <c r="DB199" i="8"/>
  <c r="DB198" i="8"/>
  <c r="DB197" i="8"/>
  <c r="DB195" i="8"/>
  <c r="DB194" i="8"/>
  <c r="DB191" i="8"/>
  <c r="DB192" i="8" s="1"/>
  <c r="DB193" i="8" s="1"/>
  <c r="DL200" i="8" l="1"/>
  <c r="DL199" i="8"/>
  <c r="DL198" i="8"/>
  <c r="DL197" i="8"/>
  <c r="DL195" i="8"/>
  <c r="DL192" i="8"/>
  <c r="DL193" i="8" s="1"/>
  <c r="DL191" i="8"/>
  <c r="DL194" i="8" s="1"/>
  <c r="DA200" i="8"/>
  <c r="DA199" i="8"/>
  <c r="DA198" i="8"/>
  <c r="DA197" i="8"/>
  <c r="DA195" i="8"/>
  <c r="DA191" i="8"/>
  <c r="DA194" i="8" s="1"/>
  <c r="CZ200" i="8"/>
  <c r="CZ199" i="8"/>
  <c r="CZ198" i="8"/>
  <c r="CZ197" i="8"/>
  <c r="CZ195" i="8"/>
  <c r="CZ191" i="8"/>
  <c r="CZ194" i="8" s="1"/>
  <c r="CY200" i="8"/>
  <c r="CY199" i="8"/>
  <c r="CY198" i="8"/>
  <c r="CY197" i="8"/>
  <c r="CY195" i="8"/>
  <c r="CY191" i="8"/>
  <c r="CY194" i="8" s="1"/>
  <c r="CX200" i="8"/>
  <c r="CX199" i="8"/>
  <c r="CX198" i="8"/>
  <c r="CX197" i="8"/>
  <c r="CX195" i="8"/>
  <c r="CX191" i="8"/>
  <c r="CX194" i="8" s="1"/>
  <c r="CW200" i="8"/>
  <c r="CW199" i="8"/>
  <c r="CW198" i="8"/>
  <c r="CW197" i="8"/>
  <c r="CW195" i="8"/>
  <c r="CW191" i="8"/>
  <c r="CW194" i="8" s="1"/>
  <c r="CV200" i="8"/>
  <c r="CV199" i="8"/>
  <c r="CV198" i="8"/>
  <c r="CV197" i="8"/>
  <c r="CV195" i="8"/>
  <c r="CV191" i="8"/>
  <c r="CV194" i="8" s="1"/>
  <c r="CU200" i="8"/>
  <c r="CU199" i="8"/>
  <c r="CU198" i="8"/>
  <c r="CU197" i="8"/>
  <c r="CU195" i="8"/>
  <c r="CU191" i="8"/>
  <c r="CU194" i="8" s="1"/>
  <c r="CT200" i="8"/>
  <c r="CT199" i="8"/>
  <c r="CT198" i="8"/>
  <c r="CT197" i="8"/>
  <c r="CT195" i="8"/>
  <c r="CT191" i="8"/>
  <c r="CT194" i="8" s="1"/>
  <c r="CS200" i="8"/>
  <c r="CS199" i="8"/>
  <c r="CS198" i="8"/>
  <c r="CS197" i="8"/>
  <c r="CS195" i="8"/>
  <c r="CS191" i="8"/>
  <c r="CS194" i="8" s="1"/>
  <c r="CR200" i="8"/>
  <c r="CR199" i="8"/>
  <c r="CR198" i="8"/>
  <c r="CR197" i="8"/>
  <c r="CR195" i="8"/>
  <c r="CR191" i="8"/>
  <c r="CR194" i="8" s="1"/>
  <c r="CQ200" i="8"/>
  <c r="CQ199" i="8"/>
  <c r="CQ198" i="8"/>
  <c r="CQ197" i="8"/>
  <c r="CQ195" i="8"/>
  <c r="CQ191" i="8"/>
  <c r="CQ194" i="8" s="1"/>
  <c r="CP200" i="8"/>
  <c r="CP199" i="8"/>
  <c r="CP198" i="8"/>
  <c r="CP197" i="8"/>
  <c r="CP195" i="8"/>
  <c r="CP191" i="8"/>
  <c r="CP194" i="8" s="1"/>
  <c r="CN200" i="8"/>
  <c r="CN199" i="8"/>
  <c r="CN198" i="8"/>
  <c r="CN197" i="8"/>
  <c r="CN195" i="8"/>
  <c r="CN194" i="8"/>
  <c r="CN191" i="8"/>
  <c r="CN192" i="8" s="1"/>
  <c r="CN193" i="8" s="1"/>
  <c r="CM200" i="8"/>
  <c r="CM199" i="8"/>
  <c r="CM198" i="8"/>
  <c r="CM197" i="8"/>
  <c r="CM195" i="8"/>
  <c r="CM194" i="8"/>
  <c r="CM191" i="8"/>
  <c r="CM192" i="8" s="1"/>
  <c r="CM193" i="8" s="1"/>
  <c r="CO200" i="8"/>
  <c r="CO199" i="8"/>
  <c r="CO198" i="8"/>
  <c r="CO197" i="8"/>
  <c r="CO195" i="8"/>
  <c r="CO191" i="8"/>
  <c r="CO194" i="8" s="1"/>
  <c r="CL200" i="8"/>
  <c r="CL199" i="8"/>
  <c r="CL198" i="8"/>
  <c r="CL197" i="8"/>
  <c r="CL195" i="8"/>
  <c r="CL191" i="8"/>
  <c r="CL194" i="8" s="1"/>
  <c r="CK200" i="8"/>
  <c r="CK199" i="8"/>
  <c r="CK198" i="8"/>
  <c r="CK197" i="8"/>
  <c r="CK195" i="8"/>
  <c r="CK191" i="8"/>
  <c r="CK194" i="8" s="1"/>
  <c r="CJ200" i="8"/>
  <c r="CJ199" i="8"/>
  <c r="CJ198" i="8"/>
  <c r="CJ197" i="8"/>
  <c r="CJ195" i="8"/>
  <c r="CJ191" i="8"/>
  <c r="CJ194" i="8" s="1"/>
  <c r="CH200" i="8"/>
  <c r="CH199" i="8"/>
  <c r="CH198" i="8"/>
  <c r="CH197" i="8"/>
  <c r="CH195" i="8"/>
  <c r="CH191" i="8"/>
  <c r="CH194" i="8" s="1"/>
  <c r="CG200" i="8"/>
  <c r="CG199" i="8"/>
  <c r="CG198" i="8"/>
  <c r="CG197" i="8"/>
  <c r="CG195" i="8"/>
  <c r="CG191" i="8"/>
  <c r="CG194" i="8" s="1"/>
  <c r="CF200" i="8"/>
  <c r="CF199" i="8"/>
  <c r="CF198" i="8"/>
  <c r="CF197" i="8"/>
  <c r="CF195" i="8"/>
  <c r="CF191" i="8"/>
  <c r="CF194" i="8" s="1"/>
  <c r="CD200" i="8"/>
  <c r="CD199" i="8"/>
  <c r="CD198" i="8"/>
  <c r="CD197" i="8"/>
  <c r="CD195" i="8"/>
  <c r="CD194" i="8"/>
  <c r="CD191" i="8"/>
  <c r="CD192" i="8" s="1"/>
  <c r="CD193" i="8" s="1"/>
  <c r="CC200" i="8"/>
  <c r="CC199" i="8"/>
  <c r="CC198" i="8"/>
  <c r="CC197" i="8"/>
  <c r="CC195" i="8"/>
  <c r="CC194" i="8"/>
  <c r="CC191" i="8"/>
  <c r="CC192" i="8" s="1"/>
  <c r="CC193" i="8" s="1"/>
  <c r="CB200" i="8"/>
  <c r="CB199" i="8"/>
  <c r="CB198" i="8"/>
  <c r="CB197" i="8"/>
  <c r="CB195" i="8"/>
  <c r="CB194" i="8"/>
  <c r="CB191" i="8"/>
  <c r="CB192" i="8" s="1"/>
  <c r="CB193" i="8" s="1"/>
  <c r="CA200" i="8"/>
  <c r="CA199" i="8"/>
  <c r="CA198" i="8"/>
  <c r="CA197" i="8"/>
  <c r="CA195" i="8"/>
  <c r="CA194" i="8"/>
  <c r="CA191" i="8"/>
  <c r="CA192" i="8" s="1"/>
  <c r="CA193" i="8" s="1"/>
  <c r="BY200" i="8"/>
  <c r="BY199" i="8"/>
  <c r="BY198" i="8"/>
  <c r="BY197" i="8"/>
  <c r="BY195" i="8"/>
  <c r="BY194" i="8"/>
  <c r="BY191" i="8"/>
  <c r="BY192" i="8" s="1"/>
  <c r="BY193" i="8" s="1"/>
  <c r="BX200" i="8"/>
  <c r="BX199" i="8"/>
  <c r="BX198" i="8"/>
  <c r="BX197" i="8"/>
  <c r="BX195" i="8"/>
  <c r="BX194" i="8"/>
  <c r="BX191" i="8"/>
  <c r="BX192" i="8" s="1"/>
  <c r="BX193" i="8" s="1"/>
  <c r="BW200" i="8"/>
  <c r="BW199" i="8"/>
  <c r="BW198" i="8"/>
  <c r="BW197" i="8"/>
  <c r="BW195" i="8"/>
  <c r="BW194" i="8"/>
  <c r="BW191" i="8"/>
  <c r="BW192" i="8" s="1"/>
  <c r="BW193" i="8" s="1"/>
  <c r="BV200" i="8"/>
  <c r="BV199" i="8"/>
  <c r="BV198" i="8"/>
  <c r="BV197" i="8"/>
  <c r="BV195" i="8"/>
  <c r="BV194" i="8"/>
  <c r="BV191" i="8"/>
  <c r="BV192" i="8" s="1"/>
  <c r="BV193" i="8" s="1"/>
  <c r="BU200" i="8"/>
  <c r="BU199" i="8"/>
  <c r="BU198" i="8"/>
  <c r="BU197" i="8"/>
  <c r="BU195" i="8"/>
  <c r="BU194" i="8"/>
  <c r="BU191" i="8"/>
  <c r="BU192" i="8" s="1"/>
  <c r="BU193" i="8" s="1"/>
  <c r="BT200" i="8"/>
  <c r="BT199" i="8"/>
  <c r="BT198" i="8"/>
  <c r="BT197" i="8"/>
  <c r="BT195" i="8"/>
  <c r="BT194" i="8"/>
  <c r="BT191" i="8"/>
  <c r="BT192" i="8" s="1"/>
  <c r="BT193" i="8" s="1"/>
  <c r="BS200" i="8"/>
  <c r="BS199" i="8"/>
  <c r="BS198" i="8"/>
  <c r="BS197" i="8"/>
  <c r="BS195" i="8"/>
  <c r="BS194" i="8"/>
  <c r="BS191" i="8"/>
  <c r="BS192" i="8" s="1"/>
  <c r="BS193" i="8" s="1"/>
  <c r="CE200" i="8"/>
  <c r="CE199" i="8"/>
  <c r="CE198" i="8"/>
  <c r="CE197" i="8"/>
  <c r="CE195" i="8"/>
  <c r="CE191" i="8"/>
  <c r="CE194" i="8" s="1"/>
  <c r="BR200" i="8"/>
  <c r="BR199" i="8"/>
  <c r="BR198" i="8"/>
  <c r="BR197" i="8"/>
  <c r="BR195" i="8"/>
  <c r="BR191" i="8"/>
  <c r="BR194" i="8" s="1"/>
  <c r="BP200" i="8"/>
  <c r="BP199" i="8"/>
  <c r="BP198" i="8"/>
  <c r="BP197" i="8"/>
  <c r="BP195" i="8"/>
  <c r="BP194" i="8"/>
  <c r="BP191" i="8"/>
  <c r="BP192" i="8" s="1"/>
  <c r="BP193" i="8" s="1"/>
  <c r="BO200" i="8"/>
  <c r="BO199" i="8"/>
  <c r="BO198" i="8"/>
  <c r="BO197" i="8"/>
  <c r="BO195" i="8"/>
  <c r="BO194" i="8"/>
  <c r="BO191" i="8"/>
  <c r="BO192" i="8" s="1"/>
  <c r="BO193" i="8" s="1"/>
  <c r="BK200" i="8"/>
  <c r="BK199" i="8"/>
  <c r="BK198" i="8"/>
  <c r="BK197" i="8"/>
  <c r="BK195" i="8"/>
  <c r="BK194" i="8"/>
  <c r="BK191" i="8"/>
  <c r="BK192" i="8" s="1"/>
  <c r="BK193" i="8" s="1"/>
  <c r="BL200" i="8"/>
  <c r="BL199" i="8"/>
  <c r="BL198" i="8"/>
  <c r="BL197" i="8"/>
  <c r="BL195" i="8"/>
  <c r="BL194" i="8"/>
  <c r="BL191" i="8"/>
  <c r="BL192" i="8" s="1"/>
  <c r="BL193" i="8" s="1"/>
  <c r="AE200" i="8"/>
  <c r="AE199" i="8"/>
  <c r="AE198" i="8"/>
  <c r="AE197" i="8"/>
  <c r="AE195" i="8"/>
  <c r="AE194" i="8"/>
  <c r="AE191" i="8"/>
  <c r="AE192" i="8" s="1"/>
  <c r="AE193" i="8" s="1"/>
  <c r="Z200" i="8"/>
  <c r="Z199" i="8"/>
  <c r="Z198" i="8"/>
  <c r="Z197" i="8"/>
  <c r="Z195" i="8"/>
  <c r="Z194" i="8"/>
  <c r="Z191" i="8"/>
  <c r="Z192" i="8" s="1"/>
  <c r="Z193" i="8" s="1"/>
  <c r="A262" i="6"/>
  <c r="A81" i="6"/>
  <c r="A91" i="6"/>
  <c r="A104" i="6"/>
  <c r="A87" i="6"/>
  <c r="A80" i="6"/>
  <c r="A39" i="6"/>
  <c r="A90" i="6"/>
  <c r="A76" i="6"/>
  <c r="A89" i="6"/>
  <c r="A261" i="6"/>
  <c r="A88" i="6"/>
  <c r="A259" i="6"/>
  <c r="A251" i="6"/>
  <c r="A249" i="6"/>
  <c r="A241" i="6"/>
  <c r="A240" i="6"/>
  <c r="T200" i="8"/>
  <c r="T199" i="8"/>
  <c r="T198" i="8"/>
  <c r="T197" i="8"/>
  <c r="T195" i="8"/>
  <c r="T191" i="8"/>
  <c r="T192" i="8" s="1"/>
  <c r="S200" i="8"/>
  <c r="S199" i="8"/>
  <c r="S198" i="8"/>
  <c r="S197" i="8"/>
  <c r="S195" i="8"/>
  <c r="S191" i="8"/>
  <c r="S192" i="8" s="1"/>
  <c r="A246" i="10"/>
  <c r="A245" i="10"/>
  <c r="A86" i="6"/>
  <c r="A239" i="10"/>
  <c r="CX192" i="8" l="1"/>
  <c r="CX193" i="8" s="1"/>
  <c r="CY192" i="8"/>
  <c r="CY193" i="8" s="1"/>
  <c r="DA192" i="8"/>
  <c r="DA193" i="8" s="1"/>
  <c r="CZ192" i="8"/>
  <c r="CZ193" i="8" s="1"/>
  <c r="CV192" i="8"/>
  <c r="CV193" i="8" s="1"/>
  <c r="CT192" i="8"/>
  <c r="CT193" i="8" s="1"/>
  <c r="CO192" i="8"/>
  <c r="CO193" i="8" s="1"/>
  <c r="CS192" i="8"/>
  <c r="CS193" i="8" s="1"/>
  <c r="CR192" i="8"/>
  <c r="CR193" i="8" s="1"/>
  <c r="CP192" i="8"/>
  <c r="CP193" i="8" s="1"/>
  <c r="CQ192" i="8"/>
  <c r="CQ193" i="8" s="1"/>
  <c r="CW192" i="8"/>
  <c r="CW193" i="8" s="1"/>
  <c r="CU192" i="8"/>
  <c r="CU193" i="8" s="1"/>
  <c r="CJ192" i="8"/>
  <c r="CJ193" i="8" s="1"/>
  <c r="CG192" i="8"/>
  <c r="CG193" i="8" s="1"/>
  <c r="CE192" i="8"/>
  <c r="CE193" i="8" s="1"/>
  <c r="CK192" i="8"/>
  <c r="CK193" i="8" s="1"/>
  <c r="CH192" i="8"/>
  <c r="CH193" i="8" s="1"/>
  <c r="CF192" i="8"/>
  <c r="CF193" i="8" s="1"/>
  <c r="CL192" i="8"/>
  <c r="CL193" i="8" s="1"/>
  <c r="BR192" i="8"/>
  <c r="BR193" i="8" s="1"/>
  <c r="T194" i="8"/>
  <c r="T193" i="8"/>
  <c r="S194" i="8"/>
  <c r="S193" i="8"/>
  <c r="A222" i="10"/>
  <c r="A238" i="10"/>
  <c r="A260" i="6"/>
  <c r="BM200" i="8"/>
  <c r="BM199" i="8"/>
  <c r="BM198" i="8"/>
  <c r="BM197" i="8"/>
  <c r="BM195" i="8"/>
  <c r="BM191" i="8"/>
  <c r="BM192" i="8" s="1"/>
  <c r="BH200" i="8"/>
  <c r="BH199" i="8"/>
  <c r="BH198" i="8"/>
  <c r="BH197" i="8"/>
  <c r="BH195" i="8"/>
  <c r="BH191" i="8"/>
  <c r="BH192" i="8" s="1"/>
  <c r="BG200" i="8"/>
  <c r="BG199" i="8"/>
  <c r="BG198" i="8"/>
  <c r="BG197" i="8"/>
  <c r="BG195" i="8"/>
  <c r="BG191" i="8"/>
  <c r="BG192" i="8" s="1"/>
  <c r="BF200" i="8"/>
  <c r="BF199" i="8"/>
  <c r="BF198" i="8"/>
  <c r="BF197" i="8"/>
  <c r="BF195" i="8"/>
  <c r="BF191" i="8"/>
  <c r="BF192" i="8" s="1"/>
  <c r="BC200" i="8"/>
  <c r="BC199" i="8"/>
  <c r="BC198" i="8"/>
  <c r="BC197" i="8"/>
  <c r="BC195" i="8"/>
  <c r="BC191" i="8"/>
  <c r="BC192" i="8" s="1"/>
  <c r="AJ200" i="8"/>
  <c r="AJ199" i="8"/>
  <c r="AJ198" i="8"/>
  <c r="AJ197" i="8"/>
  <c r="AJ195" i="8"/>
  <c r="AJ191" i="8"/>
  <c r="AJ192" i="8" s="1"/>
  <c r="BM194" i="8" l="1"/>
  <c r="BM193" i="8"/>
  <c r="BH194" i="8"/>
  <c r="BH193" i="8"/>
  <c r="BG194" i="8"/>
  <c r="BG193" i="8"/>
  <c r="BF194" i="8"/>
  <c r="BF193" i="8"/>
  <c r="BC194" i="8"/>
  <c r="BC193" i="8"/>
  <c r="AJ194" i="8"/>
  <c r="AJ193" i="8"/>
  <c r="BB200" i="8" l="1"/>
  <c r="BB199" i="8"/>
  <c r="BB198" i="8"/>
  <c r="BB197" i="8"/>
  <c r="BB195" i="8"/>
  <c r="BB191" i="8"/>
  <c r="BB192" i="8" s="1"/>
  <c r="BQ200" i="8"/>
  <c r="BQ199" i="8"/>
  <c r="BQ198" i="8"/>
  <c r="BQ197" i="8"/>
  <c r="BQ195" i="8"/>
  <c r="BQ191" i="8"/>
  <c r="BQ194" i="8" s="1"/>
  <c r="BN200" i="8"/>
  <c r="BN199" i="8"/>
  <c r="BN198" i="8"/>
  <c r="BN197" i="8"/>
  <c r="BN195" i="8"/>
  <c r="BN191" i="8"/>
  <c r="BJ200" i="8"/>
  <c r="BJ199" i="8"/>
  <c r="BJ198" i="8"/>
  <c r="BJ197" i="8"/>
  <c r="BJ195" i="8"/>
  <c r="BJ191" i="8"/>
  <c r="BA200" i="8"/>
  <c r="BA199" i="8"/>
  <c r="BA198" i="8"/>
  <c r="BA197" i="8"/>
  <c r="BA195" i="8"/>
  <c r="BA191" i="8"/>
  <c r="BA192" i="8" s="1"/>
  <c r="BA193" i="8" s="1"/>
  <c r="AZ200" i="8"/>
  <c r="AZ199" i="8"/>
  <c r="AZ198" i="8"/>
  <c r="AZ197" i="8"/>
  <c r="AZ195" i="8"/>
  <c r="AZ191" i="8"/>
  <c r="AZ192" i="8" s="1"/>
  <c r="AZ193" i="8" s="1"/>
  <c r="F162" i="8"/>
  <c r="EA162" i="8"/>
  <c r="EC162" i="8" s="1"/>
  <c r="F150" i="8"/>
  <c r="EA150" i="8"/>
  <c r="EC150" i="8" s="1"/>
  <c r="R200" i="8"/>
  <c r="R199" i="8"/>
  <c r="R198" i="8"/>
  <c r="R197" i="8"/>
  <c r="R195" i="8"/>
  <c r="R191" i="8"/>
  <c r="R192" i="8" s="1"/>
  <c r="R193" i="8" s="1"/>
  <c r="BQ192" i="8" l="1"/>
  <c r="BQ193" i="8" s="1"/>
  <c r="BA194" i="8"/>
  <c r="BB194" i="8"/>
  <c r="BB193" i="8"/>
  <c r="AZ194" i="8"/>
  <c r="R194" i="8"/>
  <c r="BN192" i="8"/>
  <c r="BN193" i="8" s="1"/>
  <c r="BJ192" i="8"/>
  <c r="BJ193" i="8" s="1"/>
  <c r="EB162" i="8"/>
  <c r="ED162" i="8" s="1"/>
  <c r="EB150" i="8"/>
  <c r="ED150" i="8" s="1"/>
  <c r="Q200" i="8"/>
  <c r="Q199" i="8"/>
  <c r="Q198" i="8"/>
  <c r="Q197" i="8"/>
  <c r="Q195" i="8"/>
  <c r="Q191" i="8"/>
  <c r="Q192" i="8" s="1"/>
  <c r="Q193" i="8" s="1"/>
  <c r="P200" i="8"/>
  <c r="P199" i="8"/>
  <c r="P198" i="8"/>
  <c r="P197" i="8"/>
  <c r="P195" i="8"/>
  <c r="P191" i="8"/>
  <c r="P192" i="8" s="1"/>
  <c r="P193" i="8" s="1"/>
  <c r="M200" i="8"/>
  <c r="M199" i="8"/>
  <c r="M198" i="8"/>
  <c r="M197" i="8"/>
  <c r="M195" i="8"/>
  <c r="M191" i="8"/>
  <c r="M192" i="8" s="1"/>
  <c r="M193" i="8" s="1"/>
  <c r="L200" i="8"/>
  <c r="L199" i="8"/>
  <c r="L198" i="8"/>
  <c r="L197" i="8"/>
  <c r="L195" i="8"/>
  <c r="L191" i="8"/>
  <c r="L192" i="8" s="1"/>
  <c r="L193" i="8" s="1"/>
  <c r="K200" i="8"/>
  <c r="K199" i="8"/>
  <c r="K198" i="8"/>
  <c r="K197" i="8"/>
  <c r="K195" i="8"/>
  <c r="K191" i="8"/>
  <c r="K192" i="8" s="1"/>
  <c r="K193" i="8" s="1"/>
  <c r="A68" i="6"/>
  <c r="A266" i="6"/>
  <c r="M194" i="8" l="1"/>
  <c r="K194" i="8"/>
  <c r="Q194" i="8"/>
  <c r="P194" i="8"/>
  <c r="L194" i="8"/>
  <c r="BJ194" i="8"/>
  <c r="BN194" i="8"/>
  <c r="O264" i="6"/>
  <c r="O263" i="6"/>
  <c r="O255" i="6"/>
  <c r="O254" i="6"/>
  <c r="A265" i="6"/>
  <c r="A264" i="6"/>
  <c r="A263" i="6"/>
  <c r="A258" i="6"/>
  <c r="A257" i="6"/>
  <c r="O238" i="6"/>
  <c r="O237" i="6"/>
  <c r="A236" i="10"/>
  <c r="A235" i="10"/>
  <c r="A234" i="10"/>
  <c r="A72" i="6"/>
  <c r="A73" i="6"/>
  <c r="A74" i="6"/>
  <c r="A75" i="6"/>
  <c r="A242" i="6"/>
  <c r="A67" i="6"/>
  <c r="A55" i="6"/>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M5"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60" i="17"/>
  <c r="N5" i="17"/>
  <c r="N6" i="17"/>
  <c r="N7" i="17"/>
  <c r="N8" i="17"/>
  <c r="N9" i="17"/>
  <c r="N10" i="17"/>
  <c r="N11" i="17"/>
  <c r="N12" i="17"/>
  <c r="N13" i="17"/>
  <c r="N14" i="17"/>
  <c r="N15" i="17"/>
  <c r="N16" i="17"/>
  <c r="N17" i="17"/>
  <c r="N18" i="17"/>
  <c r="N19" i="17"/>
  <c r="N20" i="17"/>
  <c r="N21" i="17"/>
  <c r="N22" i="17"/>
  <c r="N23" i="17"/>
  <c r="N24" i="17"/>
  <c r="N25" i="17"/>
  <c r="N26" i="17"/>
  <c r="N27" i="17"/>
  <c r="N28" i="17"/>
  <c r="N29" i="17"/>
  <c r="N30" i="17"/>
  <c r="N31" i="17"/>
  <c r="N32" i="17"/>
  <c r="N33" i="17"/>
  <c r="N34" i="17"/>
  <c r="N35" i="17"/>
  <c r="N36" i="17"/>
  <c r="N37" i="17"/>
  <c r="N38" i="17"/>
  <c r="N39" i="17"/>
  <c r="N40" i="17"/>
  <c r="N41" i="17"/>
  <c r="N42" i="17"/>
  <c r="N43" i="17"/>
  <c r="N44" i="17"/>
  <c r="N45" i="17"/>
  <c r="N46" i="17"/>
  <c r="N47" i="17"/>
  <c r="N48" i="17"/>
  <c r="N49" i="17"/>
  <c r="N50" i="17"/>
  <c r="N51" i="17"/>
  <c r="N52" i="17"/>
  <c r="N53" i="17"/>
  <c r="N54" i="17"/>
  <c r="N55" i="17"/>
  <c r="N56" i="17"/>
  <c r="N57" i="17"/>
  <c r="N58" i="17"/>
  <c r="N59" i="17"/>
  <c r="N60"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Q5" i="17"/>
  <c r="Q6" i="17"/>
  <c r="Q7" i="17"/>
  <c r="Q8" i="17"/>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36" i="17"/>
  <c r="Q37" i="17"/>
  <c r="Q38" i="17"/>
  <c r="Q39" i="17"/>
  <c r="Q40" i="17"/>
  <c r="Q41" i="17"/>
  <c r="Q42" i="17"/>
  <c r="Q43" i="17"/>
  <c r="Q44" i="17"/>
  <c r="Q45" i="17"/>
  <c r="Q46" i="17"/>
  <c r="Q47" i="17"/>
  <c r="Q48" i="17"/>
  <c r="Q49" i="17"/>
  <c r="Q50" i="17"/>
  <c r="Q51" i="17"/>
  <c r="Q52" i="17"/>
  <c r="Q53" i="17"/>
  <c r="Q54" i="17"/>
  <c r="Q55" i="17"/>
  <c r="Q56" i="17"/>
  <c r="Q57" i="17"/>
  <c r="Q58" i="17"/>
  <c r="Q59" i="17"/>
  <c r="Q60" i="17"/>
  <c r="R5" i="17"/>
  <c r="R6" i="17"/>
  <c r="R7" i="17"/>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U5" i="17"/>
  <c r="U6" i="17"/>
  <c r="U7" i="17"/>
  <c r="U8" i="17"/>
  <c r="U9" i="17"/>
  <c r="U10" i="17"/>
  <c r="U11" i="17"/>
  <c r="U12" i="17"/>
  <c r="U13" i="17"/>
  <c r="U14" i="17"/>
  <c r="U15" i="17"/>
  <c r="U16" i="17"/>
  <c r="U17" i="17"/>
  <c r="U18" i="17"/>
  <c r="U19" i="17"/>
  <c r="U20" i="17"/>
  <c r="U21" i="17"/>
  <c r="U22" i="17"/>
  <c r="U23" i="17"/>
  <c r="U24" i="17"/>
  <c r="U25" i="17"/>
  <c r="U26" i="17"/>
  <c r="U27" i="17"/>
  <c r="U28" i="17"/>
  <c r="U29" i="17"/>
  <c r="U30" i="17"/>
  <c r="U31" i="17"/>
  <c r="U32" i="17"/>
  <c r="U33" i="17"/>
  <c r="U34" i="17"/>
  <c r="U35" i="17"/>
  <c r="U36" i="17"/>
  <c r="U37" i="17"/>
  <c r="U38" i="17"/>
  <c r="U39" i="17"/>
  <c r="U40" i="17"/>
  <c r="U41" i="17"/>
  <c r="U42" i="17"/>
  <c r="U43" i="17"/>
  <c r="U44" i="17"/>
  <c r="U45" i="17"/>
  <c r="U46" i="17"/>
  <c r="U47" i="17"/>
  <c r="U48" i="17"/>
  <c r="U49" i="17"/>
  <c r="U50" i="17"/>
  <c r="U51" i="17"/>
  <c r="U52" i="17"/>
  <c r="U53" i="17"/>
  <c r="U54" i="17"/>
  <c r="U55" i="17"/>
  <c r="U56" i="17"/>
  <c r="U57" i="17"/>
  <c r="U58" i="17"/>
  <c r="U59" i="17"/>
  <c r="U60" i="17"/>
  <c r="V5" i="17"/>
  <c r="V6" i="17"/>
  <c r="V7" i="17"/>
  <c r="V8" i="17"/>
  <c r="V9" i="17"/>
  <c r="V10" i="17"/>
  <c r="V11" i="17"/>
  <c r="V12" i="17"/>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W5" i="17"/>
  <c r="W6" i="17"/>
  <c r="W7" i="17"/>
  <c r="W8" i="17"/>
  <c r="W9" i="17"/>
  <c r="W10" i="17"/>
  <c r="W11" i="17"/>
  <c r="W12" i="17"/>
  <c r="W13" i="17"/>
  <c r="W14" i="17"/>
  <c r="W15" i="17"/>
  <c r="W16" i="17"/>
  <c r="W17" i="17"/>
  <c r="W18" i="17"/>
  <c r="W19" i="17"/>
  <c r="W20" i="17"/>
  <c r="W21" i="17"/>
  <c r="W22" i="17"/>
  <c r="W23" i="17"/>
  <c r="W24" i="17"/>
  <c r="W25" i="17"/>
  <c r="W26" i="17"/>
  <c r="W27" i="17"/>
  <c r="W28" i="17"/>
  <c r="W29" i="17"/>
  <c r="W30" i="17"/>
  <c r="W31" i="17"/>
  <c r="W32" i="17"/>
  <c r="W33" i="17"/>
  <c r="W34" i="17"/>
  <c r="W35" i="17"/>
  <c r="W36" i="17"/>
  <c r="W37" i="17"/>
  <c r="W38" i="17"/>
  <c r="W39" i="17"/>
  <c r="W40" i="17"/>
  <c r="W41" i="17"/>
  <c r="W42" i="17"/>
  <c r="W43" i="17"/>
  <c r="W44" i="17"/>
  <c r="W45" i="17"/>
  <c r="W46" i="17"/>
  <c r="W47" i="17"/>
  <c r="W48" i="17"/>
  <c r="W49" i="17"/>
  <c r="W50" i="17"/>
  <c r="W51" i="17"/>
  <c r="W52" i="17"/>
  <c r="W53" i="17"/>
  <c r="W54" i="17"/>
  <c r="W55" i="17"/>
  <c r="W56" i="17"/>
  <c r="W57" i="17"/>
  <c r="W58" i="17"/>
  <c r="W59" i="17"/>
  <c r="W60" i="17"/>
  <c r="X5" i="17"/>
  <c r="X6"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Y5" i="17"/>
  <c r="Y6" i="17"/>
  <c r="Y7" i="17"/>
  <c r="Y8" i="17"/>
  <c r="Y9" i="17"/>
  <c r="Y10" i="17"/>
  <c r="Y11" i="17"/>
  <c r="Y12" i="17"/>
  <c r="Y13" i="17"/>
  <c r="Y14" i="17"/>
  <c r="Y15" i="17"/>
  <c r="Y16" i="17"/>
  <c r="Y17" i="17"/>
  <c r="Y18" i="17"/>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Z5" i="17"/>
  <c r="Z6"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60" i="17"/>
  <c r="D58" i="17"/>
  <c r="D59" i="17"/>
  <c r="O4" i="17"/>
  <c r="P4" i="17"/>
  <c r="Q4" i="17"/>
  <c r="R4" i="17"/>
  <c r="S4" i="17"/>
  <c r="T4" i="17"/>
  <c r="U4" i="17"/>
  <c r="V4" i="17"/>
  <c r="W4" i="17"/>
  <c r="X4" i="17"/>
  <c r="Y4" i="17"/>
  <c r="Z4" i="17"/>
  <c r="G4" i="17"/>
  <c r="H4" i="17"/>
  <c r="I4" i="17"/>
  <c r="J4" i="17"/>
  <c r="K4" i="17"/>
  <c r="L4" i="17"/>
  <c r="M4" i="17"/>
  <c r="N4" i="17"/>
  <c r="D4" i="17"/>
  <c r="E4" i="17"/>
  <c r="F4" i="17"/>
  <c r="C4" i="17"/>
  <c r="H35" i="13" l="1"/>
  <c r="C35" i="13"/>
  <c r="BP35" i="13"/>
  <c r="BN35" i="13"/>
  <c r="H35" i="12"/>
  <c r="C35" i="12"/>
  <c r="BL35" i="12"/>
  <c r="BJ35" i="12"/>
  <c r="H36" i="11"/>
  <c r="C36" i="11"/>
  <c r="BL36" i="11"/>
  <c r="BJ36" i="11"/>
  <c r="C34" i="8"/>
  <c r="EA34" i="8"/>
  <c r="EC34" i="8" s="1"/>
  <c r="C63" i="11"/>
  <c r="F63" i="11" s="1"/>
  <c r="BL63" i="11"/>
  <c r="BJ63" i="11"/>
  <c r="F56" i="11"/>
  <c r="BL56" i="11"/>
  <c r="BJ56" i="11"/>
  <c r="C57" i="11"/>
  <c r="F57" i="11" s="1"/>
  <c r="BL57" i="11"/>
  <c r="BJ57" i="11"/>
  <c r="C47" i="11"/>
  <c r="F47" i="11" s="1"/>
  <c r="BL47" i="11"/>
  <c r="BJ47" i="11"/>
  <c r="F48" i="11"/>
  <c r="BL48" i="11"/>
  <c r="BJ48" i="11"/>
  <c r="C46" i="12"/>
  <c r="F46" i="12" s="1"/>
  <c r="BL46" i="12"/>
  <c r="BJ46" i="12"/>
  <c r="F47" i="12"/>
  <c r="BL47" i="12"/>
  <c r="BJ47" i="12"/>
  <c r="C56" i="12"/>
  <c r="F56" i="12" s="1"/>
  <c r="BL56" i="12"/>
  <c r="BJ56" i="12"/>
  <c r="C57" i="12"/>
  <c r="F57" i="12" s="1"/>
  <c r="BL57" i="12"/>
  <c r="BJ57" i="12"/>
  <c r="C62" i="12"/>
  <c r="F62" i="12" s="1"/>
  <c r="BL62" i="12"/>
  <c r="BJ62" i="12"/>
  <c r="F62" i="13"/>
  <c r="BP62" i="13"/>
  <c r="BN62" i="13"/>
  <c r="F55" i="13"/>
  <c r="BP55" i="13"/>
  <c r="BN55" i="13"/>
  <c r="C56" i="13"/>
  <c r="F56" i="13" s="1"/>
  <c r="BP56" i="13"/>
  <c r="BN56" i="13"/>
  <c r="C46" i="13"/>
  <c r="F46" i="13" s="1"/>
  <c r="BP46" i="13"/>
  <c r="BN46" i="13"/>
  <c r="F47" i="13"/>
  <c r="BP47" i="13"/>
  <c r="BN47" i="13"/>
  <c r="F130" i="8"/>
  <c r="EA130" i="8"/>
  <c r="EC130" i="8" s="1"/>
  <c r="C131" i="8"/>
  <c r="F131" i="8" s="1"/>
  <c r="EA131" i="8"/>
  <c r="EC131" i="8" s="1"/>
  <c r="C132" i="8"/>
  <c r="F132" i="8" s="1"/>
  <c r="EA132" i="8"/>
  <c r="EC132" i="8" s="1"/>
  <c r="C59" i="8"/>
  <c r="F59" i="8" s="1"/>
  <c r="EA59" i="8"/>
  <c r="EC59" i="8" s="1"/>
  <c r="F56" i="8"/>
  <c r="EA56" i="8"/>
  <c r="EC56" i="8" s="1"/>
  <c r="F48" i="8"/>
  <c r="EA48" i="8"/>
  <c r="EC48" i="8" s="1"/>
  <c r="F45" i="8"/>
  <c r="EA45" i="8"/>
  <c r="EB45" i="8" s="1"/>
  <c r="F172" i="13"/>
  <c r="BP172" i="13"/>
  <c r="BN172" i="13"/>
  <c r="C174" i="13"/>
  <c r="F174" i="13" s="1"/>
  <c r="BP174" i="13"/>
  <c r="BN174" i="13"/>
  <c r="BO174" i="13" s="1"/>
  <c r="C177" i="13"/>
  <c r="F177" i="13" s="1"/>
  <c r="BP177" i="13"/>
  <c r="BN177" i="13"/>
  <c r="C161" i="13"/>
  <c r="F161" i="13" s="1"/>
  <c r="BP161" i="13"/>
  <c r="BN161" i="13"/>
  <c r="BO161" i="13" s="1"/>
  <c r="F160" i="13"/>
  <c r="BP160" i="13"/>
  <c r="BN160" i="13"/>
  <c r="C165" i="13"/>
  <c r="F165" i="13" s="1"/>
  <c r="BP165" i="13"/>
  <c r="BN165" i="13"/>
  <c r="C163" i="12"/>
  <c r="F163" i="12" s="1"/>
  <c r="BL163" i="12"/>
  <c r="BJ163" i="12"/>
  <c r="C161" i="12"/>
  <c r="F161" i="12" s="1"/>
  <c r="BL161" i="12"/>
  <c r="BJ161" i="12"/>
  <c r="C165" i="12"/>
  <c r="F165" i="12" s="1"/>
  <c r="BL165" i="12"/>
  <c r="BJ165" i="12"/>
  <c r="C174" i="12"/>
  <c r="F174" i="12" s="1"/>
  <c r="BL174" i="12"/>
  <c r="BJ174" i="12"/>
  <c r="BK174" i="12" s="1"/>
  <c r="F172" i="12"/>
  <c r="BL172" i="12"/>
  <c r="BJ172" i="12"/>
  <c r="C177" i="12"/>
  <c r="F177" i="12" s="1"/>
  <c r="BL177" i="12"/>
  <c r="BJ177" i="12"/>
  <c r="BK177" i="12" s="1"/>
  <c r="C178" i="11"/>
  <c r="F178" i="11" s="1"/>
  <c r="BL178" i="11"/>
  <c r="BJ178" i="11"/>
  <c r="BK178" i="11" s="1"/>
  <c r="C175" i="11"/>
  <c r="F175" i="11" s="1"/>
  <c r="BL175" i="11"/>
  <c r="BJ175" i="11"/>
  <c r="F173" i="11"/>
  <c r="BL173" i="11"/>
  <c r="BJ173" i="11"/>
  <c r="C166" i="11"/>
  <c r="F166" i="11" s="1"/>
  <c r="BL166" i="11"/>
  <c r="BJ166" i="11"/>
  <c r="C163" i="11"/>
  <c r="F163" i="11" s="1"/>
  <c r="BL163" i="11"/>
  <c r="BJ163" i="11"/>
  <c r="BK163" i="11" s="1"/>
  <c r="F161" i="11"/>
  <c r="BL161" i="11"/>
  <c r="BJ161" i="11"/>
  <c r="BK161" i="11" s="1"/>
  <c r="C187" i="8"/>
  <c r="F187" i="8" s="1"/>
  <c r="EA187" i="8"/>
  <c r="EB187" i="8" s="1"/>
  <c r="F183" i="8"/>
  <c r="EA183" i="8"/>
  <c r="EB183" i="8" s="1"/>
  <c r="C175" i="8"/>
  <c r="F175" i="8" s="1"/>
  <c r="EA175" i="8"/>
  <c r="EB175" i="8" s="1"/>
  <c r="F171" i="8"/>
  <c r="EA171" i="8"/>
  <c r="EB171" i="8" s="1"/>
  <c r="H12" i="13"/>
  <c r="H13" i="13" s="1"/>
  <c r="H14" i="13" s="1"/>
  <c r="H15" i="13" s="1"/>
  <c r="H16" i="13" s="1"/>
  <c r="H17" i="13" s="1"/>
  <c r="H18" i="13" s="1"/>
  <c r="H19" i="13" s="1"/>
  <c r="H20" i="13" s="1"/>
  <c r="H21" i="13" s="1"/>
  <c r="EC171" i="8" l="1"/>
  <c r="ED171" i="8" s="1"/>
  <c r="EC45" i="8"/>
  <c r="ED45" i="8" s="1"/>
  <c r="EC183" i="8"/>
  <c r="ED183" i="8" s="1"/>
  <c r="EC187" i="8"/>
  <c r="ED187" i="8" s="1"/>
  <c r="EC175" i="8"/>
  <c r="ED175" i="8" s="1"/>
  <c r="BO35" i="13"/>
  <c r="BQ35" i="13" s="1"/>
  <c r="BK35" i="12"/>
  <c r="BM35" i="12" s="1"/>
  <c r="BK36" i="11"/>
  <c r="BM36" i="11" s="1"/>
  <c r="EB34" i="8"/>
  <c r="ED34" i="8" s="1"/>
  <c r="BK63" i="11"/>
  <c r="BM63" i="11" s="1"/>
  <c r="BK56" i="11"/>
  <c r="BM56" i="11" s="1"/>
  <c r="BK57" i="11"/>
  <c r="BM57" i="11" s="1"/>
  <c r="BK47" i="11"/>
  <c r="BM47" i="11" s="1"/>
  <c r="BK48" i="11"/>
  <c r="BM48" i="11" s="1"/>
  <c r="BK46" i="12"/>
  <c r="BM46" i="12" s="1"/>
  <c r="BK47" i="12"/>
  <c r="BM47" i="12" s="1"/>
  <c r="BK56" i="12"/>
  <c r="BM56" i="12" s="1"/>
  <c r="BK57" i="12"/>
  <c r="BM57" i="12" s="1"/>
  <c r="BK62" i="12"/>
  <c r="BM62" i="12" s="1"/>
  <c r="BO62" i="13"/>
  <c r="BQ62" i="13" s="1"/>
  <c r="BO55" i="13"/>
  <c r="BQ55" i="13" s="1"/>
  <c r="BO56" i="13"/>
  <c r="BQ56" i="13" s="1"/>
  <c r="BO46" i="13"/>
  <c r="BQ46" i="13" s="1"/>
  <c r="BO47" i="13"/>
  <c r="BQ47" i="13" s="1"/>
  <c r="EB130" i="8"/>
  <c r="ED130" i="8" s="1"/>
  <c r="EB131" i="8"/>
  <c r="ED131" i="8" s="1"/>
  <c r="EB132" i="8"/>
  <c r="ED132" i="8" s="1"/>
  <c r="EB59" i="8"/>
  <c r="ED59" i="8" s="1"/>
  <c r="EB56" i="8"/>
  <c r="ED56" i="8" s="1"/>
  <c r="EB48" i="8"/>
  <c r="ED48" i="8" s="1"/>
  <c r="BO172" i="13"/>
  <c r="BQ172" i="13" s="1"/>
  <c r="BQ174" i="13"/>
  <c r="BO177" i="13"/>
  <c r="BQ177" i="13" s="1"/>
  <c r="BQ161" i="13"/>
  <c r="BO160" i="13"/>
  <c r="BQ160" i="13" s="1"/>
  <c r="BO165" i="13"/>
  <c r="BQ165" i="13" s="1"/>
  <c r="BK163" i="12"/>
  <c r="BM163" i="12" s="1"/>
  <c r="BK161" i="12"/>
  <c r="BM161" i="12" s="1"/>
  <c r="BK165" i="12"/>
  <c r="BM165" i="12" s="1"/>
  <c r="BM174" i="12"/>
  <c r="BK172" i="12"/>
  <c r="BM172" i="12" s="1"/>
  <c r="BM177" i="12"/>
  <c r="BM178" i="11"/>
  <c r="BK175" i="11"/>
  <c r="BM175" i="11" s="1"/>
  <c r="BK173" i="11"/>
  <c r="BM173" i="11" s="1"/>
  <c r="BK166" i="11"/>
  <c r="BM166" i="11" s="1"/>
  <c r="BM163" i="11"/>
  <c r="BM161" i="11"/>
  <c r="EA16" i="8" l="1"/>
  <c r="EC16" i="8" s="1"/>
  <c r="EB16" i="8" l="1"/>
  <c r="ED16" i="8" s="1"/>
  <c r="F148" i="8" l="1"/>
  <c r="EA148" i="8"/>
  <c r="EC148" i="8" s="1"/>
  <c r="EB148" i="8" l="1"/>
  <c r="ED148" i="8" s="1"/>
  <c r="F158" i="8" l="1"/>
  <c r="EA158" i="8"/>
  <c r="EC158" i="8" s="1"/>
  <c r="F146" i="8"/>
  <c r="EA146" i="8"/>
  <c r="EC146" i="8" s="1"/>
  <c r="F147" i="13"/>
  <c r="BP147" i="13"/>
  <c r="BN147" i="13"/>
  <c r="F135" i="13"/>
  <c r="BP135" i="13"/>
  <c r="BN135" i="13"/>
  <c r="F104" i="13"/>
  <c r="BP104" i="13"/>
  <c r="BN104" i="13"/>
  <c r="F115" i="13"/>
  <c r="BP115" i="13"/>
  <c r="BN115" i="13"/>
  <c r="F104" i="12"/>
  <c r="BL104" i="12"/>
  <c r="BJ104" i="12"/>
  <c r="F115" i="12"/>
  <c r="BL115" i="12"/>
  <c r="BJ115" i="12"/>
  <c r="F147" i="12"/>
  <c r="BL147" i="12"/>
  <c r="BJ147" i="12"/>
  <c r="BK147" i="12" s="1"/>
  <c r="F135" i="12"/>
  <c r="BL135" i="12"/>
  <c r="BJ135" i="12"/>
  <c r="BK135" i="12" s="1"/>
  <c r="F116" i="11"/>
  <c r="BL116" i="11"/>
  <c r="BJ116" i="11"/>
  <c r="BK116" i="11" s="1"/>
  <c r="F105" i="11"/>
  <c r="BL105" i="11"/>
  <c r="BJ105" i="11"/>
  <c r="F148" i="11"/>
  <c r="BL148" i="11"/>
  <c r="BJ148" i="11"/>
  <c r="F136" i="11"/>
  <c r="BL136" i="11"/>
  <c r="BJ136" i="11"/>
  <c r="F125" i="8"/>
  <c r="EA125" i="8"/>
  <c r="EC125" i="8" s="1"/>
  <c r="F114" i="8"/>
  <c r="EA114" i="8"/>
  <c r="EC114" i="8" s="1"/>
  <c r="C57" i="13"/>
  <c r="F57" i="13" s="1"/>
  <c r="BP57" i="13"/>
  <c r="BN57" i="13"/>
  <c r="H54" i="13"/>
  <c r="H55" i="13" s="1"/>
  <c r="F54" i="13"/>
  <c r="BP54" i="13"/>
  <c r="BN54" i="13"/>
  <c r="BO54" i="13" s="1"/>
  <c r="B1" i="25"/>
  <c r="F169" i="8"/>
  <c r="EA169" i="8"/>
  <c r="EC169" i="8" s="1"/>
  <c r="F181" i="8"/>
  <c r="EA181" i="8"/>
  <c r="EB181" i="8" s="1"/>
  <c r="B1" i="24"/>
  <c r="EC181" i="8" l="1"/>
  <c r="ED181" i="8" s="1"/>
  <c r="H57" i="13"/>
  <c r="H56" i="13"/>
  <c r="EB158" i="8"/>
  <c r="ED158" i="8" s="1"/>
  <c r="EB146" i="8"/>
  <c r="ED146" i="8" s="1"/>
  <c r="BO147" i="13"/>
  <c r="BQ147" i="13" s="1"/>
  <c r="BO135" i="13"/>
  <c r="BQ135" i="13" s="1"/>
  <c r="BO104" i="13"/>
  <c r="BQ104" i="13" s="1"/>
  <c r="BO115" i="13"/>
  <c r="BQ115" i="13" s="1"/>
  <c r="BK104" i="12"/>
  <c r="BM104" i="12" s="1"/>
  <c r="BK115" i="12"/>
  <c r="BM115" i="12" s="1"/>
  <c r="BM147" i="12"/>
  <c r="BM135" i="12"/>
  <c r="BM116" i="11"/>
  <c r="BK105" i="11"/>
  <c r="BM105" i="11" s="1"/>
  <c r="BK148" i="11"/>
  <c r="BM148" i="11" s="1"/>
  <c r="BK136" i="11"/>
  <c r="BM136" i="11" s="1"/>
  <c r="EB125" i="8"/>
  <c r="ED125" i="8" s="1"/>
  <c r="EB114" i="8"/>
  <c r="ED114" i="8" s="1"/>
  <c r="BO57" i="13"/>
  <c r="BQ57" i="13" s="1"/>
  <c r="BQ54" i="13"/>
  <c r="EB169" i="8"/>
  <c r="ED169" i="8" s="1"/>
  <c r="K2" i="23"/>
  <c r="K1" i="23"/>
  <c r="A1" i="23"/>
  <c r="F100" i="13"/>
  <c r="BP100" i="13"/>
  <c r="BN100" i="13"/>
  <c r="BO100" i="13" s="1"/>
  <c r="F99" i="13"/>
  <c r="BP99" i="13"/>
  <c r="BN99" i="13"/>
  <c r="C98" i="13"/>
  <c r="F98" i="13" s="1"/>
  <c r="BP98" i="13"/>
  <c r="BN98" i="13"/>
  <c r="BO98" i="13" s="1"/>
  <c r="C97" i="13"/>
  <c r="F97" i="13" s="1"/>
  <c r="BP97" i="13"/>
  <c r="BN97" i="13"/>
  <c r="C96" i="13"/>
  <c r="F96" i="13" s="1"/>
  <c r="BP96" i="13"/>
  <c r="BN96" i="13"/>
  <c r="BO96" i="13" s="1"/>
  <c r="C95" i="13"/>
  <c r="F95" i="13" s="1"/>
  <c r="BP95" i="13"/>
  <c r="BN95" i="13"/>
  <c r="BO95" i="13" s="1"/>
  <c r="F92" i="13"/>
  <c r="BP92" i="13"/>
  <c r="BN92" i="13"/>
  <c r="F91" i="13"/>
  <c r="BP91" i="13"/>
  <c r="BN91" i="13"/>
  <c r="BO91" i="13" s="1"/>
  <c r="C90" i="13"/>
  <c r="F90" i="13" s="1"/>
  <c r="BP90" i="13"/>
  <c r="BN90" i="13"/>
  <c r="C89" i="13"/>
  <c r="F89" i="13" s="1"/>
  <c r="BP89" i="13"/>
  <c r="BN89" i="13"/>
  <c r="BO89" i="13" s="1"/>
  <c r="C88" i="13"/>
  <c r="F88" i="13" s="1"/>
  <c r="BP88" i="13"/>
  <c r="BN88" i="13"/>
  <c r="BO88" i="13" s="1"/>
  <c r="C87" i="13"/>
  <c r="F87" i="13" s="1"/>
  <c r="BP87" i="13"/>
  <c r="BN87" i="13"/>
  <c r="BO87" i="13" s="1"/>
  <c r="F84" i="13"/>
  <c r="BP84" i="13"/>
  <c r="BN84" i="13"/>
  <c r="F83" i="13"/>
  <c r="BP83" i="13"/>
  <c r="BN83" i="13"/>
  <c r="C82" i="13"/>
  <c r="F82" i="13" s="1"/>
  <c r="BP82" i="13"/>
  <c r="BN82" i="13"/>
  <c r="C81" i="13"/>
  <c r="F81" i="13" s="1"/>
  <c r="BP81" i="13"/>
  <c r="BN81" i="13"/>
  <c r="BO81" i="13" s="1"/>
  <c r="C80" i="13"/>
  <c r="F80" i="13" s="1"/>
  <c r="BP80" i="13"/>
  <c r="BN80" i="13"/>
  <c r="C79" i="13"/>
  <c r="F79" i="13" s="1"/>
  <c r="BP79" i="13"/>
  <c r="BN79" i="13"/>
  <c r="F76" i="13"/>
  <c r="BP76" i="13"/>
  <c r="BN76" i="13"/>
  <c r="F75" i="13"/>
  <c r="BP75" i="13"/>
  <c r="BN75" i="13"/>
  <c r="C74" i="13"/>
  <c r="F74" i="13" s="1"/>
  <c r="BP74" i="13"/>
  <c r="BN74" i="13"/>
  <c r="C73" i="13"/>
  <c r="F73" i="13" s="1"/>
  <c r="BP73" i="13"/>
  <c r="BN73" i="13"/>
  <c r="C72" i="13"/>
  <c r="F72" i="13" s="1"/>
  <c r="BP72" i="13"/>
  <c r="BN72" i="13"/>
  <c r="C71" i="13"/>
  <c r="F71" i="13" s="1"/>
  <c r="BP71" i="13"/>
  <c r="BN71" i="13"/>
  <c r="BO71" i="13" s="1"/>
  <c r="H78" i="13"/>
  <c r="H79" i="13" s="1"/>
  <c r="H80" i="13" s="1"/>
  <c r="H81" i="13" s="1"/>
  <c r="H82" i="13" s="1"/>
  <c r="H83" i="13" s="1"/>
  <c r="H84" i="13" s="1"/>
  <c r="C78" i="13"/>
  <c r="F78" i="13" s="1"/>
  <c r="BP78" i="13"/>
  <c r="BN78" i="13"/>
  <c r="H86" i="13"/>
  <c r="H87" i="13" s="1"/>
  <c r="H88" i="13" s="1"/>
  <c r="H89" i="13" s="1"/>
  <c r="H90" i="13" s="1"/>
  <c r="H91" i="13" s="1"/>
  <c r="H92" i="13" s="1"/>
  <c r="C86" i="13"/>
  <c r="F86" i="13" s="1"/>
  <c r="BP86" i="13"/>
  <c r="BN86" i="13"/>
  <c r="H94" i="13"/>
  <c r="H95" i="13" s="1"/>
  <c r="H96" i="13" s="1"/>
  <c r="H97" i="13" s="1"/>
  <c r="H98" i="13" s="1"/>
  <c r="H99" i="13" s="1"/>
  <c r="H100" i="13" s="1"/>
  <c r="C94" i="13"/>
  <c r="F94" i="13" s="1"/>
  <c r="BP94" i="13"/>
  <c r="BN94" i="13"/>
  <c r="H70" i="13"/>
  <c r="H71" i="13" s="1"/>
  <c r="H72" i="13" s="1"/>
  <c r="H73" i="13" s="1"/>
  <c r="H74" i="13" s="1"/>
  <c r="H75" i="13" s="1"/>
  <c r="H76" i="13" s="1"/>
  <c r="C70" i="13"/>
  <c r="F70" i="13" s="1"/>
  <c r="BP70" i="13"/>
  <c r="BN70" i="13"/>
  <c r="BO70" i="13" s="1"/>
  <c r="F100" i="12"/>
  <c r="BL100" i="12"/>
  <c r="BJ100" i="12"/>
  <c r="BK100" i="12" s="1"/>
  <c r="F99" i="12"/>
  <c r="BL99" i="12"/>
  <c r="BJ99" i="12"/>
  <c r="C98" i="12"/>
  <c r="F98" i="12" s="1"/>
  <c r="BL98" i="12"/>
  <c r="BJ98" i="12"/>
  <c r="BK98" i="12" s="1"/>
  <c r="C97" i="12"/>
  <c r="F97" i="12" s="1"/>
  <c r="BL97" i="12"/>
  <c r="BJ97" i="12"/>
  <c r="BK97" i="12" s="1"/>
  <c r="C96" i="12"/>
  <c r="F96" i="12" s="1"/>
  <c r="BL96" i="12"/>
  <c r="BJ96" i="12"/>
  <c r="C95" i="12"/>
  <c r="F95" i="12" s="1"/>
  <c r="BL95" i="12"/>
  <c r="BJ95" i="12"/>
  <c r="BK95" i="12" s="1"/>
  <c r="H94" i="12"/>
  <c r="H95" i="12" s="1"/>
  <c r="H96" i="12" s="1"/>
  <c r="H97" i="12" s="1"/>
  <c r="H98" i="12" s="1"/>
  <c r="H99" i="12" s="1"/>
  <c r="H100" i="12" s="1"/>
  <c r="C94" i="12"/>
  <c r="F94" i="12" s="1"/>
  <c r="BL94" i="12"/>
  <c r="BJ94" i="12"/>
  <c r="F92" i="12"/>
  <c r="BL92" i="12"/>
  <c r="BJ92" i="12"/>
  <c r="F91" i="12"/>
  <c r="BL91" i="12"/>
  <c r="BJ91" i="12"/>
  <c r="C90" i="12"/>
  <c r="F90" i="12" s="1"/>
  <c r="BL90" i="12"/>
  <c r="BJ90" i="12"/>
  <c r="C89" i="12"/>
  <c r="F89" i="12" s="1"/>
  <c r="BL89" i="12"/>
  <c r="BJ89" i="12"/>
  <c r="C88" i="12"/>
  <c r="F88" i="12" s="1"/>
  <c r="BL88" i="12"/>
  <c r="BJ88" i="12"/>
  <c r="C87" i="12"/>
  <c r="F87" i="12" s="1"/>
  <c r="BL87" i="12"/>
  <c r="BJ87" i="12"/>
  <c r="F84" i="12"/>
  <c r="BL84" i="12"/>
  <c r="BJ84" i="12"/>
  <c r="F83" i="12"/>
  <c r="BL83" i="12"/>
  <c r="BJ83" i="12"/>
  <c r="C82" i="12"/>
  <c r="F82" i="12" s="1"/>
  <c r="BL82" i="12"/>
  <c r="BJ82" i="12"/>
  <c r="C81" i="12"/>
  <c r="F81" i="12" s="1"/>
  <c r="BL81" i="12"/>
  <c r="BJ81" i="12"/>
  <c r="C80" i="12"/>
  <c r="F80" i="12" s="1"/>
  <c r="BL80" i="12"/>
  <c r="BJ80" i="12"/>
  <c r="BK80" i="12" s="1"/>
  <c r="C79" i="12"/>
  <c r="F79" i="12" s="1"/>
  <c r="BL79" i="12"/>
  <c r="BJ79" i="12"/>
  <c r="F76" i="12"/>
  <c r="BL76" i="12"/>
  <c r="BJ76" i="12"/>
  <c r="F75" i="12"/>
  <c r="BL75" i="12"/>
  <c r="BJ75" i="12"/>
  <c r="C74" i="12"/>
  <c r="F74" i="12" s="1"/>
  <c r="BL74" i="12"/>
  <c r="BJ74" i="12"/>
  <c r="BK74" i="12" s="1"/>
  <c r="C73" i="12"/>
  <c r="F73" i="12" s="1"/>
  <c r="BL73" i="12"/>
  <c r="BJ73" i="12"/>
  <c r="BK73" i="12" s="1"/>
  <c r="C72" i="12"/>
  <c r="F72" i="12" s="1"/>
  <c r="BL72" i="12"/>
  <c r="BJ72" i="12"/>
  <c r="C71" i="12"/>
  <c r="F71" i="12" s="1"/>
  <c r="BL71" i="12"/>
  <c r="BJ71" i="12"/>
  <c r="H86" i="12"/>
  <c r="H87" i="12" s="1"/>
  <c r="H88" i="12" s="1"/>
  <c r="H89" i="12" s="1"/>
  <c r="H90" i="12" s="1"/>
  <c r="H91" i="12" s="1"/>
  <c r="H92" i="12" s="1"/>
  <c r="C86" i="12"/>
  <c r="F86" i="12" s="1"/>
  <c r="BL86" i="12"/>
  <c r="BJ86" i="12"/>
  <c r="BK86" i="12" s="1"/>
  <c r="H78" i="12"/>
  <c r="H79" i="12" s="1"/>
  <c r="H80" i="12" s="1"/>
  <c r="H81" i="12" s="1"/>
  <c r="H82" i="12" s="1"/>
  <c r="H83" i="12" s="1"/>
  <c r="H84" i="12" s="1"/>
  <c r="C78" i="12"/>
  <c r="F78" i="12" s="1"/>
  <c r="BL78" i="12"/>
  <c r="BJ78" i="12"/>
  <c r="H70" i="12"/>
  <c r="H71" i="12" s="1"/>
  <c r="H72" i="12" s="1"/>
  <c r="H73" i="12" s="1"/>
  <c r="H74" i="12" s="1"/>
  <c r="H75" i="12" s="1"/>
  <c r="H76" i="12" s="1"/>
  <c r="C70" i="12"/>
  <c r="F70" i="12" s="1"/>
  <c r="BL70" i="12"/>
  <c r="BJ70" i="12"/>
  <c r="F101" i="11"/>
  <c r="BL101" i="11"/>
  <c r="BJ101" i="11"/>
  <c r="F100" i="11"/>
  <c r="BL100" i="11"/>
  <c r="BJ100" i="11"/>
  <c r="C99" i="11"/>
  <c r="F99" i="11" s="1"/>
  <c r="BL99" i="11"/>
  <c r="BJ99" i="11"/>
  <c r="BK99" i="11" s="1"/>
  <c r="C98" i="11"/>
  <c r="F98" i="11" s="1"/>
  <c r="BL98" i="11"/>
  <c r="BJ98" i="11"/>
  <c r="C97" i="11"/>
  <c r="F97" i="11" s="1"/>
  <c r="BL97" i="11"/>
  <c r="BJ97" i="11"/>
  <c r="BK97" i="11" s="1"/>
  <c r="C96" i="11"/>
  <c r="F96" i="11" s="1"/>
  <c r="BL96" i="11"/>
  <c r="BJ96" i="11"/>
  <c r="F93" i="11"/>
  <c r="BL93" i="11"/>
  <c r="BJ93" i="11"/>
  <c r="F92" i="11"/>
  <c r="BL92" i="11"/>
  <c r="BJ92" i="11"/>
  <c r="C91" i="11"/>
  <c r="F91" i="11" s="1"/>
  <c r="BL91" i="11"/>
  <c r="BJ91" i="11"/>
  <c r="C90" i="11"/>
  <c r="F90" i="11" s="1"/>
  <c r="BL90" i="11"/>
  <c r="BJ90" i="11"/>
  <c r="BK90" i="11" s="1"/>
  <c r="C89" i="11"/>
  <c r="F89" i="11" s="1"/>
  <c r="BL89" i="11"/>
  <c r="BJ89" i="11"/>
  <c r="BK89" i="11" s="1"/>
  <c r="C88" i="11"/>
  <c r="F88" i="11" s="1"/>
  <c r="BL88" i="11"/>
  <c r="BJ88" i="11"/>
  <c r="F85" i="11"/>
  <c r="BL85" i="11"/>
  <c r="BJ85" i="11"/>
  <c r="C83" i="11"/>
  <c r="F83" i="11" s="1"/>
  <c r="BL83" i="11"/>
  <c r="BJ83" i="11"/>
  <c r="C82" i="11"/>
  <c r="F82" i="11" s="1"/>
  <c r="BL82" i="11"/>
  <c r="BJ82" i="11"/>
  <c r="BK82" i="11" s="1"/>
  <c r="C81" i="11"/>
  <c r="F81" i="11" s="1"/>
  <c r="BL81" i="11"/>
  <c r="BJ81" i="11"/>
  <c r="C80" i="11"/>
  <c r="F80" i="11" s="1"/>
  <c r="BL80" i="11"/>
  <c r="BJ80" i="11"/>
  <c r="BK80" i="11" s="1"/>
  <c r="F84" i="11"/>
  <c r="BL84" i="11"/>
  <c r="BJ84" i="11"/>
  <c r="H87" i="11"/>
  <c r="H88" i="11" s="1"/>
  <c r="H89" i="11" s="1"/>
  <c r="H90" i="11" s="1"/>
  <c r="H91" i="11" s="1"/>
  <c r="H92" i="11" s="1"/>
  <c r="H93" i="11" s="1"/>
  <c r="C87" i="11"/>
  <c r="F87" i="11" s="1"/>
  <c r="BL87" i="11"/>
  <c r="BJ87" i="11"/>
  <c r="BK87" i="11" s="1"/>
  <c r="H95" i="11"/>
  <c r="H96" i="11" s="1"/>
  <c r="H97" i="11" s="1"/>
  <c r="H98" i="11" s="1"/>
  <c r="H99" i="11" s="1"/>
  <c r="H100" i="11" s="1"/>
  <c r="H101" i="11" s="1"/>
  <c r="C95" i="11"/>
  <c r="F95" i="11" s="1"/>
  <c r="BL95" i="11"/>
  <c r="BJ95" i="11"/>
  <c r="BK95" i="11" s="1"/>
  <c r="H79" i="11"/>
  <c r="H84" i="11" s="1"/>
  <c r="H85" i="11" s="1"/>
  <c r="C79" i="11"/>
  <c r="F79" i="11" s="1"/>
  <c r="BL79" i="11"/>
  <c r="BJ79" i="11"/>
  <c r="F77" i="11"/>
  <c r="BL77" i="11"/>
  <c r="BJ77" i="11"/>
  <c r="BK77" i="11" s="1"/>
  <c r="F76" i="11"/>
  <c r="BL76" i="11"/>
  <c r="BJ76" i="11"/>
  <c r="BK76" i="11" s="1"/>
  <c r="C75" i="11"/>
  <c r="F75" i="11" s="1"/>
  <c r="BL75" i="11"/>
  <c r="BJ75" i="11"/>
  <c r="BK75" i="11" s="1"/>
  <c r="C74" i="11"/>
  <c r="F74" i="11" s="1"/>
  <c r="BL74" i="11"/>
  <c r="BJ74" i="11"/>
  <c r="BK74" i="11" s="1"/>
  <c r="C73" i="11"/>
  <c r="F73" i="11" s="1"/>
  <c r="BL73" i="11"/>
  <c r="BJ73" i="11"/>
  <c r="C72" i="11"/>
  <c r="F72" i="11" s="1"/>
  <c r="BL72" i="11"/>
  <c r="BJ72" i="11"/>
  <c r="H71" i="11"/>
  <c r="H72" i="11" s="1"/>
  <c r="H73" i="11" s="1"/>
  <c r="H74" i="11" s="1"/>
  <c r="H75" i="11" s="1"/>
  <c r="H76" i="11" s="1"/>
  <c r="H77" i="11" s="1"/>
  <c r="C71" i="11"/>
  <c r="F71" i="11" s="1"/>
  <c r="BL71" i="11"/>
  <c r="BJ71" i="11"/>
  <c r="F110" i="8"/>
  <c r="EA110" i="8"/>
  <c r="EB110" i="8" s="1"/>
  <c r="F109" i="8"/>
  <c r="EA109" i="8"/>
  <c r="EB109" i="8" s="1"/>
  <c r="C108" i="8"/>
  <c r="F108" i="8" s="1"/>
  <c r="EA108" i="8"/>
  <c r="EC108" i="8" s="1"/>
  <c r="C107" i="8"/>
  <c r="F107" i="8" s="1"/>
  <c r="EA107" i="8"/>
  <c r="EC107" i="8" s="1"/>
  <c r="C106" i="8"/>
  <c r="F106" i="8" s="1"/>
  <c r="EA106" i="8"/>
  <c r="EC106" i="8" s="1"/>
  <c r="C105" i="8"/>
  <c r="F105" i="8" s="1"/>
  <c r="EA105" i="8"/>
  <c r="EB105" i="8" s="1"/>
  <c r="H104" i="8"/>
  <c r="H105" i="8" s="1"/>
  <c r="H106" i="8" s="1"/>
  <c r="H107" i="8" s="1"/>
  <c r="H108" i="8" s="1"/>
  <c r="H109" i="8" s="1"/>
  <c r="H110" i="8" s="1"/>
  <c r="C104" i="8"/>
  <c r="F104" i="8" s="1"/>
  <c r="EA104" i="8"/>
  <c r="EC104" i="8" s="1"/>
  <c r="F102" i="8"/>
  <c r="EA102" i="8"/>
  <c r="EB102" i="8" s="1"/>
  <c r="F101" i="8"/>
  <c r="EA101" i="8"/>
  <c r="EC101" i="8" s="1"/>
  <c r="C100" i="8"/>
  <c r="F100" i="8" s="1"/>
  <c r="EA100" i="8"/>
  <c r="EC100" i="8" s="1"/>
  <c r="C99" i="8"/>
  <c r="F99" i="8" s="1"/>
  <c r="EA99" i="8"/>
  <c r="EC99" i="8" s="1"/>
  <c r="C98" i="8"/>
  <c r="F98" i="8" s="1"/>
  <c r="EA98" i="8"/>
  <c r="EC98" i="8" s="1"/>
  <c r="C97" i="8"/>
  <c r="F97" i="8" s="1"/>
  <c r="EA97" i="8"/>
  <c r="EB97" i="8" s="1"/>
  <c r="H96" i="8"/>
  <c r="H97" i="8" s="1"/>
  <c r="H98" i="8" s="1"/>
  <c r="H99" i="8" s="1"/>
  <c r="H100" i="8" s="1"/>
  <c r="H101" i="8" s="1"/>
  <c r="H102" i="8" s="1"/>
  <c r="C96" i="8"/>
  <c r="F96" i="8" s="1"/>
  <c r="EA96" i="8"/>
  <c r="EC96" i="8" s="1"/>
  <c r="F94" i="8"/>
  <c r="EA94" i="8"/>
  <c r="EB94" i="8" s="1"/>
  <c r="F93" i="8"/>
  <c r="EA93" i="8"/>
  <c r="EB93" i="8" s="1"/>
  <c r="C92" i="8"/>
  <c r="F92" i="8" s="1"/>
  <c r="EA92" i="8"/>
  <c r="EC92" i="8" s="1"/>
  <c r="C91" i="8"/>
  <c r="F91" i="8" s="1"/>
  <c r="EA91" i="8"/>
  <c r="EC91" i="8" s="1"/>
  <c r="C90" i="8"/>
  <c r="F90" i="8" s="1"/>
  <c r="EA90" i="8"/>
  <c r="EC90" i="8" s="1"/>
  <c r="C89" i="8"/>
  <c r="F89" i="8" s="1"/>
  <c r="EA89" i="8"/>
  <c r="EB89" i="8" s="1"/>
  <c r="H88" i="8"/>
  <c r="H89" i="8" s="1"/>
  <c r="H90" i="8" s="1"/>
  <c r="H91" i="8" s="1"/>
  <c r="H92" i="8" s="1"/>
  <c r="H93" i="8" s="1"/>
  <c r="H94" i="8" s="1"/>
  <c r="C88" i="8"/>
  <c r="F88" i="8" s="1"/>
  <c r="EA88" i="8"/>
  <c r="EC88" i="8" s="1"/>
  <c r="F86" i="8"/>
  <c r="EA86" i="8"/>
  <c r="EC86" i="8" s="1"/>
  <c r="F85" i="8"/>
  <c r="EA85" i="8"/>
  <c r="EC85" i="8" s="1"/>
  <c r="F84" i="8"/>
  <c r="EA84" i="8"/>
  <c r="EC84" i="8" s="1"/>
  <c r="C83" i="8"/>
  <c r="F83" i="8" s="1"/>
  <c r="EA83" i="8"/>
  <c r="EC83" i="8" s="1"/>
  <c r="C82" i="8"/>
  <c r="F82" i="8" s="1"/>
  <c r="EA82" i="8"/>
  <c r="EC82" i="8" s="1"/>
  <c r="C81" i="8"/>
  <c r="F81" i="8" s="1"/>
  <c r="EA81" i="8"/>
  <c r="EB81" i="8" s="1"/>
  <c r="C80" i="8"/>
  <c r="F80" i="8" s="1"/>
  <c r="EA80" i="8"/>
  <c r="EC80" i="8" s="1"/>
  <c r="H79" i="8"/>
  <c r="H80" i="8" s="1"/>
  <c r="C79" i="8"/>
  <c r="EA79" i="8"/>
  <c r="EB79" i="8" s="1"/>
  <c r="EC97" i="8" l="1"/>
  <c r="ED97" i="8" s="1"/>
  <c r="EC79" i="8"/>
  <c r="ED79" i="8" s="1"/>
  <c r="EC110" i="8"/>
  <c r="ED110" i="8" s="1"/>
  <c r="EC109" i="8"/>
  <c r="ED109" i="8" s="1"/>
  <c r="EC94" i="8"/>
  <c r="ED94" i="8" s="1"/>
  <c r="EC89" i="8"/>
  <c r="ED89" i="8" s="1"/>
  <c r="EC81" i="8"/>
  <c r="ED81" i="8" s="1"/>
  <c r="EC93" i="8"/>
  <c r="ED93" i="8" s="1"/>
  <c r="EC105" i="8"/>
  <c r="ED105" i="8" s="1"/>
  <c r="EC102" i="8"/>
  <c r="ED102" i="8" s="1"/>
  <c r="H81" i="8"/>
  <c r="H82" i="8" s="1"/>
  <c r="H83" i="8" s="1"/>
  <c r="H84" i="8" s="1"/>
  <c r="H85" i="8" s="1"/>
  <c r="H86" i="8" s="1"/>
  <c r="BQ100" i="13"/>
  <c r="BO99" i="13"/>
  <c r="BQ99" i="13" s="1"/>
  <c r="BQ98" i="13"/>
  <c r="BO97" i="13"/>
  <c r="BQ97" i="13" s="1"/>
  <c r="BQ96" i="13"/>
  <c r="BQ95" i="13"/>
  <c r="BQ91" i="13"/>
  <c r="BO92" i="13"/>
  <c r="BQ92" i="13" s="1"/>
  <c r="BO90" i="13"/>
  <c r="BQ90" i="13" s="1"/>
  <c r="BQ89" i="13"/>
  <c r="BQ88" i="13"/>
  <c r="BQ87" i="13"/>
  <c r="BQ81" i="13"/>
  <c r="BO84" i="13"/>
  <c r="BQ84" i="13" s="1"/>
  <c r="BO83" i="13"/>
  <c r="BQ83" i="13" s="1"/>
  <c r="BO82" i="13"/>
  <c r="BQ82" i="13" s="1"/>
  <c r="BO80" i="13"/>
  <c r="BQ80" i="13" s="1"/>
  <c r="BO79" i="13"/>
  <c r="BQ79" i="13" s="1"/>
  <c r="BO76" i="13"/>
  <c r="BQ76" i="13" s="1"/>
  <c r="BO75" i="13"/>
  <c r="BQ75" i="13" s="1"/>
  <c r="BO74" i="13"/>
  <c r="BQ74" i="13" s="1"/>
  <c r="BO73" i="13"/>
  <c r="BQ73" i="13" s="1"/>
  <c r="BO72" i="13"/>
  <c r="BQ72" i="13" s="1"/>
  <c r="BQ71" i="13"/>
  <c r="BO78" i="13"/>
  <c r="BQ78" i="13" s="1"/>
  <c r="BO86" i="13"/>
  <c r="BQ86" i="13" s="1"/>
  <c r="BO94" i="13"/>
  <c r="BQ94" i="13" s="1"/>
  <c r="BQ70" i="13"/>
  <c r="BM97" i="12"/>
  <c r="BM100" i="12"/>
  <c r="BK99" i="12"/>
  <c r="BM99" i="12" s="1"/>
  <c r="BM98" i="12"/>
  <c r="BK96" i="12"/>
  <c r="BM96" i="12" s="1"/>
  <c r="BM95" i="12"/>
  <c r="BK94" i="12"/>
  <c r="BM94" i="12" s="1"/>
  <c r="BK92" i="12"/>
  <c r="BM92" i="12" s="1"/>
  <c r="BK91" i="12"/>
  <c r="BM91" i="12" s="1"/>
  <c r="BK90" i="12"/>
  <c r="BM90" i="12" s="1"/>
  <c r="BK89" i="12"/>
  <c r="BM89" i="12" s="1"/>
  <c r="BK88" i="12"/>
  <c r="BM88" i="12" s="1"/>
  <c r="BK87" i="12"/>
  <c r="BM87" i="12" s="1"/>
  <c r="BK84" i="12"/>
  <c r="BM84" i="12" s="1"/>
  <c r="BK83" i="12"/>
  <c r="BM83" i="12" s="1"/>
  <c r="BK82" i="12"/>
  <c r="BM82" i="12" s="1"/>
  <c r="BK81" i="12"/>
  <c r="BM81" i="12" s="1"/>
  <c r="BM80" i="12"/>
  <c r="BK79" i="12"/>
  <c r="BM79" i="12" s="1"/>
  <c r="BK76" i="12"/>
  <c r="BM76" i="12" s="1"/>
  <c r="BK75" i="12"/>
  <c r="BM75" i="12" s="1"/>
  <c r="BM74" i="12"/>
  <c r="BM73" i="12"/>
  <c r="BK72" i="12"/>
  <c r="BM72" i="12" s="1"/>
  <c r="BK71" i="12"/>
  <c r="BM71" i="12" s="1"/>
  <c r="BM86" i="12"/>
  <c r="BK78" i="12"/>
  <c r="BM78" i="12" s="1"/>
  <c r="BK70" i="12"/>
  <c r="BM70" i="12" s="1"/>
  <c r="BK101" i="11"/>
  <c r="BM101" i="11" s="1"/>
  <c r="BK100" i="11"/>
  <c r="BM100" i="11" s="1"/>
  <c r="BM99" i="11"/>
  <c r="BK98" i="11"/>
  <c r="BM98" i="11" s="1"/>
  <c r="BM97" i="11"/>
  <c r="BK96" i="11"/>
  <c r="BM96" i="11" s="1"/>
  <c r="BK93" i="11"/>
  <c r="BM93" i="11" s="1"/>
  <c r="BK92" i="11"/>
  <c r="BM92" i="11" s="1"/>
  <c r="BK91" i="11"/>
  <c r="BM91" i="11" s="1"/>
  <c r="BM90" i="11"/>
  <c r="BM89" i="11"/>
  <c r="BK88" i="11"/>
  <c r="BM88" i="11" s="1"/>
  <c r="BK85" i="11"/>
  <c r="BM85" i="11" s="1"/>
  <c r="BK83" i="11"/>
  <c r="BM83" i="11" s="1"/>
  <c r="BM82" i="11"/>
  <c r="BK81" i="11"/>
  <c r="BM81" i="11" s="1"/>
  <c r="H80" i="11"/>
  <c r="H81" i="11" s="1"/>
  <c r="H82" i="11" s="1"/>
  <c r="H83" i="11" s="1"/>
  <c r="BM80" i="11"/>
  <c r="BK84" i="11"/>
  <c r="BM84" i="11" s="1"/>
  <c r="BM87" i="11"/>
  <c r="BM95" i="11"/>
  <c r="BK79" i="11"/>
  <c r="BM79" i="11" s="1"/>
  <c r="BM77" i="11"/>
  <c r="BM76" i="11"/>
  <c r="BM75" i="11"/>
  <c r="BM74" i="11"/>
  <c r="BK73" i="11"/>
  <c r="BM73" i="11" s="1"/>
  <c r="BK72" i="11"/>
  <c r="BM72" i="11" s="1"/>
  <c r="BK71" i="11"/>
  <c r="BM71" i="11" s="1"/>
  <c r="EB108" i="8"/>
  <c r="ED108" i="8" s="1"/>
  <c r="EB107" i="8"/>
  <c r="ED107" i="8" s="1"/>
  <c r="EB106" i="8"/>
  <c r="ED106" i="8" s="1"/>
  <c r="EB104" i="8"/>
  <c r="ED104" i="8" s="1"/>
  <c r="EB101" i="8"/>
  <c r="ED101" i="8" s="1"/>
  <c r="EB100" i="8"/>
  <c r="ED100" i="8" s="1"/>
  <c r="EB99" i="8"/>
  <c r="ED99" i="8" s="1"/>
  <c r="EB98" i="8"/>
  <c r="ED98" i="8" s="1"/>
  <c r="EB96" i="8"/>
  <c r="ED96" i="8" s="1"/>
  <c r="EB92" i="8"/>
  <c r="ED92" i="8" s="1"/>
  <c r="EB91" i="8"/>
  <c r="ED91" i="8" s="1"/>
  <c r="EB90" i="8"/>
  <c r="ED90" i="8" s="1"/>
  <c r="EB88" i="8"/>
  <c r="ED88" i="8" s="1"/>
  <c r="EB86" i="8"/>
  <c r="ED86" i="8" s="1"/>
  <c r="EB85" i="8"/>
  <c r="ED85" i="8" s="1"/>
  <c r="EB84" i="8"/>
  <c r="ED84" i="8" s="1"/>
  <c r="EB83" i="8"/>
  <c r="ED83" i="8" s="1"/>
  <c r="EB82" i="8"/>
  <c r="ED82" i="8" s="1"/>
  <c r="EB80" i="8"/>
  <c r="ED80" i="8" s="1"/>
  <c r="H25" i="1" l="1"/>
  <c r="H24" i="1"/>
  <c r="C18" i="13" l="1"/>
  <c r="BP18" i="13"/>
  <c r="BN18" i="13"/>
  <c r="BO18" i="13" s="1"/>
  <c r="C18" i="12"/>
  <c r="BL18" i="12"/>
  <c r="BJ18" i="12"/>
  <c r="C18" i="11"/>
  <c r="BL18" i="11"/>
  <c r="BJ18" i="11"/>
  <c r="C131" i="11"/>
  <c r="BQ18" i="13" l="1"/>
  <c r="BK18" i="12"/>
  <c r="BM18" i="12" s="1"/>
  <c r="BK18" i="11"/>
  <c r="BM18" i="11" s="1"/>
  <c r="K9" i="7" l="1"/>
  <c r="C9" i="7"/>
  <c r="EA18" i="8" l="1"/>
  <c r="EC18" i="8" s="1"/>
  <c r="C27" i="13"/>
  <c r="F27" i="13" s="1"/>
  <c r="BP27" i="13"/>
  <c r="BN27" i="13"/>
  <c r="BO27" i="13" s="1"/>
  <c r="C27" i="12"/>
  <c r="F27" i="12" s="1"/>
  <c r="BL27" i="12"/>
  <c r="BJ27" i="12"/>
  <c r="C28" i="11"/>
  <c r="F28" i="11" s="1"/>
  <c r="BL28" i="11"/>
  <c r="BJ28" i="11"/>
  <c r="P190" i="13"/>
  <c r="P189" i="13"/>
  <c r="P188" i="13"/>
  <c r="P187" i="13"/>
  <c r="P185" i="13"/>
  <c r="P184" i="13"/>
  <c r="P181" i="13"/>
  <c r="P182" i="13" s="1"/>
  <c r="P183" i="13" s="1"/>
  <c r="P190" i="12"/>
  <c r="P189" i="12"/>
  <c r="P188" i="12"/>
  <c r="P187" i="12"/>
  <c r="P185" i="12"/>
  <c r="P184" i="12"/>
  <c r="P181" i="12"/>
  <c r="P182" i="12" s="1"/>
  <c r="P183" i="12" s="1"/>
  <c r="P191" i="11"/>
  <c r="P190" i="11"/>
  <c r="P189" i="11"/>
  <c r="P188" i="11"/>
  <c r="P186" i="11"/>
  <c r="P185" i="11"/>
  <c r="P182" i="11"/>
  <c r="P183" i="11" s="1"/>
  <c r="P184" i="11" s="1"/>
  <c r="F55" i="12"/>
  <c r="BL55" i="12"/>
  <c r="BJ55" i="12"/>
  <c r="C58" i="11"/>
  <c r="F58" i="11" s="1"/>
  <c r="BL58" i="11"/>
  <c r="BJ58" i="11"/>
  <c r="F60" i="8"/>
  <c r="EA60" i="8"/>
  <c r="EC60" i="8" s="1"/>
  <c r="C24" i="13"/>
  <c r="F24" i="13" s="1"/>
  <c r="BP24" i="13"/>
  <c r="BN24" i="13"/>
  <c r="C24" i="12"/>
  <c r="F24" i="12" s="1"/>
  <c r="BL24" i="12"/>
  <c r="BJ24" i="12"/>
  <c r="C130" i="13"/>
  <c r="F130" i="13" s="1"/>
  <c r="BP130" i="13"/>
  <c r="BN130" i="13"/>
  <c r="BO130" i="13" s="1"/>
  <c r="C130" i="12"/>
  <c r="F130" i="12" s="1"/>
  <c r="BL130" i="12"/>
  <c r="BJ130" i="12"/>
  <c r="BK130" i="12" s="1"/>
  <c r="F131" i="11"/>
  <c r="BL131" i="11"/>
  <c r="BJ131" i="11"/>
  <c r="C111" i="13"/>
  <c r="F111" i="13" s="1"/>
  <c r="BP111" i="13"/>
  <c r="BN111" i="13"/>
  <c r="C110" i="13"/>
  <c r="F110" i="13" s="1"/>
  <c r="BP110" i="13"/>
  <c r="BN110" i="13"/>
  <c r="BO110" i="13" s="1"/>
  <c r="F109" i="13"/>
  <c r="BP109" i="13"/>
  <c r="BN109" i="13"/>
  <c r="C108" i="13"/>
  <c r="F108" i="13" s="1"/>
  <c r="BP108" i="13"/>
  <c r="BN108" i="13"/>
  <c r="C107" i="13"/>
  <c r="F107" i="13" s="1"/>
  <c r="BP107" i="13"/>
  <c r="BN107" i="13"/>
  <c r="C106" i="13"/>
  <c r="F106" i="13" s="1"/>
  <c r="BP106" i="13"/>
  <c r="BN106" i="13"/>
  <c r="BO106" i="13" s="1"/>
  <c r="F105" i="13"/>
  <c r="BP105" i="13"/>
  <c r="BN105" i="13"/>
  <c r="BO105" i="13" s="1"/>
  <c r="C121" i="13"/>
  <c r="F121" i="13" s="1"/>
  <c r="BP121" i="13"/>
  <c r="BN121" i="13"/>
  <c r="BO121" i="13" s="1"/>
  <c r="C119" i="13"/>
  <c r="F119" i="13" s="1"/>
  <c r="BP119" i="13"/>
  <c r="BN119" i="13"/>
  <c r="C118" i="13"/>
  <c r="F118" i="13" s="1"/>
  <c r="BP118" i="13"/>
  <c r="BN118" i="13"/>
  <c r="BO118" i="13" s="1"/>
  <c r="C117" i="13"/>
  <c r="F117" i="13" s="1"/>
  <c r="BP117" i="13"/>
  <c r="BN117" i="13"/>
  <c r="F116" i="13"/>
  <c r="BP116" i="13"/>
  <c r="BN116" i="13"/>
  <c r="C122" i="12"/>
  <c r="F122" i="12" s="1"/>
  <c r="BL122" i="12"/>
  <c r="BJ122" i="12"/>
  <c r="BK122" i="12" s="1"/>
  <c r="C119" i="12"/>
  <c r="F119" i="12" s="1"/>
  <c r="BL119" i="12"/>
  <c r="BJ119" i="12"/>
  <c r="BK119" i="12" s="1"/>
  <c r="C118" i="12"/>
  <c r="F118" i="12" s="1"/>
  <c r="BL118" i="12"/>
  <c r="BJ118" i="12"/>
  <c r="C117" i="12"/>
  <c r="F117" i="12" s="1"/>
  <c r="BL117" i="12"/>
  <c r="BJ117" i="12"/>
  <c r="F116" i="12"/>
  <c r="BL116" i="12"/>
  <c r="BJ116" i="12"/>
  <c r="BK116" i="12" s="1"/>
  <c r="C110" i="12"/>
  <c r="F110" i="12" s="1"/>
  <c r="BL110" i="12"/>
  <c r="BJ110" i="12"/>
  <c r="C111" i="12"/>
  <c r="F111" i="12" s="1"/>
  <c r="BL111" i="12"/>
  <c r="BJ111" i="12"/>
  <c r="F109" i="12"/>
  <c r="BL109" i="12"/>
  <c r="BJ109" i="12"/>
  <c r="C108" i="12"/>
  <c r="F108" i="12" s="1"/>
  <c r="BL108" i="12"/>
  <c r="BJ108" i="12"/>
  <c r="C107" i="12"/>
  <c r="F107" i="12" s="1"/>
  <c r="BL107" i="12"/>
  <c r="BJ107" i="12"/>
  <c r="BK107" i="12" s="1"/>
  <c r="C106" i="12"/>
  <c r="F106" i="12" s="1"/>
  <c r="BL106" i="12"/>
  <c r="BJ106" i="12"/>
  <c r="BK106" i="12" s="1"/>
  <c r="F105" i="12"/>
  <c r="BL105" i="12"/>
  <c r="BJ105" i="12"/>
  <c r="C123" i="11"/>
  <c r="F123" i="11" s="1"/>
  <c r="BL123" i="11"/>
  <c r="BJ123" i="11"/>
  <c r="C122" i="11"/>
  <c r="F122" i="11" s="1"/>
  <c r="BL122" i="11"/>
  <c r="BJ122" i="11"/>
  <c r="F121" i="11"/>
  <c r="BL121" i="11"/>
  <c r="BJ121" i="11"/>
  <c r="C120" i="11"/>
  <c r="F120" i="11" s="1"/>
  <c r="BL120" i="11"/>
  <c r="BJ120" i="11"/>
  <c r="C119" i="11"/>
  <c r="F119" i="11" s="1"/>
  <c r="BL119" i="11"/>
  <c r="BJ119" i="11"/>
  <c r="C112" i="11"/>
  <c r="F112" i="11" s="1"/>
  <c r="BL112" i="11"/>
  <c r="BJ112" i="11"/>
  <c r="BK112" i="11" s="1"/>
  <c r="C111" i="11"/>
  <c r="F111" i="11" s="1"/>
  <c r="BL111" i="11"/>
  <c r="BJ111" i="11"/>
  <c r="F110" i="11"/>
  <c r="BL110" i="11"/>
  <c r="BJ110" i="11"/>
  <c r="C109" i="11"/>
  <c r="F109" i="11" s="1"/>
  <c r="BL109" i="11"/>
  <c r="BJ109" i="11"/>
  <c r="C108" i="11"/>
  <c r="F108" i="11" s="1"/>
  <c r="BL108" i="11"/>
  <c r="BJ108" i="11"/>
  <c r="C107" i="11"/>
  <c r="F107" i="11" s="1"/>
  <c r="BL107" i="11"/>
  <c r="BJ107" i="11"/>
  <c r="BK107" i="11" s="1"/>
  <c r="F106" i="11"/>
  <c r="BL106" i="11"/>
  <c r="BJ106" i="11"/>
  <c r="BK106" i="11" s="1"/>
  <c r="C52" i="13"/>
  <c r="F52" i="13" s="1"/>
  <c r="BP52" i="13"/>
  <c r="BN52" i="13"/>
  <c r="BO52" i="13" s="1"/>
  <c r="C51" i="13"/>
  <c r="F51" i="13" s="1"/>
  <c r="BP51" i="13"/>
  <c r="BN51" i="13"/>
  <c r="BO51" i="13" s="1"/>
  <c r="C48" i="13"/>
  <c r="F48" i="13" s="1"/>
  <c r="BP48" i="13"/>
  <c r="BN48" i="13"/>
  <c r="BO48" i="13" s="1"/>
  <c r="C43" i="13"/>
  <c r="F43" i="13" s="1"/>
  <c r="BP43" i="13"/>
  <c r="BN43" i="13"/>
  <c r="H42" i="13"/>
  <c r="H43" i="13" s="1"/>
  <c r="C42" i="13"/>
  <c r="F42" i="13" s="1"/>
  <c r="BP42" i="13"/>
  <c r="BN42" i="13"/>
  <c r="F40" i="13"/>
  <c r="BP40" i="13"/>
  <c r="BN40" i="13"/>
  <c r="BO40" i="13" s="1"/>
  <c r="C39" i="13"/>
  <c r="F39" i="13" s="1"/>
  <c r="BP39" i="13"/>
  <c r="BN39" i="13"/>
  <c r="H38" i="13"/>
  <c r="H39" i="13" s="1"/>
  <c r="H40" i="13" s="1"/>
  <c r="C38" i="13"/>
  <c r="F38" i="13" s="1"/>
  <c r="BP38" i="13"/>
  <c r="BN38" i="13"/>
  <c r="C36" i="13"/>
  <c r="BP36" i="13"/>
  <c r="BN36" i="13"/>
  <c r="BO36" i="13" s="1"/>
  <c r="H34" i="13"/>
  <c r="H36" i="13" s="1"/>
  <c r="BP34" i="13"/>
  <c r="BN34" i="13"/>
  <c r="C21" i="13"/>
  <c r="F21" i="13" s="1"/>
  <c r="BP21" i="13"/>
  <c r="BN21" i="13"/>
  <c r="C52" i="12"/>
  <c r="F52" i="12" s="1"/>
  <c r="BL52" i="12"/>
  <c r="BJ52" i="12"/>
  <c r="BK52" i="12" s="1"/>
  <c r="C51" i="12"/>
  <c r="F51" i="12" s="1"/>
  <c r="BL51" i="12"/>
  <c r="BJ51" i="12"/>
  <c r="C43" i="12"/>
  <c r="F43" i="12" s="1"/>
  <c r="BL43" i="12"/>
  <c r="BJ43" i="12"/>
  <c r="BK43" i="12" s="1"/>
  <c r="H42" i="12"/>
  <c r="H43" i="12" s="1"/>
  <c r="C42" i="12"/>
  <c r="F42" i="12" s="1"/>
  <c r="BL42" i="12"/>
  <c r="BJ42" i="12"/>
  <c r="C36" i="12"/>
  <c r="BL36" i="12"/>
  <c r="BJ36" i="12"/>
  <c r="H34" i="12"/>
  <c r="H36" i="12" s="1"/>
  <c r="BL34" i="12"/>
  <c r="BJ34" i="12"/>
  <c r="BK34" i="12" s="1"/>
  <c r="C53" i="11"/>
  <c r="F53" i="11" s="1"/>
  <c r="BL53" i="11"/>
  <c r="BJ53" i="11"/>
  <c r="BK53" i="11" s="1"/>
  <c r="C52" i="11"/>
  <c r="F52" i="11" s="1"/>
  <c r="BL52" i="11"/>
  <c r="BJ52" i="11"/>
  <c r="BK52" i="11" s="1"/>
  <c r="C49" i="11"/>
  <c r="F49" i="11" s="1"/>
  <c r="BL49" i="11"/>
  <c r="BJ49" i="11"/>
  <c r="C44" i="11"/>
  <c r="F44" i="11" s="1"/>
  <c r="BL44" i="11"/>
  <c r="BJ44" i="11"/>
  <c r="H43" i="11"/>
  <c r="H44" i="11" s="1"/>
  <c r="C43" i="11"/>
  <c r="F43" i="11" s="1"/>
  <c r="BL43" i="11"/>
  <c r="BJ43" i="11"/>
  <c r="C37" i="11"/>
  <c r="BL37" i="11"/>
  <c r="BJ37" i="11"/>
  <c r="H35" i="11"/>
  <c r="H37" i="11" s="1"/>
  <c r="BL35" i="11"/>
  <c r="BJ35" i="11"/>
  <c r="F20" i="13"/>
  <c r="BP20" i="13"/>
  <c r="BN20" i="13"/>
  <c r="BO20" i="13" s="1"/>
  <c r="F20" i="12"/>
  <c r="BL20" i="12"/>
  <c r="BJ20" i="12"/>
  <c r="BK20" i="12" s="1"/>
  <c r="C24" i="11"/>
  <c r="F24" i="11" s="1"/>
  <c r="BL24" i="11"/>
  <c r="BJ24" i="11"/>
  <c r="C26" i="11"/>
  <c r="F26" i="11" s="1"/>
  <c r="BL26" i="11"/>
  <c r="BJ26" i="11"/>
  <c r="BK26" i="11" s="1"/>
  <c r="C27" i="11"/>
  <c r="F27" i="11" s="1"/>
  <c r="BL27" i="11"/>
  <c r="BJ27" i="11"/>
  <c r="C21" i="11"/>
  <c r="F21" i="11" s="1"/>
  <c r="BL21" i="11"/>
  <c r="BJ21" i="11"/>
  <c r="C129" i="8"/>
  <c r="F129" i="8" s="1"/>
  <c r="EA129" i="8"/>
  <c r="EC129" i="8" s="1"/>
  <c r="C121" i="8"/>
  <c r="F121" i="8" s="1"/>
  <c r="EA121" i="8"/>
  <c r="EC121" i="8" s="1"/>
  <c r="C120" i="8"/>
  <c r="F120" i="8" s="1"/>
  <c r="EA120" i="8"/>
  <c r="EC120" i="8" s="1"/>
  <c r="F119" i="8"/>
  <c r="EA119" i="8"/>
  <c r="EC119" i="8" s="1"/>
  <c r="C118" i="8"/>
  <c r="F118" i="8" s="1"/>
  <c r="EA118" i="8"/>
  <c r="EC118" i="8" s="1"/>
  <c r="C117" i="8"/>
  <c r="F117" i="8" s="1"/>
  <c r="EA117" i="8"/>
  <c r="EC117" i="8" s="1"/>
  <c r="C116" i="8"/>
  <c r="F116" i="8" s="1"/>
  <c r="EA116" i="8"/>
  <c r="EC116" i="8" s="1"/>
  <c r="F115" i="8"/>
  <c r="EA115" i="8"/>
  <c r="EC115" i="8" s="1"/>
  <c r="C140" i="8"/>
  <c r="F140" i="8" s="1"/>
  <c r="EA140" i="8"/>
  <c r="EC140" i="8" s="1"/>
  <c r="C35" i="8"/>
  <c r="EA35" i="8"/>
  <c r="EC35" i="8" s="1"/>
  <c r="H31" i="8"/>
  <c r="H32" i="8" s="1"/>
  <c r="EA31" i="8"/>
  <c r="EC31" i="8" s="1"/>
  <c r="EA17" i="8"/>
  <c r="EC17" i="8" s="1"/>
  <c r="EA15" i="8"/>
  <c r="EB15" i="8" s="1"/>
  <c r="C42" i="8"/>
  <c r="F42" i="8" s="1"/>
  <c r="EA42" i="8"/>
  <c r="EC42" i="8" s="1"/>
  <c r="H41" i="8"/>
  <c r="H42" i="8" s="1"/>
  <c r="C41" i="8"/>
  <c r="F41" i="8" s="1"/>
  <c r="EA41" i="8"/>
  <c r="EC41" i="8" s="1"/>
  <c r="EC15" i="8" l="1"/>
  <c r="ED15" i="8" s="1"/>
  <c r="H35" i="8"/>
  <c r="H34" i="8"/>
  <c r="EB18" i="8"/>
  <c r="ED18" i="8" s="1"/>
  <c r="BQ27" i="13"/>
  <c r="BK27" i="12"/>
  <c r="BM27" i="12" s="1"/>
  <c r="BK28" i="11"/>
  <c r="BM28" i="11" s="1"/>
  <c r="BQ130" i="13"/>
  <c r="BK55" i="12"/>
  <c r="BM55" i="12" s="1"/>
  <c r="BK58" i="11"/>
  <c r="BM58" i="11" s="1"/>
  <c r="EB60" i="8"/>
  <c r="ED60" i="8" s="1"/>
  <c r="BO24" i="13"/>
  <c r="BQ24" i="13" s="1"/>
  <c r="BK24" i="12"/>
  <c r="BM24" i="12" s="1"/>
  <c r="BM130" i="12"/>
  <c r="BK131" i="11"/>
  <c r="BM131" i="11" s="1"/>
  <c r="BO111" i="13"/>
  <c r="BQ111" i="13" s="1"/>
  <c r="BQ110" i="13"/>
  <c r="BO109" i="13"/>
  <c r="BQ109" i="13" s="1"/>
  <c r="BO108" i="13"/>
  <c r="BQ108" i="13" s="1"/>
  <c r="BO107" i="13"/>
  <c r="BQ107" i="13" s="1"/>
  <c r="BQ106" i="13"/>
  <c r="BQ105" i="13"/>
  <c r="BQ121" i="13"/>
  <c r="BO119" i="13"/>
  <c r="BQ119" i="13" s="1"/>
  <c r="BQ118" i="13"/>
  <c r="BO117" i="13"/>
  <c r="BQ117" i="13" s="1"/>
  <c r="BO116" i="13"/>
  <c r="BQ116" i="13" s="1"/>
  <c r="BM122" i="12"/>
  <c r="BM119" i="12"/>
  <c r="BK118" i="12"/>
  <c r="BM118" i="12" s="1"/>
  <c r="BK117" i="12"/>
  <c r="BM117" i="12" s="1"/>
  <c r="BM116" i="12"/>
  <c r="BK110" i="12"/>
  <c r="BM110" i="12" s="1"/>
  <c r="BK111" i="12"/>
  <c r="BM111" i="12" s="1"/>
  <c r="BK109" i="12"/>
  <c r="BM109" i="12" s="1"/>
  <c r="BK108" i="12"/>
  <c r="BM108" i="12" s="1"/>
  <c r="BM107" i="12"/>
  <c r="BM106" i="12"/>
  <c r="BK105" i="12"/>
  <c r="BM105" i="12" s="1"/>
  <c r="BK123" i="11"/>
  <c r="BM123" i="11" s="1"/>
  <c r="BK122" i="11"/>
  <c r="BM122" i="11" s="1"/>
  <c r="BK121" i="11"/>
  <c r="BM121" i="11" s="1"/>
  <c r="BK120" i="11"/>
  <c r="BM120" i="11" s="1"/>
  <c r="BK119" i="11"/>
  <c r="BM119" i="11" s="1"/>
  <c r="BM112" i="11"/>
  <c r="BK111" i="11"/>
  <c r="BM111" i="11" s="1"/>
  <c r="BK110" i="11"/>
  <c r="BM110" i="11" s="1"/>
  <c r="BK109" i="11"/>
  <c r="BM109" i="11" s="1"/>
  <c r="BK108" i="11"/>
  <c r="BM108" i="11" s="1"/>
  <c r="BM107" i="11"/>
  <c r="BM106" i="11"/>
  <c r="BQ52" i="13"/>
  <c r="BQ51" i="13"/>
  <c r="BQ48" i="13"/>
  <c r="BO43" i="13"/>
  <c r="BQ43" i="13" s="1"/>
  <c r="BO42" i="13"/>
  <c r="BQ42" i="13" s="1"/>
  <c r="BQ40" i="13"/>
  <c r="BO39" i="13"/>
  <c r="BQ39" i="13" s="1"/>
  <c r="BO38" i="13"/>
  <c r="BQ38" i="13" s="1"/>
  <c r="BQ36" i="13"/>
  <c r="BO34" i="13"/>
  <c r="BQ34" i="13" s="1"/>
  <c r="BO21" i="13"/>
  <c r="BQ21" i="13" s="1"/>
  <c r="BM52" i="12"/>
  <c r="BK51" i="12"/>
  <c r="BM51" i="12" s="1"/>
  <c r="BM43" i="12"/>
  <c r="BK42" i="12"/>
  <c r="BM42" i="12" s="1"/>
  <c r="BK36" i="12"/>
  <c r="BM36" i="12" s="1"/>
  <c r="BM34" i="12"/>
  <c r="BM53" i="11"/>
  <c r="BM52" i="11"/>
  <c r="BK49" i="11"/>
  <c r="BM49" i="11" s="1"/>
  <c r="BK44" i="11"/>
  <c r="BM44" i="11" s="1"/>
  <c r="BK43" i="11"/>
  <c r="BM43" i="11" s="1"/>
  <c r="BK37" i="11"/>
  <c r="BM37" i="11" s="1"/>
  <c r="BK35" i="11"/>
  <c r="BM35" i="11" s="1"/>
  <c r="BQ20" i="13"/>
  <c r="BM20" i="12"/>
  <c r="BK24" i="11"/>
  <c r="BM24" i="11" s="1"/>
  <c r="BM26" i="11"/>
  <c r="BK27" i="11"/>
  <c r="BM27" i="11" s="1"/>
  <c r="BK21" i="11"/>
  <c r="BM21" i="11" s="1"/>
  <c r="EB129" i="8"/>
  <c r="ED129" i="8" s="1"/>
  <c r="EB121" i="8"/>
  <c r="ED121" i="8" s="1"/>
  <c r="EB120" i="8"/>
  <c r="ED120" i="8" s="1"/>
  <c r="EB119" i="8"/>
  <c r="ED119" i="8" s="1"/>
  <c r="EB118" i="8"/>
  <c r="ED118" i="8" s="1"/>
  <c r="EB117" i="8"/>
  <c r="ED117" i="8" s="1"/>
  <c r="EB116" i="8"/>
  <c r="ED116" i="8" s="1"/>
  <c r="EB115" i="8"/>
  <c r="ED115" i="8" s="1"/>
  <c r="EB140" i="8"/>
  <c r="ED140" i="8" s="1"/>
  <c r="EB35" i="8"/>
  <c r="ED35" i="8" s="1"/>
  <c r="EB31" i="8"/>
  <c r="ED31" i="8" s="1"/>
  <c r="EB17" i="8"/>
  <c r="ED17" i="8" s="1"/>
  <c r="EB42" i="8"/>
  <c r="ED42" i="8" s="1"/>
  <c r="EB41" i="8"/>
  <c r="ED41" i="8" s="1"/>
  <c r="C23" i="13" l="1"/>
  <c r="F23" i="13" s="1"/>
  <c r="BP23" i="13"/>
  <c r="BN23" i="13"/>
  <c r="BO23" i="13" s="1"/>
  <c r="C22" i="13"/>
  <c r="F22" i="13" s="1"/>
  <c r="BP22" i="13"/>
  <c r="BN22" i="13"/>
  <c r="BO22" i="13" s="1"/>
  <c r="C23" i="12"/>
  <c r="F23" i="12" s="1"/>
  <c r="BL23" i="12"/>
  <c r="BJ23" i="12"/>
  <c r="BK23" i="12" s="1"/>
  <c r="C22" i="12"/>
  <c r="F22" i="12" s="1"/>
  <c r="BL22" i="12"/>
  <c r="BJ22" i="12"/>
  <c r="C23" i="11"/>
  <c r="F23" i="11" s="1"/>
  <c r="BL23" i="11"/>
  <c r="BJ23" i="11"/>
  <c r="BK23" i="11" s="1"/>
  <c r="C22" i="11"/>
  <c r="F22" i="11" s="1"/>
  <c r="BL22" i="11"/>
  <c r="BJ22" i="11"/>
  <c r="BK22" i="11" s="1"/>
  <c r="EA19" i="8"/>
  <c r="EC19" i="8" s="1"/>
  <c r="C26" i="13"/>
  <c r="F26" i="13" s="1"/>
  <c r="BP26" i="13"/>
  <c r="BN26" i="13"/>
  <c r="C25" i="13"/>
  <c r="F25" i="13" s="1"/>
  <c r="BP25" i="13"/>
  <c r="BN25" i="13"/>
  <c r="C26" i="12"/>
  <c r="F26" i="12" s="1"/>
  <c r="BL26" i="12"/>
  <c r="BJ26" i="12"/>
  <c r="C25" i="12"/>
  <c r="F25" i="12" s="1"/>
  <c r="BL25" i="12"/>
  <c r="BJ25" i="12"/>
  <c r="F40" i="12"/>
  <c r="BL40" i="12"/>
  <c r="BJ40" i="12"/>
  <c r="C39" i="12"/>
  <c r="F39" i="12" s="1"/>
  <c r="BL39" i="12"/>
  <c r="BJ39" i="12"/>
  <c r="H38" i="12"/>
  <c r="H39" i="12" s="1"/>
  <c r="H40" i="12" s="1"/>
  <c r="C38" i="12"/>
  <c r="F38" i="12" s="1"/>
  <c r="BL38" i="12"/>
  <c r="BJ38" i="12"/>
  <c r="F20" i="11"/>
  <c r="BL20" i="11"/>
  <c r="BJ20" i="11"/>
  <c r="C19" i="11"/>
  <c r="F19" i="11" s="1"/>
  <c r="BL19" i="11"/>
  <c r="BJ19" i="11"/>
  <c r="C17" i="11"/>
  <c r="F17" i="11" s="1"/>
  <c r="BL17" i="11"/>
  <c r="BJ17" i="11"/>
  <c r="F16" i="11"/>
  <c r="BL16" i="11"/>
  <c r="BJ16" i="11"/>
  <c r="C15" i="11"/>
  <c r="F15" i="11" s="1"/>
  <c r="BL15" i="11"/>
  <c r="BJ15" i="11"/>
  <c r="F41" i="11"/>
  <c r="BL41" i="11"/>
  <c r="BJ41" i="11"/>
  <c r="C40" i="11"/>
  <c r="F40" i="11" s="1"/>
  <c r="BL40" i="11"/>
  <c r="BJ40" i="11"/>
  <c r="BK40" i="11" s="1"/>
  <c r="H39" i="11"/>
  <c r="H40" i="11" s="1"/>
  <c r="H41" i="11" s="1"/>
  <c r="C39" i="11"/>
  <c r="F39" i="11" s="1"/>
  <c r="BL39" i="11"/>
  <c r="BJ39" i="11"/>
  <c r="C20" i="8"/>
  <c r="F20" i="8" s="1"/>
  <c r="EA20" i="8"/>
  <c r="EB20" i="8" s="1"/>
  <c r="C38" i="8"/>
  <c r="F38" i="8" s="1"/>
  <c r="EA38" i="8"/>
  <c r="EB38" i="8" s="1"/>
  <c r="C53" i="8"/>
  <c r="F53" i="8" s="1"/>
  <c r="EA53" i="8"/>
  <c r="EC53" i="8" s="1"/>
  <c r="F39" i="8"/>
  <c r="EA39" i="8"/>
  <c r="EB39" i="8" s="1"/>
  <c r="H37" i="8"/>
  <c r="H39" i="8" s="1"/>
  <c r="C37" i="8"/>
  <c r="F37" i="8" s="1"/>
  <c r="EA37" i="8"/>
  <c r="EB37" i="8" s="1"/>
  <c r="C31" i="13"/>
  <c r="F31" i="13" s="1"/>
  <c r="BP31" i="13"/>
  <c r="BN31" i="13"/>
  <c r="C30" i="13"/>
  <c r="F30" i="13" s="1"/>
  <c r="BP30" i="13"/>
  <c r="BN30" i="13"/>
  <c r="C32" i="13"/>
  <c r="F32" i="13" s="1"/>
  <c r="BP32" i="13"/>
  <c r="BN32" i="13"/>
  <c r="H29" i="13"/>
  <c r="H32" i="13" s="1"/>
  <c r="C29" i="13"/>
  <c r="F29" i="13" s="1"/>
  <c r="BP29" i="13"/>
  <c r="BN29" i="13"/>
  <c r="C31" i="12"/>
  <c r="F31" i="12" s="1"/>
  <c r="BL31" i="12"/>
  <c r="BJ31" i="12"/>
  <c r="BK31" i="12" s="1"/>
  <c r="C30" i="12"/>
  <c r="F30" i="12" s="1"/>
  <c r="BL30" i="12"/>
  <c r="BJ30" i="12"/>
  <c r="C32" i="12"/>
  <c r="F32" i="12" s="1"/>
  <c r="BL32" i="12"/>
  <c r="BJ32" i="12"/>
  <c r="H29" i="12"/>
  <c r="H32" i="12" s="1"/>
  <c r="C29" i="12"/>
  <c r="F29" i="12" s="1"/>
  <c r="BL29" i="12"/>
  <c r="BJ29" i="12"/>
  <c r="C33" i="11"/>
  <c r="F33" i="11" s="1"/>
  <c r="BL33" i="11"/>
  <c r="BJ33" i="11"/>
  <c r="BK33" i="11" s="1"/>
  <c r="C32" i="11"/>
  <c r="F32" i="11" s="1"/>
  <c r="BL32" i="11"/>
  <c r="BJ32" i="11"/>
  <c r="C31" i="11"/>
  <c r="F31" i="11" s="1"/>
  <c r="BL31" i="11"/>
  <c r="BJ31" i="11"/>
  <c r="H30" i="11"/>
  <c r="H31" i="11" s="1"/>
  <c r="H32" i="11" s="1"/>
  <c r="H33" i="11" s="1"/>
  <c r="C30" i="11"/>
  <c r="F30" i="11" s="1"/>
  <c r="BL30" i="11"/>
  <c r="BJ30" i="11"/>
  <c r="C27" i="8"/>
  <c r="F27" i="8" s="1"/>
  <c r="EA27" i="8"/>
  <c r="EC27" i="8" s="1"/>
  <c r="C24" i="8"/>
  <c r="F24" i="8" s="1"/>
  <c r="EA24" i="8"/>
  <c r="EB24" i="8" s="1"/>
  <c r="C23" i="8"/>
  <c r="F23" i="8" s="1"/>
  <c r="EA23" i="8"/>
  <c r="EC23" i="8" s="1"/>
  <c r="H22" i="8"/>
  <c r="EA22" i="8"/>
  <c r="EC22" i="8" s="1"/>
  <c r="C52" i="8"/>
  <c r="F52" i="8" s="1"/>
  <c r="EA52" i="8"/>
  <c r="EC52" i="8" s="1"/>
  <c r="C128" i="8"/>
  <c r="F128" i="8" s="1"/>
  <c r="EA128" i="8"/>
  <c r="EC128" i="8" s="1"/>
  <c r="C127" i="13"/>
  <c r="F127" i="13" s="1"/>
  <c r="BP127" i="13"/>
  <c r="BN127" i="13"/>
  <c r="F126" i="13"/>
  <c r="BP126" i="13"/>
  <c r="BN126" i="13"/>
  <c r="C125" i="13"/>
  <c r="F125" i="13" s="1"/>
  <c r="BP125" i="13"/>
  <c r="BN125" i="13"/>
  <c r="BO125" i="13" s="1"/>
  <c r="H129" i="13"/>
  <c r="H130" i="13" s="1"/>
  <c r="C129" i="13"/>
  <c r="F129" i="13" s="1"/>
  <c r="BP129" i="13"/>
  <c r="BN129" i="13"/>
  <c r="H124" i="13"/>
  <c r="H125" i="13" s="1"/>
  <c r="H126" i="13" s="1"/>
  <c r="H127" i="13" s="1"/>
  <c r="F124" i="13"/>
  <c r="BP124" i="13"/>
  <c r="BN124" i="13"/>
  <c r="C127" i="12"/>
  <c r="F127" i="12" s="1"/>
  <c r="BL127" i="12"/>
  <c r="BJ127" i="12"/>
  <c r="BK127" i="12" s="1"/>
  <c r="F126" i="12"/>
  <c r="BL126" i="12"/>
  <c r="BJ126" i="12"/>
  <c r="C125" i="12"/>
  <c r="F125" i="12" s="1"/>
  <c r="BL125" i="12"/>
  <c r="BJ125" i="12"/>
  <c r="BK125" i="12" s="1"/>
  <c r="H129" i="12"/>
  <c r="H130" i="12" s="1"/>
  <c r="C129" i="12"/>
  <c r="F129" i="12" s="1"/>
  <c r="BL129" i="12"/>
  <c r="BJ129" i="12"/>
  <c r="H124" i="12"/>
  <c r="H125" i="12" s="1"/>
  <c r="H126" i="12" s="1"/>
  <c r="H127" i="12" s="1"/>
  <c r="F124" i="12"/>
  <c r="BL124" i="12"/>
  <c r="BJ124" i="12"/>
  <c r="C128" i="11"/>
  <c r="F128" i="11" s="1"/>
  <c r="BL128" i="11"/>
  <c r="BJ128" i="11"/>
  <c r="F127" i="11"/>
  <c r="BL127" i="11"/>
  <c r="BJ127" i="11"/>
  <c r="C126" i="11"/>
  <c r="F126" i="11" s="1"/>
  <c r="BL126" i="11"/>
  <c r="BJ126" i="11"/>
  <c r="H130" i="11"/>
  <c r="H131" i="11" s="1"/>
  <c r="C130" i="11"/>
  <c r="F130" i="11" s="1"/>
  <c r="BL130" i="11"/>
  <c r="BJ130" i="11"/>
  <c r="H125" i="11"/>
  <c r="H126" i="11" s="1"/>
  <c r="H127" i="11" s="1"/>
  <c r="H128" i="11" s="1"/>
  <c r="F125" i="11"/>
  <c r="BL125" i="11"/>
  <c r="BJ125" i="11"/>
  <c r="H139" i="8"/>
  <c r="H140" i="8" s="1"/>
  <c r="C139" i="8"/>
  <c r="F139" i="8" s="1"/>
  <c r="EA139" i="8"/>
  <c r="EB139" i="8" s="1"/>
  <c r="C137" i="8"/>
  <c r="F137" i="8" s="1"/>
  <c r="EA137" i="8"/>
  <c r="EC137" i="8" s="1"/>
  <c r="F136" i="8"/>
  <c r="EA136" i="8"/>
  <c r="EB136" i="8" s="1"/>
  <c r="C135" i="8"/>
  <c r="F135" i="8" s="1"/>
  <c r="EA135" i="8"/>
  <c r="EC135" i="8" s="1"/>
  <c r="H134" i="8"/>
  <c r="H135" i="8" s="1"/>
  <c r="H136" i="8" s="1"/>
  <c r="H137" i="8" s="1"/>
  <c r="F134" i="8"/>
  <c r="EA134" i="8"/>
  <c r="EC134" i="8" s="1"/>
  <c r="C49" i="8"/>
  <c r="F49" i="8" s="1"/>
  <c r="EA49" i="8"/>
  <c r="EC49" i="8" s="1"/>
  <c r="H169" i="13"/>
  <c r="H170" i="13" s="1"/>
  <c r="H171" i="13" s="1"/>
  <c r="H157" i="13"/>
  <c r="H158" i="13" s="1"/>
  <c r="H159" i="13" s="1"/>
  <c r="H145" i="13"/>
  <c r="H146" i="13" s="1"/>
  <c r="H133" i="13"/>
  <c r="H134" i="13" s="1"/>
  <c r="H50" i="13"/>
  <c r="H51" i="13" s="1"/>
  <c r="H52" i="13" s="1"/>
  <c r="C50" i="13"/>
  <c r="F50" i="13" s="1"/>
  <c r="BP50" i="13"/>
  <c r="BN50" i="13"/>
  <c r="C19" i="13"/>
  <c r="F19" i="13" s="1"/>
  <c r="BP19" i="13"/>
  <c r="BN19" i="13"/>
  <c r="EC24" i="8" l="1"/>
  <c r="ED24" i="8" s="1"/>
  <c r="EC39" i="8"/>
  <c r="ED39" i="8" s="1"/>
  <c r="EC20" i="8"/>
  <c r="ED20" i="8" s="1"/>
  <c r="EC38" i="8"/>
  <c r="ED38" i="8" s="1"/>
  <c r="EC136" i="8"/>
  <c r="ED136" i="8" s="1"/>
  <c r="EC139" i="8"/>
  <c r="ED139" i="8" s="1"/>
  <c r="EC37" i="8"/>
  <c r="ED37" i="8" s="1"/>
  <c r="H173" i="13"/>
  <c r="H175" i="13" s="1"/>
  <c r="H176" i="13" s="1"/>
  <c r="H178" i="13" s="1"/>
  <c r="H172" i="13"/>
  <c r="H162" i="13"/>
  <c r="H163" i="13" s="1"/>
  <c r="H164" i="13" s="1"/>
  <c r="H165" i="13" s="1"/>
  <c r="H160" i="13"/>
  <c r="H161" i="13" s="1"/>
  <c r="H148" i="13"/>
  <c r="H149" i="13" s="1"/>
  <c r="H150" i="13" s="1"/>
  <c r="H151" i="13" s="1"/>
  <c r="H152" i="13" s="1"/>
  <c r="H153" i="13" s="1"/>
  <c r="H154" i="13" s="1"/>
  <c r="H147" i="13"/>
  <c r="H23" i="8"/>
  <c r="H24" i="8" s="1"/>
  <c r="H136" i="13"/>
  <c r="H137" i="13" s="1"/>
  <c r="H138" i="13" s="1"/>
  <c r="H139" i="13" s="1"/>
  <c r="H140" i="13" s="1"/>
  <c r="H141" i="13" s="1"/>
  <c r="H142" i="13" s="1"/>
  <c r="H135" i="13"/>
  <c r="H22" i="13"/>
  <c r="H23" i="13" s="1"/>
  <c r="H24" i="13" s="1"/>
  <c r="H25" i="13" s="1"/>
  <c r="H26" i="13" s="1"/>
  <c r="H27" i="13" s="1"/>
  <c r="BM23" i="12"/>
  <c r="BQ23" i="13"/>
  <c r="BQ22" i="13"/>
  <c r="BK22" i="12"/>
  <c r="BM22" i="12" s="1"/>
  <c r="BM23" i="11"/>
  <c r="BM22" i="11"/>
  <c r="EB19" i="8"/>
  <c r="ED19" i="8" s="1"/>
  <c r="BO26" i="13"/>
  <c r="BQ26" i="13" s="1"/>
  <c r="BO25" i="13"/>
  <c r="BQ25" i="13" s="1"/>
  <c r="BK26" i="12"/>
  <c r="BM26" i="12" s="1"/>
  <c r="BK25" i="12"/>
  <c r="BM25" i="12" s="1"/>
  <c r="BK40" i="12"/>
  <c r="BM40" i="12" s="1"/>
  <c r="BK39" i="12"/>
  <c r="BM39" i="12" s="1"/>
  <c r="BK38" i="12"/>
  <c r="BM38" i="12" s="1"/>
  <c r="BK20" i="11"/>
  <c r="BM20" i="11" s="1"/>
  <c r="BK19" i="11"/>
  <c r="BM19" i="11" s="1"/>
  <c r="BK17" i="11"/>
  <c r="BM17" i="11" s="1"/>
  <c r="BK16" i="11"/>
  <c r="BM16" i="11" s="1"/>
  <c r="BK15" i="11"/>
  <c r="BM15" i="11" s="1"/>
  <c r="BK41" i="11"/>
  <c r="BM41" i="11" s="1"/>
  <c r="BM40" i="11"/>
  <c r="BK39" i="11"/>
  <c r="BM39" i="11" s="1"/>
  <c r="H38" i="8"/>
  <c r="EB53" i="8"/>
  <c r="ED53" i="8" s="1"/>
  <c r="BO31" i="13"/>
  <c r="BQ31" i="13" s="1"/>
  <c r="H30" i="13"/>
  <c r="H31" i="13" s="1"/>
  <c r="BO30" i="13"/>
  <c r="BQ30" i="13" s="1"/>
  <c r="BO32" i="13"/>
  <c r="BQ32" i="13" s="1"/>
  <c r="BO29" i="13"/>
  <c r="BQ29" i="13" s="1"/>
  <c r="BM31" i="12"/>
  <c r="H30" i="12"/>
  <c r="H31" i="12" s="1"/>
  <c r="BK30" i="12"/>
  <c r="BM30" i="12" s="1"/>
  <c r="BK32" i="12"/>
  <c r="BM32" i="12" s="1"/>
  <c r="BK29" i="12"/>
  <c r="BM29" i="12" s="1"/>
  <c r="BM33" i="11"/>
  <c r="BK32" i="11"/>
  <c r="BM32" i="11" s="1"/>
  <c r="BK31" i="11"/>
  <c r="BM31" i="11" s="1"/>
  <c r="BK30" i="11"/>
  <c r="BM30" i="11" s="1"/>
  <c r="EB27" i="8"/>
  <c r="ED27" i="8" s="1"/>
  <c r="EB23" i="8"/>
  <c r="ED23" i="8" s="1"/>
  <c r="EB22" i="8"/>
  <c r="ED22" i="8" s="1"/>
  <c r="EB52" i="8"/>
  <c r="ED52" i="8" s="1"/>
  <c r="EB128" i="8"/>
  <c r="ED128" i="8" s="1"/>
  <c r="BO127" i="13"/>
  <c r="BQ127" i="13" s="1"/>
  <c r="BO126" i="13"/>
  <c r="BQ126" i="13" s="1"/>
  <c r="BQ125" i="13"/>
  <c r="BO129" i="13"/>
  <c r="BQ129" i="13" s="1"/>
  <c r="BO124" i="13"/>
  <c r="BQ124" i="13" s="1"/>
  <c r="BM127" i="12"/>
  <c r="BK126" i="12"/>
  <c r="BM126" i="12" s="1"/>
  <c r="BM125" i="12"/>
  <c r="BK129" i="12"/>
  <c r="BM129" i="12" s="1"/>
  <c r="BK124" i="12"/>
  <c r="BM124" i="12" s="1"/>
  <c r="BK128" i="11"/>
  <c r="BM128" i="11" s="1"/>
  <c r="BK127" i="11"/>
  <c r="BM127" i="11" s="1"/>
  <c r="BK126" i="11"/>
  <c r="BM126" i="11" s="1"/>
  <c r="BK130" i="11"/>
  <c r="BM130" i="11" s="1"/>
  <c r="BK125" i="11"/>
  <c r="BM125" i="11" s="1"/>
  <c r="EB137" i="8"/>
  <c r="ED137" i="8" s="1"/>
  <c r="EB135" i="8"/>
  <c r="ED135" i="8" s="1"/>
  <c r="EB134" i="8"/>
  <c r="ED134" i="8" s="1"/>
  <c r="EB49" i="8"/>
  <c r="ED49" i="8" s="1"/>
  <c r="BO50" i="13"/>
  <c r="BQ50" i="13" s="1"/>
  <c r="BO19" i="13"/>
  <c r="BQ19" i="13" s="1"/>
  <c r="C15" i="13"/>
  <c r="BP15" i="13"/>
  <c r="BN15" i="13"/>
  <c r="H45" i="13"/>
  <c r="H46" i="13" s="1"/>
  <c r="H59" i="13"/>
  <c r="H61" i="13"/>
  <c r="H62" i="13" s="1"/>
  <c r="H64" i="13"/>
  <c r="H65" i="13" s="1"/>
  <c r="H113" i="13"/>
  <c r="H114" i="13" s="1"/>
  <c r="H102" i="13"/>
  <c r="H103" i="13" s="1"/>
  <c r="H104" i="13" s="1"/>
  <c r="H67" i="13"/>
  <c r="H68" i="13" s="1"/>
  <c r="H50" i="12"/>
  <c r="H51" i="12" s="1"/>
  <c r="H52" i="12" s="1"/>
  <c r="C50" i="12"/>
  <c r="F50" i="12" s="1"/>
  <c r="BL50" i="12"/>
  <c r="BJ50" i="12"/>
  <c r="C19" i="12"/>
  <c r="F19" i="12" s="1"/>
  <c r="BL19" i="12"/>
  <c r="BJ19" i="12"/>
  <c r="C15" i="12"/>
  <c r="BL15" i="12"/>
  <c r="BJ15" i="12"/>
  <c r="H169" i="12"/>
  <c r="H170" i="12" s="1"/>
  <c r="H171" i="12" s="1"/>
  <c r="H157" i="12"/>
  <c r="H158" i="12" s="1"/>
  <c r="H159" i="12" s="1"/>
  <c r="H160" i="12" s="1"/>
  <c r="H145" i="12"/>
  <c r="H146" i="12" s="1"/>
  <c r="H133" i="12"/>
  <c r="H134" i="12" s="1"/>
  <c r="H113" i="12"/>
  <c r="H114" i="12" s="1"/>
  <c r="H102" i="12"/>
  <c r="H103" i="12" s="1"/>
  <c r="H104" i="12" s="1"/>
  <c r="H67" i="12"/>
  <c r="H68" i="12" s="1"/>
  <c r="H64" i="12"/>
  <c r="H65" i="12" s="1"/>
  <c r="H61" i="12"/>
  <c r="H62" i="12" s="1"/>
  <c r="H59" i="12"/>
  <c r="H54" i="12"/>
  <c r="H55" i="12" s="1"/>
  <c r="H45" i="12"/>
  <c r="H46" i="12" s="1"/>
  <c r="H12" i="12"/>
  <c r="H13" i="12" s="1"/>
  <c r="H14" i="12" s="1"/>
  <c r="H51" i="11"/>
  <c r="H52" i="11" s="1"/>
  <c r="H53" i="11" s="1"/>
  <c r="C51" i="11"/>
  <c r="F51" i="11" s="1"/>
  <c r="BL51" i="11"/>
  <c r="BJ51" i="11"/>
  <c r="H170" i="11"/>
  <c r="H171" i="11" s="1"/>
  <c r="H172" i="11" s="1"/>
  <c r="H158" i="11"/>
  <c r="H159" i="11" s="1"/>
  <c r="H160" i="11" s="1"/>
  <c r="H146" i="11"/>
  <c r="H147" i="11" s="1"/>
  <c r="H134" i="11"/>
  <c r="H135" i="11" s="1"/>
  <c r="H114" i="11"/>
  <c r="H115" i="11" s="1"/>
  <c r="H116" i="11" s="1"/>
  <c r="H103" i="11"/>
  <c r="H104" i="11" s="1"/>
  <c r="H105" i="11" s="1"/>
  <c r="H68" i="11"/>
  <c r="H69" i="11" s="1"/>
  <c r="H65" i="11"/>
  <c r="H66" i="11" s="1"/>
  <c r="H62" i="11"/>
  <c r="H63" i="11" s="1"/>
  <c r="H60" i="11"/>
  <c r="H55" i="11"/>
  <c r="H56" i="11" s="1"/>
  <c r="H46" i="11"/>
  <c r="H47" i="11" s="1"/>
  <c r="H12" i="11"/>
  <c r="H13" i="11" s="1"/>
  <c r="H14" i="11" s="1"/>
  <c r="H179" i="8"/>
  <c r="H180" i="8" s="1"/>
  <c r="H167" i="8"/>
  <c r="H168" i="8" s="1"/>
  <c r="H155" i="8"/>
  <c r="H143" i="8"/>
  <c r="H27" i="8" l="1"/>
  <c r="H28" i="8" s="1"/>
  <c r="H29" i="8" s="1"/>
  <c r="H25" i="8"/>
  <c r="H26" i="8" s="1"/>
  <c r="H157" i="8"/>
  <c r="H158" i="8" s="1"/>
  <c r="H156" i="8"/>
  <c r="H145" i="8"/>
  <c r="H146" i="8" s="1"/>
  <c r="H144" i="8"/>
  <c r="H58" i="11"/>
  <c r="H57" i="11"/>
  <c r="H49" i="11"/>
  <c r="H48" i="11"/>
  <c r="H48" i="12"/>
  <c r="H47" i="12"/>
  <c r="H57" i="12"/>
  <c r="H56" i="12"/>
  <c r="H48" i="13"/>
  <c r="H47" i="13"/>
  <c r="H174" i="13"/>
  <c r="H177" i="13"/>
  <c r="H166" i="13"/>
  <c r="H162" i="12"/>
  <c r="H161" i="12"/>
  <c r="H173" i="12"/>
  <c r="H172" i="12"/>
  <c r="H174" i="11"/>
  <c r="H173" i="11"/>
  <c r="H162" i="11"/>
  <c r="H161" i="11"/>
  <c r="H116" i="13"/>
  <c r="H117" i="13" s="1"/>
  <c r="H118" i="13" s="1"/>
  <c r="H119" i="13" s="1"/>
  <c r="H120" i="13" s="1"/>
  <c r="H121" i="13" s="1"/>
  <c r="H122" i="13" s="1"/>
  <c r="H115" i="13"/>
  <c r="H116" i="12"/>
  <c r="H117" i="12" s="1"/>
  <c r="H118" i="12" s="1"/>
  <c r="H119" i="12" s="1"/>
  <c r="H120" i="12" s="1"/>
  <c r="H121" i="12" s="1"/>
  <c r="H122" i="12" s="1"/>
  <c r="H115" i="12"/>
  <c r="H148" i="12"/>
  <c r="H149" i="12" s="1"/>
  <c r="H150" i="12" s="1"/>
  <c r="H151" i="12" s="1"/>
  <c r="H152" i="12" s="1"/>
  <c r="H153" i="12" s="1"/>
  <c r="H154" i="12" s="1"/>
  <c r="H147" i="12"/>
  <c r="H136" i="12"/>
  <c r="H137" i="12" s="1"/>
  <c r="H138" i="12" s="1"/>
  <c r="H139" i="12" s="1"/>
  <c r="H140" i="12" s="1"/>
  <c r="H141" i="12" s="1"/>
  <c r="H142" i="12" s="1"/>
  <c r="H135" i="12"/>
  <c r="H149" i="11"/>
  <c r="H150" i="11" s="1"/>
  <c r="H151" i="11" s="1"/>
  <c r="H152" i="11" s="1"/>
  <c r="H153" i="11" s="1"/>
  <c r="H154" i="11" s="1"/>
  <c r="H155" i="11" s="1"/>
  <c r="H148" i="11"/>
  <c r="H137" i="11"/>
  <c r="H138" i="11" s="1"/>
  <c r="H139" i="11" s="1"/>
  <c r="H140" i="11" s="1"/>
  <c r="H141" i="11" s="1"/>
  <c r="H142" i="11" s="1"/>
  <c r="H143" i="11" s="1"/>
  <c r="H136" i="11"/>
  <c r="H117" i="11"/>
  <c r="H118" i="11" s="1"/>
  <c r="H119" i="11" s="1"/>
  <c r="H120" i="11" s="1"/>
  <c r="H121" i="11" s="1"/>
  <c r="H122" i="11" s="1"/>
  <c r="H123" i="11" s="1"/>
  <c r="H105" i="13"/>
  <c r="H106" i="13" s="1"/>
  <c r="H107" i="13" s="1"/>
  <c r="H108" i="13" s="1"/>
  <c r="H109" i="13" s="1"/>
  <c r="H110" i="13" s="1"/>
  <c r="H111" i="13" s="1"/>
  <c r="H105" i="12"/>
  <c r="H106" i="12" s="1"/>
  <c r="H107" i="12" s="1"/>
  <c r="H108" i="12" s="1"/>
  <c r="H109" i="12" s="1"/>
  <c r="H106" i="11"/>
  <c r="H107" i="11" s="1"/>
  <c r="H108" i="11" s="1"/>
  <c r="H109" i="11" s="1"/>
  <c r="H110" i="11" s="1"/>
  <c r="H111" i="11" s="1"/>
  <c r="H112" i="11" s="1"/>
  <c r="H170" i="8"/>
  <c r="H169" i="8"/>
  <c r="H182" i="8"/>
  <c r="H181" i="8"/>
  <c r="H15" i="11"/>
  <c r="H16" i="11" s="1"/>
  <c r="H17" i="11" s="1"/>
  <c r="BO15" i="13"/>
  <c r="BQ15" i="13" s="1"/>
  <c r="BK50" i="12"/>
  <c r="BM50" i="12" s="1"/>
  <c r="BK19" i="12"/>
  <c r="BM19" i="12" s="1"/>
  <c r="H15" i="12"/>
  <c r="H16" i="12" s="1"/>
  <c r="H17" i="12" s="1"/>
  <c r="H18" i="12" s="1"/>
  <c r="BK15" i="12"/>
  <c r="BM15" i="12" s="1"/>
  <c r="BK51" i="11"/>
  <c r="BM51" i="11" s="1"/>
  <c r="H123" i="8"/>
  <c r="H124" i="8" s="1"/>
  <c r="H112" i="8"/>
  <c r="H113" i="8" s="1"/>
  <c r="H114" i="8" s="1"/>
  <c r="H76" i="8"/>
  <c r="H73" i="8"/>
  <c r="H74" i="8" s="1"/>
  <c r="H69" i="8"/>
  <c r="H70" i="8" s="1"/>
  <c r="H71" i="8" s="1"/>
  <c r="H67" i="8"/>
  <c r="H55" i="8"/>
  <c r="H44" i="8"/>
  <c r="H51" i="8"/>
  <c r="H52" i="8" s="1"/>
  <c r="H53" i="8" s="1"/>
  <c r="C51" i="8"/>
  <c r="F51" i="8" s="1"/>
  <c r="EA51" i="8"/>
  <c r="EC51" i="8" s="1"/>
  <c r="H147" i="8" l="1"/>
  <c r="H149" i="8" s="1"/>
  <c r="H150" i="8" s="1"/>
  <c r="H159" i="8"/>
  <c r="H160" i="8" s="1"/>
  <c r="H161" i="8" s="1"/>
  <c r="H162" i="8" s="1"/>
  <c r="H164" i="8"/>
  <c r="H164" i="12"/>
  <c r="H163" i="12"/>
  <c r="H60" i="8"/>
  <c r="H61" i="8" s="1"/>
  <c r="H56" i="8"/>
  <c r="H49" i="8"/>
  <c r="H45" i="8"/>
  <c r="H175" i="12"/>
  <c r="H176" i="12" s="1"/>
  <c r="H177" i="12" s="1"/>
  <c r="H174" i="12"/>
  <c r="H176" i="11"/>
  <c r="H177" i="11" s="1"/>
  <c r="H175" i="11"/>
  <c r="H164" i="11"/>
  <c r="H165" i="11" s="1"/>
  <c r="H163" i="11"/>
  <c r="H184" i="8"/>
  <c r="H185" i="8" s="1"/>
  <c r="H186" i="8" s="1"/>
  <c r="H183" i="8"/>
  <c r="H172" i="8"/>
  <c r="H173" i="8" s="1"/>
  <c r="H174" i="8" s="1"/>
  <c r="H171" i="8"/>
  <c r="H126" i="8"/>
  <c r="H127" i="8" s="1"/>
  <c r="H128" i="8" s="1"/>
  <c r="H129" i="8" s="1"/>
  <c r="H130" i="8" s="1"/>
  <c r="H125" i="8"/>
  <c r="H111" i="12"/>
  <c r="H110" i="12"/>
  <c r="H115" i="8"/>
  <c r="H116" i="8" s="1"/>
  <c r="H117" i="8" s="1"/>
  <c r="H118" i="8" s="1"/>
  <c r="H119" i="8" s="1"/>
  <c r="H120" i="8" s="1"/>
  <c r="H121" i="8" s="1"/>
  <c r="H19" i="11"/>
  <c r="H20" i="11" s="1"/>
  <c r="H22" i="11" s="1"/>
  <c r="H23" i="11" s="1"/>
  <c r="H18" i="11"/>
  <c r="H19" i="12"/>
  <c r="H77" i="8"/>
  <c r="EB51" i="8"/>
  <c r="ED51" i="8" s="1"/>
  <c r="H12" i="8"/>
  <c r="H13" i="8" s="1"/>
  <c r="H14" i="8" s="1"/>
  <c r="H148" i="8" l="1"/>
  <c r="H48" i="8"/>
  <c r="H46" i="8"/>
  <c r="H47" i="8" s="1"/>
  <c r="H59" i="8"/>
  <c r="H57" i="8"/>
  <c r="H58" i="8" s="1"/>
  <c r="H152" i="8"/>
  <c r="H179" i="11"/>
  <c r="H180" i="11" s="1"/>
  <c r="H178" i="11"/>
  <c r="H166" i="12"/>
  <c r="H165" i="12"/>
  <c r="H178" i="12"/>
  <c r="H132" i="8"/>
  <c r="H131" i="8"/>
  <c r="H188" i="8"/>
  <c r="H187" i="8"/>
  <c r="H167" i="11"/>
  <c r="H166" i="11"/>
  <c r="H176" i="8"/>
  <c r="H175" i="8"/>
  <c r="H21" i="11"/>
  <c r="H21" i="12"/>
  <c r="H20" i="12"/>
  <c r="H25" i="11"/>
  <c r="H27" i="11" s="1"/>
  <c r="H28" i="11" s="1"/>
  <c r="H24" i="11"/>
  <c r="H15" i="8"/>
  <c r="H17" i="8" s="1"/>
  <c r="H18" i="8" s="1"/>
  <c r="H19" i="8" s="1"/>
  <c r="C178" i="13"/>
  <c r="F178" i="13" s="1"/>
  <c r="BP178" i="13"/>
  <c r="BN178" i="13"/>
  <c r="F176" i="13"/>
  <c r="BP176" i="13"/>
  <c r="BN176" i="13"/>
  <c r="C175" i="13"/>
  <c r="F175" i="13" s="1"/>
  <c r="BP175" i="13"/>
  <c r="BN175" i="13"/>
  <c r="C173" i="13"/>
  <c r="F173" i="13" s="1"/>
  <c r="BP173" i="13"/>
  <c r="BN173" i="13"/>
  <c r="F171" i="13"/>
  <c r="BP171" i="13"/>
  <c r="BN171" i="13"/>
  <c r="F170" i="13"/>
  <c r="BP170" i="13"/>
  <c r="BN170" i="13"/>
  <c r="F169" i="13"/>
  <c r="BP169" i="13"/>
  <c r="BN169" i="13"/>
  <c r="C168" i="13"/>
  <c r="F168" i="13" s="1"/>
  <c r="BP168" i="13"/>
  <c r="BN168" i="13"/>
  <c r="C166" i="13"/>
  <c r="F166" i="13" s="1"/>
  <c r="BP166" i="13"/>
  <c r="BN166" i="13"/>
  <c r="F164" i="13"/>
  <c r="BP164" i="13"/>
  <c r="BN164" i="13"/>
  <c r="C163" i="13"/>
  <c r="F163" i="13" s="1"/>
  <c r="BP163" i="13"/>
  <c r="BN163" i="13"/>
  <c r="C162" i="13"/>
  <c r="F162" i="13" s="1"/>
  <c r="BP162" i="13"/>
  <c r="BN162" i="13"/>
  <c r="F159" i="13"/>
  <c r="BP159" i="13"/>
  <c r="BN159" i="13"/>
  <c r="F158" i="13"/>
  <c r="BP158" i="13"/>
  <c r="BN158" i="13"/>
  <c r="F157" i="13"/>
  <c r="BP157" i="13"/>
  <c r="BN157" i="13"/>
  <c r="C156" i="13"/>
  <c r="F156" i="13" s="1"/>
  <c r="BP156" i="13"/>
  <c r="BN156" i="13"/>
  <c r="C178" i="12"/>
  <c r="F178" i="12" s="1"/>
  <c r="BL178" i="12"/>
  <c r="BJ178" i="12"/>
  <c r="F176" i="12"/>
  <c r="BL176" i="12"/>
  <c r="BJ176" i="12"/>
  <c r="C175" i="12"/>
  <c r="F175" i="12" s="1"/>
  <c r="BL175" i="12"/>
  <c r="BJ175" i="12"/>
  <c r="C173" i="12"/>
  <c r="F173" i="12" s="1"/>
  <c r="BL173" i="12"/>
  <c r="BJ173" i="12"/>
  <c r="F171" i="12"/>
  <c r="BL171" i="12"/>
  <c r="BJ171" i="12"/>
  <c r="F170" i="12"/>
  <c r="BL170" i="12"/>
  <c r="BJ170" i="12"/>
  <c r="F169" i="12"/>
  <c r="BL169" i="12"/>
  <c r="BJ169" i="12"/>
  <c r="C168" i="12"/>
  <c r="F168" i="12" s="1"/>
  <c r="BL168" i="12"/>
  <c r="BJ168" i="12"/>
  <c r="C166" i="12"/>
  <c r="F166" i="12" s="1"/>
  <c r="BL166" i="12"/>
  <c r="BJ166" i="12"/>
  <c r="F164" i="12"/>
  <c r="BL164" i="12"/>
  <c r="BJ164" i="12"/>
  <c r="C162" i="12"/>
  <c r="F162" i="12" s="1"/>
  <c r="BL162" i="12"/>
  <c r="BJ162" i="12"/>
  <c r="F160" i="12"/>
  <c r="BL160" i="12"/>
  <c r="BJ160" i="12"/>
  <c r="F159" i="12"/>
  <c r="BL159" i="12"/>
  <c r="BJ159" i="12"/>
  <c r="F158" i="12"/>
  <c r="BL158" i="12"/>
  <c r="BJ158" i="12"/>
  <c r="F157" i="12"/>
  <c r="BL157" i="12"/>
  <c r="BJ157" i="12"/>
  <c r="C156" i="12"/>
  <c r="F156" i="12" s="1"/>
  <c r="BL156" i="12"/>
  <c r="BJ156" i="12"/>
  <c r="C179" i="11"/>
  <c r="F179" i="11" s="1"/>
  <c r="BL179" i="11"/>
  <c r="BJ179" i="11"/>
  <c r="F177" i="11"/>
  <c r="BL177" i="11"/>
  <c r="BJ177" i="11"/>
  <c r="C176" i="11"/>
  <c r="F176" i="11" s="1"/>
  <c r="BL176" i="11"/>
  <c r="BJ176" i="11"/>
  <c r="C174" i="11"/>
  <c r="F174" i="11" s="1"/>
  <c r="BL174" i="11"/>
  <c r="BJ174" i="11"/>
  <c r="F172" i="11"/>
  <c r="BL172" i="11"/>
  <c r="BJ172" i="11"/>
  <c r="F171" i="11"/>
  <c r="BL171" i="11"/>
  <c r="BJ171" i="11"/>
  <c r="F170" i="11"/>
  <c r="BL170" i="11"/>
  <c r="BJ170" i="11"/>
  <c r="C169" i="11"/>
  <c r="F169" i="11" s="1"/>
  <c r="BL169" i="11"/>
  <c r="BJ169" i="11"/>
  <c r="C167" i="11"/>
  <c r="F167" i="11" s="1"/>
  <c r="BL167" i="11"/>
  <c r="BJ167" i="11"/>
  <c r="F165" i="11"/>
  <c r="BL165" i="11"/>
  <c r="BJ165" i="11"/>
  <c r="C164" i="11"/>
  <c r="F164" i="11" s="1"/>
  <c r="BL164" i="11"/>
  <c r="BJ164" i="11"/>
  <c r="C162" i="11"/>
  <c r="F162" i="11" s="1"/>
  <c r="BL162" i="11"/>
  <c r="BJ162" i="11"/>
  <c r="F160" i="11"/>
  <c r="BL160" i="11"/>
  <c r="BJ160" i="11"/>
  <c r="F159" i="11"/>
  <c r="BL159" i="11"/>
  <c r="BJ159" i="11"/>
  <c r="F158" i="11"/>
  <c r="BL158" i="11"/>
  <c r="BJ158" i="11"/>
  <c r="C157" i="11"/>
  <c r="F157" i="11" s="1"/>
  <c r="BL157" i="11"/>
  <c r="BJ157" i="11"/>
  <c r="C188" i="8"/>
  <c r="F188" i="8" s="1"/>
  <c r="EA188" i="8"/>
  <c r="EC188" i="8" s="1"/>
  <c r="F186" i="8"/>
  <c r="EA186" i="8"/>
  <c r="EC186" i="8" s="1"/>
  <c r="C185" i="8"/>
  <c r="F185" i="8" s="1"/>
  <c r="EA185" i="8"/>
  <c r="EC185" i="8" s="1"/>
  <c r="C184" i="8"/>
  <c r="F184" i="8" s="1"/>
  <c r="EA184" i="8"/>
  <c r="EC184" i="8" s="1"/>
  <c r="F182" i="8"/>
  <c r="EA182" i="8"/>
  <c r="EC182" i="8" s="1"/>
  <c r="F179" i="8"/>
  <c r="EA179" i="8"/>
  <c r="EC179" i="8" s="1"/>
  <c r="C178" i="8"/>
  <c r="F178" i="8" s="1"/>
  <c r="EA178" i="8"/>
  <c r="EC178" i="8" s="1"/>
  <c r="C176" i="8"/>
  <c r="F176" i="8" s="1"/>
  <c r="EA176" i="8"/>
  <c r="EC176" i="8" s="1"/>
  <c r="F174" i="8"/>
  <c r="EA174" i="8"/>
  <c r="EC174" i="8" s="1"/>
  <c r="C173" i="8"/>
  <c r="F173" i="8" s="1"/>
  <c r="EA173" i="8"/>
  <c r="EC173" i="8" s="1"/>
  <c r="C172" i="8"/>
  <c r="F172" i="8" s="1"/>
  <c r="EA172" i="8"/>
  <c r="EC172" i="8" s="1"/>
  <c r="F170" i="8"/>
  <c r="EA170" i="8"/>
  <c r="EC170" i="8" s="1"/>
  <c r="F167" i="8"/>
  <c r="EA167" i="8"/>
  <c r="EC167" i="8" s="1"/>
  <c r="F166" i="8"/>
  <c r="EA166" i="8"/>
  <c r="EC166" i="8" s="1"/>
  <c r="H20" i="8" l="1"/>
  <c r="H22" i="12"/>
  <c r="H23" i="12" s="1"/>
  <c r="H24" i="12" s="1"/>
  <c r="H25" i="12" s="1"/>
  <c r="H26" i="12" s="1"/>
  <c r="H27" i="12" s="1"/>
  <c r="H26" i="11"/>
  <c r="BO178" i="13"/>
  <c r="BQ178" i="13" s="1"/>
  <c r="BO176" i="13"/>
  <c r="BQ176" i="13" s="1"/>
  <c r="BO175" i="13"/>
  <c r="BQ175" i="13" s="1"/>
  <c r="BO173" i="13"/>
  <c r="BQ173" i="13" s="1"/>
  <c r="BO171" i="13"/>
  <c r="BQ171" i="13" s="1"/>
  <c r="BO170" i="13"/>
  <c r="BQ170" i="13" s="1"/>
  <c r="BO169" i="13"/>
  <c r="BQ169" i="13" s="1"/>
  <c r="BO168" i="13"/>
  <c r="BQ168" i="13" s="1"/>
  <c r="BO166" i="13"/>
  <c r="BQ166" i="13" s="1"/>
  <c r="BO164" i="13"/>
  <c r="BQ164" i="13" s="1"/>
  <c r="BO163" i="13"/>
  <c r="BQ163" i="13" s="1"/>
  <c r="BO162" i="13"/>
  <c r="BQ162" i="13" s="1"/>
  <c r="BO159" i="13"/>
  <c r="BQ159" i="13" s="1"/>
  <c r="BO158" i="13"/>
  <c r="BQ158" i="13" s="1"/>
  <c r="BO157" i="13"/>
  <c r="BQ157" i="13" s="1"/>
  <c r="BO156" i="13"/>
  <c r="BQ156" i="13" s="1"/>
  <c r="BK178" i="12"/>
  <c r="BM178" i="12" s="1"/>
  <c r="BK176" i="12"/>
  <c r="BM176" i="12" s="1"/>
  <c r="BK175" i="12"/>
  <c r="BM175" i="12" s="1"/>
  <c r="BK173" i="12"/>
  <c r="BM173" i="12" s="1"/>
  <c r="BK171" i="12"/>
  <c r="BM171" i="12" s="1"/>
  <c r="BK170" i="12"/>
  <c r="BM170" i="12" s="1"/>
  <c r="BK169" i="12"/>
  <c r="BM169" i="12" s="1"/>
  <c r="BK168" i="12"/>
  <c r="BM168" i="12" s="1"/>
  <c r="BK166" i="12"/>
  <c r="BM166" i="12" s="1"/>
  <c r="BK164" i="12"/>
  <c r="BM164" i="12" s="1"/>
  <c r="BK162" i="12"/>
  <c r="BM162" i="12" s="1"/>
  <c r="BK160" i="12"/>
  <c r="BM160" i="12" s="1"/>
  <c r="BK159" i="12"/>
  <c r="BM159" i="12" s="1"/>
  <c r="BK158" i="12"/>
  <c r="BM158" i="12" s="1"/>
  <c r="BK157" i="12"/>
  <c r="BM157" i="12" s="1"/>
  <c r="BK156" i="12"/>
  <c r="BM156" i="12" s="1"/>
  <c r="BK179" i="11"/>
  <c r="BM179" i="11" s="1"/>
  <c r="BK177" i="11"/>
  <c r="BM177" i="11" s="1"/>
  <c r="BK176" i="11"/>
  <c r="BM176" i="11" s="1"/>
  <c r="BK174" i="11"/>
  <c r="BM174" i="11" s="1"/>
  <c r="BK172" i="11"/>
  <c r="BM172" i="11" s="1"/>
  <c r="BK171" i="11"/>
  <c r="BM171" i="11" s="1"/>
  <c r="BK170" i="11"/>
  <c r="BM170" i="11" s="1"/>
  <c r="BK169" i="11"/>
  <c r="BM169" i="11" s="1"/>
  <c r="BK167" i="11"/>
  <c r="BM167" i="11" s="1"/>
  <c r="BK165" i="11"/>
  <c r="BM165" i="11" s="1"/>
  <c r="BK164" i="11"/>
  <c r="BM164" i="11" s="1"/>
  <c r="BK162" i="11"/>
  <c r="BM162" i="11" s="1"/>
  <c r="BK160" i="11"/>
  <c r="BM160" i="11" s="1"/>
  <c r="BK159" i="11"/>
  <c r="BM159" i="11" s="1"/>
  <c r="BK158" i="11"/>
  <c r="BM158" i="11" s="1"/>
  <c r="BK157" i="11"/>
  <c r="BM157" i="11" s="1"/>
  <c r="EB188" i="8"/>
  <c r="ED188" i="8" s="1"/>
  <c r="EB186" i="8"/>
  <c r="ED186" i="8" s="1"/>
  <c r="EB185" i="8"/>
  <c r="ED185" i="8" s="1"/>
  <c r="EB184" i="8"/>
  <c r="ED184" i="8" s="1"/>
  <c r="EB182" i="8"/>
  <c r="ED182" i="8" s="1"/>
  <c r="EB179" i="8"/>
  <c r="ED179" i="8" s="1"/>
  <c r="EB178" i="8"/>
  <c r="ED178" i="8" s="1"/>
  <c r="EB176" i="8"/>
  <c r="ED176" i="8" s="1"/>
  <c r="EB174" i="8"/>
  <c r="ED174" i="8" s="1"/>
  <c r="EB173" i="8"/>
  <c r="ED173" i="8" s="1"/>
  <c r="EB172" i="8"/>
  <c r="ED172" i="8" s="1"/>
  <c r="EB170" i="8"/>
  <c r="ED170" i="8" s="1"/>
  <c r="EB167" i="8"/>
  <c r="ED167" i="8" s="1"/>
  <c r="EB166" i="8"/>
  <c r="ED166" i="8" s="1"/>
  <c r="I11" i="19"/>
  <c r="V11" i="19" s="1"/>
  <c r="S7" i="7"/>
  <c r="K6" i="7"/>
  <c r="C6" i="7"/>
  <c r="A192" i="2"/>
  <c r="S17" i="7"/>
  <c r="A12" i="2"/>
  <c r="A13" i="2"/>
  <c r="A14" i="2"/>
  <c r="A15" i="2"/>
  <c r="S13" i="7"/>
  <c r="S14" i="7"/>
  <c r="S15" i="7"/>
  <c r="S18" i="7"/>
  <c r="S6" i="7"/>
  <c r="S8" i="7"/>
  <c r="S9" i="7"/>
  <c r="S10" i="7"/>
  <c r="S11" i="7"/>
  <c r="S12" i="7"/>
  <c r="I184" i="13"/>
  <c r="J184" i="13"/>
  <c r="K184" i="13"/>
  <c r="L184" i="13"/>
  <c r="M184" i="13"/>
  <c r="N184" i="13"/>
  <c r="O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AT184" i="13"/>
  <c r="AU184" i="13"/>
  <c r="AV184" i="13"/>
  <c r="AW184" i="13"/>
  <c r="AX184" i="13"/>
  <c r="AW190" i="13"/>
  <c r="AW189" i="13"/>
  <c r="AW188" i="13"/>
  <c r="AW187" i="13"/>
  <c r="AW185" i="13"/>
  <c r="AW181" i="13"/>
  <c r="AW182" i="13" s="1"/>
  <c r="AW183" i="13" s="1"/>
  <c r="I4" i="13"/>
  <c r="AV190" i="13"/>
  <c r="AV189" i="13"/>
  <c r="AV188" i="13"/>
  <c r="AV187" i="13"/>
  <c r="AV185" i="13"/>
  <c r="AV181" i="13"/>
  <c r="AV182" i="13" s="1"/>
  <c r="AV183" i="13" s="1"/>
  <c r="I10" i="13"/>
  <c r="AL190" i="13"/>
  <c r="AL189" i="13"/>
  <c r="AL188" i="13"/>
  <c r="AL187" i="13"/>
  <c r="AL185" i="13"/>
  <c r="AL181" i="13"/>
  <c r="AL182" i="13" s="1"/>
  <c r="AL183" i="13" s="1"/>
  <c r="AK190" i="13"/>
  <c r="AK189" i="13"/>
  <c r="AK188" i="13"/>
  <c r="AK187" i="13"/>
  <c r="AK185" i="13"/>
  <c r="AK181" i="13"/>
  <c r="AK182" i="13" s="1"/>
  <c r="AK183" i="13" s="1"/>
  <c r="AY182" i="13"/>
  <c r="AY183" i="13" s="1"/>
  <c r="AZ182" i="13"/>
  <c r="AZ183" i="13" s="1"/>
  <c r="BA182" i="13"/>
  <c r="BA183" i="13" s="1"/>
  <c r="BB182" i="13"/>
  <c r="BB183" i="13" s="1"/>
  <c r="BC182" i="13"/>
  <c r="BC183" i="13" s="1"/>
  <c r="BD182" i="13"/>
  <c r="BD183" i="13" s="1"/>
  <c r="BE182" i="13"/>
  <c r="BE183" i="13" s="1"/>
  <c r="BF182" i="13"/>
  <c r="BF183" i="13" s="1"/>
  <c r="BG182" i="13"/>
  <c r="BG183" i="13" s="1"/>
  <c r="BH182" i="13"/>
  <c r="BH183" i="13" s="1"/>
  <c r="BI182" i="13"/>
  <c r="BI183" i="13" s="1"/>
  <c r="BJ182" i="13"/>
  <c r="BJ183" i="13" s="1"/>
  <c r="BK182" i="13"/>
  <c r="BK183" i="13" s="1"/>
  <c r="BP16" i="13"/>
  <c r="BN16" i="13"/>
  <c r="BO16" i="13" s="1"/>
  <c r="BL16" i="12"/>
  <c r="BJ16" i="12"/>
  <c r="BK16" i="12" s="1"/>
  <c r="C154" i="12"/>
  <c r="BL154" i="12"/>
  <c r="BJ154" i="12"/>
  <c r="BK154" i="12" s="1"/>
  <c r="C13" i="11"/>
  <c r="C12" i="11"/>
  <c r="C12" i="12"/>
  <c r="C13" i="12"/>
  <c r="C14" i="12"/>
  <c r="C17" i="12"/>
  <c r="C21" i="12"/>
  <c r="C45" i="12"/>
  <c r="C48" i="12"/>
  <c r="C59" i="12"/>
  <c r="C64" i="12"/>
  <c r="C65" i="12"/>
  <c r="C102" i="12"/>
  <c r="C113" i="12"/>
  <c r="C121" i="12"/>
  <c r="C132" i="12"/>
  <c r="C137" i="12"/>
  <c r="C138" i="12"/>
  <c r="C139" i="12"/>
  <c r="C141" i="12"/>
  <c r="C142" i="12"/>
  <c r="C144" i="12"/>
  <c r="C149" i="12"/>
  <c r="C150" i="12"/>
  <c r="C151" i="12"/>
  <c r="C153" i="12"/>
  <c r="C14" i="11"/>
  <c r="C25" i="11"/>
  <c r="C46" i="11"/>
  <c r="C60" i="11"/>
  <c r="C65" i="11"/>
  <c r="C66" i="11"/>
  <c r="C103" i="11"/>
  <c r="C114" i="11"/>
  <c r="C118" i="11"/>
  <c r="C133" i="11"/>
  <c r="C138" i="11"/>
  <c r="C139" i="11"/>
  <c r="C140" i="11"/>
  <c r="C142" i="11"/>
  <c r="C143" i="11"/>
  <c r="C145" i="11"/>
  <c r="C150" i="11"/>
  <c r="C151" i="11"/>
  <c r="C152" i="11"/>
  <c r="C154" i="11"/>
  <c r="C155" i="11"/>
  <c r="C13" i="8"/>
  <c r="C14" i="8"/>
  <c r="C44" i="8"/>
  <c r="C67" i="8"/>
  <c r="C73" i="8"/>
  <c r="C74" i="8"/>
  <c r="C112" i="8"/>
  <c r="C123" i="8"/>
  <c r="C127" i="8"/>
  <c r="C142" i="8"/>
  <c r="C149" i="8"/>
  <c r="C151" i="8"/>
  <c r="C152" i="8"/>
  <c r="C154" i="8"/>
  <c r="C160" i="8"/>
  <c r="C161" i="8"/>
  <c r="C163" i="8"/>
  <c r="C164" i="8"/>
  <c r="C12" i="8"/>
  <c r="C154" i="13"/>
  <c r="C153" i="13"/>
  <c r="C151" i="13"/>
  <c r="C150" i="13"/>
  <c r="C149" i="13"/>
  <c r="C144" i="13"/>
  <c r="C142" i="13"/>
  <c r="C141" i="13"/>
  <c r="C139" i="13"/>
  <c r="C138" i="13"/>
  <c r="C137" i="13"/>
  <c r="C132" i="13"/>
  <c r="C122" i="13"/>
  <c r="C113" i="13"/>
  <c r="C102" i="13"/>
  <c r="C65" i="13"/>
  <c r="C64" i="13"/>
  <c r="C59" i="13"/>
  <c r="C45" i="13"/>
  <c r="C17" i="13"/>
  <c r="C14" i="13"/>
  <c r="C13" i="13"/>
  <c r="C12" i="13"/>
  <c r="K14" i="7"/>
  <c r="K13" i="7"/>
  <c r="K12" i="7"/>
  <c r="K11" i="7"/>
  <c r="K10" i="7"/>
  <c r="K8" i="7"/>
  <c r="K7" i="7"/>
  <c r="C14" i="7"/>
  <c r="C13" i="7"/>
  <c r="C12" i="7"/>
  <c r="C11" i="7"/>
  <c r="C10" i="7"/>
  <c r="C8" i="7"/>
  <c r="C7" i="7"/>
  <c r="O14" i="6"/>
  <c r="BL54" i="12"/>
  <c r="BJ54" i="12"/>
  <c r="BK54" i="12" s="1"/>
  <c r="BL55" i="11"/>
  <c r="BJ55" i="11"/>
  <c r="BK55" i="11" s="1"/>
  <c r="EA55" i="8"/>
  <c r="EB55" i="8" s="1"/>
  <c r="U8" i="19"/>
  <c r="R8" i="19"/>
  <c r="Q8" i="19"/>
  <c r="T8" i="19"/>
  <c r="P8" i="19"/>
  <c r="O8" i="19"/>
  <c r="S8" i="19"/>
  <c r="M8" i="19"/>
  <c r="DR200" i="8"/>
  <c r="DR199" i="8"/>
  <c r="DR198" i="8"/>
  <c r="DR197" i="8"/>
  <c r="DR195" i="8"/>
  <c r="DR192" i="8"/>
  <c r="DR193" i="8" s="1"/>
  <c r="DR191" i="8"/>
  <c r="DR194" i="8" s="1"/>
  <c r="BL153" i="12"/>
  <c r="BJ153" i="12"/>
  <c r="BK153" i="12" s="1"/>
  <c r="BL152" i="12"/>
  <c r="BJ152" i="12"/>
  <c r="BK152" i="12" s="1"/>
  <c r="BL151" i="12"/>
  <c r="BJ151" i="12"/>
  <c r="BK151" i="12" s="1"/>
  <c r="BL150" i="12"/>
  <c r="BJ150" i="12"/>
  <c r="BK150" i="12" s="1"/>
  <c r="BL149" i="12"/>
  <c r="BJ149" i="12"/>
  <c r="BK149" i="12" s="1"/>
  <c r="BL148" i="12"/>
  <c r="BJ148" i="12"/>
  <c r="BK148" i="12" s="1"/>
  <c r="BL146" i="12"/>
  <c r="BJ146" i="12"/>
  <c r="BK146" i="12" s="1"/>
  <c r="BL145" i="12"/>
  <c r="BJ145" i="12"/>
  <c r="BK145" i="12" s="1"/>
  <c r="BL144" i="12"/>
  <c r="BJ144" i="12"/>
  <c r="BK144" i="12" s="1"/>
  <c r="BL140" i="12"/>
  <c r="BJ140" i="12"/>
  <c r="BK140" i="12" s="1"/>
  <c r="BL139" i="12"/>
  <c r="BJ139" i="12"/>
  <c r="BK139" i="12" s="1"/>
  <c r="BL138" i="12"/>
  <c r="BJ138" i="12"/>
  <c r="BK138" i="12" s="1"/>
  <c r="BL137" i="12"/>
  <c r="BJ137" i="12"/>
  <c r="BK137" i="12" s="1"/>
  <c r="BL136" i="12"/>
  <c r="BJ136" i="12"/>
  <c r="BK136" i="12" s="1"/>
  <c r="U9" i="19"/>
  <c r="R9" i="19"/>
  <c r="Q9" i="19"/>
  <c r="P9" i="19"/>
  <c r="O9" i="19"/>
  <c r="M9" i="19"/>
  <c r="U7" i="19"/>
  <c r="R7" i="19"/>
  <c r="Q7" i="19"/>
  <c r="P7" i="19"/>
  <c r="O7" i="19"/>
  <c r="M7" i="19"/>
  <c r="T7" i="19"/>
  <c r="S7" i="19"/>
  <c r="S9" i="19"/>
  <c r="T9" i="19"/>
  <c r="BL12" i="11"/>
  <c r="BL13" i="11"/>
  <c r="BL14" i="11"/>
  <c r="BL25" i="11"/>
  <c r="BL46" i="11"/>
  <c r="BL60" i="11"/>
  <c r="BL62" i="11"/>
  <c r="BL65" i="11"/>
  <c r="BL66" i="11"/>
  <c r="BL68" i="11"/>
  <c r="BL69" i="11"/>
  <c r="BL103" i="11"/>
  <c r="BL104" i="11"/>
  <c r="BL114" i="11"/>
  <c r="BL115" i="11"/>
  <c r="BL117" i="11"/>
  <c r="BL118" i="11"/>
  <c r="BL133" i="11"/>
  <c r="BL134" i="11"/>
  <c r="BL135" i="11"/>
  <c r="BL137" i="11"/>
  <c r="BL138" i="11"/>
  <c r="BL139" i="11"/>
  <c r="BL140" i="11"/>
  <c r="BL141" i="11"/>
  <c r="BL142" i="11"/>
  <c r="BL143" i="11"/>
  <c r="BL145" i="11"/>
  <c r="BL146" i="11"/>
  <c r="BL147" i="11"/>
  <c r="BL149" i="11"/>
  <c r="BL150" i="11"/>
  <c r="BL151" i="11"/>
  <c r="BL152" i="11"/>
  <c r="BL153" i="11"/>
  <c r="BL154" i="11"/>
  <c r="BL155" i="11"/>
  <c r="BL180" i="11"/>
  <c r="G4" i="6"/>
  <c r="E6" i="8" s="1"/>
  <c r="J184" i="12"/>
  <c r="K184" i="12"/>
  <c r="L184" i="12"/>
  <c r="M184" i="12"/>
  <c r="N184" i="12"/>
  <c r="O184" i="12"/>
  <c r="Q184" i="12"/>
  <c r="R184" i="12"/>
  <c r="S184" i="12"/>
  <c r="T184" i="12"/>
  <c r="U184" i="12"/>
  <c r="V184" i="12"/>
  <c r="W184" i="12"/>
  <c r="X184" i="12"/>
  <c r="Y184" i="12"/>
  <c r="Z184" i="12"/>
  <c r="AA184" i="12"/>
  <c r="AB184" i="12"/>
  <c r="AC184" i="12"/>
  <c r="AD184" i="12"/>
  <c r="AE184" i="12"/>
  <c r="AF184" i="12"/>
  <c r="AG184" i="12"/>
  <c r="AH184" i="12"/>
  <c r="AI184" i="12"/>
  <c r="AJ184" i="12"/>
  <c r="AK184" i="12"/>
  <c r="AL184" i="12"/>
  <c r="AM184" i="12"/>
  <c r="AN184" i="12"/>
  <c r="AO184" i="12"/>
  <c r="AP184" i="12"/>
  <c r="AQ184" i="12"/>
  <c r="AR184" i="12"/>
  <c r="AS184" i="12"/>
  <c r="AT184" i="12"/>
  <c r="I184" i="12"/>
  <c r="J185" i="11"/>
  <c r="K185" i="11"/>
  <c r="L185" i="11"/>
  <c r="M185" i="11"/>
  <c r="N185" i="11"/>
  <c r="O185" i="11"/>
  <c r="Q185" i="11"/>
  <c r="R185" i="11"/>
  <c r="S185" i="11"/>
  <c r="T185" i="11"/>
  <c r="U185" i="11"/>
  <c r="V185" i="11"/>
  <c r="W185" i="11"/>
  <c r="X185" i="11"/>
  <c r="Y185" i="11"/>
  <c r="Z185" i="11"/>
  <c r="AA185" i="11"/>
  <c r="AB185" i="11"/>
  <c r="AC185" i="11"/>
  <c r="AD185" i="11"/>
  <c r="AE185" i="11"/>
  <c r="AF185" i="11"/>
  <c r="AG185" i="11"/>
  <c r="AH185" i="11"/>
  <c r="AI185" i="11"/>
  <c r="AJ185" i="11"/>
  <c r="AK185" i="11"/>
  <c r="AL185" i="11"/>
  <c r="AM185" i="11"/>
  <c r="AN185" i="11"/>
  <c r="AO185" i="11"/>
  <c r="AP185" i="11"/>
  <c r="AQ185" i="11"/>
  <c r="AR185" i="11"/>
  <c r="AS185" i="11"/>
  <c r="AT185" i="11"/>
  <c r="I185" i="11"/>
  <c r="EA12" i="8"/>
  <c r="EB12" i="8" s="1"/>
  <c r="EA13" i="8"/>
  <c r="EB13" i="8" s="1"/>
  <c r="EA14" i="8"/>
  <c r="EB14" i="8" s="1"/>
  <c r="EA44" i="8"/>
  <c r="EB44" i="8" s="1"/>
  <c r="EA67" i="8"/>
  <c r="EB67" i="8" s="1"/>
  <c r="EA69" i="8"/>
  <c r="EB69" i="8" s="1"/>
  <c r="EA73" i="8"/>
  <c r="EB73" i="8" s="1"/>
  <c r="EA74" i="8"/>
  <c r="EB74" i="8" s="1"/>
  <c r="EA76" i="8"/>
  <c r="EB76" i="8" s="1"/>
  <c r="EA77" i="8"/>
  <c r="EB77" i="8" s="1"/>
  <c r="EA112" i="8"/>
  <c r="EB112" i="8" s="1"/>
  <c r="EA113" i="8"/>
  <c r="EB113" i="8" s="1"/>
  <c r="EA123" i="8"/>
  <c r="EB123" i="8" s="1"/>
  <c r="EA124" i="8"/>
  <c r="EB124" i="8" s="1"/>
  <c r="EA126" i="8"/>
  <c r="EB126" i="8" s="1"/>
  <c r="EA127" i="8"/>
  <c r="EB127" i="8" s="1"/>
  <c r="EA142" i="8"/>
  <c r="EB142" i="8" s="1"/>
  <c r="EA143" i="8"/>
  <c r="EB143" i="8" s="1"/>
  <c r="EA145" i="8"/>
  <c r="EB145" i="8" s="1"/>
  <c r="EA147" i="8"/>
  <c r="EC147" i="8" s="1"/>
  <c r="EA149" i="8"/>
  <c r="EB149" i="8" s="1"/>
  <c r="EA151" i="8"/>
  <c r="EB151" i="8" s="1"/>
  <c r="EA152" i="8"/>
  <c r="EB152" i="8" s="1"/>
  <c r="EA154" i="8"/>
  <c r="EB154" i="8" s="1"/>
  <c r="EA155" i="8"/>
  <c r="EB155" i="8" s="1"/>
  <c r="EA157" i="8"/>
  <c r="EB157" i="8" s="1"/>
  <c r="EA159" i="8"/>
  <c r="EB159" i="8" s="1"/>
  <c r="EA160" i="8"/>
  <c r="EB160" i="8" s="1"/>
  <c r="EA161" i="8"/>
  <c r="EB161" i="8" s="1"/>
  <c r="EA163" i="8"/>
  <c r="EB163" i="8" s="1"/>
  <c r="EA164" i="8"/>
  <c r="EB164" i="8" s="1"/>
  <c r="BJ12" i="11"/>
  <c r="BK12" i="11" s="1"/>
  <c r="BJ13" i="11"/>
  <c r="BK13" i="11" s="1"/>
  <c r="BJ14" i="11"/>
  <c r="BK14" i="11" s="1"/>
  <c r="BJ25" i="11"/>
  <c r="BK25" i="11" s="1"/>
  <c r="BJ46" i="11"/>
  <c r="BK46" i="11" s="1"/>
  <c r="BJ60" i="11"/>
  <c r="BK60" i="11" s="1"/>
  <c r="BJ62" i="11"/>
  <c r="BK62" i="11" s="1"/>
  <c r="BJ65" i="11"/>
  <c r="BK65" i="11" s="1"/>
  <c r="BJ66" i="11"/>
  <c r="BK66" i="11" s="1"/>
  <c r="BJ68" i="11"/>
  <c r="BK68" i="11" s="1"/>
  <c r="BJ69" i="11"/>
  <c r="BK69" i="11" s="1"/>
  <c r="BJ103" i="11"/>
  <c r="BJ104" i="11"/>
  <c r="BK104" i="11" s="1"/>
  <c r="BJ114" i="11"/>
  <c r="BK114" i="11" s="1"/>
  <c r="BJ115" i="11"/>
  <c r="BK115" i="11" s="1"/>
  <c r="BJ117" i="11"/>
  <c r="BK117" i="11" s="1"/>
  <c r="BJ118" i="11"/>
  <c r="BK118" i="11" s="1"/>
  <c r="BJ133" i="11"/>
  <c r="BK133" i="11" s="1"/>
  <c r="BJ134" i="11"/>
  <c r="BK134" i="11" s="1"/>
  <c r="BJ135" i="11"/>
  <c r="BK135" i="11" s="1"/>
  <c r="BJ137" i="11"/>
  <c r="BK137" i="11" s="1"/>
  <c r="BJ138" i="11"/>
  <c r="BK138" i="11" s="1"/>
  <c r="BJ139" i="11"/>
  <c r="BK139" i="11" s="1"/>
  <c r="BJ140" i="11"/>
  <c r="BK140" i="11" s="1"/>
  <c r="BJ141" i="11"/>
  <c r="BK141" i="11" s="1"/>
  <c r="BJ142" i="11"/>
  <c r="BK142" i="11" s="1"/>
  <c r="BJ143" i="11"/>
  <c r="BK143" i="11" s="1"/>
  <c r="BJ145" i="11"/>
  <c r="BK145" i="11" s="1"/>
  <c r="BJ146" i="11"/>
  <c r="BK146" i="11" s="1"/>
  <c r="BJ147" i="11"/>
  <c r="BK147" i="11" s="1"/>
  <c r="BJ149" i="11"/>
  <c r="BK149" i="11" s="1"/>
  <c r="BJ150" i="11"/>
  <c r="BK150" i="11" s="1"/>
  <c r="BJ151" i="11"/>
  <c r="BK151" i="11" s="1"/>
  <c r="BJ152" i="11"/>
  <c r="BK152" i="11" s="1"/>
  <c r="BJ153" i="11"/>
  <c r="BK153" i="11" s="1"/>
  <c r="BJ154" i="11"/>
  <c r="BK154" i="11" s="1"/>
  <c r="BJ155" i="11"/>
  <c r="BK155" i="11" s="1"/>
  <c r="BJ12" i="12"/>
  <c r="BK12" i="12" s="1"/>
  <c r="BJ13" i="12"/>
  <c r="BK13" i="12" s="1"/>
  <c r="BJ14" i="12"/>
  <c r="BK14" i="12" s="1"/>
  <c r="BJ17" i="12"/>
  <c r="BK17" i="12" s="1"/>
  <c r="BJ21" i="12"/>
  <c r="BK21" i="12" s="1"/>
  <c r="BJ45" i="12"/>
  <c r="BK45" i="12" s="1"/>
  <c r="BJ48" i="12"/>
  <c r="BK48" i="12" s="1"/>
  <c r="BJ59" i="12"/>
  <c r="BK59" i="12" s="1"/>
  <c r="BJ61" i="12"/>
  <c r="BK61" i="12" s="1"/>
  <c r="BJ64" i="12"/>
  <c r="BK64" i="12" s="1"/>
  <c r="BJ65" i="12"/>
  <c r="BK65" i="12" s="1"/>
  <c r="BJ67" i="12"/>
  <c r="BK67" i="12" s="1"/>
  <c r="BJ68" i="12"/>
  <c r="BK68" i="12" s="1"/>
  <c r="BJ102" i="12"/>
  <c r="BK102" i="12" s="1"/>
  <c r="BJ103" i="12"/>
  <c r="BK103" i="12" s="1"/>
  <c r="BJ113" i="12"/>
  <c r="BK113" i="12" s="1"/>
  <c r="BJ114" i="12"/>
  <c r="BK114" i="12" s="1"/>
  <c r="BJ120" i="12"/>
  <c r="BK120" i="12" s="1"/>
  <c r="BJ121" i="12"/>
  <c r="BK121" i="12" s="1"/>
  <c r="BJ132" i="12"/>
  <c r="BK132" i="12" s="1"/>
  <c r="BJ133" i="12"/>
  <c r="BK133" i="12" s="1"/>
  <c r="BJ134" i="12"/>
  <c r="BK134" i="12" s="1"/>
  <c r="BJ141" i="12"/>
  <c r="BK141" i="12" s="1"/>
  <c r="BJ142" i="12"/>
  <c r="BK142" i="12" s="1"/>
  <c r="BN12" i="13"/>
  <c r="BO12" i="13" s="1"/>
  <c r="BN13" i="13"/>
  <c r="BO13" i="13" s="1"/>
  <c r="BN14" i="13"/>
  <c r="BO14" i="13" s="1"/>
  <c r="BN17" i="13"/>
  <c r="BO17" i="13" s="1"/>
  <c r="BN45" i="13"/>
  <c r="BO45" i="13" s="1"/>
  <c r="BN59" i="13"/>
  <c r="BO59" i="13" s="1"/>
  <c r="BN61" i="13"/>
  <c r="BO61" i="13" s="1"/>
  <c r="BN64" i="13"/>
  <c r="BO64" i="13" s="1"/>
  <c r="BN65" i="13"/>
  <c r="BO65" i="13" s="1"/>
  <c r="BN67" i="13"/>
  <c r="BO67" i="13" s="1"/>
  <c r="BN68" i="13"/>
  <c r="BO68" i="13" s="1"/>
  <c r="BN102" i="13"/>
  <c r="BO102" i="13" s="1"/>
  <c r="BN103" i="13"/>
  <c r="BO103" i="13" s="1"/>
  <c r="BN113" i="13"/>
  <c r="BO113" i="13" s="1"/>
  <c r="BN114" i="13"/>
  <c r="BO114" i="13" s="1"/>
  <c r="BN120" i="13"/>
  <c r="BO120" i="13" s="1"/>
  <c r="BN122" i="13"/>
  <c r="BO122" i="13" s="1"/>
  <c r="BN132" i="13"/>
  <c r="BO132" i="13" s="1"/>
  <c r="BN133" i="13"/>
  <c r="BO133" i="13" s="1"/>
  <c r="BN134" i="13"/>
  <c r="BO134" i="13" s="1"/>
  <c r="BN136" i="13"/>
  <c r="BO136" i="13" s="1"/>
  <c r="BN137" i="13"/>
  <c r="BO137" i="13" s="1"/>
  <c r="BN138" i="13"/>
  <c r="BO138" i="13" s="1"/>
  <c r="BN139" i="13"/>
  <c r="BO139" i="13" s="1"/>
  <c r="BN140" i="13"/>
  <c r="BO140" i="13" s="1"/>
  <c r="BN141" i="13"/>
  <c r="BO141" i="13" s="1"/>
  <c r="BN142" i="13"/>
  <c r="BO142" i="13" s="1"/>
  <c r="BN144" i="13"/>
  <c r="BO144" i="13" s="1"/>
  <c r="BN145" i="13"/>
  <c r="BO145" i="13" s="1"/>
  <c r="BN146" i="13"/>
  <c r="BO146" i="13" s="1"/>
  <c r="BN148" i="13"/>
  <c r="BO148" i="13" s="1"/>
  <c r="BN149" i="13"/>
  <c r="BO149" i="13" s="1"/>
  <c r="BN150" i="13"/>
  <c r="BO150" i="13" s="1"/>
  <c r="BN151" i="13"/>
  <c r="BO151" i="13" s="1"/>
  <c r="BN152" i="13"/>
  <c r="BO152" i="13" s="1"/>
  <c r="BN153" i="13"/>
  <c r="BO153" i="13" s="1"/>
  <c r="BN154" i="13"/>
  <c r="BO154" i="13" s="1"/>
  <c r="I181" i="13"/>
  <c r="I182" i="13" s="1"/>
  <c r="I183" i="13" s="1"/>
  <c r="J181" i="13"/>
  <c r="J182" i="13" s="1"/>
  <c r="K181" i="13"/>
  <c r="K182" i="13" s="1"/>
  <c r="K183" i="13" s="1"/>
  <c r="L181" i="13"/>
  <c r="L182" i="13" s="1"/>
  <c r="L183" i="13" s="1"/>
  <c r="M181" i="13"/>
  <c r="M182" i="13" s="1"/>
  <c r="M183" i="13" s="1"/>
  <c r="N181" i="13"/>
  <c r="N182" i="13" s="1"/>
  <c r="N183" i="13" s="1"/>
  <c r="O181" i="13"/>
  <c r="O182" i="13" s="1"/>
  <c r="O183" i="13" s="1"/>
  <c r="Q181" i="13"/>
  <c r="Q182" i="13" s="1"/>
  <c r="Q183" i="13" s="1"/>
  <c r="R181" i="13"/>
  <c r="R182" i="13" s="1"/>
  <c r="R183" i="13" s="1"/>
  <c r="S181" i="13"/>
  <c r="S182" i="13" s="1"/>
  <c r="S183" i="13" s="1"/>
  <c r="T181" i="13"/>
  <c r="T182" i="13" s="1"/>
  <c r="T183" i="13" s="1"/>
  <c r="U181" i="13"/>
  <c r="U182" i="13" s="1"/>
  <c r="U183" i="13" s="1"/>
  <c r="V181" i="13"/>
  <c r="V182" i="13" s="1"/>
  <c r="V183" i="13" s="1"/>
  <c r="W181" i="13"/>
  <c r="W182" i="13" s="1"/>
  <c r="W183" i="13" s="1"/>
  <c r="X181" i="13"/>
  <c r="X182" i="13" s="1"/>
  <c r="X183" i="13" s="1"/>
  <c r="Y181" i="13"/>
  <c r="Y182" i="13" s="1"/>
  <c r="Y183" i="13" s="1"/>
  <c r="Z181" i="13"/>
  <c r="Z182" i="13" s="1"/>
  <c r="Z183" i="13" s="1"/>
  <c r="AA181" i="13"/>
  <c r="AA182" i="13" s="1"/>
  <c r="AA183" i="13" s="1"/>
  <c r="AB181" i="13"/>
  <c r="AB182" i="13" s="1"/>
  <c r="AB183" i="13" s="1"/>
  <c r="AC181" i="13"/>
  <c r="AC182" i="13" s="1"/>
  <c r="AC183" i="13" s="1"/>
  <c r="AD181" i="13"/>
  <c r="AD182" i="13" s="1"/>
  <c r="AD183" i="13" s="1"/>
  <c r="AE181" i="13"/>
  <c r="AE182" i="13" s="1"/>
  <c r="AE183" i="13" s="1"/>
  <c r="AF181" i="13"/>
  <c r="AF182" i="13" s="1"/>
  <c r="AF183" i="13" s="1"/>
  <c r="AG181" i="13"/>
  <c r="AG182" i="13" s="1"/>
  <c r="AG183" i="13" s="1"/>
  <c r="AH181" i="13"/>
  <c r="AH182" i="13" s="1"/>
  <c r="AH183" i="13" s="1"/>
  <c r="AI181" i="13"/>
  <c r="AI182" i="13" s="1"/>
  <c r="AI183" i="13" s="1"/>
  <c r="AJ181" i="13"/>
  <c r="AJ182" i="13" s="1"/>
  <c r="AJ183" i="13" s="1"/>
  <c r="AM181" i="13"/>
  <c r="AM182" i="13" s="1"/>
  <c r="AM183" i="13" s="1"/>
  <c r="AN181" i="13"/>
  <c r="AN182" i="13" s="1"/>
  <c r="AN183" i="13" s="1"/>
  <c r="AO181" i="13"/>
  <c r="AO182" i="13" s="1"/>
  <c r="AO183" i="13" s="1"/>
  <c r="AP181" i="13"/>
  <c r="AP182" i="13" s="1"/>
  <c r="AP183" i="13" s="1"/>
  <c r="AQ181" i="13"/>
  <c r="AQ182" i="13" s="1"/>
  <c r="AQ183" i="13" s="1"/>
  <c r="AR181" i="13"/>
  <c r="AR182" i="13" s="1"/>
  <c r="AR183" i="13" s="1"/>
  <c r="AS181" i="13"/>
  <c r="AS182" i="13" s="1"/>
  <c r="AS183" i="13" s="1"/>
  <c r="AT181" i="13"/>
  <c r="AT182" i="13" s="1"/>
  <c r="AT183" i="13" s="1"/>
  <c r="AU181" i="13"/>
  <c r="AU182" i="13" s="1"/>
  <c r="AU183" i="13" s="1"/>
  <c r="AX181" i="13"/>
  <c r="AX182" i="13" s="1"/>
  <c r="AX183" i="13" s="1"/>
  <c r="AY181" i="13"/>
  <c r="AY184" i="13" s="1"/>
  <c r="AZ181" i="13"/>
  <c r="AZ184" i="13" s="1"/>
  <c r="BA181" i="13"/>
  <c r="BA184" i="13" s="1"/>
  <c r="BB181" i="13"/>
  <c r="BB184" i="13" s="1"/>
  <c r="BC181" i="13"/>
  <c r="BC184" i="13" s="1"/>
  <c r="BD181" i="13"/>
  <c r="BD184" i="13" s="1"/>
  <c r="BE181" i="13"/>
  <c r="BE184" i="13" s="1"/>
  <c r="BF181" i="13"/>
  <c r="BF184" i="13" s="1"/>
  <c r="BG181" i="13"/>
  <c r="BG184" i="13" s="1"/>
  <c r="BH181" i="13"/>
  <c r="BH184" i="13" s="1"/>
  <c r="BI181" i="13"/>
  <c r="BI184" i="13" s="1"/>
  <c r="BJ181" i="13"/>
  <c r="BJ184" i="13" s="1"/>
  <c r="BK181" i="13"/>
  <c r="BK184" i="13" s="1"/>
  <c r="I185" i="13"/>
  <c r="J185" i="13"/>
  <c r="K185" i="13"/>
  <c r="L185" i="13"/>
  <c r="M185" i="13"/>
  <c r="N185" i="13"/>
  <c r="O185" i="13"/>
  <c r="Q185" i="13"/>
  <c r="R185" i="13"/>
  <c r="S185" i="13"/>
  <c r="T185" i="13"/>
  <c r="U185" i="13"/>
  <c r="V185" i="13"/>
  <c r="W185" i="13"/>
  <c r="X185" i="13"/>
  <c r="Y185" i="13"/>
  <c r="Z185" i="13"/>
  <c r="AA185" i="13"/>
  <c r="AB185" i="13"/>
  <c r="AC185" i="13"/>
  <c r="AD185" i="13"/>
  <c r="AE185" i="13"/>
  <c r="AF185" i="13"/>
  <c r="AG185" i="13"/>
  <c r="AH185" i="13"/>
  <c r="AI185" i="13"/>
  <c r="AJ185" i="13"/>
  <c r="AM185" i="13"/>
  <c r="AN185" i="13"/>
  <c r="AO185" i="13"/>
  <c r="AP185" i="13"/>
  <c r="AQ185" i="13"/>
  <c r="AR185" i="13"/>
  <c r="AS185" i="13"/>
  <c r="AT185" i="13"/>
  <c r="AU185" i="13"/>
  <c r="AX185" i="13"/>
  <c r="AY185" i="13"/>
  <c r="AZ185" i="13"/>
  <c r="BA185" i="13"/>
  <c r="BB185" i="13"/>
  <c r="BC185" i="13"/>
  <c r="BD185" i="13"/>
  <c r="BE185" i="13"/>
  <c r="BF185" i="13"/>
  <c r="BG185" i="13"/>
  <c r="BH185" i="13"/>
  <c r="BI185" i="13"/>
  <c r="BJ185" i="13"/>
  <c r="BK185" i="13"/>
  <c r="BP17" i="13"/>
  <c r="BP59" i="13"/>
  <c r="BP61" i="13"/>
  <c r="BP64" i="13"/>
  <c r="BP65" i="13"/>
  <c r="BP102" i="13"/>
  <c r="BP103" i="13"/>
  <c r="BP113" i="13"/>
  <c r="BP120" i="13"/>
  <c r="BP122" i="13"/>
  <c r="BP132" i="13"/>
  <c r="BP133" i="13"/>
  <c r="BP134" i="13"/>
  <c r="BP136" i="13"/>
  <c r="BP137" i="13"/>
  <c r="BP138" i="13"/>
  <c r="BP139" i="13"/>
  <c r="BP140" i="13"/>
  <c r="BP141" i="13"/>
  <c r="BP142" i="13"/>
  <c r="BP144" i="13"/>
  <c r="BP146" i="13"/>
  <c r="BP148" i="13"/>
  <c r="BP150" i="13"/>
  <c r="BP151" i="13"/>
  <c r="BP153" i="13"/>
  <c r="BP154" i="13"/>
  <c r="BP12" i="13"/>
  <c r="BL17" i="12"/>
  <c r="BL21" i="12"/>
  <c r="BL59" i="12"/>
  <c r="BL61" i="12"/>
  <c r="BL67" i="12"/>
  <c r="BL68" i="12"/>
  <c r="BL102" i="12"/>
  <c r="BL120" i="12"/>
  <c r="BL121" i="12"/>
  <c r="BL132" i="12"/>
  <c r="BL134" i="12"/>
  <c r="BL142" i="12"/>
  <c r="J181" i="12"/>
  <c r="J182" i="12" s="1"/>
  <c r="J183" i="12" s="1"/>
  <c r="K181" i="12"/>
  <c r="K182" i="12" s="1"/>
  <c r="K183" i="12" s="1"/>
  <c r="L181" i="12"/>
  <c r="L182" i="12" s="1"/>
  <c r="L183" i="12" s="1"/>
  <c r="M181" i="12"/>
  <c r="M182" i="12" s="1"/>
  <c r="M183" i="12" s="1"/>
  <c r="N181" i="12"/>
  <c r="N182" i="12" s="1"/>
  <c r="N183" i="12" s="1"/>
  <c r="O181" i="12"/>
  <c r="O182" i="12" s="1"/>
  <c r="O183" i="12" s="1"/>
  <c r="Q181" i="12"/>
  <c r="Q182" i="12" s="1"/>
  <c r="Q183" i="12" s="1"/>
  <c r="R181" i="12"/>
  <c r="R182" i="12" s="1"/>
  <c r="R183" i="12" s="1"/>
  <c r="S181" i="12"/>
  <c r="S182" i="12" s="1"/>
  <c r="S183" i="12" s="1"/>
  <c r="T181" i="12"/>
  <c r="T182" i="12" s="1"/>
  <c r="T183" i="12" s="1"/>
  <c r="U181" i="12"/>
  <c r="U182" i="12" s="1"/>
  <c r="U183" i="12" s="1"/>
  <c r="V181" i="12"/>
  <c r="V182" i="12" s="1"/>
  <c r="V183" i="12" s="1"/>
  <c r="W181" i="12"/>
  <c r="W182" i="12" s="1"/>
  <c r="W183" i="12" s="1"/>
  <c r="X181" i="12"/>
  <c r="X182" i="12" s="1"/>
  <c r="X183" i="12" s="1"/>
  <c r="Y181" i="12"/>
  <c r="Y182" i="12" s="1"/>
  <c r="Y183" i="12" s="1"/>
  <c r="Z181" i="12"/>
  <c r="Z182" i="12" s="1"/>
  <c r="Z183" i="12" s="1"/>
  <c r="AA181" i="12"/>
  <c r="AA182" i="12" s="1"/>
  <c r="AA183" i="12" s="1"/>
  <c r="AB181" i="12"/>
  <c r="AB182" i="12" s="1"/>
  <c r="AB183" i="12" s="1"/>
  <c r="AC181" i="12"/>
  <c r="AC182" i="12" s="1"/>
  <c r="AC183" i="12" s="1"/>
  <c r="AD181" i="12"/>
  <c r="AD182" i="12" s="1"/>
  <c r="AD183" i="12" s="1"/>
  <c r="AE181" i="12"/>
  <c r="AE182" i="12" s="1"/>
  <c r="AE183" i="12" s="1"/>
  <c r="AF181" i="12"/>
  <c r="AF182" i="12" s="1"/>
  <c r="AF183" i="12" s="1"/>
  <c r="AG181" i="12"/>
  <c r="AG182" i="12" s="1"/>
  <c r="AG183" i="12" s="1"/>
  <c r="AH181" i="12"/>
  <c r="AH182" i="12" s="1"/>
  <c r="AH183" i="12" s="1"/>
  <c r="AI181" i="12"/>
  <c r="AI182" i="12" s="1"/>
  <c r="AI183" i="12" s="1"/>
  <c r="AJ181" i="12"/>
  <c r="AJ182" i="12" s="1"/>
  <c r="AJ183" i="12" s="1"/>
  <c r="AK181" i="12"/>
  <c r="AK182" i="12" s="1"/>
  <c r="AK183" i="12" s="1"/>
  <c r="AL181" i="12"/>
  <c r="AL182" i="12" s="1"/>
  <c r="AL183" i="12" s="1"/>
  <c r="AM181" i="12"/>
  <c r="AM182" i="12" s="1"/>
  <c r="AM183" i="12" s="1"/>
  <c r="AN181" i="12"/>
  <c r="AN182" i="12" s="1"/>
  <c r="AN183" i="12" s="1"/>
  <c r="AO181" i="12"/>
  <c r="AO182" i="12" s="1"/>
  <c r="AO183" i="12" s="1"/>
  <c r="AP181" i="12"/>
  <c r="AP182" i="12" s="1"/>
  <c r="AP183" i="12" s="1"/>
  <c r="AQ181" i="12"/>
  <c r="AQ182" i="12" s="1"/>
  <c r="AQ183" i="12" s="1"/>
  <c r="AR181" i="12"/>
  <c r="AR182" i="12" s="1"/>
  <c r="AR183" i="12" s="1"/>
  <c r="AS181" i="12"/>
  <c r="AS182" i="12" s="1"/>
  <c r="AS183" i="12" s="1"/>
  <c r="AT181" i="12"/>
  <c r="AT182" i="12" s="1"/>
  <c r="AT183" i="12" s="1"/>
  <c r="AU181" i="12"/>
  <c r="AU184" i="12" s="1"/>
  <c r="AV181" i="12"/>
  <c r="AV184" i="12" s="1"/>
  <c r="AW181" i="12"/>
  <c r="AW184" i="12" s="1"/>
  <c r="AX181" i="12"/>
  <c r="AX184" i="12" s="1"/>
  <c r="AY181" i="12"/>
  <c r="AY184" i="12" s="1"/>
  <c r="AZ181" i="12"/>
  <c r="AZ184" i="12" s="1"/>
  <c r="BA181" i="12"/>
  <c r="BA184" i="12" s="1"/>
  <c r="BB181" i="12"/>
  <c r="BB184" i="12" s="1"/>
  <c r="BC181" i="12"/>
  <c r="BC184" i="12" s="1"/>
  <c r="BD181" i="12"/>
  <c r="BD184" i="12" s="1"/>
  <c r="BE181" i="12"/>
  <c r="BE184" i="12" s="1"/>
  <c r="BF181" i="12"/>
  <c r="BF184" i="12" s="1"/>
  <c r="BG181" i="12"/>
  <c r="BG184" i="12" s="1"/>
  <c r="AU182" i="12"/>
  <c r="AU183" i="12" s="1"/>
  <c r="AV182" i="12"/>
  <c r="AV183" i="12" s="1"/>
  <c r="AW182" i="12"/>
  <c r="AW183" i="12" s="1"/>
  <c r="AX182" i="12"/>
  <c r="AX183" i="12" s="1"/>
  <c r="AY182" i="12"/>
  <c r="AY183" i="12" s="1"/>
  <c r="AZ182" i="12"/>
  <c r="AZ183" i="12" s="1"/>
  <c r="BA182" i="12"/>
  <c r="BA183" i="12" s="1"/>
  <c r="BB182" i="12"/>
  <c r="BB183" i="12" s="1"/>
  <c r="BC182" i="12"/>
  <c r="BC183" i="12" s="1"/>
  <c r="BD182" i="12"/>
  <c r="BD183" i="12" s="1"/>
  <c r="BE182" i="12"/>
  <c r="BE183" i="12" s="1"/>
  <c r="BF182" i="12"/>
  <c r="BF183" i="12" s="1"/>
  <c r="BG182" i="12"/>
  <c r="BG183" i="12" s="1"/>
  <c r="J185" i="12"/>
  <c r="K185" i="12"/>
  <c r="L185" i="12"/>
  <c r="M185" i="12"/>
  <c r="N185" i="12"/>
  <c r="O185" i="12"/>
  <c r="Q185" i="12"/>
  <c r="R185" i="12"/>
  <c r="S185" i="12"/>
  <c r="T185" i="12"/>
  <c r="U185" i="12"/>
  <c r="V185" i="12"/>
  <c r="W185" i="12"/>
  <c r="X185" i="12"/>
  <c r="Y185" i="12"/>
  <c r="Z185" i="12"/>
  <c r="AA185" i="12"/>
  <c r="AB185" i="12"/>
  <c r="AC185" i="12"/>
  <c r="AD185" i="12"/>
  <c r="AE185" i="12"/>
  <c r="AF185" i="12"/>
  <c r="AG185" i="12"/>
  <c r="AH185" i="12"/>
  <c r="AI185" i="12"/>
  <c r="AJ185" i="12"/>
  <c r="AK185" i="12"/>
  <c r="AL185" i="12"/>
  <c r="AM185" i="12"/>
  <c r="AN185" i="12"/>
  <c r="AO185" i="12"/>
  <c r="AP185" i="12"/>
  <c r="AQ185" i="12"/>
  <c r="AR185" i="12"/>
  <c r="AS185" i="12"/>
  <c r="AT185" i="12"/>
  <c r="AU185" i="12"/>
  <c r="AV185" i="12"/>
  <c r="AW185" i="12"/>
  <c r="AX185" i="12"/>
  <c r="AY185" i="12"/>
  <c r="AZ185" i="12"/>
  <c r="BA185" i="12"/>
  <c r="BB185" i="12"/>
  <c r="BC185" i="12"/>
  <c r="BD185" i="12"/>
  <c r="BE185" i="12"/>
  <c r="BF185" i="12"/>
  <c r="BG185" i="12"/>
  <c r="I181" i="12"/>
  <c r="I182" i="12" s="1"/>
  <c r="I185" i="12"/>
  <c r="EC143" i="8"/>
  <c r="I191" i="8"/>
  <c r="I192" i="8" s="1"/>
  <c r="I194" i="8" s="1"/>
  <c r="J191" i="8"/>
  <c r="J192" i="8" s="1"/>
  <c r="J194" i="8" s="1"/>
  <c r="U191" i="8"/>
  <c r="U192" i="8" s="1"/>
  <c r="U194" i="8" s="1"/>
  <c r="AF191" i="8"/>
  <c r="AF192" i="8" s="1"/>
  <c r="AF193" i="8" s="1"/>
  <c r="AI191" i="8"/>
  <c r="AI192" i="8" s="1"/>
  <c r="AI193" i="8" s="1"/>
  <c r="AK191" i="8"/>
  <c r="AK192" i="8" s="1"/>
  <c r="AK193" i="8" s="1"/>
  <c r="AN191" i="8"/>
  <c r="AN192" i="8" s="1"/>
  <c r="AN193" i="8" s="1"/>
  <c r="AO191" i="8"/>
  <c r="AO192" i="8" s="1"/>
  <c r="AO193" i="8" s="1"/>
  <c r="AT191" i="8"/>
  <c r="AT192" i="8" s="1"/>
  <c r="AT193" i="8" s="1"/>
  <c r="AU191" i="8"/>
  <c r="AU192" i="8" s="1"/>
  <c r="AU193" i="8" s="1"/>
  <c r="AV191" i="8"/>
  <c r="AV192" i="8" s="1"/>
  <c r="AV193" i="8" s="1"/>
  <c r="AY191" i="8"/>
  <c r="AY192" i="8" s="1"/>
  <c r="AY194" i="8" s="1"/>
  <c r="BI191" i="8"/>
  <c r="DM191" i="8"/>
  <c r="DM194" i="8" s="1"/>
  <c r="DN191" i="8"/>
  <c r="DN194" i="8" s="1"/>
  <c r="DO191" i="8"/>
  <c r="DO194" i="8" s="1"/>
  <c r="DP191" i="8"/>
  <c r="DP194" i="8" s="1"/>
  <c r="DQ191" i="8"/>
  <c r="DQ194" i="8" s="1"/>
  <c r="DS191" i="8"/>
  <c r="DS194" i="8" s="1"/>
  <c r="DT191" i="8"/>
  <c r="DT194" i="8" s="1"/>
  <c r="DU191" i="8"/>
  <c r="DU194" i="8" s="1"/>
  <c r="DV191" i="8"/>
  <c r="DV194" i="8" s="1"/>
  <c r="DW191" i="8"/>
  <c r="DW194" i="8" s="1"/>
  <c r="DX191" i="8"/>
  <c r="DX194" i="8" s="1"/>
  <c r="DM192" i="8"/>
  <c r="DM193" i="8" s="1"/>
  <c r="DN192" i="8"/>
  <c r="DN193" i="8" s="1"/>
  <c r="DO192" i="8"/>
  <c r="DO193" i="8" s="1"/>
  <c r="DP192" i="8"/>
  <c r="DP193" i="8" s="1"/>
  <c r="DQ192" i="8"/>
  <c r="DQ193" i="8" s="1"/>
  <c r="DS192" i="8"/>
  <c r="DS193" i="8" s="1"/>
  <c r="DT192" i="8"/>
  <c r="DT193" i="8" s="1"/>
  <c r="DU192" i="8"/>
  <c r="DU193" i="8" s="1"/>
  <c r="DV192" i="8"/>
  <c r="DV193" i="8" s="1"/>
  <c r="DW192" i="8"/>
  <c r="DW193" i="8" s="1"/>
  <c r="DX192" i="8"/>
  <c r="DX193" i="8" s="1"/>
  <c r="I195" i="8"/>
  <c r="J195" i="8"/>
  <c r="U195" i="8"/>
  <c r="AF195" i="8"/>
  <c r="AI195" i="8"/>
  <c r="AK195" i="8"/>
  <c r="AN195" i="8"/>
  <c r="AO195" i="8"/>
  <c r="AT195" i="8"/>
  <c r="AU195" i="8"/>
  <c r="AV195" i="8"/>
  <c r="AY195" i="8"/>
  <c r="BI195" i="8"/>
  <c r="DM195" i="8"/>
  <c r="DN195" i="8"/>
  <c r="DO195" i="8"/>
  <c r="DP195" i="8"/>
  <c r="DQ195" i="8"/>
  <c r="DS195" i="8"/>
  <c r="DT195" i="8"/>
  <c r="DU195" i="8"/>
  <c r="DV195" i="8"/>
  <c r="DW195" i="8"/>
  <c r="DX195" i="8"/>
  <c r="I182" i="11"/>
  <c r="I183" i="11" s="1"/>
  <c r="J182" i="11"/>
  <c r="J183" i="11" s="1"/>
  <c r="J184" i="11" s="1"/>
  <c r="K182" i="11"/>
  <c r="K183" i="11" s="1"/>
  <c r="K184" i="11" s="1"/>
  <c r="L182" i="11"/>
  <c r="L183" i="11" s="1"/>
  <c r="L184" i="11" s="1"/>
  <c r="M182" i="11"/>
  <c r="M183" i="11" s="1"/>
  <c r="M184" i="11" s="1"/>
  <c r="N182" i="11"/>
  <c r="N183" i="11" s="1"/>
  <c r="N184" i="11" s="1"/>
  <c r="O182" i="11"/>
  <c r="O183" i="11" s="1"/>
  <c r="O184" i="11" s="1"/>
  <c r="Q182" i="11"/>
  <c r="Q183" i="11" s="1"/>
  <c r="Q184" i="11" s="1"/>
  <c r="R182" i="11"/>
  <c r="R183" i="11" s="1"/>
  <c r="R184" i="11" s="1"/>
  <c r="S182" i="11"/>
  <c r="S183" i="11" s="1"/>
  <c r="S184" i="11" s="1"/>
  <c r="T182" i="11"/>
  <c r="T183" i="11" s="1"/>
  <c r="T184" i="11" s="1"/>
  <c r="U182" i="11"/>
  <c r="U183" i="11" s="1"/>
  <c r="U184" i="11" s="1"/>
  <c r="V182" i="11"/>
  <c r="V183" i="11" s="1"/>
  <c r="V184" i="11" s="1"/>
  <c r="W182" i="11"/>
  <c r="W183" i="11" s="1"/>
  <c r="W184" i="11" s="1"/>
  <c r="X182" i="11"/>
  <c r="X183" i="11" s="1"/>
  <c r="X184" i="11" s="1"/>
  <c r="Y182" i="11"/>
  <c r="Y183" i="11" s="1"/>
  <c r="Y184" i="11" s="1"/>
  <c r="Z182" i="11"/>
  <c r="Z183" i="11" s="1"/>
  <c r="Z184" i="11" s="1"/>
  <c r="AA182" i="11"/>
  <c r="AA183" i="11" s="1"/>
  <c r="AA184" i="11" s="1"/>
  <c r="AB182" i="11"/>
  <c r="AB183" i="11" s="1"/>
  <c r="AB184" i="11" s="1"/>
  <c r="AC182" i="11"/>
  <c r="AC183" i="11" s="1"/>
  <c r="AC184" i="11" s="1"/>
  <c r="AD182" i="11"/>
  <c r="AD183" i="11" s="1"/>
  <c r="AD184" i="11" s="1"/>
  <c r="AE182" i="11"/>
  <c r="AE183" i="11" s="1"/>
  <c r="AE184" i="11" s="1"/>
  <c r="AF182" i="11"/>
  <c r="AF183" i="11" s="1"/>
  <c r="AF184" i="11" s="1"/>
  <c r="AG182" i="11"/>
  <c r="AG183" i="11" s="1"/>
  <c r="AG184" i="11" s="1"/>
  <c r="AH182" i="11"/>
  <c r="AH183" i="11" s="1"/>
  <c r="AH184" i="11" s="1"/>
  <c r="AI182" i="11"/>
  <c r="AI183" i="11" s="1"/>
  <c r="AI184" i="11" s="1"/>
  <c r="AJ182" i="11"/>
  <c r="AJ183" i="11" s="1"/>
  <c r="AJ184" i="11" s="1"/>
  <c r="AK182" i="11"/>
  <c r="AK183" i="11" s="1"/>
  <c r="AK184" i="11" s="1"/>
  <c r="AL182" i="11"/>
  <c r="AL183" i="11" s="1"/>
  <c r="AL184" i="11" s="1"/>
  <c r="AM182" i="11"/>
  <c r="AM183" i="11" s="1"/>
  <c r="AM184" i="11" s="1"/>
  <c r="AN182" i="11"/>
  <c r="AN183" i="11" s="1"/>
  <c r="AN184" i="11" s="1"/>
  <c r="AO182" i="11"/>
  <c r="AO183" i="11" s="1"/>
  <c r="AO184" i="11" s="1"/>
  <c r="AP182" i="11"/>
  <c r="AP183" i="11" s="1"/>
  <c r="AP184" i="11" s="1"/>
  <c r="AQ182" i="11"/>
  <c r="AQ183" i="11" s="1"/>
  <c r="AQ184" i="11" s="1"/>
  <c r="AR182" i="11"/>
  <c r="AR183" i="11" s="1"/>
  <c r="AR184" i="11" s="1"/>
  <c r="AS182" i="11"/>
  <c r="AS183" i="11" s="1"/>
  <c r="AS184" i="11" s="1"/>
  <c r="AT182" i="11"/>
  <c r="AT183" i="11" s="1"/>
  <c r="AT184" i="11" s="1"/>
  <c r="AU182" i="11"/>
  <c r="AU185" i="11" s="1"/>
  <c r="AV182" i="11"/>
  <c r="AV185" i="11" s="1"/>
  <c r="AW182" i="11"/>
  <c r="AW185" i="11" s="1"/>
  <c r="AX182" i="11"/>
  <c r="AX185" i="11" s="1"/>
  <c r="AY182" i="11"/>
  <c r="AY185" i="11" s="1"/>
  <c r="AZ182" i="11"/>
  <c r="AZ185" i="11" s="1"/>
  <c r="BA182" i="11"/>
  <c r="BA185" i="11" s="1"/>
  <c r="BB182" i="11"/>
  <c r="BB185" i="11" s="1"/>
  <c r="BC182" i="11"/>
  <c r="BC185" i="11" s="1"/>
  <c r="BD182" i="11"/>
  <c r="BD185" i="11" s="1"/>
  <c r="BE182" i="11"/>
  <c r="BE185" i="11" s="1"/>
  <c r="BF182" i="11"/>
  <c r="BF185" i="11" s="1"/>
  <c r="BG182" i="11"/>
  <c r="BG185" i="11" s="1"/>
  <c r="AU183" i="11"/>
  <c r="AU184" i="11" s="1"/>
  <c r="AV183" i="11"/>
  <c r="AV184" i="11" s="1"/>
  <c r="AW183" i="11"/>
  <c r="AW184" i="11" s="1"/>
  <c r="AX183" i="11"/>
  <c r="AX184" i="11" s="1"/>
  <c r="AY183" i="11"/>
  <c r="AY184" i="11" s="1"/>
  <c r="AZ183" i="11"/>
  <c r="AZ184" i="11" s="1"/>
  <c r="BA183" i="11"/>
  <c r="BA184" i="11" s="1"/>
  <c r="BB183" i="11"/>
  <c r="BB184" i="11" s="1"/>
  <c r="BC183" i="11"/>
  <c r="BC184" i="11" s="1"/>
  <c r="BD183" i="11"/>
  <c r="BD184" i="11" s="1"/>
  <c r="BE183" i="11"/>
  <c r="BE184" i="11" s="1"/>
  <c r="BF183" i="11"/>
  <c r="BF184" i="11" s="1"/>
  <c r="BG183" i="11"/>
  <c r="BG184" i="11" s="1"/>
  <c r="I186" i="11"/>
  <c r="J186" i="11"/>
  <c r="K186" i="11"/>
  <c r="L186" i="11"/>
  <c r="M186" i="11"/>
  <c r="N186" i="11"/>
  <c r="O186" i="11"/>
  <c r="Q186" i="11"/>
  <c r="R186" i="11"/>
  <c r="S186" i="11"/>
  <c r="T186" i="11"/>
  <c r="U186" i="11"/>
  <c r="V186" i="11"/>
  <c r="W186" i="11"/>
  <c r="X186" i="11"/>
  <c r="Y186" i="11"/>
  <c r="Z186" i="11"/>
  <c r="AA186" i="11"/>
  <c r="AB186" i="11"/>
  <c r="AC186" i="11"/>
  <c r="AD186" i="11"/>
  <c r="AE186" i="11"/>
  <c r="AF186" i="11"/>
  <c r="AG186" i="11"/>
  <c r="AH186" i="11"/>
  <c r="AI186" i="11"/>
  <c r="AJ186" i="11"/>
  <c r="AK186" i="11"/>
  <c r="AL186" i="11"/>
  <c r="AM186" i="11"/>
  <c r="AN186" i="11"/>
  <c r="AO186" i="11"/>
  <c r="AP186" i="11"/>
  <c r="AQ186" i="11"/>
  <c r="AR186" i="11"/>
  <c r="AS186" i="11"/>
  <c r="AT186" i="11"/>
  <c r="AU186" i="11"/>
  <c r="AV186" i="11"/>
  <c r="AW186" i="11"/>
  <c r="AX186" i="11"/>
  <c r="AY186" i="11"/>
  <c r="AZ186" i="11"/>
  <c r="BA186" i="11"/>
  <c r="BB186" i="11"/>
  <c r="BC186" i="11"/>
  <c r="BD186" i="11"/>
  <c r="BE186" i="11"/>
  <c r="BF186" i="11"/>
  <c r="BG186" i="11"/>
  <c r="AY191" i="11"/>
  <c r="AY190" i="11"/>
  <c r="AY189" i="11"/>
  <c r="AY188" i="11"/>
  <c r="AX191" i="11"/>
  <c r="AX190" i="11"/>
  <c r="AX189" i="11"/>
  <c r="AX188" i="11"/>
  <c r="DV200" i="8"/>
  <c r="DV199" i="8"/>
  <c r="DV198" i="8"/>
  <c r="DV197" i="8"/>
  <c r="DU200" i="8"/>
  <c r="DU199" i="8"/>
  <c r="DU198" i="8"/>
  <c r="DU197" i="8"/>
  <c r="BP67" i="13"/>
  <c r="BP14" i="13"/>
  <c r="BP145" i="13"/>
  <c r="BP149" i="13"/>
  <c r="BP114" i="13"/>
  <c r="BP68" i="13"/>
  <c r="BP45" i="13"/>
  <c r="BP13" i="13"/>
  <c r="BP152" i="13"/>
  <c r="BL114" i="12"/>
  <c r="BL64" i="12"/>
  <c r="BL45" i="12"/>
  <c r="BL14" i="12"/>
  <c r="BL12" i="12"/>
  <c r="BL141" i="12"/>
  <c r="BL113" i="12"/>
  <c r="BL103" i="12"/>
  <c r="BL65" i="12"/>
  <c r="BL48" i="12"/>
  <c r="BL133" i="12"/>
  <c r="BL13" i="12"/>
  <c r="EC154" i="8"/>
  <c r="EC13" i="8"/>
  <c r="C12" i="4"/>
  <c r="D12" i="4"/>
  <c r="E12" i="4"/>
  <c r="F12" i="4"/>
  <c r="S190" i="13"/>
  <c r="S189" i="13"/>
  <c r="S188" i="13"/>
  <c r="S187" i="13"/>
  <c r="R190" i="13"/>
  <c r="R189" i="13"/>
  <c r="R188" i="13"/>
  <c r="R187" i="13"/>
  <c r="F1" i="20"/>
  <c r="B1" i="21"/>
  <c r="K2" i="18"/>
  <c r="K1" i="18"/>
  <c r="BI190" i="13"/>
  <c r="BI189" i="13"/>
  <c r="BI188" i="13"/>
  <c r="BI187" i="13"/>
  <c r="BH190" i="13"/>
  <c r="BH189" i="13"/>
  <c r="BH188" i="13"/>
  <c r="BH187" i="13"/>
  <c r="BG190" i="13"/>
  <c r="BG189" i="13"/>
  <c r="BG188" i="13"/>
  <c r="BG187" i="13"/>
  <c r="BF190" i="13"/>
  <c r="BF189" i="13"/>
  <c r="BF188" i="13"/>
  <c r="BF187" i="13"/>
  <c r="BE190" i="13"/>
  <c r="BE189" i="13"/>
  <c r="BE188" i="13"/>
  <c r="BE187" i="13"/>
  <c r="BD190" i="13"/>
  <c r="BD189" i="13"/>
  <c r="BD188" i="13"/>
  <c r="BD187" i="13"/>
  <c r="BC190" i="13"/>
  <c r="BC189" i="13"/>
  <c r="BC188" i="13"/>
  <c r="BC187" i="13"/>
  <c r="BB190" i="13"/>
  <c r="BB189" i="13"/>
  <c r="BB188" i="13"/>
  <c r="BB187" i="13"/>
  <c r="BA190" i="13"/>
  <c r="BA189" i="13"/>
  <c r="BA188" i="13"/>
  <c r="BA187" i="13"/>
  <c r="I3" i="13"/>
  <c r="I3" i="12"/>
  <c r="I4" i="12"/>
  <c r="I3" i="8"/>
  <c r="I4" i="8"/>
  <c r="I3" i="11"/>
  <c r="I4" i="11"/>
  <c r="BG190" i="12"/>
  <c r="BG189" i="12"/>
  <c r="BG188" i="12"/>
  <c r="BG187" i="12"/>
  <c r="I10" i="12"/>
  <c r="J10" i="12" s="1"/>
  <c r="K10" i="12" s="1"/>
  <c r="BF190" i="12"/>
  <c r="BF189" i="12"/>
  <c r="BF188" i="12"/>
  <c r="BF187" i="12"/>
  <c r="BE190" i="12"/>
  <c r="BE189" i="12"/>
  <c r="BE188" i="12"/>
  <c r="BE187" i="12"/>
  <c r="BD190" i="12"/>
  <c r="BD189" i="12"/>
  <c r="BD188" i="12"/>
  <c r="BD187" i="12"/>
  <c r="BC190" i="12"/>
  <c r="BC189" i="12"/>
  <c r="BC188" i="12"/>
  <c r="BC187" i="12"/>
  <c r="BB190" i="12"/>
  <c r="BB189" i="12"/>
  <c r="BB188" i="12"/>
  <c r="BB187" i="12"/>
  <c r="BA190" i="12"/>
  <c r="BA189" i="12"/>
  <c r="BA188" i="12"/>
  <c r="BA187" i="12"/>
  <c r="AZ190" i="12"/>
  <c r="AZ189" i="12"/>
  <c r="AZ188" i="12"/>
  <c r="AZ187" i="12"/>
  <c r="I10" i="8"/>
  <c r="DX200" i="8"/>
  <c r="DX199" i="8"/>
  <c r="DX198" i="8"/>
  <c r="DX197" i="8"/>
  <c r="DW200" i="8"/>
  <c r="DW199" i="8"/>
  <c r="DW198" i="8"/>
  <c r="DW197" i="8"/>
  <c r="DT200" i="8"/>
  <c r="DT199" i="8"/>
  <c r="DT198" i="8"/>
  <c r="DT197" i="8"/>
  <c r="DS200" i="8"/>
  <c r="DS199" i="8"/>
  <c r="DS198" i="8"/>
  <c r="DS197" i="8"/>
  <c r="DQ200" i="8"/>
  <c r="DQ199" i="8"/>
  <c r="DQ198" i="8"/>
  <c r="DQ197" i="8"/>
  <c r="DP200" i="8"/>
  <c r="DP199" i="8"/>
  <c r="DP198" i="8"/>
  <c r="DP197" i="8"/>
  <c r="DO200" i="8"/>
  <c r="DO199" i="8"/>
  <c r="DO198" i="8"/>
  <c r="DO197" i="8"/>
  <c r="DN200" i="8"/>
  <c r="DN199" i="8"/>
  <c r="DN198" i="8"/>
  <c r="DN197" i="8"/>
  <c r="AV191" i="11"/>
  <c r="AV190" i="11"/>
  <c r="AV189" i="11"/>
  <c r="AV188" i="11"/>
  <c r="I10" i="11"/>
  <c r="J10" i="11" s="1"/>
  <c r="K10" i="11" s="1"/>
  <c r="L10" i="11" s="1"/>
  <c r="M10" i="11" s="1"/>
  <c r="N10" i="11" s="1"/>
  <c r="O10" i="11" s="1"/>
  <c r="AU191" i="11"/>
  <c r="AU190" i="11"/>
  <c r="AU189" i="11"/>
  <c r="AU188" i="11"/>
  <c r="BC191" i="11"/>
  <c r="BC190" i="11"/>
  <c r="BC189" i="11"/>
  <c r="BC188" i="11"/>
  <c r="BA191" i="11"/>
  <c r="BA190" i="11"/>
  <c r="BA189" i="11"/>
  <c r="BA188" i="11"/>
  <c r="AZ191" i="11"/>
  <c r="AZ190" i="11"/>
  <c r="AZ189" i="11"/>
  <c r="AZ188" i="11"/>
  <c r="AW191" i="11"/>
  <c r="AW190" i="11"/>
  <c r="AW189" i="11"/>
  <c r="AW188" i="11"/>
  <c r="AT191" i="11"/>
  <c r="AT190" i="11"/>
  <c r="AT189" i="11"/>
  <c r="AT188" i="11"/>
  <c r="AS191" i="11"/>
  <c r="AS190" i="11"/>
  <c r="AS189" i="11"/>
  <c r="AS188" i="11"/>
  <c r="DM200" i="8"/>
  <c r="DM199" i="8"/>
  <c r="DM198" i="8"/>
  <c r="DM197" i="8"/>
  <c r="BI200" i="8"/>
  <c r="BI199" i="8"/>
  <c r="BI198" i="8"/>
  <c r="BI197" i="8"/>
  <c r="A1" i="18"/>
  <c r="U12" i="19"/>
  <c r="R12" i="19"/>
  <c r="Q12" i="19"/>
  <c r="P12" i="19"/>
  <c r="O12" i="19"/>
  <c r="M12" i="19"/>
  <c r="O11" i="6"/>
  <c r="O8" i="6"/>
  <c r="O7" i="6"/>
  <c r="O10" i="6"/>
  <c r="D1" i="13"/>
  <c r="A237" i="10"/>
  <c r="O11" i="19"/>
  <c r="D2" i="19"/>
  <c r="U11" i="19"/>
  <c r="R11" i="19"/>
  <c r="Q11" i="19"/>
  <c r="P11" i="19"/>
  <c r="M11" i="19"/>
  <c r="A3" i="11"/>
  <c r="A3" i="12"/>
  <c r="B1" i="15"/>
  <c r="EA195" i="8"/>
  <c r="A1" i="4"/>
  <c r="D1" i="12"/>
  <c r="D1" i="11"/>
  <c r="BK190" i="13"/>
  <c r="BJ190" i="13"/>
  <c r="AZ190" i="13"/>
  <c r="AY190" i="13"/>
  <c r="AX190" i="13"/>
  <c r="AU190" i="13"/>
  <c r="AT190" i="13"/>
  <c r="AS190" i="13"/>
  <c r="AR190" i="13"/>
  <c r="AQ190" i="13"/>
  <c r="AP190" i="13"/>
  <c r="AO190" i="13"/>
  <c r="AN190" i="13"/>
  <c r="AM190" i="13"/>
  <c r="AJ190" i="13"/>
  <c r="AI190" i="13"/>
  <c r="AH190" i="13"/>
  <c r="AG190" i="13"/>
  <c r="AF190" i="13"/>
  <c r="AE190" i="13"/>
  <c r="AD190" i="13"/>
  <c r="AC190" i="13"/>
  <c r="AB190" i="13"/>
  <c r="AA190" i="13"/>
  <c r="Z190" i="13"/>
  <c r="Y190" i="13"/>
  <c r="X190" i="13"/>
  <c r="W190" i="13"/>
  <c r="V190" i="13"/>
  <c r="U190" i="13"/>
  <c r="T190" i="13"/>
  <c r="Q190" i="13"/>
  <c r="O190" i="13"/>
  <c r="N190" i="13"/>
  <c r="M190" i="13"/>
  <c r="L190" i="13"/>
  <c r="K190" i="13"/>
  <c r="J190" i="13"/>
  <c r="I190" i="13"/>
  <c r="E190" i="13"/>
  <c r="BK189" i="13"/>
  <c r="BJ189" i="13"/>
  <c r="AZ189" i="13"/>
  <c r="AY189" i="13"/>
  <c r="AX189" i="13"/>
  <c r="AU189" i="13"/>
  <c r="AT189" i="13"/>
  <c r="AS189" i="13"/>
  <c r="AR189" i="13"/>
  <c r="AQ189" i="13"/>
  <c r="AP189" i="13"/>
  <c r="AO189" i="13"/>
  <c r="AN189" i="13"/>
  <c r="AM189" i="13"/>
  <c r="AJ189" i="13"/>
  <c r="AI189" i="13"/>
  <c r="AH189" i="13"/>
  <c r="AG189" i="13"/>
  <c r="AF189" i="13"/>
  <c r="AE189" i="13"/>
  <c r="AD189" i="13"/>
  <c r="AC189" i="13"/>
  <c r="AB189" i="13"/>
  <c r="AA189" i="13"/>
  <c r="Z189" i="13"/>
  <c r="Y189" i="13"/>
  <c r="X189" i="13"/>
  <c r="W189" i="13"/>
  <c r="V189" i="13"/>
  <c r="U189" i="13"/>
  <c r="T189" i="13"/>
  <c r="Q189" i="13"/>
  <c r="O189" i="13"/>
  <c r="N189" i="13"/>
  <c r="M189" i="13"/>
  <c r="L189" i="13"/>
  <c r="K189" i="13"/>
  <c r="J189" i="13"/>
  <c r="I189" i="13"/>
  <c r="E189" i="13"/>
  <c r="BK188" i="13"/>
  <c r="BJ188" i="13"/>
  <c r="AZ188" i="13"/>
  <c r="AY188" i="13"/>
  <c r="AX188" i="13"/>
  <c r="AU188" i="13"/>
  <c r="AT188" i="13"/>
  <c r="AS188" i="13"/>
  <c r="AR188" i="13"/>
  <c r="AQ188" i="13"/>
  <c r="AP188" i="13"/>
  <c r="AO188" i="13"/>
  <c r="AN188" i="13"/>
  <c r="AM188" i="13"/>
  <c r="AJ188" i="13"/>
  <c r="AI188" i="13"/>
  <c r="AH188" i="13"/>
  <c r="AG188" i="13"/>
  <c r="AF188" i="13"/>
  <c r="AE188" i="13"/>
  <c r="AD188" i="13"/>
  <c r="AC188" i="13"/>
  <c r="AB188" i="13"/>
  <c r="AA188" i="13"/>
  <c r="Z188" i="13"/>
  <c r="Y188" i="13"/>
  <c r="X188" i="13"/>
  <c r="W188" i="13"/>
  <c r="V188" i="13"/>
  <c r="U188" i="13"/>
  <c r="T188" i="13"/>
  <c r="Q188" i="13"/>
  <c r="O188" i="13"/>
  <c r="N188" i="13"/>
  <c r="M188" i="13"/>
  <c r="L188" i="13"/>
  <c r="K188" i="13"/>
  <c r="J188" i="13"/>
  <c r="I188" i="13"/>
  <c r="E188" i="13"/>
  <c r="BK187" i="13"/>
  <c r="BJ187" i="13"/>
  <c r="AZ187" i="13"/>
  <c r="AY187" i="13"/>
  <c r="AX187" i="13"/>
  <c r="AU187" i="13"/>
  <c r="AT187" i="13"/>
  <c r="AS187" i="13"/>
  <c r="AR187" i="13"/>
  <c r="AQ187" i="13"/>
  <c r="AP187" i="13"/>
  <c r="AO187" i="13"/>
  <c r="AN187" i="13"/>
  <c r="AM187" i="13"/>
  <c r="AJ187" i="13"/>
  <c r="AI187" i="13"/>
  <c r="AH187" i="13"/>
  <c r="AG187" i="13"/>
  <c r="AF187" i="13"/>
  <c r="AE187" i="13"/>
  <c r="AD187" i="13"/>
  <c r="AC187" i="13"/>
  <c r="AB187" i="13"/>
  <c r="AA187" i="13"/>
  <c r="Z187" i="13"/>
  <c r="Y187" i="13"/>
  <c r="X187" i="13"/>
  <c r="W187" i="13"/>
  <c r="V187" i="13"/>
  <c r="U187" i="13"/>
  <c r="T187" i="13"/>
  <c r="Q187" i="13"/>
  <c r="O187" i="13"/>
  <c r="N187" i="13"/>
  <c r="M187" i="13"/>
  <c r="L187" i="13"/>
  <c r="K187" i="13"/>
  <c r="J187" i="13"/>
  <c r="I187" i="13"/>
  <c r="E187" i="13"/>
  <c r="BN186" i="13"/>
  <c r="BN185" i="13"/>
  <c r="BN182" i="13"/>
  <c r="BP10" i="13"/>
  <c r="BO10" i="13"/>
  <c r="BN10" i="13"/>
  <c r="BM9" i="13"/>
  <c r="BK9" i="13"/>
  <c r="BJ9" i="13"/>
  <c r="AZ9" i="13"/>
  <c r="AY9" i="13"/>
  <c r="AX9" i="13"/>
  <c r="AU9" i="13"/>
  <c r="AT9" i="13"/>
  <c r="AS9" i="13"/>
  <c r="AR9" i="13"/>
  <c r="AQ9" i="13"/>
  <c r="AP9" i="13"/>
  <c r="AO9" i="13"/>
  <c r="AN9" i="13"/>
  <c r="AM9" i="13"/>
  <c r="AJ9" i="13"/>
  <c r="AI9" i="13"/>
  <c r="AH9" i="13"/>
  <c r="AG9" i="13"/>
  <c r="AF9" i="13"/>
  <c r="AE9" i="13"/>
  <c r="AD9" i="13"/>
  <c r="AC9" i="13"/>
  <c r="AB9" i="13"/>
  <c r="AA9" i="13"/>
  <c r="Z9" i="13"/>
  <c r="Y9" i="13"/>
  <c r="X9" i="13"/>
  <c r="W9" i="13"/>
  <c r="V9" i="13"/>
  <c r="U9" i="13"/>
  <c r="T9" i="13"/>
  <c r="Q9" i="13"/>
  <c r="O9" i="13"/>
  <c r="N9" i="13"/>
  <c r="M9" i="13"/>
  <c r="L9" i="13"/>
  <c r="K9" i="13"/>
  <c r="J9" i="13"/>
  <c r="I9" i="13"/>
  <c r="A3" i="13"/>
  <c r="E190" i="12"/>
  <c r="E189" i="12"/>
  <c r="E188" i="12"/>
  <c r="E187" i="12"/>
  <c r="BJ186" i="12"/>
  <c r="BJ185" i="12"/>
  <c r="BJ182" i="12"/>
  <c r="BL10" i="12"/>
  <c r="BK10" i="12"/>
  <c r="BJ10" i="12"/>
  <c r="BI9" i="12"/>
  <c r="AY9" i="12"/>
  <c r="AX9" i="12"/>
  <c r="AW9" i="12"/>
  <c r="AV9" i="12"/>
  <c r="AU9" i="12"/>
  <c r="AT9" i="12"/>
  <c r="AS9" i="12"/>
  <c r="AR9" i="12"/>
  <c r="AQ9" i="12"/>
  <c r="AP9" i="12"/>
  <c r="AO9" i="12"/>
  <c r="AN9" i="12"/>
  <c r="AM9" i="12"/>
  <c r="AL9" i="12"/>
  <c r="AK9" i="12"/>
  <c r="AJ9" i="12"/>
  <c r="AI9" i="12"/>
  <c r="AH9" i="12"/>
  <c r="AG9" i="12"/>
  <c r="AF9" i="12"/>
  <c r="AE9" i="12"/>
  <c r="AA9" i="12"/>
  <c r="Z9" i="12"/>
  <c r="Y9" i="12"/>
  <c r="X9" i="12"/>
  <c r="W9" i="12"/>
  <c r="V9" i="12"/>
  <c r="U9" i="12"/>
  <c r="T9" i="12"/>
  <c r="S9" i="12"/>
  <c r="R9" i="12"/>
  <c r="Q9" i="12"/>
  <c r="O9" i="12"/>
  <c r="N9" i="12"/>
  <c r="M9" i="12"/>
  <c r="L9" i="12"/>
  <c r="K9" i="12"/>
  <c r="J9" i="12"/>
  <c r="I9" i="12"/>
  <c r="BG191" i="11"/>
  <c r="BF191" i="11"/>
  <c r="BE191" i="11"/>
  <c r="BD191" i="11"/>
  <c r="BB191" i="11"/>
  <c r="AR191" i="11"/>
  <c r="AQ191" i="11"/>
  <c r="AP191" i="11"/>
  <c r="AO191" i="11"/>
  <c r="AN191" i="11"/>
  <c r="AM191" i="11"/>
  <c r="AL191" i="11"/>
  <c r="AK191" i="11"/>
  <c r="AJ191" i="11"/>
  <c r="AI191" i="11"/>
  <c r="AH191" i="11"/>
  <c r="AG191" i="11"/>
  <c r="AF191" i="11"/>
  <c r="AE191" i="11"/>
  <c r="AD191" i="11"/>
  <c r="AC191" i="11"/>
  <c r="AB191" i="11"/>
  <c r="AA191" i="11"/>
  <c r="Z191" i="11"/>
  <c r="Y191" i="11"/>
  <c r="X191" i="11"/>
  <c r="W191" i="11"/>
  <c r="V191" i="11"/>
  <c r="U191" i="11"/>
  <c r="T191" i="11"/>
  <c r="S191" i="11"/>
  <c r="R191" i="11"/>
  <c r="Q191" i="11"/>
  <c r="O191" i="11"/>
  <c r="N191" i="11"/>
  <c r="M191" i="11"/>
  <c r="L191" i="11"/>
  <c r="K191" i="11"/>
  <c r="J191" i="11"/>
  <c r="I191" i="11"/>
  <c r="E191" i="11"/>
  <c r="BG190" i="11"/>
  <c r="BF190" i="11"/>
  <c r="BE190" i="11"/>
  <c r="BD190" i="11"/>
  <c r="BB190" i="11"/>
  <c r="AR190" i="11"/>
  <c r="AQ190" i="11"/>
  <c r="AP190" i="11"/>
  <c r="AO190" i="11"/>
  <c r="AN190" i="11"/>
  <c r="AM190" i="11"/>
  <c r="AL190" i="11"/>
  <c r="AK190" i="11"/>
  <c r="AJ190" i="11"/>
  <c r="AI190" i="11"/>
  <c r="AH190" i="11"/>
  <c r="AG190" i="11"/>
  <c r="AF190" i="11"/>
  <c r="AE190" i="11"/>
  <c r="AD190" i="11"/>
  <c r="AC190" i="11"/>
  <c r="AB190" i="11"/>
  <c r="AA190" i="11"/>
  <c r="Z190" i="11"/>
  <c r="Y190" i="11"/>
  <c r="X190" i="11"/>
  <c r="W190" i="11"/>
  <c r="V190" i="11"/>
  <c r="U190" i="11"/>
  <c r="T190" i="11"/>
  <c r="S190" i="11"/>
  <c r="R190" i="11"/>
  <c r="Q190" i="11"/>
  <c r="O190" i="11"/>
  <c r="N190" i="11"/>
  <c r="M190" i="11"/>
  <c r="L190" i="11"/>
  <c r="K190" i="11"/>
  <c r="J190" i="11"/>
  <c r="I190" i="11"/>
  <c r="E190" i="11"/>
  <c r="BG189" i="11"/>
  <c r="BF189" i="11"/>
  <c r="BE189" i="11"/>
  <c r="BD189" i="11"/>
  <c r="BB189" i="11"/>
  <c r="AR189" i="11"/>
  <c r="AQ189" i="11"/>
  <c r="AP189" i="11"/>
  <c r="AO189" i="11"/>
  <c r="AN189" i="11"/>
  <c r="AM189" i="11"/>
  <c r="AL189" i="11"/>
  <c r="AK189" i="11"/>
  <c r="AJ189" i="11"/>
  <c r="AI189" i="11"/>
  <c r="AH189" i="11"/>
  <c r="AG189" i="11"/>
  <c r="AF189" i="11"/>
  <c r="AE189" i="11"/>
  <c r="AD189" i="11"/>
  <c r="AC189" i="11"/>
  <c r="AB189" i="11"/>
  <c r="AA189" i="11"/>
  <c r="Z189" i="11"/>
  <c r="Y189" i="11"/>
  <c r="X189" i="11"/>
  <c r="W189" i="11"/>
  <c r="V189" i="11"/>
  <c r="U189" i="11"/>
  <c r="T189" i="11"/>
  <c r="S189" i="11"/>
  <c r="R189" i="11"/>
  <c r="Q189" i="11"/>
  <c r="O189" i="11"/>
  <c r="N189" i="11"/>
  <c r="M189" i="11"/>
  <c r="L189" i="11"/>
  <c r="K189" i="11"/>
  <c r="J189" i="11"/>
  <c r="I189" i="11"/>
  <c r="E189" i="11"/>
  <c r="BG188" i="11"/>
  <c r="BF188" i="11"/>
  <c r="BE188" i="11"/>
  <c r="BD188" i="11"/>
  <c r="BB188" i="11"/>
  <c r="AR188" i="11"/>
  <c r="AQ188" i="11"/>
  <c r="AP188" i="11"/>
  <c r="AO188" i="11"/>
  <c r="AN188" i="11"/>
  <c r="AM188" i="11"/>
  <c r="AL188" i="11"/>
  <c r="AK188" i="11"/>
  <c r="AJ188" i="11"/>
  <c r="AI188" i="11"/>
  <c r="AH188" i="11"/>
  <c r="AG188" i="11"/>
  <c r="AF188" i="11"/>
  <c r="AE188" i="11"/>
  <c r="AD188" i="11"/>
  <c r="AC188" i="11"/>
  <c r="AB188" i="11"/>
  <c r="AA188" i="11"/>
  <c r="Z188" i="11"/>
  <c r="Y188" i="11"/>
  <c r="X188" i="11"/>
  <c r="W188" i="11"/>
  <c r="V188" i="11"/>
  <c r="U188" i="11"/>
  <c r="T188" i="11"/>
  <c r="S188" i="11"/>
  <c r="R188" i="11"/>
  <c r="Q188" i="11"/>
  <c r="O188" i="11"/>
  <c r="N188" i="11"/>
  <c r="M188" i="11"/>
  <c r="L188" i="11"/>
  <c r="K188" i="11"/>
  <c r="J188" i="11"/>
  <c r="I188" i="11"/>
  <c r="E188" i="11"/>
  <c r="BJ187" i="11"/>
  <c r="BJ186" i="11"/>
  <c r="BJ183" i="11"/>
  <c r="BL10" i="11"/>
  <c r="BK10" i="11"/>
  <c r="BJ10" i="11"/>
  <c r="BG9" i="11"/>
  <c r="BF9" i="11"/>
  <c r="BE9" i="11"/>
  <c r="BD9" i="11"/>
  <c r="BB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O9" i="11"/>
  <c r="N9" i="11"/>
  <c r="M9" i="11"/>
  <c r="L9" i="11"/>
  <c r="K9" i="11"/>
  <c r="J9" i="11"/>
  <c r="I9" i="11"/>
  <c r="D1" i="8"/>
  <c r="AY200" i="8"/>
  <c r="AY199" i="8"/>
  <c r="AY198" i="8"/>
  <c r="AY197" i="8"/>
  <c r="AY9" i="8"/>
  <c r="I9" i="8"/>
  <c r="I197" i="8"/>
  <c r="I198" i="8"/>
  <c r="I199" i="8"/>
  <c r="I200" i="8"/>
  <c r="J199" i="8"/>
  <c r="U199" i="8"/>
  <c r="AF199" i="8"/>
  <c r="AK199" i="8"/>
  <c r="AN199" i="8"/>
  <c r="AO199" i="8"/>
  <c r="AT199" i="8"/>
  <c r="AU199" i="8"/>
  <c r="AV199" i="8"/>
  <c r="A3" i="8"/>
  <c r="O184" i="10"/>
  <c r="EC10" i="8"/>
  <c r="EB10" i="8"/>
  <c r="EA10" i="8"/>
  <c r="EA196" i="8"/>
  <c r="EA192" i="8"/>
  <c r="AI199" i="8"/>
  <c r="A5" i="1"/>
  <c r="E200" i="8"/>
  <c r="E199" i="8"/>
  <c r="E198" i="8"/>
  <c r="E197" i="8"/>
  <c r="J197" i="8"/>
  <c r="U197" i="8"/>
  <c r="AF197" i="8"/>
  <c r="AI197" i="8"/>
  <c r="AK197" i="8"/>
  <c r="AN197" i="8"/>
  <c r="AO197" i="8"/>
  <c r="AT197" i="8"/>
  <c r="AU197" i="8"/>
  <c r="AV197" i="8"/>
  <c r="J198" i="8"/>
  <c r="U198" i="8"/>
  <c r="AF198" i="8"/>
  <c r="AI198" i="8"/>
  <c r="AK198" i="8"/>
  <c r="AN198" i="8"/>
  <c r="AO198" i="8"/>
  <c r="AT198" i="8"/>
  <c r="AU198" i="8"/>
  <c r="AV198" i="8"/>
  <c r="J200" i="8"/>
  <c r="U200" i="8"/>
  <c r="AF200" i="8"/>
  <c r="AI200" i="8"/>
  <c r="AK200" i="8"/>
  <c r="AN200" i="8"/>
  <c r="AO200" i="8"/>
  <c r="AT200" i="8"/>
  <c r="AU200" i="8"/>
  <c r="AV200" i="8"/>
  <c r="O29" i="10"/>
  <c r="O28" i="10"/>
  <c r="O29" i="6"/>
  <c r="O28" i="6"/>
  <c r="A2" i="6"/>
  <c r="A7" i="10"/>
  <c r="A233" i="10"/>
  <c r="O232" i="10"/>
  <c r="A232" i="10"/>
  <c r="O231" i="10"/>
  <c r="A231" i="10"/>
  <c r="O229" i="10"/>
  <c r="A229" i="10"/>
  <c r="A221" i="10"/>
  <c r="A220" i="10"/>
  <c r="A219" i="10"/>
  <c r="A218" i="10"/>
  <c r="O217" i="10"/>
  <c r="A217" i="10"/>
  <c r="O216" i="10"/>
  <c r="A216" i="10"/>
  <c r="A215" i="10"/>
  <c r="O214" i="10"/>
  <c r="A214" i="10"/>
  <c r="O213" i="10"/>
  <c r="A213" i="10"/>
  <c r="O211" i="10"/>
  <c r="A211" i="10"/>
  <c r="A210" i="10"/>
  <c r="O209" i="10"/>
  <c r="A209" i="10"/>
  <c r="O208" i="10"/>
  <c r="A208" i="10"/>
  <c r="A207" i="10"/>
  <c r="O206" i="10"/>
  <c r="A206" i="10"/>
  <c r="O205" i="10"/>
  <c r="A205" i="10"/>
  <c r="A204" i="10"/>
  <c r="O203" i="10"/>
  <c r="A203" i="10"/>
  <c r="O202" i="10"/>
  <c r="A202" i="10"/>
  <c r="A201" i="10"/>
  <c r="O200" i="10"/>
  <c r="A200" i="10"/>
  <c r="O199" i="10"/>
  <c r="A199" i="10"/>
  <c r="A197" i="10"/>
  <c r="O196" i="10"/>
  <c r="A196" i="10"/>
  <c r="O195" i="10"/>
  <c r="A195" i="10"/>
  <c r="A194" i="10"/>
  <c r="O193" i="10"/>
  <c r="A193" i="10"/>
  <c r="O192" i="10"/>
  <c r="A192" i="10"/>
  <c r="A191" i="10"/>
  <c r="O190" i="10"/>
  <c r="A190" i="10"/>
  <c r="O189" i="10"/>
  <c r="A189" i="10"/>
  <c r="A188" i="10"/>
  <c r="O187" i="10"/>
  <c r="A187" i="10"/>
  <c r="O186" i="10"/>
  <c r="A186" i="10"/>
  <c r="A185" i="10"/>
  <c r="A184" i="10"/>
  <c r="O183" i="10"/>
  <c r="A183" i="10"/>
  <c r="A182" i="10"/>
  <c r="O181" i="10"/>
  <c r="A181" i="10"/>
  <c r="O180" i="10"/>
  <c r="A180" i="10"/>
  <c r="O178" i="10"/>
  <c r="A178" i="10"/>
  <c r="A177" i="10"/>
  <c r="O176" i="10"/>
  <c r="A176" i="10"/>
  <c r="O175" i="10"/>
  <c r="A175" i="10"/>
  <c r="A174" i="10"/>
  <c r="O173" i="10"/>
  <c r="A173" i="10"/>
  <c r="O172" i="10"/>
  <c r="A172" i="10"/>
  <c r="O170" i="10"/>
  <c r="A170" i="10"/>
  <c r="A169" i="10"/>
  <c r="O168" i="10"/>
  <c r="A168" i="10"/>
  <c r="O167" i="10"/>
  <c r="A167" i="10"/>
  <c r="A166" i="10"/>
  <c r="O165" i="10"/>
  <c r="A165" i="10"/>
  <c r="O164" i="10"/>
  <c r="A164" i="10"/>
  <c r="A163" i="10"/>
  <c r="O162" i="10"/>
  <c r="A162" i="10"/>
  <c r="O161" i="10"/>
  <c r="A161" i="10"/>
  <c r="A160" i="10"/>
  <c r="O159" i="10"/>
  <c r="A159" i="10"/>
  <c r="O158" i="10"/>
  <c r="A158" i="10"/>
  <c r="A157" i="10"/>
  <c r="O156" i="10"/>
  <c r="A156" i="10"/>
  <c r="O155" i="10"/>
  <c r="A155" i="10"/>
  <c r="A154" i="10"/>
  <c r="O153" i="10"/>
  <c r="A153" i="10"/>
  <c r="O152" i="10"/>
  <c r="A152" i="10"/>
  <c r="A151" i="10"/>
  <c r="O150" i="10"/>
  <c r="A150" i="10"/>
  <c r="O149" i="10"/>
  <c r="A149" i="10"/>
  <c r="A148" i="10"/>
  <c r="O147" i="10"/>
  <c r="A147" i="10"/>
  <c r="O146" i="10"/>
  <c r="A146" i="10"/>
  <c r="A145" i="10"/>
  <c r="O144" i="10"/>
  <c r="A144" i="10"/>
  <c r="O143" i="10"/>
  <c r="A143" i="10"/>
  <c r="A142" i="10"/>
  <c r="O141" i="10"/>
  <c r="A141" i="10"/>
  <c r="O140" i="10"/>
  <c r="A140" i="10"/>
  <c r="A139" i="10"/>
  <c r="O138" i="10"/>
  <c r="A138" i="10"/>
  <c r="O137" i="10"/>
  <c r="A137" i="10"/>
  <c r="A136" i="10"/>
  <c r="O135" i="10"/>
  <c r="A135" i="10"/>
  <c r="O134" i="10"/>
  <c r="A134" i="10"/>
  <c r="O132" i="10"/>
  <c r="A132" i="10"/>
  <c r="A131" i="10"/>
  <c r="O130" i="10"/>
  <c r="A130" i="10"/>
  <c r="O129" i="10"/>
  <c r="A129" i="10"/>
  <c r="A128" i="10"/>
  <c r="O127" i="10"/>
  <c r="A127" i="10"/>
  <c r="O126" i="10"/>
  <c r="A126" i="10"/>
  <c r="A125" i="10"/>
  <c r="O124" i="10"/>
  <c r="A124" i="10"/>
  <c r="O123" i="10"/>
  <c r="A123" i="10"/>
  <c r="A122" i="10"/>
  <c r="O121" i="10"/>
  <c r="A121" i="10"/>
  <c r="O120" i="10"/>
  <c r="A120" i="10"/>
  <c r="A119" i="10"/>
  <c r="O118" i="10"/>
  <c r="A118" i="10"/>
  <c r="O117" i="10"/>
  <c r="A117" i="10"/>
  <c r="A116" i="10"/>
  <c r="O115" i="10"/>
  <c r="A115" i="10"/>
  <c r="O114" i="10"/>
  <c r="A114" i="10"/>
  <c r="A113" i="10"/>
  <c r="O112" i="10"/>
  <c r="A112" i="10"/>
  <c r="O111" i="10"/>
  <c r="A111" i="10"/>
  <c r="O109" i="10"/>
  <c r="A109" i="10"/>
  <c r="A108" i="10"/>
  <c r="O107" i="10"/>
  <c r="A107" i="10"/>
  <c r="O106" i="10"/>
  <c r="A106" i="10"/>
  <c r="A105" i="10"/>
  <c r="O104" i="10"/>
  <c r="A104" i="10"/>
  <c r="O103" i="10"/>
  <c r="A103" i="10"/>
  <c r="A102" i="10"/>
  <c r="O101" i="10"/>
  <c r="A101" i="10"/>
  <c r="O100" i="10"/>
  <c r="A100" i="10"/>
  <c r="A99" i="10"/>
  <c r="O98" i="10"/>
  <c r="A98" i="10"/>
  <c r="O97" i="10"/>
  <c r="A97" i="10"/>
  <c r="A96" i="10"/>
  <c r="O95" i="10"/>
  <c r="A95" i="10"/>
  <c r="O94" i="10"/>
  <c r="A94" i="10"/>
  <c r="A93" i="10"/>
  <c r="O92" i="10"/>
  <c r="A92" i="10"/>
  <c r="O91" i="10"/>
  <c r="A91" i="10"/>
  <c r="A90" i="10"/>
  <c r="O89" i="10"/>
  <c r="A89" i="10"/>
  <c r="O88" i="10"/>
  <c r="A88" i="10"/>
  <c r="A87" i="10"/>
  <c r="O86" i="10"/>
  <c r="A86" i="10"/>
  <c r="O85" i="10"/>
  <c r="A85" i="10"/>
  <c r="A84" i="10"/>
  <c r="O83" i="10"/>
  <c r="A83" i="10"/>
  <c r="O82" i="10"/>
  <c r="A82" i="10"/>
  <c r="A81" i="10"/>
  <c r="O80" i="10"/>
  <c r="A80" i="10"/>
  <c r="O79" i="10"/>
  <c r="A79" i="10"/>
  <c r="A78" i="10"/>
  <c r="O77" i="10"/>
  <c r="A77" i="10"/>
  <c r="O76" i="10"/>
  <c r="A76" i="10"/>
  <c r="A75" i="10"/>
  <c r="O74" i="10"/>
  <c r="A74" i="10"/>
  <c r="O73" i="10"/>
  <c r="A73" i="10"/>
  <c r="A71" i="10"/>
  <c r="O70" i="10"/>
  <c r="A70" i="10"/>
  <c r="O69" i="10"/>
  <c r="A69" i="10"/>
  <c r="A68" i="10"/>
  <c r="O67" i="10"/>
  <c r="A67" i="10"/>
  <c r="O66" i="10"/>
  <c r="A66" i="10"/>
  <c r="A65" i="10"/>
  <c r="O64" i="10"/>
  <c r="A64" i="10"/>
  <c r="O63" i="10"/>
  <c r="A63" i="10"/>
  <c r="A62" i="10"/>
  <c r="O61" i="10"/>
  <c r="A61" i="10"/>
  <c r="O60" i="10"/>
  <c r="A60" i="10"/>
  <c r="A59" i="10"/>
  <c r="O58" i="10"/>
  <c r="A58" i="10"/>
  <c r="O57" i="10"/>
  <c r="A57" i="10"/>
  <c r="A56" i="10"/>
  <c r="O55" i="10"/>
  <c r="A55" i="10"/>
  <c r="O54" i="10"/>
  <c r="A54" i="10"/>
  <c r="A53" i="10"/>
  <c r="O52" i="10"/>
  <c r="A52" i="10"/>
  <c r="O51" i="10"/>
  <c r="A51" i="10"/>
  <c r="O49" i="10"/>
  <c r="A49" i="10"/>
  <c r="A48" i="10"/>
  <c r="O47" i="10"/>
  <c r="A47" i="10"/>
  <c r="O46" i="10"/>
  <c r="A46" i="10"/>
  <c r="A45" i="10"/>
  <c r="O44" i="10"/>
  <c r="A44" i="10"/>
  <c r="O43" i="10"/>
  <c r="A43" i="10"/>
  <c r="A42" i="10"/>
  <c r="O41" i="10"/>
  <c r="A41" i="10"/>
  <c r="O40" i="10"/>
  <c r="A40" i="10"/>
  <c r="A38" i="10"/>
  <c r="O37" i="10"/>
  <c r="A37" i="10"/>
  <c r="O36" i="10"/>
  <c r="A36" i="10"/>
  <c r="O34" i="10"/>
  <c r="A34" i="10"/>
  <c r="A33" i="10"/>
  <c r="O32" i="10"/>
  <c r="A32" i="10"/>
  <c r="O31" i="10"/>
  <c r="A31" i="10"/>
  <c r="A30" i="10"/>
  <c r="A29" i="10"/>
  <c r="A28" i="10"/>
  <c r="A27" i="10"/>
  <c r="O26" i="10"/>
  <c r="A26" i="10"/>
  <c r="O25" i="10"/>
  <c r="A25" i="10"/>
  <c r="A24" i="10"/>
  <c r="O23" i="10"/>
  <c r="A23" i="10"/>
  <c r="O22" i="10"/>
  <c r="A22" i="10"/>
  <c r="A21" i="10"/>
  <c r="O20" i="10"/>
  <c r="A20" i="10"/>
  <c r="O19" i="10"/>
  <c r="A19" i="10"/>
  <c r="A18" i="10"/>
  <c r="O17" i="10"/>
  <c r="A17" i="10"/>
  <c r="O16" i="10"/>
  <c r="A16" i="10"/>
  <c r="A15" i="10"/>
  <c r="O14" i="10"/>
  <c r="A14" i="10"/>
  <c r="O13" i="10"/>
  <c r="A13" i="10"/>
  <c r="A12" i="10"/>
  <c r="O11" i="10"/>
  <c r="A11" i="10"/>
  <c r="O10" i="10"/>
  <c r="A10" i="10"/>
  <c r="A9" i="10"/>
  <c r="O8" i="10"/>
  <c r="A8" i="10"/>
  <c r="O7" i="10"/>
  <c r="O5" i="10"/>
  <c r="A5" i="10"/>
  <c r="O4" i="10"/>
  <c r="J4" i="10"/>
  <c r="I4" i="10"/>
  <c r="H4" i="10"/>
  <c r="G4" i="10"/>
  <c r="J2" i="10"/>
  <c r="I2" i="10"/>
  <c r="H2" i="10"/>
  <c r="G2" i="10"/>
  <c r="N244" i="10" s="1"/>
  <c r="A2" i="10"/>
  <c r="O1" i="10"/>
  <c r="N1" i="10"/>
  <c r="M1" i="10"/>
  <c r="L1" i="10"/>
  <c r="K1" i="10"/>
  <c r="J1" i="10"/>
  <c r="I1" i="10"/>
  <c r="H1" i="10"/>
  <c r="G1" i="10"/>
  <c r="F1" i="10"/>
  <c r="E1" i="10"/>
  <c r="D1" i="10"/>
  <c r="C1" i="10"/>
  <c r="A176" i="6"/>
  <c r="O247" i="6"/>
  <c r="O246" i="6"/>
  <c r="O244" i="6"/>
  <c r="O243" i="6"/>
  <c r="A248" i="6"/>
  <c r="A247" i="6"/>
  <c r="A246" i="6"/>
  <c r="A245" i="6"/>
  <c r="A244" i="6"/>
  <c r="A243" i="6"/>
  <c r="O233" i="6"/>
  <c r="O232" i="6"/>
  <c r="O230" i="6"/>
  <c r="O229" i="6"/>
  <c r="A234" i="6"/>
  <c r="A233" i="6"/>
  <c r="A232" i="6"/>
  <c r="O227" i="6"/>
  <c r="O226" i="6"/>
  <c r="A231" i="6"/>
  <c r="A230" i="6"/>
  <c r="A229" i="6"/>
  <c r="O224" i="6"/>
  <c r="O223" i="6"/>
  <c r="A228" i="6"/>
  <c r="A227" i="6"/>
  <c r="A226" i="6"/>
  <c r="O219" i="6"/>
  <c r="O218" i="6"/>
  <c r="A225" i="6"/>
  <c r="A224" i="6"/>
  <c r="A223" i="6"/>
  <c r="O216" i="6"/>
  <c r="O215" i="6"/>
  <c r="A220" i="6"/>
  <c r="A219" i="6"/>
  <c r="A218" i="6"/>
  <c r="O213" i="6"/>
  <c r="O212" i="6"/>
  <c r="A217" i="6"/>
  <c r="A216" i="6"/>
  <c r="A215" i="6"/>
  <c r="O210" i="6"/>
  <c r="O209" i="6"/>
  <c r="A214" i="6"/>
  <c r="A213" i="6"/>
  <c r="A212" i="6"/>
  <c r="O207" i="6"/>
  <c r="O206" i="6"/>
  <c r="A211" i="6"/>
  <c r="A210" i="6"/>
  <c r="A209" i="6"/>
  <c r="O204" i="6"/>
  <c r="O203" i="6"/>
  <c r="A208" i="6"/>
  <c r="A207" i="6"/>
  <c r="A206" i="6"/>
  <c r="O199" i="6"/>
  <c r="O198" i="6"/>
  <c r="O196" i="6"/>
  <c r="O195" i="6"/>
  <c r="A200" i="6"/>
  <c r="A199" i="6"/>
  <c r="A198" i="6"/>
  <c r="O191" i="6"/>
  <c r="O190" i="6"/>
  <c r="O188" i="6"/>
  <c r="O187" i="6"/>
  <c r="A192" i="6"/>
  <c r="A191" i="6"/>
  <c r="A190" i="6"/>
  <c r="O185" i="6"/>
  <c r="O184" i="6"/>
  <c r="A189" i="6"/>
  <c r="A188" i="6"/>
  <c r="A187" i="6"/>
  <c r="O182" i="6"/>
  <c r="O181" i="6"/>
  <c r="A186" i="6"/>
  <c r="A185" i="6"/>
  <c r="A184" i="6"/>
  <c r="O179" i="6"/>
  <c r="O178" i="6"/>
  <c r="A183" i="6"/>
  <c r="A182" i="6"/>
  <c r="A181" i="6"/>
  <c r="O176" i="6"/>
  <c r="O175" i="6"/>
  <c r="A180" i="6"/>
  <c r="A179" i="6"/>
  <c r="A178" i="6"/>
  <c r="O173" i="6"/>
  <c r="O172" i="6"/>
  <c r="A177" i="6"/>
  <c r="A175" i="6"/>
  <c r="O170" i="6"/>
  <c r="O169" i="6"/>
  <c r="A174" i="6"/>
  <c r="A173" i="6"/>
  <c r="A172" i="6"/>
  <c r="O167" i="6"/>
  <c r="O166" i="6"/>
  <c r="A171" i="6"/>
  <c r="A170" i="6"/>
  <c r="A169" i="6"/>
  <c r="O164" i="6"/>
  <c r="O163" i="6"/>
  <c r="A168" i="6"/>
  <c r="A167" i="6"/>
  <c r="A166" i="6"/>
  <c r="O161" i="6"/>
  <c r="O160" i="6"/>
  <c r="A165" i="6"/>
  <c r="A164" i="6"/>
  <c r="A163" i="6"/>
  <c r="O158" i="6"/>
  <c r="O157" i="6"/>
  <c r="A162" i="6"/>
  <c r="A161" i="6"/>
  <c r="A160" i="6"/>
  <c r="O153" i="6"/>
  <c r="O152" i="6"/>
  <c r="O150" i="6"/>
  <c r="O149" i="6"/>
  <c r="A154" i="6"/>
  <c r="A153" i="6"/>
  <c r="A152" i="6"/>
  <c r="O147" i="6"/>
  <c r="O146" i="6"/>
  <c r="A151" i="6"/>
  <c r="A150" i="6"/>
  <c r="A149" i="6"/>
  <c r="O144" i="6"/>
  <c r="O143" i="6"/>
  <c r="A148" i="6"/>
  <c r="A147" i="6"/>
  <c r="A146" i="6"/>
  <c r="O141" i="6"/>
  <c r="O140" i="6"/>
  <c r="A145" i="6"/>
  <c r="A144" i="6"/>
  <c r="A143" i="6"/>
  <c r="O138" i="6"/>
  <c r="O137" i="6"/>
  <c r="A142" i="6"/>
  <c r="A141" i="6"/>
  <c r="A140" i="6"/>
  <c r="O135" i="6"/>
  <c r="O134" i="6"/>
  <c r="A139" i="6"/>
  <c r="A138" i="6"/>
  <c r="A137" i="6"/>
  <c r="O130" i="6"/>
  <c r="O129" i="6"/>
  <c r="O127" i="6"/>
  <c r="O126" i="6"/>
  <c r="A131" i="6"/>
  <c r="A130" i="6"/>
  <c r="A129" i="6"/>
  <c r="O124" i="6"/>
  <c r="O123" i="6"/>
  <c r="A128" i="6"/>
  <c r="A127" i="6"/>
  <c r="A126" i="6"/>
  <c r="O121" i="6"/>
  <c r="O120" i="6"/>
  <c r="A125" i="6"/>
  <c r="A124" i="6"/>
  <c r="A123" i="6"/>
  <c r="O118" i="6"/>
  <c r="O117" i="6"/>
  <c r="A122" i="6"/>
  <c r="A121" i="6"/>
  <c r="A120" i="6"/>
  <c r="O115" i="6"/>
  <c r="O114" i="6"/>
  <c r="A119" i="6"/>
  <c r="A118" i="6"/>
  <c r="A117" i="6"/>
  <c r="O112" i="6"/>
  <c r="O111" i="6"/>
  <c r="A116" i="6"/>
  <c r="A115" i="6"/>
  <c r="A114" i="6"/>
  <c r="O109" i="6"/>
  <c r="O108" i="6"/>
  <c r="A113" i="6"/>
  <c r="A112" i="6"/>
  <c r="A111" i="6"/>
  <c r="O106" i="6"/>
  <c r="O105" i="6"/>
  <c r="A110" i="6"/>
  <c r="A109" i="6"/>
  <c r="A108" i="6"/>
  <c r="O102" i="6"/>
  <c r="O101" i="6"/>
  <c r="A107" i="6"/>
  <c r="A106" i="6"/>
  <c r="A105" i="6"/>
  <c r="O99" i="6"/>
  <c r="O98" i="6"/>
  <c r="A103" i="6"/>
  <c r="A102" i="6"/>
  <c r="A101" i="6"/>
  <c r="O96" i="6"/>
  <c r="O95" i="6"/>
  <c r="A100" i="6"/>
  <c r="A99" i="6"/>
  <c r="A98" i="6"/>
  <c r="O84" i="6"/>
  <c r="O83" i="6"/>
  <c r="A97" i="6"/>
  <c r="A96" i="6"/>
  <c r="A95" i="6"/>
  <c r="O78" i="6"/>
  <c r="O77" i="6"/>
  <c r="A85" i="6"/>
  <c r="A84" i="6"/>
  <c r="A83" i="6"/>
  <c r="O70" i="6"/>
  <c r="O69" i="6"/>
  <c r="A79" i="6"/>
  <c r="A78" i="6"/>
  <c r="A77" i="6"/>
  <c r="O65" i="6"/>
  <c r="O64" i="6"/>
  <c r="A71" i="6"/>
  <c r="A70" i="6"/>
  <c r="A69" i="6"/>
  <c r="O62" i="6"/>
  <c r="O61" i="6"/>
  <c r="A66" i="6"/>
  <c r="A65" i="6"/>
  <c r="A64" i="6"/>
  <c r="O59" i="6"/>
  <c r="O58" i="6"/>
  <c r="A63" i="6"/>
  <c r="A62" i="6"/>
  <c r="A61" i="6"/>
  <c r="O53" i="6"/>
  <c r="O52" i="6"/>
  <c r="A60" i="6"/>
  <c r="A59" i="6"/>
  <c r="A58" i="6"/>
  <c r="O48" i="6"/>
  <c r="O47" i="6"/>
  <c r="O45" i="6"/>
  <c r="O44" i="6"/>
  <c r="A49" i="6"/>
  <c r="A48" i="6"/>
  <c r="A47" i="6"/>
  <c r="O42" i="6"/>
  <c r="O41" i="6"/>
  <c r="A46" i="6"/>
  <c r="A45" i="6"/>
  <c r="A44" i="6"/>
  <c r="O37" i="6"/>
  <c r="O36" i="6"/>
  <c r="A43" i="6"/>
  <c r="A42" i="6"/>
  <c r="A41" i="6"/>
  <c r="O32" i="6"/>
  <c r="O31" i="6"/>
  <c r="A33" i="6"/>
  <c r="A32" i="6"/>
  <c r="A31" i="6"/>
  <c r="O26" i="6"/>
  <c r="O25" i="6"/>
  <c r="A30" i="6"/>
  <c r="A29" i="6"/>
  <c r="A28" i="6"/>
  <c r="O23" i="6"/>
  <c r="O22" i="6"/>
  <c r="A27" i="6"/>
  <c r="A26" i="6"/>
  <c r="A25" i="6"/>
  <c r="O20" i="6"/>
  <c r="O19" i="6"/>
  <c r="A24" i="6"/>
  <c r="A23" i="6"/>
  <c r="A22" i="6"/>
  <c r="O17" i="6"/>
  <c r="O16" i="6"/>
  <c r="A21" i="6"/>
  <c r="A20" i="6"/>
  <c r="A19" i="6"/>
  <c r="O13" i="6"/>
  <c r="A18" i="6"/>
  <c r="A17" i="6"/>
  <c r="A16" i="6"/>
  <c r="A15" i="6"/>
  <c r="A14" i="6"/>
  <c r="A13" i="6"/>
  <c r="A12" i="6"/>
  <c r="A11" i="6"/>
  <c r="A10" i="6"/>
  <c r="DZ9" i="8"/>
  <c r="J9" i="8"/>
  <c r="U9" i="8"/>
  <c r="AF9" i="8"/>
  <c r="AI9" i="8"/>
  <c r="AK9" i="8"/>
  <c r="AN9" i="8"/>
  <c r="AO9" i="8"/>
  <c r="AT9" i="8"/>
  <c r="AU9" i="8"/>
  <c r="AV9" i="8"/>
  <c r="B1" i="7"/>
  <c r="F1" i="6"/>
  <c r="O252" i="6"/>
  <c r="O4" i="6"/>
  <c r="O235" i="6"/>
  <c r="O201" i="6"/>
  <c r="O193" i="6"/>
  <c r="O155" i="6"/>
  <c r="O132" i="6"/>
  <c r="O50" i="6"/>
  <c r="O34" i="6"/>
  <c r="O5" i="6"/>
  <c r="O1" i="6"/>
  <c r="J4" i="6"/>
  <c r="E6" i="13" s="1"/>
  <c r="I4" i="6"/>
  <c r="E6" i="12" s="1"/>
  <c r="H4" i="6"/>
  <c r="E6" i="11" s="1"/>
  <c r="A256" i="6"/>
  <c r="A255" i="6"/>
  <c r="A254" i="6"/>
  <c r="A252" i="6"/>
  <c r="A239" i="6"/>
  <c r="A238" i="6"/>
  <c r="A237" i="6"/>
  <c r="A235" i="6"/>
  <c r="A205" i="6"/>
  <c r="A204" i="6"/>
  <c r="A203" i="6"/>
  <c r="A201" i="6"/>
  <c r="A197" i="6"/>
  <c r="A196" i="6"/>
  <c r="A195" i="6"/>
  <c r="A193" i="6"/>
  <c r="A159" i="6"/>
  <c r="A158" i="6"/>
  <c r="A157" i="6"/>
  <c r="A155" i="6"/>
  <c r="A136" i="6"/>
  <c r="A135" i="6"/>
  <c r="A134" i="6"/>
  <c r="A132" i="6"/>
  <c r="A54" i="6"/>
  <c r="A53" i="6"/>
  <c r="A52" i="6"/>
  <c r="A50" i="6"/>
  <c r="A38" i="6"/>
  <c r="A36" i="6"/>
  <c r="A37" i="6"/>
  <c r="A34" i="6"/>
  <c r="A7" i="6"/>
  <c r="A8" i="6"/>
  <c r="A9" i="6"/>
  <c r="A5" i="6"/>
  <c r="J2" i="6"/>
  <c r="I2" i="6"/>
  <c r="H2" i="6"/>
  <c r="G2" i="6"/>
  <c r="N94" i="6" s="1"/>
  <c r="C1" i="6"/>
  <c r="D1" i="6"/>
  <c r="E1" i="6"/>
  <c r="G1" i="6"/>
  <c r="H1" i="6"/>
  <c r="I1" i="6"/>
  <c r="J1" i="6"/>
  <c r="K1" i="6"/>
  <c r="L1" i="6"/>
  <c r="M1" i="6"/>
  <c r="N1" i="6"/>
  <c r="A1" i="2"/>
  <c r="A20" i="1"/>
  <c r="AG188" i="12"/>
  <c r="AO188" i="12"/>
  <c r="AA190" i="12"/>
  <c r="AJ187" i="12"/>
  <c r="AQ189" i="12"/>
  <c r="AW189" i="12"/>
  <c r="AJ189" i="12"/>
  <c r="AV189" i="12"/>
  <c r="AA189" i="12"/>
  <c r="AO190" i="12"/>
  <c r="AE189" i="12"/>
  <c r="Q190" i="12"/>
  <c r="AP188" i="12"/>
  <c r="AS187" i="12"/>
  <c r="K190" i="12"/>
  <c r="AC187" i="12"/>
  <c r="AK187" i="12"/>
  <c r="AE188" i="12"/>
  <c r="AP189" i="12"/>
  <c r="L189" i="12"/>
  <c r="AT188" i="12"/>
  <c r="J189" i="12"/>
  <c r="AY189" i="12"/>
  <c r="AF188" i="12"/>
  <c r="X188" i="12"/>
  <c r="AR190" i="12"/>
  <c r="T187" i="12"/>
  <c r="AF190" i="12"/>
  <c r="AX187" i="12"/>
  <c r="AC188" i="12"/>
  <c r="I190" i="12"/>
  <c r="AH188" i="12"/>
  <c r="T188" i="12"/>
  <c r="AO189" i="12"/>
  <c r="S188" i="12"/>
  <c r="K189" i="12"/>
  <c r="AL188" i="12"/>
  <c r="S187" i="12"/>
  <c r="AY190" i="12"/>
  <c r="AK188" i="12"/>
  <c r="AM189" i="12"/>
  <c r="O188" i="12"/>
  <c r="N188" i="12"/>
  <c r="AY187" i="12"/>
  <c r="AX189" i="12"/>
  <c r="AY188" i="12"/>
  <c r="AB190" i="12"/>
  <c r="S189" i="12"/>
  <c r="K187" i="12"/>
  <c r="M189" i="12"/>
  <c r="AW190" i="12"/>
  <c r="AJ190" i="12"/>
  <c r="AQ187" i="12"/>
  <c r="Q189" i="12"/>
  <c r="AM188" i="12"/>
  <c r="AS189" i="12"/>
  <c r="AI190" i="12"/>
  <c r="N187" i="12"/>
  <c r="AA187" i="12"/>
  <c r="N190" i="12"/>
  <c r="X187" i="12"/>
  <c r="AN188" i="12"/>
  <c r="AT189" i="12"/>
  <c r="U189" i="12"/>
  <c r="AR187" i="12"/>
  <c r="V187" i="12"/>
  <c r="Z190" i="12"/>
  <c r="AI187" i="12"/>
  <c r="AH187" i="12"/>
  <c r="AB187" i="12"/>
  <c r="AG190" i="12"/>
  <c r="AV190" i="12"/>
  <c r="AD189" i="12"/>
  <c r="AD188" i="12"/>
  <c r="AU187" i="12"/>
  <c r="AN187" i="12"/>
  <c r="M187" i="12"/>
  <c r="Y189" i="12"/>
  <c r="AK189" i="12"/>
  <c r="AR188" i="12"/>
  <c r="R188" i="12"/>
  <c r="AN190" i="12"/>
  <c r="Z188" i="12"/>
  <c r="O187" i="12"/>
  <c r="Q187" i="12"/>
  <c r="AN189" i="12"/>
  <c r="Y190" i="12"/>
  <c r="J188" i="12"/>
  <c r="AT190" i="12"/>
  <c r="U187" i="12"/>
  <c r="AW188" i="12"/>
  <c r="W190" i="12"/>
  <c r="I189" i="12"/>
  <c r="V190" i="12"/>
  <c r="AP190" i="12"/>
  <c r="AM190" i="12"/>
  <c r="Y188" i="12"/>
  <c r="AH190" i="12"/>
  <c r="AU190" i="12"/>
  <c r="AJ188" i="12"/>
  <c r="R189" i="12"/>
  <c r="N189" i="12"/>
  <c r="AL187" i="12"/>
  <c r="AH189" i="12"/>
  <c r="U190" i="12"/>
  <c r="I187" i="12"/>
  <c r="T190" i="12"/>
  <c r="AM187" i="12"/>
  <c r="AQ190" i="12"/>
  <c r="AO187" i="12"/>
  <c r="AB189" i="12"/>
  <c r="AR189" i="12"/>
  <c r="AX188" i="12"/>
  <c r="T189" i="12"/>
  <c r="K188" i="12"/>
  <c r="AG189" i="12"/>
  <c r="R190" i="12"/>
  <c r="I188" i="12"/>
  <c r="R187" i="12"/>
  <c r="M188" i="12"/>
  <c r="V189" i="12"/>
  <c r="AB188" i="12"/>
  <c r="X190" i="12"/>
  <c r="S190" i="12"/>
  <c r="AT187" i="12"/>
  <c r="AL189" i="12"/>
  <c r="AW187" i="12"/>
  <c r="L187" i="12"/>
  <c r="AV188" i="12"/>
  <c r="AI189" i="12"/>
  <c r="AF189" i="12"/>
  <c r="AX190" i="12"/>
  <c r="AU188" i="12"/>
  <c r="AC189" i="12"/>
  <c r="AD190" i="12"/>
  <c r="AK190" i="12"/>
  <c r="O190" i="12"/>
  <c r="AA188" i="12"/>
  <c r="AD187" i="12"/>
  <c r="AG187" i="12"/>
  <c r="Z189" i="12"/>
  <c r="Q188" i="12"/>
  <c r="L188" i="12"/>
  <c r="AV187" i="12"/>
  <c r="L190" i="12"/>
  <c r="U188" i="12"/>
  <c r="AE187" i="12"/>
  <c r="W187" i="12"/>
  <c r="AS190" i="12"/>
  <c r="AI188" i="12"/>
  <c r="V188" i="12"/>
  <c r="J187" i="12"/>
  <c r="AP187" i="12"/>
  <c r="AU189" i="12"/>
  <c r="AQ188" i="12"/>
  <c r="AS188" i="12"/>
  <c r="AE190" i="12"/>
  <c r="W189" i="12"/>
  <c r="Y187" i="12"/>
  <c r="W188" i="12"/>
  <c r="AC190" i="12"/>
  <c r="J190" i="12"/>
  <c r="M190" i="12"/>
  <c r="AF187" i="12"/>
  <c r="X189" i="12"/>
  <c r="Z187" i="12"/>
  <c r="AL190" i="12"/>
  <c r="O189" i="12"/>
  <c r="I9" i="19"/>
  <c r="V9" i="19" s="1"/>
  <c r="I7" i="19"/>
  <c r="V7" i="19" s="1"/>
  <c r="I8" i="19"/>
  <c r="V8" i="19" s="1"/>
  <c r="U10" i="19"/>
  <c r="U6" i="19"/>
  <c r="U4" i="19"/>
  <c r="S11" i="19"/>
  <c r="T11" i="19"/>
  <c r="I12" i="19"/>
  <c r="V12" i="19" s="1"/>
  <c r="DY195" i="8"/>
  <c r="T6" i="19"/>
  <c r="S12" i="19"/>
  <c r="T12" i="19"/>
  <c r="T10" i="19"/>
  <c r="T4" i="19"/>
  <c r="N267" i="6" l="1"/>
  <c r="N93" i="6"/>
  <c r="N250" i="6"/>
  <c r="N92" i="6"/>
  <c r="N228" i="10"/>
  <c r="N243" i="10"/>
  <c r="N226" i="10"/>
  <c r="N227" i="10"/>
  <c r="N198" i="10"/>
  <c r="N225" i="10"/>
  <c r="N39" i="10"/>
  <c r="N72" i="10"/>
  <c r="N240" i="10"/>
  <c r="N241" i="10"/>
  <c r="N221" i="6"/>
  <c r="N222" i="6"/>
  <c r="N57" i="6"/>
  <c r="N82" i="6"/>
  <c r="N262" i="6"/>
  <c r="N56" i="6"/>
  <c r="N245" i="10"/>
  <c r="N246" i="10"/>
  <c r="N91" i="6"/>
  <c r="N81" i="6"/>
  <c r="N87" i="6"/>
  <c r="N104" i="6"/>
  <c r="N39" i="6"/>
  <c r="N80" i="6"/>
  <c r="N76" i="6"/>
  <c r="N90" i="6"/>
  <c r="N261" i="6"/>
  <c r="N89" i="6"/>
  <c r="N259" i="6"/>
  <c r="N88" i="6"/>
  <c r="N249" i="6"/>
  <c r="N251" i="6"/>
  <c r="N240" i="6"/>
  <c r="N241" i="6"/>
  <c r="N86" i="6"/>
  <c r="N222" i="10"/>
  <c r="N239" i="10"/>
  <c r="N68" i="6"/>
  <c r="N260" i="6"/>
  <c r="N236" i="10"/>
  <c r="N238" i="10"/>
  <c r="EC12" i="8"/>
  <c r="ED12" i="8" s="1"/>
  <c r="EC113" i="8"/>
  <c r="ED113" i="8" s="1"/>
  <c r="AN194" i="8"/>
  <c r="AU194" i="8"/>
  <c r="AT194" i="8"/>
  <c r="AO194" i="8"/>
  <c r="AV194" i="8"/>
  <c r="EC77" i="8"/>
  <c r="ED77" i="8" s="1"/>
  <c r="EC157" i="8"/>
  <c r="ED157" i="8" s="1"/>
  <c r="EC163" i="8"/>
  <c r="ED163" i="8" s="1"/>
  <c r="EC76" i="8"/>
  <c r="ED76" i="8" s="1"/>
  <c r="EC152" i="8"/>
  <c r="ED152" i="8" s="1"/>
  <c r="EC142" i="8"/>
  <c r="ED142" i="8" s="1"/>
  <c r="EC151" i="8"/>
  <c r="ED151" i="8" s="1"/>
  <c r="EC159" i="8"/>
  <c r="ED159" i="8" s="1"/>
  <c r="EC73" i="8"/>
  <c r="ED73" i="8" s="1"/>
  <c r="EC74" i="8"/>
  <c r="ED74" i="8" s="1"/>
  <c r="EC44" i="8"/>
  <c r="ED44" i="8" s="1"/>
  <c r="EC127" i="8"/>
  <c r="ED127" i="8" s="1"/>
  <c r="AK194" i="8"/>
  <c r="AI194" i="8"/>
  <c r="AF194" i="8"/>
  <c r="EC14" i="8"/>
  <c r="ED14" i="8" s="1"/>
  <c r="EC155" i="8"/>
  <c r="ED155" i="8" s="1"/>
  <c r="EC164" i="8"/>
  <c r="ED164" i="8" s="1"/>
  <c r="EC149" i="8"/>
  <c r="ED149" i="8" s="1"/>
  <c r="EC67" i="8"/>
  <c r="ED67" i="8" s="1"/>
  <c r="EC55" i="8"/>
  <c r="ED55" i="8" s="1"/>
  <c r="EC145" i="8"/>
  <c r="ED145" i="8" s="1"/>
  <c r="EC161" i="8"/>
  <c r="ED161" i="8" s="1"/>
  <c r="EC126" i="8"/>
  <c r="ED126" i="8" s="1"/>
  <c r="EC124" i="8"/>
  <c r="ED124" i="8" s="1"/>
  <c r="EC69" i="8"/>
  <c r="ED69" i="8" s="1"/>
  <c r="EC160" i="8"/>
  <c r="ED160" i="8" s="1"/>
  <c r="EC123" i="8"/>
  <c r="ED123" i="8" s="1"/>
  <c r="EC112" i="8"/>
  <c r="ED112" i="8" s="1"/>
  <c r="BI192" i="8"/>
  <c r="BI193" i="8" s="1"/>
  <c r="N265" i="6"/>
  <c r="N266" i="6"/>
  <c r="N257" i="6"/>
  <c r="N258" i="6"/>
  <c r="N72" i="6"/>
  <c r="N234" i="10"/>
  <c r="N235" i="10"/>
  <c r="N74" i="6"/>
  <c r="N73" i="6"/>
  <c r="N242" i="6"/>
  <c r="N75" i="6"/>
  <c r="N55" i="6"/>
  <c r="N67" i="6"/>
  <c r="N60" i="6"/>
  <c r="V6" i="19"/>
  <c r="V10" i="19"/>
  <c r="P10" i="11"/>
  <c r="Q10" i="11" s="1"/>
  <c r="R10" i="11" s="1"/>
  <c r="S10" i="11" s="1"/>
  <c r="T10" i="11" s="1"/>
  <c r="U10" i="11" s="1"/>
  <c r="V10" i="11" s="1"/>
  <c r="W10" i="11" s="1"/>
  <c r="X10" i="11" s="1"/>
  <c r="Y10" i="11" s="1"/>
  <c r="Z10" i="11" s="1"/>
  <c r="AA10" i="11" s="1"/>
  <c r="AB10" i="11" s="1"/>
  <c r="AC10" i="11" s="1"/>
  <c r="AD10" i="11" s="1"/>
  <c r="AE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J10" i="13"/>
  <c r="K10" i="13" s="1"/>
  <c r="J4" i="13"/>
  <c r="L10" i="12"/>
  <c r="M10" i="12" s="1"/>
  <c r="N10" i="12" s="1"/>
  <c r="O10" i="12" s="1"/>
  <c r="J3" i="12"/>
  <c r="J4" i="11"/>
  <c r="BM140" i="11"/>
  <c r="BM13" i="11"/>
  <c r="N63" i="6"/>
  <c r="N163" i="10"/>
  <c r="N15" i="10"/>
  <c r="N90" i="10"/>
  <c r="N24" i="6"/>
  <c r="N142" i="6"/>
  <c r="N148" i="10"/>
  <c r="N9" i="10"/>
  <c r="N119" i="6"/>
  <c r="N192" i="6"/>
  <c r="N136" i="6"/>
  <c r="N169" i="10"/>
  <c r="N174" i="10"/>
  <c r="A3" i="6"/>
  <c r="N21" i="6"/>
  <c r="N119" i="10"/>
  <c r="N225" i="6"/>
  <c r="N185" i="10"/>
  <c r="N218" i="10"/>
  <c r="N125" i="6"/>
  <c r="N38" i="10"/>
  <c r="N211" i="6"/>
  <c r="N204" i="10"/>
  <c r="N102" i="10"/>
  <c r="N168" i="6"/>
  <c r="B2" i="7"/>
  <c r="N145" i="10"/>
  <c r="N113" i="10"/>
  <c r="N56" i="10"/>
  <c r="N62" i="10"/>
  <c r="N46" i="6"/>
  <c r="N27" i="6"/>
  <c r="N9" i="6"/>
  <c r="N191" i="10"/>
  <c r="BQ153" i="13"/>
  <c r="BP179" i="13"/>
  <c r="BQ140" i="13"/>
  <c r="BQ16" i="13"/>
  <c r="BQ141" i="13"/>
  <c r="BQ132" i="13"/>
  <c r="BQ120" i="13"/>
  <c r="BQ13" i="13"/>
  <c r="BQ136" i="13"/>
  <c r="BQ150" i="13"/>
  <c r="BQ134" i="13"/>
  <c r="BQ133" i="13"/>
  <c r="BQ114" i="13"/>
  <c r="BQ113" i="13"/>
  <c r="BQ146" i="13"/>
  <c r="BQ145" i="13"/>
  <c r="BQ138" i="13"/>
  <c r="BQ59" i="13"/>
  <c r="BN179" i="13"/>
  <c r="BQ137" i="13"/>
  <c r="BQ122" i="13"/>
  <c r="BQ14" i="13"/>
  <c r="E7" i="13"/>
  <c r="F13" i="4" s="1"/>
  <c r="BQ148" i="13"/>
  <c r="BQ102" i="13"/>
  <c r="BQ103" i="13"/>
  <c r="BO186" i="13"/>
  <c r="F16" i="4" s="1"/>
  <c r="BQ154" i="13"/>
  <c r="BQ68" i="13"/>
  <c r="BQ45" i="13"/>
  <c r="BQ67" i="13"/>
  <c r="BQ152" i="13"/>
  <c r="BQ65" i="13"/>
  <c r="BQ151" i="13"/>
  <c r="BQ139" i="13"/>
  <c r="BQ64" i="13"/>
  <c r="BQ149" i="13"/>
  <c r="BQ142" i="13"/>
  <c r="BQ144" i="13"/>
  <c r="BQ61" i="13"/>
  <c r="BQ17" i="13"/>
  <c r="BQ12" i="13"/>
  <c r="BO182" i="13"/>
  <c r="J183" i="13"/>
  <c r="BO185" i="13" s="1"/>
  <c r="F15" i="4" s="1"/>
  <c r="BM48" i="12"/>
  <c r="BM149" i="12"/>
  <c r="BM153" i="12"/>
  <c r="BM145" i="12"/>
  <c r="BM59" i="12"/>
  <c r="BM148" i="12"/>
  <c r="BM134" i="12"/>
  <c r="BM61" i="12"/>
  <c r="BM144" i="12"/>
  <c r="BM67" i="12"/>
  <c r="BM139" i="12"/>
  <c r="BM140" i="12"/>
  <c r="BM146" i="12"/>
  <c r="BM14" i="12"/>
  <c r="BM64" i="12"/>
  <c r="BM12" i="12"/>
  <c r="BM154" i="12"/>
  <c r="BM133" i="12"/>
  <c r="BM132" i="12"/>
  <c r="BL179" i="12"/>
  <c r="BM121" i="12"/>
  <c r="BM103" i="12"/>
  <c r="BM21" i="12"/>
  <c r="BM152" i="12"/>
  <c r="BM120" i="12"/>
  <c r="BM102" i="12"/>
  <c r="BM142" i="12"/>
  <c r="BM68" i="12"/>
  <c r="BM54" i="12"/>
  <c r="E7" i="12"/>
  <c r="E13" i="4" s="1"/>
  <c r="BM17" i="12"/>
  <c r="BM141" i="12"/>
  <c r="BM136" i="12"/>
  <c r="BM151" i="12"/>
  <c r="BM114" i="12"/>
  <c r="BM45" i="12"/>
  <c r="BM113" i="12"/>
  <c r="BM65" i="12"/>
  <c r="BM137" i="12"/>
  <c r="I183" i="12"/>
  <c r="BK185" i="12" s="1"/>
  <c r="E15" i="4" s="1"/>
  <c r="BK182" i="12"/>
  <c r="BK186" i="12"/>
  <c r="E16" i="4" s="1"/>
  <c r="BK179" i="12"/>
  <c r="BM13" i="12"/>
  <c r="BJ179" i="12"/>
  <c r="BM16" i="12"/>
  <c r="BM150" i="12"/>
  <c r="BM138" i="12"/>
  <c r="B13" i="2"/>
  <c r="N210" i="10"/>
  <c r="N93" i="10"/>
  <c r="N207" i="10"/>
  <c r="N68" i="10"/>
  <c r="N221" i="10"/>
  <c r="N65" i="10"/>
  <c r="N182" i="10"/>
  <c r="B12" i="2"/>
  <c r="N256" i="6"/>
  <c r="N38" i="6"/>
  <c r="N189" i="6"/>
  <c r="N148" i="6"/>
  <c r="N33" i="6"/>
  <c r="N183" i="6"/>
  <c r="N103" i="6"/>
  <c r="N12" i="6"/>
  <c r="B14" i="2"/>
  <c r="N21" i="10"/>
  <c r="N30" i="10"/>
  <c r="N27" i="10"/>
  <c r="N201" i="10"/>
  <c r="N108" i="10"/>
  <c r="N59" i="10"/>
  <c r="N188" i="10"/>
  <c r="N233" i="10"/>
  <c r="N228" i="6"/>
  <c r="N177" i="6"/>
  <c r="N171" i="6"/>
  <c r="N128" i="6"/>
  <c r="N231" i="6"/>
  <c r="N239" i="6"/>
  <c r="N97" i="6"/>
  <c r="N200" i="6"/>
  <c r="N165" i="6"/>
  <c r="B15" i="2"/>
  <c r="N160" i="10"/>
  <c r="N151" i="6"/>
  <c r="N174" i="6"/>
  <c r="N217" i="6"/>
  <c r="N87" i="10"/>
  <c r="N75" i="10"/>
  <c r="N145" i="6"/>
  <c r="N100" i="6"/>
  <c r="N110" i="6"/>
  <c r="N162" i="6"/>
  <c r="N136" i="10"/>
  <c r="N42" i="10"/>
  <c r="N12" i="10"/>
  <c r="N45" i="10"/>
  <c r="N139" i="10"/>
  <c r="N48" i="10"/>
  <c r="N24" i="10"/>
  <c r="N116" i="10"/>
  <c r="N66" i="6"/>
  <c r="N54" i="6"/>
  <c r="N237" i="10"/>
  <c r="N131" i="6"/>
  <c r="N79" i="6"/>
  <c r="N157" i="10"/>
  <c r="N205" i="6"/>
  <c r="N43" i="6"/>
  <c r="N122" i="6"/>
  <c r="N180" i="6"/>
  <c r="N81" i="10"/>
  <c r="N142" i="10"/>
  <c r="N186" i="6"/>
  <c r="N131" i="10"/>
  <c r="N78" i="10"/>
  <c r="N128" i="10"/>
  <c r="N194" i="10"/>
  <c r="N107" i="6"/>
  <c r="N154" i="6"/>
  <c r="N113" i="6"/>
  <c r="N49" i="6"/>
  <c r="N30" i="6"/>
  <c r="N15" i="6"/>
  <c r="N116" i="6"/>
  <c r="N214" i="6"/>
  <c r="N248" i="6"/>
  <c r="N53" i="10"/>
  <c r="N151" i="10"/>
  <c r="N245" i="6"/>
  <c r="N85" i="6"/>
  <c r="N84" i="10"/>
  <c r="N71" i="10"/>
  <c r="N99" i="10"/>
  <c r="N33" i="10"/>
  <c r="N154" i="10"/>
  <c r="N159" i="6"/>
  <c r="N105" i="10"/>
  <c r="N122" i="10"/>
  <c r="N215" i="10"/>
  <c r="N166" i="10"/>
  <c r="N125" i="10"/>
  <c r="N177" i="10"/>
  <c r="N96" i="10"/>
  <c r="N197" i="10"/>
  <c r="N71" i="6"/>
  <c r="N139" i="6"/>
  <c r="A3" i="10"/>
  <c r="N18" i="6"/>
  <c r="N18" i="10"/>
  <c r="N234" i="6"/>
  <c r="N208" i="6"/>
  <c r="N220" i="6"/>
  <c r="N197" i="6"/>
  <c r="BM152" i="11"/>
  <c r="BM142" i="11"/>
  <c r="BM133" i="11"/>
  <c r="BM104" i="11"/>
  <c r="BM150" i="11"/>
  <c r="BM118" i="11"/>
  <c r="BM69" i="11"/>
  <c r="BM46" i="11"/>
  <c r="BM151" i="11"/>
  <c r="BM141" i="11"/>
  <c r="BK103" i="11"/>
  <c r="BM103" i="11" s="1"/>
  <c r="BM153" i="11"/>
  <c r="BM134" i="11"/>
  <c r="BM62" i="11"/>
  <c r="BM154" i="11"/>
  <c r="BM145" i="11"/>
  <c r="BM135" i="11"/>
  <c r="BM114" i="11"/>
  <c r="BM55" i="11"/>
  <c r="BM25" i="11"/>
  <c r="BM155" i="11"/>
  <c r="BM146" i="11"/>
  <c r="BM137" i="11"/>
  <c r="BM115" i="11"/>
  <c r="BM65" i="11"/>
  <c r="BM147" i="11"/>
  <c r="BM138" i="11"/>
  <c r="BM143" i="11"/>
  <c r="BM66" i="11"/>
  <c r="E7" i="11"/>
  <c r="D13" i="4" s="1"/>
  <c r="BM60" i="11"/>
  <c r="BM68" i="11"/>
  <c r="BM139" i="11"/>
  <c r="BM14" i="11"/>
  <c r="BM117" i="11"/>
  <c r="BM12" i="11"/>
  <c r="BM149" i="11"/>
  <c r="I184" i="11"/>
  <c r="BK186" i="11" s="1"/>
  <c r="D15" i="4" s="1"/>
  <c r="BK183" i="11"/>
  <c r="BK187" i="11"/>
  <c r="D16" i="4" s="1"/>
  <c r="ED154" i="8"/>
  <c r="EA189" i="8"/>
  <c r="E7" i="8"/>
  <c r="C13" i="4" s="1"/>
  <c r="ED143" i="8"/>
  <c r="AY193" i="8"/>
  <c r="ED13" i="8"/>
  <c r="U193" i="8"/>
  <c r="J193" i="8"/>
  <c r="I193" i="8"/>
  <c r="EB147" i="8"/>
  <c r="ED147" i="8" s="1"/>
  <c r="J3" i="11"/>
  <c r="J4" i="12"/>
  <c r="K4" i="12" s="1"/>
  <c r="C269" i="6"/>
  <c r="A1" i="5"/>
  <c r="N264" i="6"/>
  <c r="N59" i="6"/>
  <c r="BI194" i="8" l="1"/>
  <c r="EB196" i="8" s="1"/>
  <c r="C16" i="4" s="1"/>
  <c r="EC189" i="8"/>
  <c r="EB192" i="8"/>
  <c r="C14" i="4" s="1" a="1"/>
  <c r="C14" i="4" s="1"/>
  <c r="M9" i="7"/>
  <c r="G9" i="7"/>
  <c r="L9" i="7"/>
  <c r="F9" i="7"/>
  <c r="E9" i="7"/>
  <c r="N9" i="7"/>
  <c r="D9" i="7"/>
  <c r="O9" i="7"/>
  <c r="V4" i="19"/>
  <c r="P10" i="12"/>
  <c r="Q10" i="12" s="1"/>
  <c r="R10" i="12" s="1"/>
  <c r="S10" i="12" s="1"/>
  <c r="T10" i="12" s="1"/>
  <c r="U10" i="12" s="1"/>
  <c r="V10" i="12" s="1"/>
  <c r="W10" i="12" s="1"/>
  <c r="X10" i="12" s="1"/>
  <c r="Y10" i="12" s="1"/>
  <c r="Z10" i="12" s="1"/>
  <c r="AA10" i="12" s="1"/>
  <c r="AB10" i="12" s="1"/>
  <c r="AC10" i="12" s="1"/>
  <c r="AD10" i="12" s="1"/>
  <c r="AE10" i="12" s="1"/>
  <c r="AF10" i="12" s="1"/>
  <c r="AG10" i="12" s="1"/>
  <c r="AH10" i="12" s="1"/>
  <c r="AI10" i="12" s="1"/>
  <c r="AJ10" i="12" s="1"/>
  <c r="AK10" i="12" s="1"/>
  <c r="AL10" i="12" s="1"/>
  <c r="AM10" i="12" s="1"/>
  <c r="AN10" i="12" s="1"/>
  <c r="AO10" i="12" s="1"/>
  <c r="AP10" i="12" s="1"/>
  <c r="AQ10" i="12" s="1"/>
  <c r="AR10" i="12" s="1"/>
  <c r="AS10" i="12" s="1"/>
  <c r="AT10" i="12" s="1"/>
  <c r="AU10" i="12" s="1"/>
  <c r="AV10" i="12" s="1"/>
  <c r="AW10" i="12" s="1"/>
  <c r="AX10" i="12" s="1"/>
  <c r="AY10" i="12" s="1"/>
  <c r="AZ10" i="12" s="1"/>
  <c r="BA10" i="12" s="1"/>
  <c r="BB10" i="12" s="1"/>
  <c r="BC10" i="12" s="1"/>
  <c r="BD10" i="12" s="1"/>
  <c r="BE10" i="12" s="1"/>
  <c r="BF10" i="12" s="1"/>
  <c r="BG10" i="12" s="1"/>
  <c r="L10" i="13"/>
  <c r="M10" i="13" s="1"/>
  <c r="N10" i="13" s="1"/>
  <c r="O10" i="13" s="1"/>
  <c r="J3" i="13"/>
  <c r="K4" i="13"/>
  <c r="K3" i="13"/>
  <c r="L3" i="12"/>
  <c r="K3" i="11"/>
  <c r="K4" i="11"/>
  <c r="L4" i="11" s="1"/>
  <c r="M3" i="11" s="1"/>
  <c r="X7" i="7"/>
  <c r="X15" i="7"/>
  <c r="X6" i="7"/>
  <c r="X14" i="7"/>
  <c r="X8" i="7"/>
  <c r="X16" i="7"/>
  <c r="X11" i="7"/>
  <c r="X9" i="7"/>
  <c r="X17" i="7"/>
  <c r="X18" i="7"/>
  <c r="X12" i="7"/>
  <c r="X10" i="7"/>
  <c r="X13" i="7"/>
  <c r="M6" i="7"/>
  <c r="T6" i="7"/>
  <c r="T19" i="7" s="1"/>
  <c r="B217" i="2"/>
  <c r="BO179" i="13"/>
  <c r="F14" i="4" a="1"/>
  <c r="F14" i="4" s="1"/>
  <c r="H7" i="13"/>
  <c r="BO188" i="13"/>
  <c r="BK188" i="12"/>
  <c r="E14" i="4" a="1"/>
  <c r="E14" i="4" s="1"/>
  <c r="H7" i="12"/>
  <c r="N6" i="7"/>
  <c r="N16" i="7"/>
  <c r="G14" i="7"/>
  <c r="F8" i="7"/>
  <c r="D13" i="7"/>
  <c r="D8" i="7"/>
  <c r="L13" i="7"/>
  <c r="M14" i="7"/>
  <c r="O12" i="7"/>
  <c r="G16" i="7"/>
  <c r="L12" i="7"/>
  <c r="F11" i="7"/>
  <c r="D7" i="7"/>
  <c r="E6" i="7"/>
  <c r="N12" i="7"/>
  <c r="E12" i="7"/>
  <c r="N10" i="7"/>
  <c r="D11" i="7"/>
  <c r="F10" i="7"/>
  <c r="M10" i="7"/>
  <c r="G10" i="7"/>
  <c r="G6" i="7"/>
  <c r="F13" i="7"/>
  <c r="E10" i="7"/>
  <c r="E11" i="7"/>
  <c r="O13" i="7"/>
  <c r="E14" i="7"/>
  <c r="L10" i="7"/>
  <c r="L6" i="7"/>
  <c r="L16" i="7"/>
  <c r="E7" i="7"/>
  <c r="F6" i="7"/>
  <c r="B214" i="2"/>
  <c r="O14" i="7"/>
  <c r="N13" i="7"/>
  <c r="G13" i="7"/>
  <c r="O7" i="7"/>
  <c r="L11" i="7"/>
  <c r="E8" i="7"/>
  <c r="O11" i="7"/>
  <c r="G7" i="7"/>
  <c r="L8" i="7"/>
  <c r="D16" i="7"/>
  <c r="M11" i="7"/>
  <c r="F7" i="7"/>
  <c r="B215" i="2"/>
  <c r="M13" i="7"/>
  <c r="M16" i="7"/>
  <c r="E16" i="7"/>
  <c r="G12" i="7"/>
  <c r="D12" i="7"/>
  <c r="E13" i="7"/>
  <c r="D14" i="7"/>
  <c r="F12" i="7"/>
  <c r="M8" i="7"/>
  <c r="G8" i="7"/>
  <c r="N14" i="7"/>
  <c r="D10" i="7"/>
  <c r="F14" i="7"/>
  <c r="N7" i="7"/>
  <c r="O6" i="7"/>
  <c r="B216" i="2"/>
  <c r="O8" i="7"/>
  <c r="N8" i="7"/>
  <c r="M12" i="7"/>
  <c r="M7" i="7"/>
  <c r="D6" i="7"/>
  <c r="F16" i="7"/>
  <c r="O16" i="7"/>
  <c r="L14" i="7"/>
  <c r="N11" i="7"/>
  <c r="O10" i="7"/>
  <c r="G11" i="7"/>
  <c r="L7" i="7"/>
  <c r="BK189" i="11"/>
  <c r="D14" i="4"/>
  <c r="H7" i="11"/>
  <c r="EB189" i="8"/>
  <c r="EB195" i="8"/>
  <c r="C15" i="4" s="1"/>
  <c r="ED189" i="8"/>
  <c r="K3" i="12"/>
  <c r="N118" i="6"/>
  <c r="N41" i="10"/>
  <c r="N112" i="10"/>
  <c r="N32" i="6"/>
  <c r="N124" i="6"/>
  <c r="N102" i="6"/>
  <c r="N190" i="10"/>
  <c r="N203" i="10"/>
  <c r="N144" i="10"/>
  <c r="N48" i="6"/>
  <c r="N200" i="10"/>
  <c r="N161" i="6"/>
  <c r="N112" i="6"/>
  <c r="N130" i="10"/>
  <c r="N173" i="6"/>
  <c r="N121" i="10"/>
  <c r="N244" i="6"/>
  <c r="N61" i="10"/>
  <c r="N213" i="6"/>
  <c r="N95" i="10"/>
  <c r="N184" i="10"/>
  <c r="N77" i="10"/>
  <c r="N14" i="6"/>
  <c r="N233" i="6"/>
  <c r="N78" i="6"/>
  <c r="N156" i="10"/>
  <c r="N138" i="6"/>
  <c r="N89" i="10"/>
  <c r="N170" i="6"/>
  <c r="N96" i="6"/>
  <c r="N55" i="10"/>
  <c r="N101" i="10"/>
  <c r="N26" i="6"/>
  <c r="N11" i="10"/>
  <c r="N247" i="6"/>
  <c r="N176" i="10"/>
  <c r="N232" i="10"/>
  <c r="N74" i="10"/>
  <c r="N121" i="6"/>
  <c r="N84" i="6"/>
  <c r="N210" i="6"/>
  <c r="N216" i="6"/>
  <c r="N17" i="10"/>
  <c r="N162" i="10"/>
  <c r="N158" i="6"/>
  <c r="N179" i="6"/>
  <c r="N185" i="6"/>
  <c r="N191" i="6"/>
  <c r="N214" i="10"/>
  <c r="N230" i="6"/>
  <c r="N70" i="10"/>
  <c r="N20" i="6"/>
  <c r="N135" i="10"/>
  <c r="N150" i="10"/>
  <c r="N263" i="6"/>
  <c r="N17" i="6"/>
  <c r="N196" i="10"/>
  <c r="N67" i="10"/>
  <c r="N141" i="10"/>
  <c r="N23" i="6"/>
  <c r="N8" i="6"/>
  <c r="N44" i="10"/>
  <c r="N165" i="10"/>
  <c r="N124" i="10"/>
  <c r="N62" i="6"/>
  <c r="N23" i="10"/>
  <c r="N70" i="6"/>
  <c r="N188" i="6"/>
  <c r="N58" i="6"/>
  <c r="N164" i="6"/>
  <c r="N92" i="10"/>
  <c r="N209" i="10"/>
  <c r="N45" i="6"/>
  <c r="N52" i="10"/>
  <c r="N29" i="6"/>
  <c r="N11" i="6"/>
  <c r="N58" i="10"/>
  <c r="N219" i="6"/>
  <c r="N115" i="10"/>
  <c r="N127" i="6"/>
  <c r="N182" i="6"/>
  <c r="N138" i="10"/>
  <c r="N227" i="6"/>
  <c r="N64" i="10"/>
  <c r="N255" i="6"/>
  <c r="N65" i="6"/>
  <c r="N32" i="10"/>
  <c r="N37" i="6"/>
  <c r="N196" i="6"/>
  <c r="N150" i="6"/>
  <c r="N47" i="10"/>
  <c r="N153" i="6"/>
  <c r="N80" i="10"/>
  <c r="N83" i="10"/>
  <c r="N176" i="6"/>
  <c r="N8" i="10"/>
  <c r="N104" i="10"/>
  <c r="N206" i="10"/>
  <c r="N99" i="6"/>
  <c r="N115" i="6"/>
  <c r="N53" i="6"/>
  <c r="N135" i="6"/>
  <c r="N20" i="10"/>
  <c r="N204" i="6"/>
  <c r="N107" i="10"/>
  <c r="N118" i="10"/>
  <c r="N217" i="10"/>
  <c r="N224" i="6"/>
  <c r="N147" i="6"/>
  <c r="N26" i="10"/>
  <c r="N193" i="10"/>
  <c r="N141" i="6"/>
  <c r="N153" i="10"/>
  <c r="N167" i="6"/>
  <c r="N130" i="6"/>
  <c r="N109" i="6"/>
  <c r="N14" i="10"/>
  <c r="N29" i="10"/>
  <c r="N98" i="10"/>
  <c r="N127" i="10"/>
  <c r="N37" i="10"/>
  <c r="N168" i="10"/>
  <c r="N181" i="10"/>
  <c r="N207" i="6"/>
  <c r="N144" i="6"/>
  <c r="N86" i="10"/>
  <c r="N199" i="6"/>
  <c r="N173" i="10"/>
  <c r="N159" i="10"/>
  <c r="N42" i="6"/>
  <c r="N187" i="10"/>
  <c r="N147" i="10"/>
  <c r="N106" i="6"/>
  <c r="H7" i="8" l="1"/>
  <c r="H9" i="7"/>
  <c r="P9" i="7"/>
  <c r="P10" i="13"/>
  <c r="Q10" i="13" s="1"/>
  <c r="R10" i="13" s="1"/>
  <c r="S10" i="13" s="1"/>
  <c r="T10" i="13" s="1"/>
  <c r="U10" i="13" s="1"/>
  <c r="V10" i="13" s="1"/>
  <c r="W10" i="13" s="1"/>
  <c r="X10" i="13" s="1"/>
  <c r="Y10" i="13" s="1"/>
  <c r="Z10" i="13" s="1"/>
  <c r="AA10" i="13" s="1"/>
  <c r="AB10" i="13" s="1"/>
  <c r="AC10" i="13" s="1"/>
  <c r="AD10" i="13" s="1"/>
  <c r="AE10" i="13" s="1"/>
  <c r="AF10" i="13" s="1"/>
  <c r="AG10" i="13" s="1"/>
  <c r="AH10" i="13" s="1"/>
  <c r="AI10" i="13" s="1"/>
  <c r="AJ10" i="13" s="1"/>
  <c r="AK10" i="13" s="1"/>
  <c r="AL10" i="13" s="1"/>
  <c r="AM10" i="13" s="1"/>
  <c r="AN10" i="13" s="1"/>
  <c r="AO10" i="13" s="1"/>
  <c r="AP10" i="13" s="1"/>
  <c r="AQ10" i="13" s="1"/>
  <c r="AR10" i="13" s="1"/>
  <c r="AS10" i="13" s="1"/>
  <c r="AT10" i="13" s="1"/>
  <c r="AU10" i="13" s="1"/>
  <c r="AV10" i="13" s="1"/>
  <c r="AW10" i="13" s="1"/>
  <c r="AX10" i="13" s="1"/>
  <c r="AY10" i="13" s="1"/>
  <c r="AZ10" i="13" s="1"/>
  <c r="BA10" i="13" s="1"/>
  <c r="BB10" i="13" s="1"/>
  <c r="BC10" i="13" s="1"/>
  <c r="BD10" i="13" s="1"/>
  <c r="BE10" i="13" s="1"/>
  <c r="BF10" i="13" s="1"/>
  <c r="BG10" i="13" s="1"/>
  <c r="BH10" i="13" s="1"/>
  <c r="BI10" i="13" s="1"/>
  <c r="BJ10" i="13" s="1"/>
  <c r="BK10" i="13" s="1"/>
  <c r="J10" i="8"/>
  <c r="K10" i="8" s="1"/>
  <c r="L10" i="8" s="1"/>
  <c r="M10" i="8" s="1"/>
  <c r="L4" i="12"/>
  <c r="M3" i="12" s="1"/>
  <c r="M4" i="11"/>
  <c r="N3" i="11" s="1"/>
  <c r="L3" i="11"/>
  <c r="H11" i="7"/>
  <c r="U6" i="7"/>
  <c r="T7" i="7" s="1"/>
  <c r="U7" i="7" s="1"/>
  <c r="V7" i="7" s="1"/>
  <c r="W7" i="7" s="1"/>
  <c r="P6" i="7"/>
  <c r="P7" i="7"/>
  <c r="H10" i="7"/>
  <c r="F17" i="4"/>
  <c r="H6" i="13"/>
  <c r="M15" i="7"/>
  <c r="X19" i="7"/>
  <c r="E17" i="4"/>
  <c r="H6" i="12"/>
  <c r="P11" i="7"/>
  <c r="L15" i="7"/>
  <c r="P13" i="7"/>
  <c r="P14" i="7"/>
  <c r="O15" i="7"/>
  <c r="G15" i="7"/>
  <c r="E15" i="7"/>
  <c r="H8" i="7"/>
  <c r="D15" i="7"/>
  <c r="H6" i="7"/>
  <c r="H12" i="7"/>
  <c r="H7" i="7"/>
  <c r="H13" i="7"/>
  <c r="P8" i="7"/>
  <c r="P10" i="7"/>
  <c r="F15" i="7"/>
  <c r="H14" i="7"/>
  <c r="N15" i="7"/>
  <c r="P12" i="7"/>
  <c r="D17" i="4"/>
  <c r="H6" i="11"/>
  <c r="EB198" i="8"/>
  <c r="C17" i="4" s="1"/>
  <c r="N232" i="6"/>
  <c r="N13" i="6"/>
  <c r="N184" i="6"/>
  <c r="N208" i="10"/>
  <c r="N246" i="6"/>
  <c r="N229" i="6"/>
  <c r="N108" i="6"/>
  <c r="N76" i="10"/>
  <c r="N66" i="10"/>
  <c r="N143" i="10"/>
  <c r="N79" i="10"/>
  <c r="N7" i="6"/>
  <c r="N213" i="10"/>
  <c r="N172" i="10"/>
  <c r="N16" i="10"/>
  <c r="N123" i="10"/>
  <c r="N52" i="6"/>
  <c r="N137" i="10"/>
  <c r="N126" i="6"/>
  <c r="N175" i="6"/>
  <c r="N83" i="6"/>
  <c r="N7" i="10"/>
  <c r="N254" i="6"/>
  <c r="N189" i="10"/>
  <c r="N36" i="6"/>
  <c r="N209" i="6"/>
  <c r="N183" i="10"/>
  <c r="N117" i="6"/>
  <c r="N143" i="6"/>
  <c r="N64" i="6"/>
  <c r="N46" i="10"/>
  <c r="N40" i="10"/>
  <c r="N85" i="10"/>
  <c r="N43" i="10"/>
  <c r="N54" i="10"/>
  <c r="N69" i="10"/>
  <c r="N169" i="6"/>
  <c r="N44" i="6"/>
  <c r="N25" i="10"/>
  <c r="N129" i="6"/>
  <c r="N202" i="10"/>
  <c r="N69" i="6"/>
  <c r="N172" i="6"/>
  <c r="N103" i="10"/>
  <c r="N31" i="10"/>
  <c r="N190" i="6"/>
  <c r="N160" i="6"/>
  <c r="N203" i="6"/>
  <c r="N167" i="10"/>
  <c r="N163" i="6"/>
  <c r="N149" i="10"/>
  <c r="N181" i="6"/>
  <c r="N77" i="6"/>
  <c r="N100" i="10"/>
  <c r="N205" i="10"/>
  <c r="N243" i="6"/>
  <c r="N146" i="6"/>
  <c r="N61" i="6"/>
  <c r="N180" i="10"/>
  <c r="N226" i="6"/>
  <c r="N137" i="6"/>
  <c r="N164" i="10"/>
  <c r="N60" i="10"/>
  <c r="N22" i="10"/>
  <c r="N155" i="10"/>
  <c r="N63" i="10"/>
  <c r="N178" i="6"/>
  <c r="N25" i="6"/>
  <c r="N198" i="6"/>
  <c r="N120" i="6"/>
  <c r="N158" i="10"/>
  <c r="N129" i="10"/>
  <c r="N175" i="10"/>
  <c r="N218" i="6"/>
  <c r="N146" i="10"/>
  <c r="N19" i="6"/>
  <c r="N97" i="10"/>
  <c r="N140" i="10"/>
  <c r="N114" i="6"/>
  <c r="N114" i="10"/>
  <c r="N111" i="10"/>
  <c r="N19" i="10"/>
  <c r="N117" i="10"/>
  <c r="N101" i="6"/>
  <c r="N16" i="6"/>
  <c r="N106" i="10"/>
  <c r="N10" i="10"/>
  <c r="N95" i="6"/>
  <c r="N199" i="10"/>
  <c r="N105" i="6"/>
  <c r="N216" i="10"/>
  <c r="N231" i="10"/>
  <c r="N98" i="6"/>
  <c r="N22" i="6"/>
  <c r="N28" i="6"/>
  <c r="N123" i="6"/>
  <c r="N187" i="6"/>
  <c r="N152" i="6"/>
  <c r="N195" i="6"/>
  <c r="N134" i="6"/>
  <c r="N120" i="10"/>
  <c r="N88" i="10"/>
  <c r="N157" i="6"/>
  <c r="N212" i="6"/>
  <c r="N47" i="6"/>
  <c r="N223" i="6"/>
  <c r="N166" i="6"/>
  <c r="N161" i="10"/>
  <c r="N82" i="10"/>
  <c r="N51" i="10"/>
  <c r="N134" i="10"/>
  <c r="N195" i="10"/>
  <c r="N149" i="6"/>
  <c r="N152" i="10"/>
  <c r="N126" i="10"/>
  <c r="N186" i="10"/>
  <c r="N94" i="10"/>
  <c r="N41" i="6"/>
  <c r="N36" i="10"/>
  <c r="N215" i="6"/>
  <c r="N57" i="10"/>
  <c r="N13" i="10"/>
  <c r="N31" i="6"/>
  <c r="N206" i="6"/>
  <c r="N111" i="6"/>
  <c r="N73" i="10"/>
  <c r="N140" i="6"/>
  <c r="N28" i="10"/>
  <c r="N10" i="6"/>
  <c r="N192" i="10"/>
  <c r="N91" i="10"/>
  <c r="N10" i="8" l="1"/>
  <c r="L3" i="13"/>
  <c r="L4" i="13"/>
  <c r="M4" i="12"/>
  <c r="N3" i="12" s="1"/>
  <c r="N4" i="11"/>
  <c r="O4" i="11" s="1"/>
  <c r="V6" i="7"/>
  <c r="W6" i="7" s="1"/>
  <c r="T8" i="7"/>
  <c r="U8" i="7" s="1"/>
  <c r="V8" i="7" s="1"/>
  <c r="W8" i="7" s="1"/>
  <c r="P15" i="7"/>
  <c r="H15" i="7"/>
  <c r="H6" i="8"/>
  <c r="N5" i="6"/>
  <c r="N50" i="6"/>
  <c r="N132" i="6"/>
  <c r="N109" i="10"/>
  <c r="N201" i="6"/>
  <c r="N132" i="10"/>
  <c r="N34" i="6"/>
  <c r="N252" i="6"/>
  <c r="N229" i="10"/>
  <c r="N49" i="10"/>
  <c r="N155" i="6"/>
  <c r="N170" i="10"/>
  <c r="N178" i="10"/>
  <c r="N5" i="10"/>
  <c r="N34" i="10"/>
  <c r="N193" i="6"/>
  <c r="P4" i="11" l="1"/>
  <c r="Q4" i="11" s="1"/>
  <c r="P3" i="11"/>
  <c r="M3" i="13"/>
  <c r="M4" i="13"/>
  <c r="N4" i="12"/>
  <c r="O4" i="12" s="1"/>
  <c r="O3" i="11"/>
  <c r="T9" i="7"/>
  <c r="U9" i="7" s="1"/>
  <c r="V9" i="7" s="1"/>
  <c r="W9" i="7" s="1"/>
  <c r="N224" i="10"/>
  <c r="N238" i="6"/>
  <c r="P4" i="12" l="1"/>
  <c r="Q3" i="12" s="1"/>
  <c r="P3" i="12"/>
  <c r="Q3" i="11"/>
  <c r="N3" i="13"/>
  <c r="N4" i="13"/>
  <c r="O3" i="12"/>
  <c r="T10" i="7"/>
  <c r="U10" i="7" s="1"/>
  <c r="J4" i="8"/>
  <c r="J3" i="8"/>
  <c r="R3" i="11"/>
  <c r="R4" i="11"/>
  <c r="N237" i="6"/>
  <c r="N223" i="10"/>
  <c r="O10" i="8" l="1"/>
  <c r="P10" i="8" s="1"/>
  <c r="Q10" i="8" s="1"/>
  <c r="R10" i="8" s="1"/>
  <c r="S10" i="8" s="1"/>
  <c r="T10" i="8" s="1"/>
  <c r="U10" i="8" s="1"/>
  <c r="K3" i="8"/>
  <c r="K4" i="8"/>
  <c r="Q4" i="12"/>
  <c r="O4" i="13"/>
  <c r="O3" i="13"/>
  <c r="V10" i="7"/>
  <c r="W10" i="7" s="1"/>
  <c r="T11" i="7"/>
  <c r="U11" i="7" s="1"/>
  <c r="T12" i="7" s="1"/>
  <c r="U12" i="7" s="1"/>
  <c r="T13" i="7" s="1"/>
  <c r="U13" i="7" s="1"/>
  <c r="T14" i="7" s="1"/>
  <c r="U14" i="7" s="1"/>
  <c r="S3" i="11"/>
  <c r="S4" i="11"/>
  <c r="N235" i="6"/>
  <c r="N220" i="10"/>
  <c r="V10" i="8" l="1"/>
  <c r="L3" i="8"/>
  <c r="L4" i="8"/>
  <c r="P4" i="13"/>
  <c r="Q3" i="13" s="1"/>
  <c r="P3" i="13"/>
  <c r="R3" i="12"/>
  <c r="R4" i="12"/>
  <c r="V12" i="7"/>
  <c r="W12" i="7" s="1"/>
  <c r="V13" i="7"/>
  <c r="W13" i="7" s="1"/>
  <c r="V11" i="7"/>
  <c r="W11" i="7" s="1"/>
  <c r="T3" i="11"/>
  <c r="T4" i="11"/>
  <c r="V14" i="7"/>
  <c r="W14" i="7" s="1"/>
  <c r="T15" i="7"/>
  <c r="U15" i="7" s="1"/>
  <c r="N219" i="10"/>
  <c r="N4" i="6"/>
  <c r="W10" i="8" l="1"/>
  <c r="M4" i="8"/>
  <c r="M3" i="8"/>
  <c r="D3" i="6"/>
  <c r="Q4" i="13"/>
  <c r="R4" i="13" s="1"/>
  <c r="S4" i="12"/>
  <c r="S3" i="12"/>
  <c r="U3" i="11"/>
  <c r="U4" i="11"/>
  <c r="T16" i="7"/>
  <c r="U16" i="7" s="1"/>
  <c r="V15" i="7"/>
  <c r="W15" i="7" s="1"/>
  <c r="N211" i="10"/>
  <c r="X10" i="8" l="1"/>
  <c r="N4" i="8"/>
  <c r="N3" i="8"/>
  <c r="R3" i="13"/>
  <c r="T3" i="12"/>
  <c r="T4" i="12"/>
  <c r="S3" i="13"/>
  <c r="S4" i="13"/>
  <c r="T17" i="7"/>
  <c r="U17" i="7" s="1"/>
  <c r="V16" i="7"/>
  <c r="W16" i="7" s="1"/>
  <c r="V3" i="11"/>
  <c r="V4" i="11"/>
  <c r="N4" i="10"/>
  <c r="Y10" i="8" l="1"/>
  <c r="Z10" i="8" s="1"/>
  <c r="AA10" i="8" s="1"/>
  <c r="AB10" i="8" s="1"/>
  <c r="AC10" i="8" s="1"/>
  <c r="AD10" i="8" s="1"/>
  <c r="AE10" i="8" s="1"/>
  <c r="AF10" i="8" s="1"/>
  <c r="AG10" i="8" s="1"/>
  <c r="AH10" i="8" s="1"/>
  <c r="AI10" i="8" s="1"/>
  <c r="AJ10" i="8" s="1"/>
  <c r="AK10" i="8" s="1"/>
  <c r="D3" i="10"/>
  <c r="U4" i="12"/>
  <c r="U3" i="12"/>
  <c r="T3" i="13"/>
  <c r="T4" i="13"/>
  <c r="W4" i="11"/>
  <c r="W3" i="11"/>
  <c r="T18" i="7"/>
  <c r="U18" i="7" s="1"/>
  <c r="V17" i="7"/>
  <c r="W17" i="7" s="1"/>
  <c r="AL10" i="8" l="1"/>
  <c r="V3" i="12"/>
  <c r="V4" i="12"/>
  <c r="U3" i="13"/>
  <c r="U4" i="13"/>
  <c r="X4" i="11"/>
  <c r="X3" i="11"/>
  <c r="U19" i="7"/>
  <c r="V19" i="7" s="1"/>
  <c r="V18" i="7"/>
  <c r="W18" i="7" s="1"/>
  <c r="O4" i="8" l="1"/>
  <c r="P4" i="8" s="1"/>
  <c r="O3" i="8"/>
  <c r="AM10" i="8"/>
  <c r="AN10" i="8" s="1"/>
  <c r="AO10" i="8" s="1"/>
  <c r="W4" i="12"/>
  <c r="W3" i="12"/>
  <c r="V4" i="13"/>
  <c r="V3" i="13"/>
  <c r="W19" i="7"/>
  <c r="Y3" i="11"/>
  <c r="Y4" i="11"/>
  <c r="P3" i="8" l="1"/>
  <c r="Q4" i="8"/>
  <c r="R3" i="8" s="1"/>
  <c r="Q3" i="8"/>
  <c r="X4" i="12"/>
  <c r="X3" i="12"/>
  <c r="W4" i="13"/>
  <c r="W3" i="13"/>
  <c r="Z4" i="11"/>
  <c r="Z3" i="11"/>
  <c r="R4" i="8" l="1"/>
  <c r="S4" i="8" s="1"/>
  <c r="T4" i="8" s="1"/>
  <c r="U3" i="8" s="1"/>
  <c r="Y4" i="12"/>
  <c r="Y3" i="12"/>
  <c r="X3" i="13"/>
  <c r="X4" i="13"/>
  <c r="AA4" i="11"/>
  <c r="AA3" i="11"/>
  <c r="U4" i="8" l="1"/>
  <c r="S3" i="8"/>
  <c r="T3" i="8"/>
  <c r="AP10" i="8"/>
  <c r="Z4" i="12"/>
  <c r="Z3" i="12"/>
  <c r="Y4" i="13"/>
  <c r="Y3" i="13"/>
  <c r="AB4" i="11"/>
  <c r="AB3" i="11"/>
  <c r="V4" i="8" l="1"/>
  <c r="V3" i="8"/>
  <c r="AQ10" i="8"/>
  <c r="AR10" i="8" s="1"/>
  <c r="AS10" i="8" s="1"/>
  <c r="AT10" i="8" s="1"/>
  <c r="AU10" i="8" s="1"/>
  <c r="AV10" i="8" s="1"/>
  <c r="AW10" i="8" s="1"/>
  <c r="AX10" i="8" s="1"/>
  <c r="AY10" i="8" s="1"/>
  <c r="AZ10" i="8" s="1"/>
  <c r="BA10" i="8" s="1"/>
  <c r="BB10" i="8" s="1"/>
  <c r="BC10" i="8" s="1"/>
  <c r="BD10" i="8" s="1"/>
  <c r="BE10" i="8" s="1"/>
  <c r="BF10" i="8" s="1"/>
  <c r="BG10" i="8" s="1"/>
  <c r="BH10" i="8" s="1"/>
  <c r="BI10" i="8" s="1"/>
  <c r="BJ10" i="8" s="1"/>
  <c r="AA4" i="12"/>
  <c r="AA3" i="12"/>
  <c r="Z4" i="13"/>
  <c r="Z3" i="13"/>
  <c r="AC4" i="11"/>
  <c r="AC3" i="11"/>
  <c r="W4" i="8" l="1"/>
  <c r="W3" i="8"/>
  <c r="BK10" i="8"/>
  <c r="BL10" i="8" s="1"/>
  <c r="BM10" i="8" s="1"/>
  <c r="BN10" i="8" s="1"/>
  <c r="AB4" i="12"/>
  <c r="AB3" i="12"/>
  <c r="AA4" i="13"/>
  <c r="AA3" i="13"/>
  <c r="AD4" i="11"/>
  <c r="AD3" i="11"/>
  <c r="X3" i="8" l="1"/>
  <c r="X4" i="8"/>
  <c r="BO10" i="8"/>
  <c r="AC4" i="12"/>
  <c r="AC3" i="12"/>
  <c r="AB4" i="13"/>
  <c r="AB3" i="13"/>
  <c r="AE3" i="11"/>
  <c r="AE4" i="11"/>
  <c r="Y4" i="8" l="1"/>
  <c r="Z3" i="8" s="1"/>
  <c r="Y3" i="8"/>
  <c r="BP10" i="8"/>
  <c r="BQ10" i="8" s="1"/>
  <c r="AD4" i="12"/>
  <c r="AD3" i="12"/>
  <c r="AC3" i="13"/>
  <c r="AC4" i="13"/>
  <c r="AF3" i="11"/>
  <c r="AF4" i="11"/>
  <c r="Z4" i="8" l="1"/>
  <c r="AA4" i="8" s="1"/>
  <c r="AB4" i="8" s="1"/>
  <c r="BR10" i="8"/>
  <c r="BS10" i="8" s="1"/>
  <c r="BT10" i="8" s="1"/>
  <c r="BU10" i="8" s="1"/>
  <c r="BV10" i="8" s="1"/>
  <c r="BW10" i="8" s="1"/>
  <c r="BX10" i="8" s="1"/>
  <c r="BY10" i="8" s="1"/>
  <c r="AE3" i="12"/>
  <c r="AE4" i="12"/>
  <c r="AD3" i="13"/>
  <c r="AD4" i="13"/>
  <c r="AG3" i="11"/>
  <c r="AG4" i="11"/>
  <c r="AB3" i="8" l="1"/>
  <c r="AA3" i="8"/>
  <c r="BZ10" i="8"/>
  <c r="CA10" i="8" s="1"/>
  <c r="CB10" i="8" s="1"/>
  <c r="CC10" i="8" s="1"/>
  <c r="CD10" i="8" s="1"/>
  <c r="CE10" i="8" s="1"/>
  <c r="AC3" i="8"/>
  <c r="AC4" i="8"/>
  <c r="AF4" i="12"/>
  <c r="AF3" i="12"/>
  <c r="AE4" i="13"/>
  <c r="AE3" i="13"/>
  <c r="AH4" i="11"/>
  <c r="AH3" i="11"/>
  <c r="AD4" i="8" l="1"/>
  <c r="AD3" i="8"/>
  <c r="CF10" i="8"/>
  <c r="AG4" i="12"/>
  <c r="AG3" i="12"/>
  <c r="AF3" i="13"/>
  <c r="AF4" i="13"/>
  <c r="AI3" i="11"/>
  <c r="AI4" i="11"/>
  <c r="AE3" i="8" l="1"/>
  <c r="AE4" i="8"/>
  <c r="AF4" i="8" s="1"/>
  <c r="CG10" i="8"/>
  <c r="AH3" i="12"/>
  <c r="AH4" i="12"/>
  <c r="AG3" i="13"/>
  <c r="AG4" i="13"/>
  <c r="AJ4" i="11"/>
  <c r="AJ3" i="11"/>
  <c r="AG4" i="8" l="1"/>
  <c r="AG3" i="8"/>
  <c r="AF3" i="8"/>
  <c r="CH10" i="8"/>
  <c r="CI10" i="8" s="1"/>
  <c r="AI3" i="12"/>
  <c r="AI4" i="12"/>
  <c r="AH3" i="13"/>
  <c r="AH4" i="13"/>
  <c r="AK3" i="11"/>
  <c r="AK4" i="11"/>
  <c r="AH4" i="8" l="1"/>
  <c r="AI4" i="8" s="1"/>
  <c r="AH3" i="8"/>
  <c r="CJ10" i="8"/>
  <c r="AJ3" i="12"/>
  <c r="AJ4" i="12"/>
  <c r="AI3" i="13"/>
  <c r="AI4" i="13"/>
  <c r="AL4" i="11"/>
  <c r="AL3" i="11"/>
  <c r="AI3" i="8" l="1"/>
  <c r="CK10" i="8"/>
  <c r="AK3" i="12"/>
  <c r="AK4" i="12"/>
  <c r="AJ4" i="13"/>
  <c r="AJ3" i="13"/>
  <c r="AM3" i="11"/>
  <c r="AM4" i="11"/>
  <c r="CL10" i="8" l="1"/>
  <c r="CM10" i="8" s="1"/>
  <c r="CN10" i="8" s="1"/>
  <c r="AL3" i="12"/>
  <c r="AL4" i="12"/>
  <c r="AK3" i="13"/>
  <c r="AK4" i="13"/>
  <c r="AN3" i="11"/>
  <c r="AN4" i="11"/>
  <c r="CO10" i="8" l="1"/>
  <c r="AJ4" i="8"/>
  <c r="AJ3" i="8"/>
  <c r="AM3" i="12"/>
  <c r="AM4" i="12"/>
  <c r="AL3" i="13"/>
  <c r="AL4" i="13"/>
  <c r="AO3" i="11"/>
  <c r="AO4" i="11"/>
  <c r="CP10" i="8" l="1"/>
  <c r="AN3" i="12"/>
  <c r="AN4" i="12"/>
  <c r="AM3" i="13"/>
  <c r="AM4" i="13"/>
  <c r="AP3" i="11"/>
  <c r="AP4" i="11"/>
  <c r="CQ10" i="8" l="1"/>
  <c r="AK3" i="8"/>
  <c r="AO3" i="12"/>
  <c r="AO4" i="12"/>
  <c r="AN4" i="13"/>
  <c r="AN3" i="13"/>
  <c r="AQ3" i="11"/>
  <c r="AQ4" i="11"/>
  <c r="CR10" i="8" l="1"/>
  <c r="AK4" i="8"/>
  <c r="AP3" i="12"/>
  <c r="AP4" i="12"/>
  <c r="AO4" i="13"/>
  <c r="AO3" i="13"/>
  <c r="AR3" i="11"/>
  <c r="AR4" i="11"/>
  <c r="AL3" i="8" l="1"/>
  <c r="AL4" i="8"/>
  <c r="CS10" i="8"/>
  <c r="AQ3" i="12"/>
  <c r="AQ4" i="12"/>
  <c r="AP3" i="13"/>
  <c r="AP4" i="13"/>
  <c r="AS4" i="11"/>
  <c r="AS3" i="11"/>
  <c r="AM3" i="8" l="1"/>
  <c r="AM4" i="8"/>
  <c r="AN3" i="8" s="1"/>
  <c r="CT10" i="8"/>
  <c r="AR3" i="12"/>
  <c r="AR4" i="12"/>
  <c r="AQ4" i="13"/>
  <c r="AQ3" i="13"/>
  <c r="AT3" i="11"/>
  <c r="AT4" i="11"/>
  <c r="AN4" i="8" l="1"/>
  <c r="AO4" i="8" s="1"/>
  <c r="CU10" i="8"/>
  <c r="AS3" i="12"/>
  <c r="AS4" i="12"/>
  <c r="AR4" i="13"/>
  <c r="AR3" i="13"/>
  <c r="AU3" i="11"/>
  <c r="AU4" i="11"/>
  <c r="AO3" i="8" l="1"/>
  <c r="CV10" i="8"/>
  <c r="AT3" i="12"/>
  <c r="AT4" i="12"/>
  <c r="AS3" i="13"/>
  <c r="AS4" i="13"/>
  <c r="AV4" i="11"/>
  <c r="AV3" i="11"/>
  <c r="CW10" i="8" l="1"/>
  <c r="AU4" i="12"/>
  <c r="AU3" i="12"/>
  <c r="AT4" i="13"/>
  <c r="AT3" i="13"/>
  <c r="AW3" i="11"/>
  <c r="AW4" i="11"/>
  <c r="CX10" i="8" l="1"/>
  <c r="AV4" i="12"/>
  <c r="AV3" i="12"/>
  <c r="AU4" i="13"/>
  <c r="AU3" i="13"/>
  <c r="AX4" i="11"/>
  <c r="AX3" i="11"/>
  <c r="CY10" i="8" l="1"/>
  <c r="AW4" i="12"/>
  <c r="AW3" i="12"/>
  <c r="AV3" i="13"/>
  <c r="AV4" i="13"/>
  <c r="AY3" i="11"/>
  <c r="AY4" i="11"/>
  <c r="CZ10" i="8" l="1"/>
  <c r="AX3" i="12"/>
  <c r="AX4" i="12"/>
  <c r="AW3" i="13"/>
  <c r="AW4" i="13"/>
  <c r="AZ4" i="11"/>
  <c r="AZ3" i="11"/>
  <c r="DA10" i="8" l="1"/>
  <c r="DB10" i="8" s="1"/>
  <c r="DC10" i="8" s="1"/>
  <c r="DD10" i="8" s="1"/>
  <c r="DE10" i="8" s="1"/>
  <c r="DF10" i="8" s="1"/>
  <c r="DG10" i="8" s="1"/>
  <c r="DH10" i="8" s="1"/>
  <c r="DI10" i="8" s="1"/>
  <c r="DJ10" i="8" s="1"/>
  <c r="DK10" i="8" s="1"/>
  <c r="AY4" i="12"/>
  <c r="AY3" i="12"/>
  <c r="AX3" i="13"/>
  <c r="AX4" i="13"/>
  <c r="BA3" i="11"/>
  <c r="BA4" i="11"/>
  <c r="AP4" i="8" l="1"/>
  <c r="AP3" i="8"/>
  <c r="DL10" i="8"/>
  <c r="DM10" i="8" s="1"/>
  <c r="DN10" i="8" s="1"/>
  <c r="DO10" i="8" s="1"/>
  <c r="DP10" i="8" s="1"/>
  <c r="DQ10" i="8" s="1"/>
  <c r="DR10" i="8" s="1"/>
  <c r="DS10" i="8" s="1"/>
  <c r="DT10" i="8" s="1"/>
  <c r="DU10" i="8" s="1"/>
  <c r="DV10" i="8" s="1"/>
  <c r="DW10" i="8" s="1"/>
  <c r="DX10" i="8" s="1"/>
  <c r="AZ4" i="12"/>
  <c r="AZ3" i="12"/>
  <c r="AY3" i="13"/>
  <c r="AY4" i="13"/>
  <c r="BB4" i="11"/>
  <c r="BB3" i="11"/>
  <c r="AQ4" i="8" l="1"/>
  <c r="AQ3" i="8"/>
  <c r="BA3" i="12"/>
  <c r="BA4" i="12"/>
  <c r="AZ4" i="13"/>
  <c r="AZ3" i="13"/>
  <c r="BC4" i="11"/>
  <c r="BC3" i="11"/>
  <c r="BB4" i="12" l="1"/>
  <c r="BB3" i="12"/>
  <c r="BA3" i="13"/>
  <c r="BA4" i="13"/>
  <c r="BD4" i="11"/>
  <c r="BD3" i="11"/>
  <c r="BC3" i="12" l="1"/>
  <c r="BC4" i="12"/>
  <c r="BB4" i="13"/>
  <c r="BB3" i="13"/>
  <c r="BE3" i="11"/>
  <c r="BE4" i="11"/>
  <c r="AR4" i="8" l="1"/>
  <c r="AR3" i="8"/>
  <c r="BD3" i="12"/>
  <c r="BD4" i="12"/>
  <c r="BC4" i="13"/>
  <c r="BC3" i="13"/>
  <c r="BF4" i="11"/>
  <c r="BF3" i="11"/>
  <c r="AS4" i="8" l="1"/>
  <c r="AS3" i="8"/>
  <c r="BE4" i="12"/>
  <c r="BE3" i="12"/>
  <c r="BD3" i="13"/>
  <c r="BD4" i="13"/>
  <c r="BG3" i="11"/>
  <c r="BG4" i="11"/>
  <c r="AT3" i="8" l="1"/>
  <c r="AT4" i="8"/>
  <c r="BF3" i="12"/>
  <c r="BF4" i="12"/>
  <c r="BE4" i="13"/>
  <c r="BE3" i="13"/>
  <c r="AU4" i="8" l="1"/>
  <c r="AU3" i="8"/>
  <c r="BG4" i="12"/>
  <c r="BG3" i="12"/>
  <c r="BF4" i="13"/>
  <c r="BF3" i="13"/>
  <c r="AV3" i="8" l="1"/>
  <c r="AV4" i="8"/>
  <c r="BG3" i="13"/>
  <c r="BG4" i="13"/>
  <c r="AW4" i="8" l="1"/>
  <c r="AW3" i="8"/>
  <c r="BH4" i="13"/>
  <c r="BH3" i="13"/>
  <c r="AX3" i="8" l="1"/>
  <c r="AX4" i="8"/>
  <c r="BI4" i="13"/>
  <c r="BI3" i="13"/>
  <c r="AY3" i="8" l="1"/>
  <c r="AY4" i="8"/>
  <c r="BJ3" i="13"/>
  <c r="BJ4" i="13"/>
  <c r="AZ3" i="8" l="1"/>
  <c r="AZ4" i="8"/>
  <c r="BK3" i="13"/>
  <c r="BK4" i="13"/>
  <c r="BA4" i="8" l="1"/>
  <c r="BA3" i="8"/>
  <c r="BB4" i="8" l="1"/>
  <c r="BB3" i="8"/>
  <c r="BC3" i="8" l="1"/>
  <c r="BC4" i="8"/>
  <c r="BD4" i="8" l="1"/>
  <c r="BD3" i="8"/>
  <c r="BE4" i="8" l="1"/>
  <c r="BE3" i="8"/>
  <c r="BF3" i="8" l="1"/>
  <c r="BF4" i="8"/>
  <c r="BG4" i="8" l="1"/>
  <c r="BG3" i="8"/>
  <c r="BH3" i="8" l="1"/>
  <c r="BH4" i="8"/>
  <c r="BI3" i="8" l="1"/>
  <c r="BI4" i="8"/>
  <c r="BJ4" i="8" l="1"/>
  <c r="BJ3" i="8"/>
  <c r="BK4" i="8" l="1"/>
  <c r="BK3" i="8"/>
  <c r="BL3" i="8" l="1"/>
  <c r="BL4" i="8"/>
  <c r="BM3" i="8" l="1"/>
  <c r="BM4" i="8"/>
  <c r="BN4" i="8" l="1"/>
  <c r="BN3" i="8"/>
  <c r="BO4" i="8" l="1"/>
  <c r="BO3" i="8"/>
  <c r="BP3" i="8" l="1"/>
  <c r="BP4" i="8"/>
  <c r="BQ3" i="8" l="1"/>
  <c r="BQ4" i="8"/>
  <c r="BR4" i="8" l="1"/>
  <c r="BR3" i="8"/>
  <c r="BS3" i="8" l="1"/>
  <c r="BS4" i="8"/>
  <c r="BT3" i="8" l="1"/>
  <c r="BT4" i="8"/>
  <c r="BU4" i="8" l="1"/>
  <c r="BU3" i="8"/>
  <c r="BV4" i="8" l="1"/>
  <c r="BV3" i="8"/>
  <c r="BW3" i="8" l="1"/>
  <c r="BW4" i="8"/>
  <c r="BX3" i="8" l="1"/>
  <c r="BX4" i="8"/>
  <c r="BY3" i="8" l="1"/>
  <c r="BY4" i="8"/>
  <c r="BZ4" i="8" l="1"/>
  <c r="BZ3" i="8"/>
  <c r="CA4" i="8" l="1"/>
  <c r="CA3" i="8"/>
  <c r="CB3" i="8" l="1"/>
  <c r="CB4" i="8"/>
  <c r="CC3" i="8" l="1"/>
  <c r="CC4" i="8"/>
  <c r="CD3" i="8" l="1"/>
  <c r="CD4" i="8"/>
  <c r="CE3" i="8" l="1"/>
  <c r="CE4" i="8"/>
  <c r="CF4" i="8" l="1"/>
  <c r="CF3" i="8"/>
  <c r="CG4" i="8" l="1"/>
  <c r="CG3" i="8"/>
  <c r="CH3" i="8" l="1"/>
  <c r="CH4" i="8"/>
  <c r="CI4" i="8" l="1"/>
  <c r="CI3" i="8"/>
  <c r="CJ3" i="8" l="1"/>
  <c r="CJ4" i="8"/>
  <c r="CK4" i="8" l="1"/>
  <c r="CK3" i="8"/>
  <c r="CL3" i="8" l="1"/>
  <c r="CL4" i="8"/>
  <c r="CM3" i="8" l="1"/>
  <c r="CM4" i="8"/>
  <c r="CN3" i="8" l="1"/>
  <c r="CN4" i="8"/>
  <c r="CO3" i="8" l="1"/>
  <c r="CO4" i="8"/>
  <c r="CP3" i="8" l="1"/>
  <c r="CP4" i="8"/>
  <c r="CQ3" i="8" l="1"/>
  <c r="CQ4" i="8"/>
  <c r="CR4" i="8" l="1"/>
  <c r="CR3" i="8"/>
  <c r="CS4" i="8" l="1"/>
  <c r="CS3" i="8"/>
  <c r="CT4" i="8" l="1"/>
  <c r="CT3" i="8"/>
  <c r="CU4" i="8" l="1"/>
  <c r="CU3" i="8"/>
  <c r="CV4" i="8" l="1"/>
  <c r="CV3" i="8"/>
  <c r="CW4" i="8" l="1"/>
  <c r="CW3" i="8"/>
  <c r="CX4" i="8" l="1"/>
  <c r="CX3" i="8"/>
  <c r="CY4" i="8" l="1"/>
  <c r="CY3" i="8"/>
  <c r="CZ3" i="8" l="1"/>
  <c r="CZ4" i="8"/>
  <c r="DA3" i="8" l="1"/>
  <c r="DA4" i="8"/>
  <c r="DB4" i="8" l="1"/>
  <c r="DB3" i="8"/>
  <c r="DC3" i="8" l="1"/>
  <c r="DC4" i="8"/>
  <c r="DD4" i="8" l="1"/>
  <c r="DD3" i="8"/>
  <c r="DE3" i="8" l="1"/>
  <c r="DE4" i="8"/>
  <c r="DF4" i="8" l="1"/>
  <c r="DF3" i="8"/>
  <c r="DG3" i="8" l="1"/>
  <c r="DG4" i="8"/>
  <c r="DH4" i="8" l="1"/>
  <c r="DH3" i="8"/>
  <c r="DI3" i="8" l="1"/>
  <c r="DI4" i="8"/>
  <c r="DJ3" i="8" l="1"/>
  <c r="DJ4" i="8"/>
  <c r="DK3" i="8" l="1"/>
  <c r="DK4" i="8"/>
  <c r="DL4" i="8" l="1"/>
  <c r="DL3" i="8"/>
  <c r="DM3" i="8" l="1"/>
  <c r="DM4" i="8"/>
  <c r="DN4" i="8" l="1"/>
  <c r="DN3" i="8"/>
  <c r="DO4" i="8" l="1"/>
  <c r="DO3" i="8"/>
  <c r="DP4" i="8" l="1"/>
  <c r="DP3" i="8"/>
  <c r="DQ3" i="8" l="1"/>
  <c r="DQ4" i="8"/>
  <c r="DR3" i="8" l="1"/>
  <c r="DR4" i="8"/>
  <c r="DS4" i="8" l="1"/>
  <c r="DS3" i="8"/>
  <c r="DT4" i="8" l="1"/>
  <c r="DT3" i="8"/>
  <c r="DU3" i="8" l="1"/>
  <c r="DU4" i="8"/>
  <c r="DV3" i="8" l="1"/>
  <c r="DV4" i="8"/>
  <c r="DW3" i="8" l="1"/>
  <c r="DW4" i="8"/>
  <c r="DX4" i="8" l="1"/>
  <c r="DX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 Campbell</author>
  </authors>
  <commentList>
    <comment ref="A3" authorId="0" shapeId="0" xr:uid="{00000000-0006-0000-0000-000001000000}">
      <text>
        <r>
          <rPr>
            <sz val="9"/>
            <color indexed="81"/>
            <rFont val="Tahoma"/>
            <family val="2"/>
          </rPr>
          <t>Provide the name of the project/solution.
This name will be referenced throughout the estimation tool.</t>
        </r>
      </text>
    </comment>
    <comment ref="B9" authorId="0" shapeId="0" xr:uid="{00000000-0006-0000-0000-000002000000}">
      <text>
        <r>
          <rPr>
            <sz val="9"/>
            <color indexed="81"/>
            <rFont val="Tahoma"/>
            <family val="2"/>
          </rPr>
          <t>Provide the name of the customer for your project.
This name will be referenced throughout the estimation tool.</t>
        </r>
      </text>
    </comment>
    <comment ref="B10" authorId="0" shapeId="0" xr:uid="{00000000-0006-0000-0000-000003000000}">
      <text>
        <r>
          <rPr>
            <sz val="9"/>
            <color indexed="81"/>
            <rFont val="Tahoma"/>
            <family val="2"/>
          </rPr>
          <t>Provide the name of the project manager.
This name will be referenced throughout the estimation tool.</t>
        </r>
      </text>
    </comment>
    <comment ref="B11" authorId="0" shapeId="0" xr:uid="{00000000-0006-0000-0000-000004000000}">
      <text>
        <r>
          <rPr>
            <sz val="9"/>
            <color indexed="81"/>
            <rFont val="Tahoma"/>
            <family val="2"/>
          </rPr>
          <t>Indicate the version of your estimate.
Information about the estimate version can be entered in the Version History table below.</t>
        </r>
      </text>
    </comment>
    <comment ref="B12" authorId="0" shapeId="0" xr:uid="{00000000-0006-0000-0000-000005000000}">
      <text>
        <r>
          <rPr>
            <sz val="9"/>
            <color indexed="81"/>
            <rFont val="Tahoma"/>
            <family val="2"/>
          </rPr>
          <t>The date this version of the estimate is issued.</t>
        </r>
      </text>
    </comment>
    <comment ref="B13" authorId="0" shapeId="0" xr:uid="{00000000-0006-0000-0000-000006000000}">
      <text>
        <r>
          <rPr>
            <sz val="9"/>
            <color indexed="81"/>
            <rFont val="Tahoma"/>
            <family val="2"/>
          </rPr>
          <t>Enter the names of the estimator, or estimators (if more than one person involved).</t>
        </r>
      </text>
    </comment>
    <comment ref="B14" authorId="0" shapeId="0" xr:uid="{00000000-0006-0000-0000-000007000000}">
      <text>
        <r>
          <rPr>
            <sz val="9"/>
            <color indexed="81"/>
            <rFont val="Tahoma"/>
            <family val="2"/>
          </rPr>
          <t xml:space="preserve">- Use Work in Progress when the estimate is being built.
- Use Released when the estimate is complete and ready for internal review.
- Use Revised whenever the estimate is updated after being released, or approved.
- Use Approved when the estimate is approved.
</t>
        </r>
      </text>
    </comment>
    <comment ref="B15" authorId="0" shapeId="0" xr:uid="{00000000-0006-0000-0000-000008000000}">
      <text>
        <r>
          <rPr>
            <sz val="9"/>
            <color indexed="81"/>
            <rFont val="Tahoma"/>
            <family val="2"/>
          </rPr>
          <t>Enter the Salesforce.com (SFDC) Opp ID, if applicable.</t>
        </r>
      </text>
    </comment>
    <comment ref="B16" authorId="0" shapeId="0" xr:uid="{00000000-0006-0000-0000-000009000000}">
      <text>
        <r>
          <rPr>
            <sz val="9"/>
            <color indexed="81"/>
            <rFont val="Tahoma"/>
            <family val="2"/>
          </rPr>
          <t>The Project ID, if applicable.</t>
        </r>
      </text>
    </comment>
    <comment ref="A28" authorId="0" shapeId="0" xr:uid="{00000000-0006-0000-0000-00000A000000}">
      <text>
        <r>
          <rPr>
            <sz val="9"/>
            <color indexed="81"/>
            <rFont val="Tahoma"/>
            <family val="2"/>
          </rPr>
          <t>Add the details for each version to this table.</t>
        </r>
      </text>
    </comment>
    <comment ref="A34" authorId="0" shapeId="0" xr:uid="{00000000-0006-0000-0000-00000B000000}">
      <text>
        <r>
          <rPr>
            <sz val="9"/>
            <color indexed="81"/>
            <rFont val="Tahoma"/>
            <family val="2"/>
          </rPr>
          <t>Add the distribution list (one line per person) if required.</t>
        </r>
      </text>
    </comment>
    <comment ref="A39" authorId="0" shapeId="0" xr:uid="{00000000-0006-0000-0000-00000C000000}">
      <text>
        <r>
          <rPr>
            <sz val="9"/>
            <color indexed="81"/>
            <rFont val="Tahoma"/>
            <family val="2"/>
          </rPr>
          <t>Include references as appropriate. You can delete or ignore this section if not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Bairbre Reen</author>
  </authors>
  <commentList>
    <comment ref="D5" authorId="0" shapeId="0" xr:uid="{FF985DDF-E063-440B-AB2B-EE1CE0A94450}">
      <text>
        <r>
          <rPr>
            <b/>
            <sz val="9"/>
            <color indexed="81"/>
            <rFont val="Tahoma"/>
            <family val="2"/>
          </rPr>
          <t>Date when the assumption was first captured/raised</t>
        </r>
      </text>
    </comment>
    <comment ref="E5" authorId="0" shapeId="0" xr:uid="{772AB667-7B58-4FC5-8092-4C7DB66801A9}">
      <text>
        <r>
          <rPr>
            <b/>
            <sz val="9"/>
            <color indexed="81"/>
            <rFont val="Tahoma"/>
            <family val="2"/>
          </rPr>
          <t>A sequential Number or a unique ID(if available) for the row</t>
        </r>
      </text>
    </comment>
    <comment ref="F5" authorId="0" shapeId="0" xr:uid="{A3F7428F-314C-4804-93AA-8F095A501B94}">
      <text>
        <r>
          <rPr>
            <b/>
            <sz val="9"/>
            <color indexed="81"/>
            <rFont val="Tahoma"/>
            <family val="2"/>
          </rPr>
          <t>Describe the assumption. 
Why is this important to the project?</t>
        </r>
      </text>
    </comment>
    <comment ref="G5" authorId="0" shapeId="0" xr:uid="{F80E3EB1-58C1-44FA-806A-47524B222DB8}">
      <text>
        <r>
          <rPr>
            <b/>
            <sz val="9"/>
            <color indexed="81"/>
            <rFont val="Tahoma"/>
            <family val="2"/>
          </rPr>
          <t>Name of the person who has raised this assumption.</t>
        </r>
      </text>
    </comment>
    <comment ref="H5" authorId="0" shapeId="0" xr:uid="{22DCA974-359E-46C0-B996-C3C828ABDD81}">
      <text>
        <r>
          <rPr>
            <b/>
            <sz val="9"/>
            <color indexed="81"/>
            <rFont val="Tahoma"/>
            <family val="2"/>
          </rPr>
          <t>Date when the assumption was first captured/raised</t>
        </r>
      </text>
    </comment>
    <comment ref="I5" authorId="0" shapeId="0" xr:uid="{52A8375C-56F6-4B92-880A-5A535802C2A9}">
      <text>
        <r>
          <rPr>
            <b/>
            <sz val="9"/>
            <color indexed="81"/>
            <rFont val="Tahoma"/>
            <family val="2"/>
          </rPr>
          <t>Describe the impact on the project if the assumption is false</t>
        </r>
      </text>
    </comment>
    <comment ref="J5" authorId="0" shapeId="0" xr:uid="{E062F076-9350-4297-A2EA-12AA639AB92A}">
      <text>
        <r>
          <rPr>
            <b/>
            <sz val="9"/>
            <color indexed="81"/>
            <rFont val="Tahoma"/>
            <family val="2"/>
          </rPr>
          <t>Who is responsible for monitoring the assumption?</t>
        </r>
      </text>
    </comment>
    <comment ref="K5" authorId="0" shapeId="0" xr:uid="{5966BEDB-8CC2-42A7-9464-3B0EA13CC5BD}">
      <text>
        <r>
          <rPr>
            <b/>
            <sz val="9"/>
            <color indexed="81"/>
            <rFont val="Tahoma"/>
            <family val="2"/>
          </rPr>
          <t>Status of the assumption</t>
        </r>
      </text>
    </comment>
    <comment ref="L5" authorId="0" shapeId="0" xr:uid="{97C5B436-E912-42C6-AA37-A9D20DDBA6BA}">
      <text>
        <r>
          <rPr>
            <b/>
            <sz val="9"/>
            <color indexed="81"/>
            <rFont val="Tahoma"/>
            <family val="2"/>
          </rPr>
          <t>Any comment on how the assumption was resolved or taken care of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Campbell</author>
    <author>tc={B6E9FE35-24BC-4E4E-89DF-ADB538C4BDEC}</author>
    <author>tc={FE96E9F1-7F0E-4D41-9BBD-C902CB4B7E62}</author>
    <author>tc={2D7CFC7F-A8BA-4DAD-8C3C-57540C14DBB8}</author>
    <author>tc={49D5D32F-5A26-453C-9BDA-2B7ED712681B}</author>
    <author>tc={3D066299-1510-467D-ABBF-649566909CD3}</author>
    <author>tc={C29396CC-A50D-4963-9E96-A2B53F829BAA}</author>
    <author>tc={34C9226A-4964-4636-831C-2FCB35A6649D}</author>
    <author>tc={D54AD79C-5F01-4BF8-AB21-CBF6CD982E9C}</author>
  </authors>
  <commentList>
    <comment ref="C4" authorId="0" shapeId="0" xr:uid="{00000000-0006-0000-0300-000001000000}">
      <text>
        <r>
          <rPr>
            <sz val="9"/>
            <color indexed="81"/>
            <rFont val="Tahoma"/>
            <family val="2"/>
          </rPr>
          <t xml:space="preserve">Assumptions are often overlooked when making estimates.  Stating assumptions, no matter how obvious they are to the estimator is important as they provide the scope detail describing what is behind the estimate and just as important, what is not.  They should describe the product well enough so that there is little room for interpretation.
</t>
        </r>
      </text>
    </comment>
    <comment ref="C38" authorId="1" shapeId="0" xr:uid="{B6E9FE35-24BC-4E4E-89DF-ADB538C4BDEC}">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39" authorId="2" shapeId="0" xr:uid="{FE96E9F1-7F0E-4D41-9BBD-C902CB4B7E62}">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40" authorId="3" shapeId="0" xr:uid="{2D7CFC7F-A8BA-4DAD-8C3C-57540C14DBB8}">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54" authorId="4" shapeId="0" xr:uid="{49D5D32F-5A26-453C-9BDA-2B7ED712681B}">
      <text>
        <t>[Threaded comment]
Your version of Excel allows you to read this threaded comment; however, any edits to it will get removed if the file is opened in a newer version of Excel. Learn more: https://go.microsoft.com/fwlink/?linkid=870924
Comment:
    Which all currencies?  Which all types of transactions supported in multi-currency?
Can’t the customer type from base solution be used here?  It remains with the customer attributes.</t>
      </text>
    </comment>
    <comment ref="C71" authorId="5" shapeId="0" xr:uid="{3D066299-1510-467D-ABBF-649566909CD3}">
      <text>
        <t>[Threaded comment]
Your version of Excel allows you to read this threaded comment; however, any edits to it will get removed if the file is opened in a newer version of Excel. Learn more: https://go.microsoft.com/fwlink/?linkid=870924
Comment:
    Having IME in place, do we need to have different mappings?</t>
      </text>
    </comment>
    <comment ref="C80" authorId="6" shapeId="0" xr:uid="{C29396CC-A50D-4963-9E96-A2B53F829BAA}">
      <text>
        <t>[Threaded comment]
Your version of Excel allows you to read this threaded comment; however, any edits to it will get removed if the file is opened in a newer version of Excel. Learn more: https://go.microsoft.com/fwlink/?linkid=870924
Comment:
    Is ppcp code pack considered here?</t>
      </text>
    </comment>
    <comment ref="C82" authorId="7" shapeId="0" xr:uid="{34C9226A-4964-4636-831C-2FCB35A6649D}">
      <text>
        <t>[Threaded comment]
Your version of Excel allows you to read this threaded comment; however, any edits to it will get removed if the file is opened in a newer version of Excel. Learn more: https://go.microsoft.com/fwlink/?linkid=870924
Comment:
    Is ppcp code pack considered here?</t>
      </text>
    </comment>
    <comment ref="C240" authorId="8" shapeId="0" xr:uid="{D54AD79C-5F01-4BF8-AB21-CBF6CD982E9C}">
      <text>
        <t>[Threaded comment]
Your version of Excel allows you to read this threaded comment; however, any edits to it will get removed if the file is opened in a newer version of Excel. Learn more: https://go.microsoft.com/fwlink/?linkid=870924
Comment:
    Isn’t cost center customer with services?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tc={43F1215C-5CD1-432A-83AB-86C9CD44B059}</author>
    <author>Ken Campbell</author>
  </authors>
  <commentList>
    <comment ref="C3" authorId="0" shapeId="0" xr:uid="{43F1215C-5CD1-432A-83AB-86C9CD44B059}">
      <text>
        <t>[Threaded comment]
Your version of Excel allows you to read this threaded comment; however, any edits to it will get removed if the file is opened in a newer version of Excel. Learn more: https://go.microsoft.com/fwlink/?linkid=870924
Comment:
    NCUT supporting products, customer, reports, pricing data and interfaces are missing</t>
      </text>
    </comment>
    <comment ref="C4" authorId="1" shapeId="0" xr:uid="{00000000-0006-0000-0400-000001000000}">
      <text>
        <r>
          <rPr>
            <sz val="9"/>
            <color indexed="81"/>
            <rFont val="Tahoma"/>
            <family val="2"/>
          </rPr>
          <t xml:space="preserve">Assumptions are often overlooked when making estimates.  Stating assumptions, no matter how obvious they are to the estimator is important as they provide the scope detail describing what is behind the estimate and just as important, what is not.  They should describe the product well enough so that there is little room for interpretation.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6FA865F3-E761-4666-AD96-4889145D077E}">
      <text>
        <r>
          <rPr>
            <sz val="9"/>
            <color indexed="81"/>
            <rFont val="Tahoma"/>
            <family val="2"/>
          </rPr>
          <t>Required for Proforma Tab.
Do not changed.</t>
        </r>
      </text>
    </comment>
    <comment ref="E4" authorId="0" shapeId="0" xr:uid="{EAB25F26-345B-40BB-983C-E9084821E301}">
      <text>
        <r>
          <rPr>
            <sz val="9"/>
            <color indexed="81"/>
            <rFont val="Tahoma"/>
            <family val="2"/>
          </rPr>
          <t xml:space="preserve">Warranty must either be resourced </t>
        </r>
        <r>
          <rPr>
            <b/>
            <sz val="9"/>
            <color indexed="81"/>
            <rFont val="Tahoma"/>
            <family val="2"/>
          </rPr>
          <t>OR</t>
        </r>
        <r>
          <rPr>
            <sz val="9"/>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55203BF4-579F-4A63-A693-410C8B02E855}">
      <text>
        <r>
          <rPr>
            <sz val="9"/>
            <color indexed="81"/>
            <rFont val="Tahoma"/>
            <family val="2"/>
          </rPr>
          <t xml:space="preserve">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3EAED332-FF6A-4558-98A6-FBEF7F9D14AB}">
      <text>
        <r>
          <rPr>
            <sz val="9"/>
            <color indexed="81"/>
            <rFont val="Tahoma"/>
            <family val="2"/>
          </rPr>
          <t>Defaults based on Agile Resource Role but can be changed, using dropdown,to align to designation of resource assigned to role.</t>
        </r>
      </text>
    </comment>
    <comment ref="H10" authorId="1" shapeId="0" xr:uid="{6D4B5B8F-DF32-47D8-AB6B-CA0F9F01832E}">
      <text>
        <r>
          <rPr>
            <sz val="9"/>
            <color indexed="81"/>
            <rFont val="Tahoma"/>
            <family val="2"/>
          </rPr>
          <t xml:space="preserve">Free Text for PM to populate. Used in the Domain_BRKDN tab.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59439E18-E8C2-4C9B-A037-EC17084F9092}">
      <text>
        <r>
          <rPr>
            <sz val="9"/>
            <color indexed="81"/>
            <rFont val="Tahoma"/>
            <family val="2"/>
          </rPr>
          <t>Required for Proforma Tab.
Do not changed.</t>
        </r>
      </text>
    </comment>
    <comment ref="E4" authorId="0" shapeId="0" xr:uid="{B22C4866-83AF-426B-A304-1BBBC489BA11}">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41B941A7-6F67-4BCB-9A19-03EFC5EC25C6}">
      <text>
        <r>
          <rPr>
            <sz val="9"/>
            <color indexed="81"/>
            <rFont val="Tahoma"/>
            <family val="2"/>
          </rPr>
          <t xml:space="preserve">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C5846EB0-52B0-489E-BC4F-72283EA4678B}">
      <text>
        <r>
          <rPr>
            <sz val="9"/>
            <color indexed="81"/>
            <rFont val="Tahoma"/>
            <family val="2"/>
          </rPr>
          <t>Defaults based on Agile Resource Role but can be changed, using dropdown,to align to designation of resource assigned to role.</t>
        </r>
      </text>
    </comment>
    <comment ref="H10" authorId="1" shapeId="0" xr:uid="{68B0FAB3-6FAA-4A06-AD5B-1E826AAC765F}">
      <text>
        <r>
          <rPr>
            <sz val="9"/>
            <color indexed="81"/>
            <rFont val="Tahoma"/>
            <family val="2"/>
          </rPr>
          <t>Free Text for PM to populate. Used in the Domain_BRKDN tab.</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F9256CB0-A36F-470B-88F4-D2734DBA32C8}">
      <text>
        <r>
          <rPr>
            <sz val="9"/>
            <color indexed="81"/>
            <rFont val="Tahoma"/>
            <family val="2"/>
          </rPr>
          <t>Required for Proforma Tab.
Do not changed.</t>
        </r>
      </text>
    </comment>
    <comment ref="E4" authorId="0" shapeId="0" xr:uid="{EA3A8951-8F16-407E-8B79-441877840EF1}">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63E5942E-5B8B-4FF8-9874-0605A41D741F}">
      <text>
        <r>
          <rPr>
            <sz val="9"/>
            <color indexed="81"/>
            <rFont val="Tahoma"/>
            <family val="2"/>
          </rPr>
          <t>1. Resource Agile CUT
* Ensure your agile teams can resource the CUT.
** Only Scrum Developers contribute to CUT in Dev Weeks.
** Ensure Agile teams are correct ratio : 1PO, 1SM, 5 Dev &amp; 3 Testers max. Ensure PO part of the spec study.</t>
        </r>
        <r>
          <rPr>
            <b/>
            <sz val="9"/>
            <color indexed="81"/>
            <rFont val="Tahoma"/>
            <family val="2"/>
          </rPr>
          <t xml:space="preserve">
*</t>
        </r>
        <r>
          <rPr>
            <sz val="9"/>
            <color indexed="81"/>
            <rFont val="Tahoma"/>
            <family val="2"/>
          </rPr>
          <t xml:space="preserve">*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4E48FDFD-B092-4968-928F-CD2C74EB0782}">
      <text>
        <r>
          <rPr>
            <sz val="9"/>
            <color indexed="81"/>
            <rFont val="Tahoma"/>
            <family val="2"/>
          </rPr>
          <t>Defaults based on Agile Resource Role but can be changed, using dropdown,to align to designation of resource assigned to role.</t>
        </r>
      </text>
    </comment>
    <comment ref="H10" authorId="1" shapeId="0" xr:uid="{67E1DB4B-75A5-4EB8-A363-6C599E4FCD99}">
      <text>
        <r>
          <rPr>
            <sz val="9"/>
            <color indexed="81"/>
            <rFont val="Tahoma"/>
            <family val="2"/>
          </rPr>
          <t xml:space="preserve">Free Text for PM to populate. Used in the Domain_BRKDN tab.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6A7781B2-22E5-45FD-9DD6-DADC361D1730}">
      <text>
        <r>
          <rPr>
            <sz val="9"/>
            <color indexed="81"/>
            <rFont val="Tahoma"/>
            <family val="2"/>
          </rPr>
          <t>Required for Proforma Tab.
Do not changed.</t>
        </r>
      </text>
    </comment>
    <comment ref="E4" authorId="0" shapeId="0" xr:uid="{31FC2141-2AC0-4C76-84C0-9899651112CC}">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74DCF294-5ADD-444F-88FA-BC2D999E77C8}">
      <text>
        <r>
          <rPr>
            <sz val="9"/>
            <color indexed="81"/>
            <rFont val="Tahoma"/>
            <family val="2"/>
          </rPr>
          <t>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t>
        </r>
      </text>
    </comment>
    <comment ref="C10" authorId="0" shapeId="0" xr:uid="{230D5C4A-B809-4BCC-94D6-2F078A32ED69}">
      <text>
        <r>
          <rPr>
            <sz val="9"/>
            <color indexed="81"/>
            <rFont val="Tahoma"/>
            <family val="2"/>
          </rPr>
          <t>Defaults based on Agile Resource Role but can be changed, using dropdown,to align to designation of resource assigned to role.</t>
        </r>
      </text>
    </comment>
    <comment ref="H10" authorId="1" shapeId="0" xr:uid="{E6FB474C-E9DA-4679-B1CE-596F1E6A9B5C}">
      <text>
        <r>
          <rPr>
            <sz val="9"/>
            <color indexed="81"/>
            <rFont val="Tahoma"/>
            <family val="2"/>
          </rPr>
          <t xml:space="preserve">Free Text for PM to populate. Used in the Domain_BRKDN tab.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Bairbre Reen</author>
  </authors>
  <commentList>
    <comment ref="S10" authorId="0" shapeId="0" xr:uid="{C57F9056-8BAD-4A9B-9E59-865E4A167AA5}">
      <text>
        <r>
          <rPr>
            <sz val="9"/>
            <color indexed="81"/>
            <rFont val="Tahoma"/>
            <family val="2"/>
          </rPr>
          <t>Depending on the number of iterations, Dev and HIP dates are merged</t>
        </r>
      </text>
    </comment>
    <comment ref="S11" authorId="0" shapeId="0" xr:uid="{01CD172A-CEF2-435F-AAC3-2B3A9AC7D779}">
      <text>
        <r>
          <rPr>
            <sz val="9"/>
            <color indexed="81"/>
            <rFont val="Tahoma"/>
            <family val="2"/>
          </rPr>
          <t>Depending on the number of iterations, Dev and HIP dates are merged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Robert Palmer</author>
  </authors>
  <commentList>
    <comment ref="B4" authorId="0" shapeId="0" xr:uid="{FE7A87AB-A1A8-4064-B02C-A78465E81EAA}">
      <text>
        <r>
          <rPr>
            <b/>
            <sz val="9"/>
            <color indexed="81"/>
            <rFont val="Tahoma"/>
            <family val="2"/>
          </rPr>
          <t>Expenses Tab</t>
        </r>
        <r>
          <rPr>
            <sz val="9"/>
            <color indexed="81"/>
            <rFont val="Tahoma"/>
            <family val="2"/>
          </rPr>
          <t xml:space="preserve">
The purpose of this tab is to calculate the cost of travel, both the expenses associated with flights, hotels etc and also associated with the time taken to travel.
It is possible to specify different rates depending upon the destination country. These can be manually entered or, an external spreadsheet can be created that man be imported. 
Total Days on Site is the total number of days that resource will spend on site, regardless of how many trips they make. The number of trips will affect the flight cost and time associated with travel. The number of days on site is used to calculate the hotel and other daily costs. This 1 architect making 3 trips and spending 5 days on site each time would be 3 trips and 15 days on site. If the number of architects is changed to 2, this would double the numbers.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Campbell</author>
  </authors>
  <commentList>
    <comment ref="B11" authorId="0" shapeId="0" xr:uid="{00000000-0006-0000-0A00-000001000000}">
      <text>
        <r>
          <rPr>
            <sz val="9"/>
            <color indexed="81"/>
            <rFont val="Tahoma"/>
            <family val="2"/>
          </rPr>
          <t xml:space="preserve">This column must </t>
        </r>
        <r>
          <rPr>
            <b/>
            <sz val="9"/>
            <color indexed="81"/>
            <rFont val="Tahoma"/>
            <family val="2"/>
          </rPr>
          <t>NOT</t>
        </r>
        <r>
          <rPr>
            <sz val="9"/>
            <color indexed="81"/>
            <rFont val="Tahoma"/>
            <family val="2"/>
          </rPr>
          <t xml:space="preserve"> be updated directly.  It is updated by the "Attributes" tab based on the selected scenario.</t>
        </r>
      </text>
    </comment>
    <comment ref="B149" authorId="0" shapeId="0" xr:uid="{00000000-0006-0000-0A00-000002000000}">
      <text>
        <r>
          <rPr>
            <b/>
            <sz val="9"/>
            <color indexed="81"/>
            <rFont val="Tahoma"/>
            <family val="2"/>
          </rPr>
          <t xml:space="preserve">Ken Campbell (8-Nov-2016):
</t>
        </r>
        <r>
          <rPr>
            <sz val="9"/>
            <color indexed="81"/>
            <rFont val="Tahoma"/>
            <family val="2"/>
          </rPr>
          <t>Not currently used.
This is part of an incomplete feature which may be deployed in a future release.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<sst xmlns="http://schemas.openxmlformats.org/spreadsheetml/2006/main" count="5618" uniqueCount="1201">
  <si>
    <t>BoSS Proposal</t>
  </si>
  <si>
    <t>For Encompass Implementations ONLY</t>
  </si>
  <si>
    <t>Synopsis:</t>
  </si>
  <si>
    <t>This tool is intended for CSG Convergent Communications SSU Services Teams to create a complete estimate of the effort required for a customer implementation of Encompass.  This tool must be completed as input to a TTS and supported by: 
1) Scoping Proposal at the Sales stage
2) Solution Description Document and Project Charter
3) Feature Description Document or else “System Requirements Spec / Feature Description Document"
4) Change Request post commercials.  
For any clarification, please contact the Best Practices team.</t>
  </si>
  <si>
    <t>Customer:</t>
  </si>
  <si>
    <t>Optus</t>
  </si>
  <si>
    <t>Project Manager:</t>
  </si>
  <si>
    <t>&lt;Project Manager Name&gt;</t>
  </si>
  <si>
    <t>Version:</t>
  </si>
  <si>
    <t>v0.1</t>
  </si>
  <si>
    <t>Estimate Date:</t>
  </si>
  <si>
    <t>Prepared By:</t>
  </si>
  <si>
    <t>Radhika Kolli</t>
  </si>
  <si>
    <t>Estimate Status:</t>
  </si>
  <si>
    <t>Work in Progress</t>
  </si>
  <si>
    <t>SFDC Opp ID:</t>
  </si>
  <si>
    <t>OP-00072836</t>
  </si>
  <si>
    <t>Project Code:</t>
  </si>
  <si>
    <t>&lt;nnnnn&gt;</t>
  </si>
  <si>
    <t>Strictly Confidential - For Internal Use Only</t>
  </si>
  <si>
    <t>THIS SOFTWARE AND RELATED INFORMATION IS CONFIDENTIAL AND PROPRIETARY TO CSG AND MAY NOT BE DISCLOSED, COPIED, MODIFIED, OR OTHERWISE USED EXCEPT IN ACCORDANCE WITH THE LICENSE AGREEMENT ENTERED INTO WITH CSG. THIS INFORMATION IS PROTECTED BY INTERNATIONAL COPYRIGHT LAWS AND ANY UNAUTHORIZED USE THEREOF MAY VIOLATE COPYRIGHT, TRADEMARK, AND OTHER LAWS. ANY UNAUTHORIZED USE OF THIS SOFTWARE AND/OR INFORMATION WILL AUTOMATICALLY TERMINATE YOUR RIGHT TO USE THIS SOFTWARE AND/OR INFORMATION.</t>
  </si>
  <si>
    <t>Document Control</t>
  </si>
  <si>
    <t>Version History</t>
  </si>
  <si>
    <t>This version history records the history of the completed estimate and should be updated whenever a change is made to the worksheet.  This provides the reader with an explanation of what changes were made, when and by whom.</t>
  </si>
  <si>
    <t>Version</t>
  </si>
  <si>
    <t>Date</t>
  </si>
  <si>
    <t>Name</t>
  </si>
  <si>
    <t>Description</t>
  </si>
  <si>
    <t>Resourcing Review(Name &amp; Date)</t>
  </si>
  <si>
    <t>Regional Leader Review(Name &amp; Date)</t>
  </si>
  <si>
    <t>DE Review (Name &amp; Date)</t>
  </si>
  <si>
    <t>Initial estimate.</t>
  </si>
  <si>
    <t>Internal Distribution List</t>
  </si>
  <si>
    <t>Role</t>
  </si>
  <si>
    <t>References</t>
  </si>
  <si>
    <t>Ref ID</t>
  </si>
  <si>
    <t>Document, with link</t>
  </si>
  <si>
    <t>G3134 Encompass Estimation Tool User Guide</t>
  </si>
  <si>
    <t>Instructions</t>
  </si>
  <si>
    <t>The instructions in this tab present overview of the Encompass Estimation Tool and how to use it.  While this should be sufficient for you to get started and to refer to as you are using the tool, they are not exhaustive.  For full instructions on how to use this tool please refer to the Encompass Estimation Tool User Guide, available at:</t>
  </si>
  <si>
    <t>Introduction</t>
  </si>
  <si>
    <t>The Encompass Estimation Tool is intended for CSG Convergent Communications SSU Services to create a complete estimate of the effort required for a Encompass deployment.
The tool’s approach to crafting a complete estimate is broken into two parts:
   1. The estimation of CUT (code and unit testing) effort and non-CUT (other) efforts by TM Forum TAM domains.
   2. The CUT and Non-CUT efforts forms the basis of an Agile top-down resource plan.  This plan estimates total project effort, delivery timelines and resource requirements.
The tool was enhanced in 2019 to calculate the totals required by a Project Manager for the Transaction Term Sheet (TTS) and by the Managed Services team to create the Proforma.</t>
  </si>
  <si>
    <t>Feedback</t>
  </si>
  <si>
    <t xml:space="preserve">If you wish to provide feedback on this tool, such as suggestions for new features, improvements, defects, or have questions that are not answered here or in the user guide, please go to the Estimation Feedback page at:
</t>
  </si>
  <si>
    <t>https://confluence.csgicorp.com/display/GSSP/Estimation+Feedback</t>
  </si>
  <si>
    <t>General Information</t>
  </si>
  <si>
    <t>Entering Data</t>
  </si>
  <si>
    <r>
      <t xml:space="preserve">Cells with </t>
    </r>
    <r>
      <rPr>
        <sz val="10"/>
        <color rgb="FF0000FF"/>
        <rFont val="Calibri"/>
        <family val="2"/>
        <scheme val="minor"/>
      </rPr>
      <t xml:space="preserve">blue </t>
    </r>
    <r>
      <rPr>
        <sz val="10"/>
        <color theme="1"/>
        <rFont val="Calibri"/>
        <family val="2"/>
        <scheme val="minor"/>
      </rPr>
      <t>text are data entry fields.  This convention applies throughout the tool.  All other cells are protected from user updates (boilerplates and calculated cells).</t>
    </r>
  </si>
  <si>
    <t>"Estimate" Custom Ribbon Tab</t>
  </si>
  <si>
    <t>This tool includes a custom ribbon tab called "Estimate", located immediately to the left of the standard "Home" tab.  This tab contains all the tool custom functions.  The custom functions are described in the remainder of this tab and throughout the user guide.</t>
  </si>
  <si>
    <t>Inserting a New Worksheet</t>
  </si>
  <si>
    <r>
      <t xml:space="preserve">The SV Estimation Tool workbook is protected to prevent deletion of the tool core worksheets.  However, this protection also prevents the addition of new worksheets that you may require for custom estimate support data.
To circumvent this constraint, the tool provides an “Insert Sheet” function in the custom ribbon tab to allow the insertion of new worksheets.
User inserted worksheets, are moved in the normal Excel fashion, </t>
    </r>
    <r>
      <rPr>
        <sz val="10"/>
        <color rgb="FFFF0000"/>
        <rFont val="Calibri"/>
        <family val="2"/>
        <scheme val="minor"/>
      </rPr>
      <t>however currently they cannot be deleted as the workbook is protected.</t>
    </r>
  </si>
  <si>
    <t>Ensuring the Macros can Run</t>
  </si>
  <si>
    <t>The tool requires macros to be enabled to allow certain features to work.  When you first open the tool you may be presented with the following Message Bar.  If so, plese ensure you click the "Enable Content" button and in the "Do you want to make this file a Trusted Document?" popup select "Yes".  This file then becomes a trusted document.
If you fail to follow this procedure, just close and re-open the file and the options will be re-presented to you.</t>
  </si>
  <si>
    <t>Copy and Paste</t>
  </si>
  <si>
    <t>The copy and paste functions (ctl-c/ctl-v and ribbon copy/paste) for this tool have been modified to only copy and paste unformatted values.  So, it is safe to copy from this tool and paste into the tool.
However, if pasting a range of cells into the tool, please make sure to have the target cell ranges already created in the target worksheet.  The paste function does not insert rows, columns or cells as part of the paste.
Also, as the tool overrides the default Excel copy and paste functions, they cannot be undone by the Excel Undo function.</t>
  </si>
  <si>
    <t>Internal Worksheets</t>
  </si>
  <si>
    <t>Internal worksheets are used only by the tool to perform its functions and are not used by the user; hence they are hidden.  These worksheets should only be unhidden by the tool support personnel.</t>
  </si>
  <si>
    <t>Tool Support</t>
  </si>
  <si>
    <t>If you have any issues please contact GSE Process Improvement Team at GSE@csgi.com.</t>
  </si>
  <si>
    <t>Tool Setup</t>
  </si>
  <si>
    <t>1.  Front Sheet Tab</t>
  </si>
  <si>
    <t>The Front Sheet tab captures and displays information about the project/engagement and the estimate itself.  It captures customer, project and document related information to describe the estimate and maintain a version history.
It contains customer, project and document related information to describe the estimate and maintain a version history.</t>
  </si>
  <si>
    <t>2. SET Review Flow Tab</t>
  </si>
  <si>
    <t>Guiding principles for filling / reviewing SET gathered from Best practices of various projects , DEBP, GSO and RM SMEs. Supports consistency in estimation and planning, incorporating best practice from across delivery etc
Helps answer questions like
•	Which roles should be staffed and when through the project lifecycle?
•	How do I allow for remote working for my program team?
•	How should I plan for the Agile teams? I know they should be formed of developers and testers but how many of each?  are there any guiding principles?
•	What additional program level roles should I consider?  What about CSG a an SI?
•	How do I plan for ramp down, ie when should resources start rolling off? Especially during SIT and UAT?
•	How should I plan for Automation and Re-use of test cases?</t>
  </si>
  <si>
    <t>3.  Assumptions Tab</t>
  </si>
  <si>
    <t>The Assumptions tab allows those who input to the tool to capture any assumptions that have been made as part of the estimation process. Assumptions that are directly associated with a line item estimate should be captured in the Detail CUT and Detail Non-CUT tabs, next to the effort.</t>
  </si>
  <si>
    <t>4.  Attributes Tab</t>
  </si>
  <si>
    <t>The Attributes tab captures scenario specific information.  Attribute values can be captured for up to four scenarios, including scenario name and start dates.  Only a single scenario may be active at any given time, the active scenario is highlighted in yellow.</t>
  </si>
  <si>
    <t>Crafting the Estimate</t>
  </si>
  <si>
    <t>4. Detail CUT Tab</t>
  </si>
  <si>
    <t>Use the Detail CUT tab to capture the CUT project work items and their associated CUT estimates.
This tab is structured by TAM domain and supports four TAM levels 0, 1, &amp; 2 and the CUT work items estimates under the TAM level 2 domains.
This tab sums the total estimated CUT effort for the selected scenario and adds this to the Agile top-down tab for the selected scenario to form the basis of the Agile top-down resource estimate.
Use the "Estimate" custom ribbon tab to add and remove TAM level 1, TAM level 2 and work item rows as necessary.</t>
  </si>
  <si>
    <t>5. Detail Non-CUT Tab</t>
  </si>
  <si>
    <t>Use the Detail Non-CUT tab to capture the non-CUT project work items and their associated non-CUT estimates.
This tab is structured by TAM domain and supports four TAM levels 0, 1, &amp; 2 and the non-CUT work items estimates under the TAM level 2 domains.
This tab sums the total estimated non-CUT effort for the selected scenario.  The tool does NOT do anything further with this value.  It is up to the user to manually ensure this non-CUT effort is resourced in the Agile top-down resource plan.
Use the "Estimate" custom ribbon tab to add and remove TAM level 1, TAM level 2 and work item rows as necessary.</t>
  </si>
  <si>
    <t>6. Agile Top-Down Tab</t>
  </si>
  <si>
    <r>
      <t xml:space="preserve">The Agile Top-Down tab captures the Agile resource driven top-down project estimates for the selected scenario.  It is a flexible tool that gives the you full control over the resources you assign to the project estimate.  The tool supports up to four Agile top-down plans, one per scenario.  The tool displays the Agile top-down plan for the selected scenario only.
You add numbers of resources to the project, by resource role and week, adding and removing weeks and resource roles and resource groups as necessary.  Use the "Estimate" custom ribbon tab to add and remove weeks and resource roles as necessary.
The tab calculates total project effort by resource role and week and calculates the total project effort, including any contingency and warranty, at the bottom right of the tab.
</t>
    </r>
    <r>
      <rPr>
        <b/>
        <sz val="10"/>
        <color theme="1"/>
        <rFont val="Calibri"/>
        <family val="2"/>
        <scheme val="minor"/>
      </rPr>
      <t>Resourcing the Estimated CUT Effort</t>
    </r>
    <r>
      <rPr>
        <sz val="10"/>
        <color theme="1"/>
        <rFont val="Calibri"/>
        <family val="2"/>
        <scheme val="minor"/>
      </rPr>
      <t xml:space="preserve">
*  The tab imports the estimated total CUT effort from the Detail CUT tab for the selected scenario and displays it in the top right corner.  It also displays the Agile resourced CUT effort adjacent the total Detail CUT effort.  The Agile resourced CUT effort is the amount of CUT effort that can be delivered by the resources in the resource plan and is calculated by the tool.
*  The goal is to ensure that the Detail CUT effort is resourced in the Agile top-down plan.  When the Agile resourced CUT is less than the Detail CUT the two CUT effort cells are highlighted in red.  When the Agile resourced CUT effort is equal to or greater than the Detail CUT effort, they are highlighted in green to indicate that the Agile resource plan contains sufficient CUT effort.
*  It is up to you to ensure that the effort estimated in the Detail CUT tab is covered in the resource plan.
</t>
    </r>
    <r>
      <rPr>
        <b/>
        <sz val="10"/>
        <color theme="1"/>
        <rFont val="Calibri"/>
        <family val="2"/>
        <scheme val="minor"/>
      </rPr>
      <t>Resourcing the Estimated Non-CUT Effort</t>
    </r>
    <r>
      <rPr>
        <sz val="10"/>
        <color theme="1"/>
        <rFont val="Calibri"/>
        <family val="2"/>
        <scheme val="minor"/>
      </rPr>
      <t xml:space="preserve">
* The total Non-CUT effort calculated by the Detail Non-CUT tab is not reflected in the Agile top-down tab.  It is up to you to manually ensure that all the non-CUT efforts are adequately resourced in the Agile top-down resource plan.  The tool does not monitor or enforce this.</t>
    </r>
  </si>
  <si>
    <t>6. CUT &amp; Non-CUT Profile Tab</t>
  </si>
  <si>
    <t>This tab displays the estimated CUT and non-CUT efforts sliced by solution component and scenario tag for the selected scenario.
The efforts are sliced by solution component along the vertical, with the totals per solution component on the right-hand-side.  The efforts are sliced by scenario tag along the horizontal, with the totals per scenario tag on the bottom.
This tab can be used for things such resource planning (i.e. proportions of CB/CM/CE resources required), or splitting the estimates into release phases.
The tab also shows the Phase Profile for the selected scenario, including the Start and End dates , the elapsed duration, average FTEs and Person_Days for each Phase, and the totals for the entire project.</t>
  </si>
  <si>
    <t>Project Manager Tabs</t>
  </si>
  <si>
    <t>7. Domain_BRKDN Tab</t>
  </si>
  <si>
    <t xml:space="preserve">The Domain Breakdown Tab calculates the breakdown from Agile Top-Down tab of the selected scenario by Domain.
The breakdown can be calculated by Domain only, or by unique combination of TTS Resource Role, TTS Location and Domain. The Breakdown can only be calculated if the Project Manager has populated the Domain column at the end of the Agile Top Down tab.
Please refer to the user guide for more details. </t>
  </si>
  <si>
    <t>8. TTS Tab</t>
  </si>
  <si>
    <t xml:space="preserve">The TTS Tab converts the Agile Top-Down tab for the selected scenario into the required format for the TTS by calculating the Man-Day effort per TTS Resource Role and TTS Location combination.
Note both the TTS Resource Role and TTS Location must be populated for all rows in the Agile Top-Down tab for the TTS functionality to work.
Please refer to the user guide for more details. </t>
  </si>
  <si>
    <t>9. TTS_Consolidated Tab</t>
  </si>
  <si>
    <t xml:space="preserve">The TTS_Consolidated Tab converts the Agile Top-Down tab for the selected scenario into the required format for the TTS by calculating the Man-Day effort per TTS Resource Role and TTS Location combination.
Note both the TTS Resource Role and TTS Location must be populated for all rows in the Agile Top-Down tab for the TTS functionality to work.
The Tables format and all functionalities of this tab is similar to TTS Tab. Only difference in this tab is , here whichever Resource Groups with some efforts are present in Agile Top-Down tab, one single table shall be created  for those  resource groups in TTS_Consolidated tab.
Please refer to the user guide for more details. </t>
  </si>
  <si>
    <t>10. TTS_Segregated Tab</t>
  </si>
  <si>
    <t xml:space="preserve">The TTS_Segregated  Tab converts the Agile Top-Down tab for the selected scenario into the required format for the TTS by calculating the Man-Day effort per TTS Solution Unit, TTS Resource Role and TTS Location combination.
The Tables format and all functionalities of this tab is similar to TTS Tab. Only difference in this tab is , here whichever Resource Groups with some efforts are present in Agile Top-Down tab, separate tables shall be created  for those  resource groups in TTS_Segregated tab.
Please refer to the user guide for more details. </t>
  </si>
  <si>
    <t>11. Proforma Tab</t>
  </si>
  <si>
    <t>The Proforma Tab converts the Agile Top-Down tab for the selected scenario into the required display format for the Proforma by calculating the effort per TTS Resource Role and TTS Location combination, for each month of the project, including the Warranty effort.
The tab has several display options for the effort calculations, which are described in the user guide.</t>
  </si>
  <si>
    <t>12. Proforma_Segregated Tab</t>
  </si>
  <si>
    <t xml:space="preserve">The Proforma_Segregated Tab converts the Agile Top-Down tab for the selected scenario into the required display format for the Proforma by calculating the effort per TTS Resource Role and TTS Location combination, for each month of the project, including the Warranty effort.
The tab has several display options for the effort calculations, which are described in the user guide.
The functionality, layout structure of this tab is similar to Proforma tab. The Only difference in Proforma_Segregated Tab is here separate dynamic table shall be created for each Resource groups (of Agile Top-Down tab) whose efforts greater than 0.
Please refer to the user guide for more details. </t>
  </si>
  <si>
    <t>13. Resource Cost Value Tab</t>
  </si>
  <si>
    <t xml:space="preserve">The ResourceCostValues Tab is used to capture the Oracle Daily Rates, which are used in the following tabs: 
•	TTS Tab
•	Proforma Tab
•	Expenses Tab.
Please refer to the user guide for more details. </t>
  </si>
  <si>
    <t>14. Expenses Tab</t>
  </si>
  <si>
    <t xml:space="preserve">The Expenses Tab is used to calculate the cost of travel, both the expenses associated with flights, hotels etc and expenses associated with the time taken to travel.
The project expenses can be added to the Proforma Tab  when the “Include Expenses checkbox” is set to TRUE.
Please refer to the user guide for more details. </t>
  </si>
  <si>
    <t>Glossary</t>
  </si>
  <si>
    <t>CUT Effort</t>
  </si>
  <si>
    <t>The CUT Effort is the number of Person_Days a solution element will takes to build and unit test.  This is solely the output of scrum team developers.  The CUT effort should normally assume a qualified configuration specialist performing the configuration with a complete design and under normal project conditions.  The general skill level of the project resources can be factored into the Agile top-down contingency by the Project Manager.  Contingency is defaulted to 15% in the tool, but it should be updated by the PM taking into consideration the output of the "P7452 Risk and Contingency Management Process" and "T2858 Risk and Contingency Assessment Questionnaire".
The CUT effort includes:
  *  All coding and/or configuration activities associated with the solution element prior to being delivered to system test.
  *  Manual and/or automated unit test preparation and execution.
The CUT effort does NOT include or SHOULD NOT factor in the following:
  *  Code &amp; Unit Test review and repair (this is factored into the Developer CUT Capacity in the "Agile Top-Down" tab).
  *  Build integration test by developers at the end of build (this is factored into the Developer CUT Capacity in the "Agile Top-Down" tab).
  *  Code familiarisation for configuration specialist in the case where the built will occur on top of an existing configuration release.  If such code familiarisation is needed then it needs to be a separately resourced activity in the "Agile Top-Down" tab. 
  *  Schedule dependencies or specific resource utilisation.
  *  Adding contingency to the CUT.  Overall project contingency is added in the "Agile Top-Down" tab.
  *  The split of the development across multiple project teams, multiple sites or multiple companies. 
  *  Consideration should be given to the level of effort if this component is new or leveraged.  If this is a re-use component, the LOE is specified in the re-use component documentation.</t>
  </si>
  <si>
    <t>Non-CUT Effort</t>
  </si>
  <si>
    <t>The total of all the Detail CUT efforts, before contingency and warranty.
The Non-CUT Effort applies to all activities not covered by the definition of CUT Effort above.  These are typically activities performed outside the scrum team.  Examples of such activities are documentation, preparing training, delivering training, configuring Encompass reference data.  These tasks are not dependent specifically on design and do not specifically require unit or system testing.</t>
  </si>
  <si>
    <t>Hide</t>
  </si>
  <si>
    <t>Distribution</t>
  </si>
  <si>
    <t>Date Raised</t>
  </si>
  <si>
    <t>Ref.</t>
  </si>
  <si>
    <t>Assumption</t>
  </si>
  <si>
    <t>Raised by</t>
  </si>
  <si>
    <t>Last Update Date</t>
  </si>
  <si>
    <t>Assumption Impact Description</t>
  </si>
  <si>
    <t>Owner</t>
  </si>
  <si>
    <t>Status</t>
  </si>
  <si>
    <t>Comment / Resolution</t>
  </si>
  <si>
    <t>Workbook Default - Utilisation set to 85 %</t>
  </si>
  <si>
    <t>Workbook</t>
  </si>
  <si>
    <t>Workbook Default - Contingency set to 0%</t>
  </si>
  <si>
    <t>Project Manager to update per project</t>
  </si>
  <si>
    <t>Workbook Default - Warranty set to 0%</t>
  </si>
  <si>
    <t xml:space="preserve">Automation will be done by every Scrum team. </t>
  </si>
  <si>
    <t>Anitha Srinivasaiah</t>
  </si>
  <si>
    <t>Closed</t>
  </si>
  <si>
    <t>In order to support the overall automation strategy and the teams, a central automation team will be onboarded from PI1 – upto a maximum of 0.5 FTE per Scrum team.</t>
  </si>
  <si>
    <t>1 tester in PI0 to run the MMS automation test suite should be added.</t>
  </si>
  <si>
    <t>Delivery resources are built into the SET.
Transition &amp; In-Life resources are built only into the Proforma.</t>
  </si>
  <si>
    <t>Mary Mattingly</t>
  </si>
  <si>
    <t>This assumption is there so that we don’t double count the effort in In-life deals.</t>
  </si>
  <si>
    <t>Resources will be enabled BEFORE they join the program</t>
  </si>
  <si>
    <t>GSO</t>
  </si>
  <si>
    <t>Sales to Delivery Handshake will be completed thoroughly.</t>
  </si>
  <si>
    <t>High Availability (HA) and Disaster Recovery (DR) efforts related to both CUT and Non-CUT 
activities are to be considered in the Agile top down for Development &amp; test teams. 
responsibilities do not fall under the scope of Platform Engineering. 
The Platform Engineering effort and associated costs are accounted for by allocating the needed Subject Matter Experts as outlined 
in the Agile Top-Down plan</t>
  </si>
  <si>
    <t>John Tierney</t>
  </si>
  <si>
    <t>DO Team</t>
  </si>
  <si>
    <t xml:space="preserve">No PO allocation has been made as it is assumed the lead developer will act as PO </t>
  </si>
  <si>
    <t>Sujata</t>
  </si>
  <si>
    <t>PM will act as Scrum Master</t>
  </si>
  <si>
    <t>Iteration development for customer specific requirements to be discussed after go live before migration of each customer set. 1/3 during initial discovery.(Note-Allowance of 30 custom rules @ 4 CUT per rule)</t>
  </si>
  <si>
    <t>Report development captured under Non CUT (Reports)</t>
  </si>
  <si>
    <t xml:space="preserve">4 Scrum teams + one additional team for reports considered. </t>
  </si>
  <si>
    <t>Customer Test Phases and Migration consideration
SIT - 4 weeks
UAT - 6 weeks
PT - 4 weeks
CT - 6 weeks
Migration (Post Prod) - 12 months</t>
  </si>
  <si>
    <t xml:space="preserve">Optus has 80% secure customers so majority of migration will be done by Onshore resources </t>
  </si>
  <si>
    <t xml:space="preserve">Warranty resources are scheduled post the go-live of all the customers - after the completion of the migration.   The overall percentage of warranty is low due to it being at the end after all customers are migrated.  The early customers will being migrated will be supported by the teams that are allocated during the multiple cutover iterations. </t>
  </si>
  <si>
    <t>Training will go directly into the proforma</t>
  </si>
  <si>
    <t>Trena</t>
  </si>
  <si>
    <t>The resources in the Data Migration team is rescoured with Delivery Developers / Testers</t>
  </si>
  <si>
    <t xml:space="preserve">The 2 resources in the Data Migration team will be staying on for the duration and in addition to Data Migration they will be the ones with access to the Secure Servers to analyse issues/ bugs and refer fixes to the India based team.  The India based team will not have access after the customer data is in the customer data is present in the system. </t>
  </si>
  <si>
    <t>During the Performance Testing Period and Comparison testing, we need to swap in Performance testers on at least one of the agile teams.   We have resourced for one architect in IE as well</t>
  </si>
  <si>
    <t xml:space="preserve">Solution Baseline will be the upgradable solution so the PI0 will not be needed. </t>
  </si>
  <si>
    <t xml:space="preserve">There is not a requirement to do any branching due to the new way of working. </t>
  </si>
  <si>
    <t xml:space="preserve">Resourcing needs to engage the team prior to the project start time to ensure they have time for training and hands on for the new way of working. </t>
  </si>
  <si>
    <t>Customer Test on Migration Scripts will be scrubed data prior to Dry Run</t>
  </si>
  <si>
    <t xml:space="preserve">The extra 1/2 of Scrum Master in the 3rd Agile Team is going to act as SM for the Data Migration Team as well. </t>
  </si>
  <si>
    <t>Scenario Attributes</t>
  </si>
  <si>
    <t>Attribute Description</t>
  </si>
  <si>
    <t>Scenario 1</t>
  </si>
  <si>
    <t>Scenario 2</t>
  </si>
  <si>
    <t>Scenario 3</t>
  </si>
  <si>
    <t>Scenario 4</t>
  </si>
  <si>
    <t>Scenario Name</t>
  </si>
  <si>
    <t>Change the name of the scenarios here.
The scenario names entered here will be used throughout the tool</t>
  </si>
  <si>
    <t>Phase 1</t>
  </si>
  <si>
    <t>&lt;Scenario 2&gt;</t>
  </si>
  <si>
    <t>&lt;Scenario 3&gt;</t>
  </si>
  <si>
    <t>&lt;Template Scenario&gt;</t>
  </si>
  <si>
    <t>Project Start Date</t>
  </si>
  <si>
    <t>The project start date is used by the Agile Top-Down tab as the starting date for the project, which in most cases is the beginning of the project startup phase.
The start date should, where possible, always be a Wednesday as the standard Agile week is Wednesday to Tuesday.</t>
  </si>
  <si>
    <t>Scenario Tag A Label</t>
  </si>
  <si>
    <t>The label of the scenario breakout identified by scenario tag A.</t>
  </si>
  <si>
    <t>&lt;Scn1 Tag A&gt;</t>
  </si>
  <si>
    <t>&lt;Scn2 Tag A&gt;</t>
  </si>
  <si>
    <t>&lt;Scn3 Tag A&gt;</t>
  </si>
  <si>
    <t>Scenario</t>
  </si>
  <si>
    <t>Scenario Tag B Label</t>
  </si>
  <si>
    <t>The label of the scenario breakout identified by scenario tag B.</t>
  </si>
  <si>
    <t>&lt;Scn1 Tag B&gt;</t>
  </si>
  <si>
    <t>&lt;Scn2 Tag B&gt;</t>
  </si>
  <si>
    <t>&lt;Scn3 Tag B&gt;</t>
  </si>
  <si>
    <t>Populated</t>
  </si>
  <si>
    <t>Scenario Tag C Label</t>
  </si>
  <si>
    <t>The label of the scenario breakout identified by scenario tag C.</t>
  </si>
  <si>
    <t>&lt;Scn1 Tag C&gt;</t>
  </si>
  <si>
    <t>&lt;Scn2 Tag C&gt;</t>
  </si>
  <si>
    <t>&lt;Scn3 Tag C&gt;</t>
  </si>
  <si>
    <t>to</t>
  </si>
  <si>
    <t>Scenario Tag D Label</t>
  </si>
  <si>
    <t>The label of the scenario breakout identified by scenario tag D.</t>
  </si>
  <si>
    <t>&lt;Scn1 Tag D&gt;</t>
  </si>
  <si>
    <t>&lt;Scn2 Tag D&gt;</t>
  </si>
  <si>
    <t>&lt;Scn3 Tag D&gt;</t>
  </si>
  <si>
    <t>Demo</t>
  </si>
  <si>
    <t>Agile Top-Down Variables</t>
  </si>
  <si>
    <t>Agile Resourced CUT</t>
  </si>
  <si>
    <t>Effort Person_Days</t>
  </si>
  <si>
    <t>Contingency Person_Days</t>
  </si>
  <si>
    <t>Warranty Person_Days</t>
  </si>
  <si>
    <t>Total Person_Days</t>
  </si>
  <si>
    <t>Hidden Row - Do Not Delete</t>
  </si>
  <si>
    <t>CUT</t>
  </si>
  <si>
    <r>
      <t xml:space="preserve">Estimated CUT Effort (Days)
</t>
    </r>
    <r>
      <rPr>
        <b/>
        <u/>
        <sz val="8"/>
        <color theme="1"/>
        <rFont val="Calibri"/>
        <family val="2"/>
        <scheme val="minor"/>
      </rPr>
      <t>C</t>
    </r>
    <r>
      <rPr>
        <b/>
        <sz val="8"/>
        <color theme="1"/>
        <rFont val="Calibri"/>
        <family val="2"/>
        <scheme val="minor"/>
      </rPr>
      <t xml:space="preserve">ode and </t>
    </r>
    <r>
      <rPr>
        <b/>
        <u/>
        <sz val="8"/>
        <color theme="1"/>
        <rFont val="Calibri"/>
        <family val="2"/>
        <scheme val="minor"/>
      </rPr>
      <t>U</t>
    </r>
    <r>
      <rPr>
        <b/>
        <sz val="8"/>
        <color theme="1"/>
        <rFont val="Calibri"/>
        <family val="2"/>
        <scheme val="minor"/>
      </rPr>
      <t xml:space="preserve">nit </t>
    </r>
    <r>
      <rPr>
        <b/>
        <u/>
        <sz val="8"/>
        <color theme="1"/>
        <rFont val="Calibri"/>
        <family val="2"/>
        <scheme val="minor"/>
      </rPr>
      <t>T</t>
    </r>
    <r>
      <rPr>
        <b/>
        <sz val="8"/>
        <color theme="1"/>
        <rFont val="Calibri"/>
        <family val="2"/>
        <scheme val="minor"/>
      </rPr>
      <t>est</t>
    </r>
  </si>
  <si>
    <t>Solution Component</t>
  </si>
  <si>
    <t>TAM Group Type</t>
  </si>
  <si>
    <t>Static Ref No</t>
  </si>
  <si>
    <t>Row Type</t>
  </si>
  <si>
    <t>Total CUT</t>
  </si>
  <si>
    <t>Row No. of Next Group
(DO NOT DELETE)</t>
  </si>
  <si>
    <t>Total CUT Effort (Days):</t>
  </si>
  <si>
    <t>Ref #</t>
  </si>
  <si>
    <t>TM Frameworx Components</t>
  </si>
  <si>
    <t>Details and/or Assumptions</t>
  </si>
  <si>
    <t>Customer Reference</t>
  </si>
  <si>
    <t>DO NOT DELETE</t>
  </si>
  <si>
    <t>DON'T DELETE</t>
  </si>
  <si>
    <t>Market &amp; Sales Domain</t>
  </si>
  <si>
    <t>MAS</t>
  </si>
  <si>
    <t>Campaign &amp; Funnel Management</t>
  </si>
  <si>
    <t>Campaign &amp; Funnel L2</t>
  </si>
  <si>
    <t>Campaign &amp; Funnel L3</t>
  </si>
  <si>
    <t>EC PE</t>
  </si>
  <si>
    <t>A</t>
  </si>
  <si>
    <t>Sales Account Management</t>
  </si>
  <si>
    <t>Sales Account L2</t>
  </si>
  <si>
    <t>Sales Account L3</t>
  </si>
  <si>
    <t>Sales &amp; Marketing Reporting</t>
  </si>
  <si>
    <t>Sales &amp; Marketing Reporting L2</t>
  </si>
  <si>
    <t>Sales &amp; Marketing Reporting L3</t>
  </si>
  <si>
    <t>Sales Aids</t>
  </si>
  <si>
    <t>Sales Aids L2</t>
  </si>
  <si>
    <t>Sales Aids L3</t>
  </si>
  <si>
    <t>D</t>
  </si>
  <si>
    <t>Compensation &amp; Results</t>
  </si>
  <si>
    <t>Compensation &amp; Results L2</t>
  </si>
  <si>
    <t>Compensation &amp; Results L3</t>
  </si>
  <si>
    <t>Channel Sales Management</t>
  </si>
  <si>
    <t>Channel Sales Management L2</t>
  </si>
  <si>
    <t>Channel Sales Management L3</t>
  </si>
  <si>
    <t>Solution Management</t>
  </si>
  <si>
    <t>Solution Management L2</t>
  </si>
  <si>
    <t>Solution Management L3</t>
  </si>
  <si>
    <t>Contract Management</t>
  </si>
  <si>
    <t>Contract Management L2</t>
  </si>
  <si>
    <t>Contract Management L3</t>
  </si>
  <si>
    <t>Sales Portal</t>
  </si>
  <si>
    <t>Sales Portal L2</t>
  </si>
  <si>
    <t>Sales Portal L3</t>
  </si>
  <si>
    <t>Product Domain</t>
  </si>
  <si>
    <t>PRD</t>
  </si>
  <si>
    <t>Product Catalogue Management</t>
  </si>
  <si>
    <t>Product Catalogue L2</t>
  </si>
  <si>
    <t>Bulk loading of offers via CSV file - supported by R&amp;D</t>
  </si>
  <si>
    <t>EI 504469</t>
  </si>
  <si>
    <t>EC CB</t>
  </si>
  <si>
    <t>Product Model</t>
  </si>
  <si>
    <t>4.1 Product Management</t>
  </si>
  <si>
    <t>INT</t>
  </si>
  <si>
    <t>Product Lifecycle Management</t>
  </si>
  <si>
    <t>Product Lifecycle L2</t>
  </si>
  <si>
    <t>Product Lifecycle L3</t>
  </si>
  <si>
    <t>Product Strategy &amp; Proposition Management</t>
  </si>
  <si>
    <t>Product Strategy &amp; Proposition Management L2</t>
  </si>
  <si>
    <t>Product Strategy &amp; Proposition Management L3</t>
  </si>
  <si>
    <t>Product Performance Management</t>
  </si>
  <si>
    <t>Product Performance Management L2</t>
  </si>
  <si>
    <t>Product Performance Management L3</t>
  </si>
  <si>
    <t>Customer Domain</t>
  </si>
  <si>
    <t>CUS</t>
  </si>
  <si>
    <t>Customer Information Management</t>
  </si>
  <si>
    <t>Customer Information Management L2</t>
  </si>
  <si>
    <t>Customer Information Management L3</t>
  </si>
  <si>
    <t>4.2.1 Customer Information Management</t>
  </si>
  <si>
    <t>Bulk loading of Customer Nodes</t>
  </si>
  <si>
    <t>EI
4.2.2.2 Bulk Loading Tools</t>
  </si>
  <si>
    <t>Bulk loading of Hierarchy Changes</t>
  </si>
  <si>
    <t>Bulk loading of Contacts</t>
  </si>
  <si>
    <t>Billing Account Management</t>
  </si>
  <si>
    <t>Billing Account Management L2</t>
  </si>
  <si>
    <t>Billing Account Management L3</t>
  </si>
  <si>
    <t>Case Management</t>
  </si>
  <si>
    <t>Case Management L2</t>
  </si>
  <si>
    <t>Case Management L3</t>
  </si>
  <si>
    <t>Customer Order Management</t>
  </si>
  <si>
    <t>Customer Order Management L2</t>
  </si>
  <si>
    <t>Bulk Service Loading</t>
  </si>
  <si>
    <t>Service Updates</t>
  </si>
  <si>
    <t>Inventory File - Validation</t>
  </si>
  <si>
    <t>Billing Event Management</t>
  </si>
  <si>
    <t>Billing Event Management L2</t>
  </si>
  <si>
    <t>Mediation</t>
  </si>
  <si>
    <t>FlexCab Translator</t>
  </si>
  <si>
    <t>4.2.3.1 Telstra Retail</t>
  </si>
  <si>
    <t>SAP Translator</t>
  </si>
  <si>
    <t>4.2.3.1 SAP</t>
  </si>
  <si>
    <t>Optus Data Feed Translator</t>
  </si>
  <si>
    <t>4.2.3.1 Amdocs (Jarvis) Feed</t>
  </si>
  <si>
    <t>Telstra Wholesale Translator</t>
  </si>
  <si>
    <t>4.2.3.1 Telstra Wholesale</t>
  </si>
  <si>
    <t>GTS Translator</t>
  </si>
  <si>
    <t>4.2.3.1 Other Telco Feeds</t>
  </si>
  <si>
    <t>4.2.3.2 Event Verifications</t>
  </si>
  <si>
    <t>Charge Calculation &amp; Balance Management</t>
  </si>
  <si>
    <t>Charge Calculation &amp; Balance Management L2</t>
  </si>
  <si>
    <t>Charge Calculation &amp; Balance Management L3</t>
  </si>
  <si>
    <t>4.2.4.1 Rating
4.2.4.2 Split Charging
4.2.4.3 Report Codes</t>
  </si>
  <si>
    <t>Contract Termination Fees</t>
  </si>
  <si>
    <t>Customer specific requirements</t>
  </si>
  <si>
    <t>4.2.5.6 Customer Specific Billing Logic</t>
  </si>
  <si>
    <t>One Off Charge Bulk Loader</t>
  </si>
  <si>
    <t>4.2.4.4 One Off Charges</t>
  </si>
  <si>
    <t>Bill Calculation</t>
  </si>
  <si>
    <t>Bill Calculation L2</t>
  </si>
  <si>
    <t>Account Level Charge Distribution</t>
  </si>
  <si>
    <t>4.2.5.3 Distribution of Account Level Charges to Services</t>
  </si>
  <si>
    <t>Aggregations during billing - Discounts</t>
  </si>
  <si>
    <t>Volume based Charging</t>
  </si>
  <si>
    <t>4.2.5.5 Volume Based Charging</t>
  </si>
  <si>
    <t>Bill Verifications</t>
  </si>
  <si>
    <t>4.2.5.2 Bill Variance Checks</t>
  </si>
  <si>
    <t>Pre Bill Verifications</t>
  </si>
  <si>
    <t>4.2.5.1 Billing Readiness Verification</t>
  </si>
  <si>
    <t>Automatically pay off invoice each month</t>
  </si>
  <si>
    <t>Not in SD</t>
  </si>
  <si>
    <t>Australia Taxation Support</t>
  </si>
  <si>
    <t>4.2.5.8 Tax Calculation</t>
  </si>
  <si>
    <t>Ad-hoc Bill with Selected charges</t>
  </si>
  <si>
    <t>C</t>
  </si>
  <si>
    <t>Bill Format &amp; Render</t>
  </si>
  <si>
    <t>Bill Format &amp; Render L2</t>
  </si>
  <si>
    <t>Bill Format &amp; Render L3</t>
  </si>
  <si>
    <t>Transactional Document Production</t>
  </si>
  <si>
    <t>Transactional Document Production L2</t>
  </si>
  <si>
    <t>Transactional Document Production L3</t>
  </si>
  <si>
    <t>Receivables Management</t>
  </si>
  <si>
    <t>Receivables Management L2</t>
  </si>
  <si>
    <t>Adjustments</t>
  </si>
  <si>
    <t>Finance - Support splitting charge across multiple GL</t>
  </si>
  <si>
    <t>Collection Management</t>
  </si>
  <si>
    <t>Collection Management L2</t>
  </si>
  <si>
    <t>Collection Management L3</t>
  </si>
  <si>
    <t>Customer &amp; Network Care</t>
  </si>
  <si>
    <t>Customer &amp; Network Care L2</t>
  </si>
  <si>
    <t>Customer &amp; Network Care L3</t>
  </si>
  <si>
    <t>Billing Inquiry, Dispute &amp; Adjustment Management</t>
  </si>
  <si>
    <t>Billing Inquiry, Dispute &amp; Adjustment Management L2</t>
  </si>
  <si>
    <t>Billing Inquiry, Dispute &amp; Adjustment Management L3</t>
  </si>
  <si>
    <t>Customer Problem Management</t>
  </si>
  <si>
    <t>Customer Problem Management L2</t>
  </si>
  <si>
    <t>Customer Problem Management L3</t>
  </si>
  <si>
    <t>CSR Toolbox</t>
  </si>
  <si>
    <t>CSR Toolbox L2</t>
  </si>
  <si>
    <t>CSR Toolbox L3</t>
  </si>
  <si>
    <t>Customer Self Management</t>
  </si>
  <si>
    <t>Customer Self Management L2</t>
  </si>
  <si>
    <t>Customer Self Management L3</t>
  </si>
  <si>
    <t>Customer Loyalty Management</t>
  </si>
  <si>
    <t>Customer Loyalty Management L2</t>
  </si>
  <si>
    <t>Customer Loyalty Management L3</t>
  </si>
  <si>
    <t>Customer SLA Management</t>
  </si>
  <si>
    <t>Customer SLA Management L2</t>
  </si>
  <si>
    <t>Customer SLA Management L3</t>
  </si>
  <si>
    <t>Customer Insight Management</t>
  </si>
  <si>
    <t>Customer Insight Management L2</t>
  </si>
  <si>
    <t>Customer Insight Management L3</t>
  </si>
  <si>
    <t>Service Domain</t>
  </si>
  <si>
    <t>SER</t>
  </si>
  <si>
    <t>Service Catalogue Management</t>
  </si>
  <si>
    <t>Service Catalogue L2</t>
  </si>
  <si>
    <t>Service Catalogue L3</t>
  </si>
  <si>
    <t>Service Inventory Management</t>
  </si>
  <si>
    <t>Service Inventory Management L2</t>
  </si>
  <si>
    <t>Service Inventory Management L3</t>
  </si>
  <si>
    <t>Service Test Management</t>
  </si>
  <si>
    <t>Service Test Management L2</t>
  </si>
  <si>
    <t>Service Test Management L3</t>
  </si>
  <si>
    <t>Service Order Management</t>
  </si>
  <si>
    <t>Service Order Management L2</t>
  </si>
  <si>
    <t>Service Order Management L3</t>
  </si>
  <si>
    <t>Service Problem Management</t>
  </si>
  <si>
    <t>Service Problem Management L2</t>
  </si>
  <si>
    <t>Service Problem Management L3</t>
  </si>
  <si>
    <t>Service Quality Management</t>
  </si>
  <si>
    <t>Service Quality Management L2</t>
  </si>
  <si>
    <t>Service Quality Management L3</t>
  </si>
  <si>
    <t>Service Performance Management</t>
  </si>
  <si>
    <t>Service Performance Management L2</t>
  </si>
  <si>
    <t>Service Performance Management L3</t>
  </si>
  <si>
    <t>Resource Domain</t>
  </si>
  <si>
    <t>RES</t>
  </si>
  <si>
    <t>Resource Lifecycle Management</t>
  </si>
  <si>
    <t>Resource Lifecycle L2</t>
  </si>
  <si>
    <t>Resource Lifecycle L3</t>
  </si>
  <si>
    <t>Resource Inventory Management</t>
  </si>
  <si>
    <t>Resource Inventory Management L2</t>
  </si>
  <si>
    <t>Resource Inventory Management L3</t>
  </si>
  <si>
    <t>Workforce Management</t>
  </si>
  <si>
    <t>Workforce Management L2</t>
  </si>
  <si>
    <t>Workforce Management L3</t>
  </si>
  <si>
    <t>Location Management</t>
  </si>
  <si>
    <t>Location Management L2</t>
  </si>
  <si>
    <t>Location Management L3</t>
  </si>
  <si>
    <t>Network Number Inventory Management</t>
  </si>
  <si>
    <t>Network Number Inventory Management L2</t>
  </si>
  <si>
    <t>Network Number Inventory Management L3</t>
  </si>
  <si>
    <t>Resource Test Management</t>
  </si>
  <si>
    <t>Resource Test Management L2</t>
  </si>
  <si>
    <t>Resource Test Management L3</t>
  </si>
  <si>
    <t>Resource Process Management (Workflow &amp; Integration)</t>
  </si>
  <si>
    <t>Resource Process Management (Workflow &amp; Integration) L2</t>
  </si>
  <si>
    <t>Resource Process Management (Workflow &amp; Integration) L3</t>
  </si>
  <si>
    <t>Resource Order Management</t>
  </si>
  <si>
    <t>Resource Order Management L2</t>
  </si>
  <si>
    <t>Resource Order Management L3</t>
  </si>
  <si>
    <t>Resource Performance Management</t>
  </si>
  <si>
    <t>Resource Performance Management L2</t>
  </si>
  <si>
    <t>Resource Performance Management L3</t>
  </si>
  <si>
    <t>Resource Domain Management</t>
  </si>
  <si>
    <t>Resource Domain Management L2</t>
  </si>
  <si>
    <t>Resource Domain Management L3</t>
  </si>
  <si>
    <t>Usage Management (Mediation)</t>
  </si>
  <si>
    <t>Usage Management (Mediation) L2</t>
  </si>
  <si>
    <t>Usage Management (Mediation) L3</t>
  </si>
  <si>
    <t>Voucher Management</t>
  </si>
  <si>
    <t>Voucher Management L2</t>
  </si>
  <si>
    <t>Voucher Management L3</t>
  </si>
  <si>
    <t>Supplier-Partner Domain</t>
  </si>
  <si>
    <t>SUP</t>
  </si>
  <si>
    <t>Supplier/Partner Management</t>
  </si>
  <si>
    <t>Supplier/Partner Management L2</t>
  </si>
  <si>
    <t>Supplier/Partner Management L3</t>
  </si>
  <si>
    <t>Wholesale/Interconnect Billing</t>
  </si>
  <si>
    <t>Wholesale/Interconnect Billing L2</t>
  </si>
  <si>
    <t>Wholesale/Interconnect Billing L3</t>
  </si>
  <si>
    <t>Enterprise Domain</t>
  </si>
  <si>
    <t>ENT</t>
  </si>
  <si>
    <t>Supply Chain Management</t>
  </si>
  <si>
    <t>Supply Chain Management L2</t>
  </si>
  <si>
    <t>Supply Chain Management L3</t>
  </si>
  <si>
    <t>Revenue Assurance Management</t>
  </si>
  <si>
    <t>Revenue Assurance Management L2</t>
  </si>
  <si>
    <t>Revenue Assurance Management L3</t>
  </si>
  <si>
    <t>HR Management</t>
  </si>
  <si>
    <t>HR Management L2</t>
  </si>
  <si>
    <t>HR Management L3</t>
  </si>
  <si>
    <t>Financial Management</t>
  </si>
  <si>
    <t>Financial Management L2</t>
  </si>
  <si>
    <t>Financial Management L3</t>
  </si>
  <si>
    <t>Asset Management</t>
  </si>
  <si>
    <t>Asset Management L2</t>
  </si>
  <si>
    <t>Asset Management L3</t>
  </si>
  <si>
    <t>Security Management</t>
  </si>
  <si>
    <t>Security Management L2</t>
  </si>
  <si>
    <t>Multiple Customer Security Groups</t>
  </si>
  <si>
    <t>3 customer Security groups
Need automatic allocation in bulk loader but with abilty to override</t>
  </si>
  <si>
    <t>4.3.1.3 Customer Data Access Restrictions</t>
  </si>
  <si>
    <t>View Auditing Setup</t>
  </si>
  <si>
    <t>Adapt from CT-Bill</t>
  </si>
  <si>
    <t>4.3.1.4.1 View Auditing</t>
  </si>
  <si>
    <t>Sailpoint Integration for User Maintenance</t>
  </si>
  <si>
    <t>Reuse Optus Wholesale integration</t>
  </si>
  <si>
    <t>4.3.1.2 User Maintenance + Interface Table (Sailpoint to Encompass)</t>
  </si>
  <si>
    <t>Knowledge Management</t>
  </si>
  <si>
    <t>Knowledge Management L2</t>
  </si>
  <si>
    <t>Knowldege Management L3</t>
  </si>
  <si>
    <t>Fraud Management</t>
  </si>
  <si>
    <t>Fraud Management L2</t>
  </si>
  <si>
    <t>Fraud Management L3</t>
  </si>
  <si>
    <t>Regulatory &amp; Compliance</t>
  </si>
  <si>
    <t>Regulatory &amp; Compliance L2</t>
  </si>
  <si>
    <t>Regulatory &amp; Complaince L3</t>
  </si>
  <si>
    <t>Administrative Services</t>
  </si>
  <si>
    <t>Administrative Services L2</t>
  </si>
  <si>
    <t>Administrative Services L3</t>
  </si>
  <si>
    <t>Integration Infrastructure Domain</t>
  </si>
  <si>
    <t>Enterprise Application Integration</t>
  </si>
  <si>
    <t>Enterprise Application Integration L2</t>
  </si>
  <si>
    <t>Currency Conversion Load</t>
  </si>
  <si>
    <t>Load currency conversions 
Assume re-use of Digicel Pacific exchange rate loader</t>
  </si>
  <si>
    <t>4.2.6.2 Multi-Currency Support; Interfaces Table - SAP to Encompass</t>
  </si>
  <si>
    <t>Bulk Upload - Customer Nodes</t>
  </si>
  <si>
    <t>Potential re-use from Digicel Pacific</t>
  </si>
  <si>
    <t>Bulk Upload - Services/Product Instances</t>
  </si>
  <si>
    <t>Business Process Management &amp; Workflow</t>
  </si>
  <si>
    <t>Business Process Management &amp; Workflow L2</t>
  </si>
  <si>
    <t>Business Process Management &amp; Workflow L3</t>
  </si>
  <si>
    <t>API Management</t>
  </si>
  <si>
    <t>API Management L2</t>
  </si>
  <si>
    <t>CB TMF Rest API</t>
  </si>
  <si>
    <t>TMF CB Rest API for 
Customer Management (List, Retrieve, Patch, Create)
Service Inventory Management (List, Retrieve, Patch)
Account Management (List, Retrieve)
Party (List, Retrieve, Patch, Create)
Assumption is these APIs are largely OOTB from R&amp;D - note these need to be CB Only APIs and will be Kafka based i.e. so no additional CUT effort needed to get Kafka working</t>
  </si>
  <si>
    <t>EI
4.2.2.1 APIs Based on TMF</t>
  </si>
  <si>
    <t>Kafka Input Queue support</t>
  </si>
  <si>
    <t>Effort to integrate these REST API's to Kafka</t>
  </si>
  <si>
    <t>Fetch Address Details from Geosite</t>
  </si>
  <si>
    <t>Outbound interface to fetch address details given an Address Identifier</t>
  </si>
  <si>
    <t>Interfaces Table (Encompass to Geosite)</t>
  </si>
  <si>
    <t>Kafka Output File Based for SNOW Updates</t>
  </si>
  <si>
    <t>Send Serviec Updates to SNOW when Service is updated directly in CB - rather than from received Kafka request</t>
  </si>
  <si>
    <t>Interfaces Table (Encompass to SNOW)</t>
  </si>
  <si>
    <t>Other Efforts</t>
  </si>
  <si>
    <t>OTH</t>
  </si>
  <si>
    <t>Other Efforts Management</t>
  </si>
  <si>
    <t>Reporting</t>
  </si>
  <si>
    <t>Report to eFRAMs</t>
  </si>
  <si>
    <t>Summary and Detailed information of 
Bill Summary
Bill Detail 
For CT-Bill was around 5 extract files that were required.  Assuming some limited reuse of CT-Bill</t>
  </si>
  <si>
    <t>Interface Table (Encompass to eFRAMS)</t>
  </si>
  <si>
    <t>Report fo FinReporting</t>
  </si>
  <si>
    <t>generate data for Fin Reporting.
Finance team have 2 very imp reports (INT371 and INT372) which are used for posting revenue to SAP. It need to be in same format as today. Other reports will be discussed later with Billing team and Finance team
INT 371 – For Fixed charges in the BOSS system. See headers of report below
- BOSS Code; VarProductCode; Revenue account; Revenue; GSTRev; Bill Month
INT 372 – For variable charges in the BOSS system. See headers of report below. 
- BOSS Code; Bill Type; BOSS Trans+Call type; Account number; BOSS Line Class; ServiceClass; InvoiceNo; Supplier;
Revenue account; Revenue; GSTRev; Cost; ;GSTCost; VarProductCode; Bill Month"
INT064 - Report for Fixed fee charges
IN033 - Summary of Fixed charges of bill
INT035 - Summary of Variable Charge to pay suppliers
INT155 - Service Level details required by Finance Team</t>
  </si>
  <si>
    <t>4.2.6.1 Financial Reporting + Interface Table (Bill Reporting)</t>
  </si>
  <si>
    <t>Invoice Feed to Amdocs</t>
  </si>
  <si>
    <t>Invoice Feed generated for each Account in separate files.
Transfer to destination system based on configuration.</t>
  </si>
  <si>
    <t>4.2.5.7 Invoice Generation + Interfaces Table</t>
  </si>
  <si>
    <t>Data Warehouse Feed</t>
  </si>
  <si>
    <t>Expected to be based on Kafka File based
Potential re-use of CT-Bill DWH solution
TBC - does OW have a DWH feed - if so we could potentially replicate</t>
  </si>
  <si>
    <t>Interfaces table - Encompass to DWH</t>
  </si>
  <si>
    <t>Customer custom Reports</t>
  </si>
  <si>
    <t>Allowance for 50 custom reports</t>
  </si>
  <si>
    <t>Additional 11 Reports from BRS</t>
  </si>
  <si>
    <t>Refer BRS</t>
  </si>
  <si>
    <t>Migration</t>
  </si>
  <si>
    <t>New entry L2</t>
  </si>
  <si>
    <t>Migration - Transformation</t>
  </si>
  <si>
    <t>Prepare Data 
Validate Data</t>
  </si>
  <si>
    <t>Moved to NonCUT</t>
  </si>
  <si>
    <t>Migration - Reconcilaition Report</t>
  </si>
  <si>
    <t>Non-CUT</t>
  </si>
  <si>
    <r>
      <t xml:space="preserve">Estimated Non CUT Effort (Days)
</t>
    </r>
    <r>
      <rPr>
        <b/>
        <u/>
        <sz val="8"/>
        <color theme="1"/>
        <rFont val="Calibri"/>
        <family val="2"/>
        <scheme val="minor"/>
      </rPr>
      <t/>
    </r>
  </si>
  <si>
    <t>Total Non CUT</t>
  </si>
  <si>
    <t>Total Non-CUT Effort (Days):</t>
  </si>
  <si>
    <t>Product Catalogue - Standard to Medium</t>
  </si>
  <si>
    <t xml:space="preserve">Effort to support Optus creating their own catalogue 
- Assume 50 new offers of different types
- Add new offer types </t>
  </si>
  <si>
    <t>B&amp;A Studio</t>
  </si>
  <si>
    <t>Product Catalogue - Complex to V. Complex</t>
  </si>
  <si>
    <t xml:space="preserve">Effort to support Optus creating their own catalogue 
- Assume 20 new offers of different types
- Add new offer types </t>
  </si>
  <si>
    <t>Customer &amp; Contact</t>
  </si>
  <si>
    <t>Customer &amp; Contact &lt;reference_data&gt; supporting functional model</t>
  </si>
  <si>
    <t>Customer Order Management L3</t>
  </si>
  <si>
    <t>Billing Event Management CB</t>
  </si>
  <si>
    <t xml:space="preserve">Supporting functional &lt;reference data&gt; for:
 - Billing Event Management - NE translation </t>
  </si>
  <si>
    <t>Set up of rating rules and related &lt;reference_data&gt; covering process codes, action code and report codes</t>
  </si>
  <si>
    <t>Billing Discount</t>
  </si>
  <si>
    <t>&lt;reference_data&gt; supporting discounts</t>
  </si>
  <si>
    <t>Billing Rules and Validations</t>
  </si>
  <si>
    <t>&lt;reference_data&gt; supporting billing rules</t>
  </si>
  <si>
    <t>Receivables Management L3</t>
  </si>
  <si>
    <t>Security Management CB</t>
  </si>
  <si>
    <t xml:space="preserve">Workgroups </t>
  </si>
  <si>
    <t>Enterprise Application Integration L3</t>
  </si>
  <si>
    <t>API Management L3</t>
  </si>
  <si>
    <t>CB Rest API</t>
  </si>
  <si>
    <t>Optus Specific Integrations</t>
  </si>
  <si>
    <t>Kafka Adapters - with SNOW</t>
  </si>
  <si>
    <t>file interfaces setup</t>
  </si>
  <si>
    <t>DW setup</t>
  </si>
  <si>
    <t>Interface with GIS</t>
  </si>
  <si>
    <t>Other Efforts Management L2</t>
  </si>
  <si>
    <t>Other Efforts Management L3</t>
  </si>
  <si>
    <t>Reference Data Guide</t>
  </si>
  <si>
    <t>Ops Guide</t>
  </si>
  <si>
    <t>Release Notes</t>
  </si>
  <si>
    <t>Regression Testing Effort</t>
  </si>
  <si>
    <t>Reference Data Management</t>
  </si>
  <si>
    <t>Integration with third party systems</t>
  </si>
  <si>
    <t>Customer Specific Reports</t>
  </si>
  <si>
    <t>4.3.2.2 Customer Specific Reports</t>
  </si>
  <si>
    <t>4.3.2.1 Customer Agnostic Reports</t>
  </si>
  <si>
    <t xml:space="preserve">Additional 14 Reports for Operational </t>
  </si>
  <si>
    <t>Migration Load activites</t>
  </si>
  <si>
    <t>Developer CUT Capacity</t>
  </si>
  <si>
    <t>Contingency</t>
  </si>
  <si>
    <t>Warranty</t>
  </si>
  <si>
    <t>wk 0</t>
  </si>
  <si>
    <t>HELP</t>
  </si>
  <si>
    <t>Detail CUT</t>
  </si>
  <si>
    <t>PT</t>
  </si>
  <si>
    <t>Comp Test</t>
  </si>
  <si>
    <t>Iterative migration</t>
  </si>
  <si>
    <t>Design</t>
  </si>
  <si>
    <t>SIT</t>
  </si>
  <si>
    <t>Definition Study Prep</t>
  </si>
  <si>
    <t>Definition Study</t>
  </si>
  <si>
    <t>Proposal Submission</t>
  </si>
  <si>
    <t>Prep</t>
  </si>
  <si>
    <t>Dev</t>
  </si>
  <si>
    <t>HIP</t>
  </si>
  <si>
    <t>UAT</t>
  </si>
  <si>
    <t>PPT</t>
  </si>
  <si>
    <t>Cutover</t>
  </si>
  <si>
    <t>ORT</t>
  </si>
  <si>
    <t>Effort  (By Resource Role)</t>
  </si>
  <si>
    <t>GLS-ZA</t>
  </si>
  <si>
    <t>Business Consultants</t>
  </si>
  <si>
    <t>Hidden Row - Do Not Remove!</t>
  </si>
  <si>
    <t>Activity</t>
  </si>
  <si>
    <t>TTS Resource Role</t>
  </si>
  <si>
    <t>Agile Resource Role</t>
  </si>
  <si>
    <t>Location</t>
  </si>
  <si>
    <t>Solution Unit</t>
  </si>
  <si>
    <t>Domain</t>
  </si>
  <si>
    <t>TOTAL</t>
  </si>
  <si>
    <t>Prog</t>
  </si>
  <si>
    <t>Program</t>
  </si>
  <si>
    <t>CDE</t>
  </si>
  <si>
    <t>GLS-AU</t>
  </si>
  <si>
    <t>CDU</t>
  </si>
  <si>
    <t>Program Directors</t>
  </si>
  <si>
    <t>Project Managers</t>
  </si>
  <si>
    <t>GLS-IN</t>
  </si>
  <si>
    <t>Launch Lead</t>
  </si>
  <si>
    <t>Architect Sr</t>
  </si>
  <si>
    <t>E2E Solution Architect</t>
  </si>
  <si>
    <t>Business Consultant Sr</t>
  </si>
  <si>
    <t>E2E Solution Business Owner</t>
  </si>
  <si>
    <t>Integration Architect</t>
  </si>
  <si>
    <t>DWMS</t>
  </si>
  <si>
    <t>Solution Integrity</t>
  </si>
  <si>
    <t>Solution Engineering</t>
  </si>
  <si>
    <t>Change Manager</t>
  </si>
  <si>
    <t>PMO Analysts</t>
  </si>
  <si>
    <t>Project</t>
  </si>
  <si>
    <t>Architect</t>
  </si>
  <si>
    <t>SV System Architect</t>
  </si>
  <si>
    <t>SV Business Owner</t>
  </si>
  <si>
    <t>Project Managers (Delivery Manager)</t>
  </si>
  <si>
    <t>Solution Delivery Lead</t>
  </si>
  <si>
    <t>Project Manager</t>
  </si>
  <si>
    <t>RTE</t>
  </si>
  <si>
    <t>Environments Manager</t>
  </si>
  <si>
    <t>Infrastructure Mgr</t>
  </si>
  <si>
    <t>Test Managers</t>
  </si>
  <si>
    <t>Test &amp; Ticket Mgr</t>
  </si>
  <si>
    <t>Agile Coach</t>
  </si>
  <si>
    <t>Support Analyst</t>
  </si>
  <si>
    <t>EQA Support</t>
  </si>
  <si>
    <t>Platform Engineering</t>
  </si>
  <si>
    <t>Technical Consultant Sr</t>
  </si>
  <si>
    <t>Env Specialists</t>
  </si>
  <si>
    <t>Technical Consultant</t>
  </si>
  <si>
    <t>Env Specialists - DBA</t>
  </si>
  <si>
    <t>PI0</t>
  </si>
  <si>
    <t>Testers</t>
  </si>
  <si>
    <t>Test Lead</t>
  </si>
  <si>
    <t>Software Developer Sr</t>
  </si>
  <si>
    <t>Developers</t>
  </si>
  <si>
    <t>Automation</t>
  </si>
  <si>
    <t>Automation testers</t>
  </si>
  <si>
    <t>Automation test lead</t>
  </si>
  <si>
    <t>Data Migration</t>
  </si>
  <si>
    <t>Resourced by Delivery Resources</t>
  </si>
  <si>
    <t>Scoping</t>
  </si>
  <si>
    <t>Data Discovery</t>
  </si>
  <si>
    <t>ST</t>
  </si>
  <si>
    <t xml:space="preserve">SIT </t>
  </si>
  <si>
    <t>Cust Test</t>
  </si>
  <si>
    <t>DRY Run(PT)</t>
  </si>
  <si>
    <t>DRY Run</t>
  </si>
  <si>
    <t>CompTest</t>
  </si>
  <si>
    <t>Data Project Manager</t>
  </si>
  <si>
    <t>Test Consultant Sr</t>
  </si>
  <si>
    <t>Integration</t>
  </si>
  <si>
    <t xml:space="preserve">Non-CUT  </t>
  </si>
  <si>
    <t>Non-CUT (Report)</t>
  </si>
  <si>
    <t>255 + 42 NONCUT</t>
  </si>
  <si>
    <t>NONCUT</t>
  </si>
  <si>
    <t>NONCUT / ST</t>
  </si>
  <si>
    <t>Architect Assoc</t>
  </si>
  <si>
    <t>Software Developer</t>
  </si>
  <si>
    <t>Test Consultant</t>
  </si>
  <si>
    <t>126 NONCUT  250 Product Offer Support during UAT / Post Production</t>
  </si>
  <si>
    <t>Product Offer Support</t>
  </si>
  <si>
    <t>Documentation</t>
  </si>
  <si>
    <t>Documenters</t>
  </si>
  <si>
    <t>Ref Data Configuration</t>
  </si>
  <si>
    <t>Ref Data Configuration/Documentation</t>
  </si>
  <si>
    <t>230 NONCUT</t>
  </si>
  <si>
    <t>Ref Data Config Managers</t>
  </si>
  <si>
    <t>Ref Data Configurators</t>
  </si>
  <si>
    <t>Training</t>
  </si>
  <si>
    <t>Training Managers</t>
  </si>
  <si>
    <t>Trainers</t>
  </si>
  <si>
    <t>Performance Testing</t>
  </si>
  <si>
    <t>EC Performance Testing</t>
  </si>
  <si>
    <t>Perf Test Managers</t>
  </si>
  <si>
    <t>GLS-IE</t>
  </si>
  <si>
    <t>Perf Testers</t>
  </si>
  <si>
    <t>Digital Mediation - IME</t>
  </si>
  <si>
    <t>CSG Solution Architects</t>
  </si>
  <si>
    <t>Digital Mediation - IAT</t>
  </si>
  <si>
    <t>Digital Mediation - AMM</t>
  </si>
  <si>
    <t>Charging &amp; Billing 5G CHF</t>
  </si>
  <si>
    <t>SIT Support</t>
  </si>
  <si>
    <t>Product Owners</t>
  </si>
  <si>
    <t>Designer</t>
  </si>
  <si>
    <t>Scrum Designer</t>
  </si>
  <si>
    <t>Scrum Developers</t>
  </si>
  <si>
    <t>Scrum Testers</t>
  </si>
  <si>
    <t>UAT Support</t>
  </si>
  <si>
    <t>Regression Testing</t>
  </si>
  <si>
    <t>Customer SIT &amp; UAT</t>
  </si>
  <si>
    <t>Test Manager (Program)</t>
  </si>
  <si>
    <t>Test Consultants (SIT)</t>
  </si>
  <si>
    <t>Test Automation Lead</t>
  </si>
  <si>
    <t>Test Automation Consultant</t>
  </si>
  <si>
    <t>Internal SIT Support</t>
  </si>
  <si>
    <t>scrum</t>
  </si>
  <si>
    <t>Scrum Team #1</t>
  </si>
  <si>
    <t>Move One Developer to SIT Support</t>
  </si>
  <si>
    <t>Same Developer Rejoins SIT Support Team</t>
  </si>
  <si>
    <t>Need Performance Testers During this Period</t>
  </si>
  <si>
    <t>Development</t>
  </si>
  <si>
    <t>Scrum Masters</t>
  </si>
  <si>
    <t>Scrum Developers - Tech Lead</t>
  </si>
  <si>
    <t>Scrum Team #2</t>
  </si>
  <si>
    <t>Scrum Team #3</t>
  </si>
  <si>
    <t>Business Consultant</t>
  </si>
  <si>
    <t>Scrum Team #4</t>
  </si>
  <si>
    <t>Hidden</t>
  </si>
  <si>
    <t>Totals</t>
  </si>
  <si>
    <t>FTE &amp; Effort</t>
  </si>
  <si>
    <t xml:space="preserve"> FTE</t>
  </si>
  <si>
    <t>(By Week)</t>
  </si>
  <si>
    <t xml:space="preserve"> Person_Days</t>
  </si>
  <si>
    <t>Scrum Team Resources</t>
  </si>
  <si>
    <t>Total Effort</t>
  </si>
  <si>
    <t>PI 1</t>
  </si>
  <si>
    <t>PI 2</t>
  </si>
  <si>
    <t>User Test</t>
  </si>
  <si>
    <t>Total</t>
  </si>
  <si>
    <t>E2E Test Manager</t>
  </si>
  <si>
    <t>CSG Solution Business Owner</t>
  </si>
  <si>
    <t>Solution Performance Test Manager</t>
  </si>
  <si>
    <t>E2E Release Manager</t>
  </si>
  <si>
    <t>Release Managers</t>
  </si>
  <si>
    <t>Data Architect</t>
  </si>
  <si>
    <t>Data Analyst</t>
  </si>
  <si>
    <t>Data Development Consultant</t>
  </si>
  <si>
    <t>Ref Data</t>
  </si>
  <si>
    <t>Performance</t>
  </si>
  <si>
    <t>Regression</t>
  </si>
  <si>
    <t xml:space="preserve"> Person-Days</t>
  </si>
  <si>
    <t>Test</t>
  </si>
  <si>
    <t>Data  Migration</t>
  </si>
  <si>
    <t>Proforma Months</t>
  </si>
  <si>
    <t>E2E</t>
  </si>
  <si>
    <t>Testing</t>
  </si>
  <si>
    <t>Scenario Tag</t>
  </si>
  <si>
    <t>Scenario Phase Profile</t>
  </si>
  <si>
    <t>B</t>
  </si>
  <si>
    <t>Phase</t>
  </si>
  <si>
    <t>Start Date</t>
  </si>
  <si>
    <t>End-Date</t>
  </si>
  <si>
    <t>Weeks</t>
  </si>
  <si>
    <t>Average FTEs</t>
  </si>
  <si>
    <t>Person_Days</t>
  </si>
  <si>
    <t xml:space="preserve">            Totals</t>
  </si>
  <si>
    <t>Include Role and Region?</t>
  </si>
  <si>
    <t>Include Region Only?</t>
  </si>
  <si>
    <t>Use Estimate Toolbar to Generate Breakdown</t>
  </si>
  <si>
    <t>Generated for Scenario 1 : Phase 1</t>
  </si>
  <si>
    <t>Domain Breakdown Table</t>
  </si>
  <si>
    <t>Expenses</t>
  </si>
  <si>
    <t>Check Person_Days?</t>
  </si>
  <si>
    <t>TTS Location</t>
  </si>
  <si>
    <t>Domain Total</t>
  </si>
  <si>
    <t>Domain %</t>
  </si>
  <si>
    <t>Currency</t>
  </si>
  <si>
    <t>Quantity</t>
  </si>
  <si>
    <t>Expenses Cost</t>
  </si>
  <si>
    <t>Exp Person_Days</t>
  </si>
  <si>
    <t>Exp Time Cost</t>
  </si>
  <si>
    <t>Exp Total Cost</t>
  </si>
  <si>
    <t>USD</t>
  </si>
  <si>
    <t>Person_Days Aligned</t>
  </si>
  <si>
    <t>Sub-Total</t>
  </si>
  <si>
    <t>For Training and Data Migration tables to be populated the Domain must be set to "Training" or "Data Migration" in the Agile Top-Down tab</t>
  </si>
  <si>
    <t>Use Estimate Toolbar to Run TTS</t>
  </si>
  <si>
    <t>TTS Primary Table</t>
  </si>
  <si>
    <t>Oracle $ Rate</t>
  </si>
  <si>
    <t>Total Cost (Ex Expenses)</t>
  </si>
  <si>
    <t>Resourcing Ratio Table</t>
  </si>
  <si>
    <t>TTS Sol Unit</t>
  </si>
  <si>
    <t>% Location</t>
  </si>
  <si>
    <t>Management</t>
  </si>
  <si>
    <t>DE</t>
  </si>
  <si>
    <t>DWMS Onshore/Offshore Ratio Table</t>
  </si>
  <si>
    <t>Onshore / Offshore</t>
  </si>
  <si>
    <t>% Ratio</t>
  </si>
  <si>
    <t>Onshore</t>
  </si>
  <si>
    <t>Offshore</t>
  </si>
  <si>
    <t>Level of Effort</t>
  </si>
  <si>
    <t>TTS Data Migration Table</t>
  </si>
  <si>
    <t>Data Migration Level of Effort</t>
  </si>
  <si>
    <t>TTS Training Table</t>
  </si>
  <si>
    <t>Training Level of Effort</t>
  </si>
  <si>
    <t>TTS Table is having consolidated data of all the roles of Agile Top-Down Tab</t>
  </si>
  <si>
    <t>Scenario 1 : &lt;Scenario 1&gt; has not been populated</t>
  </si>
  <si>
    <r>
      <rPr>
        <b/>
        <i/>
        <u/>
        <sz val="12"/>
        <color theme="0"/>
        <rFont val="Calibri"/>
        <family val="2"/>
        <scheme val="minor"/>
      </rPr>
      <t>WARNING</t>
    </r>
    <r>
      <rPr>
        <b/>
        <i/>
        <sz val="11"/>
        <color theme="0"/>
        <rFont val="Calibri"/>
        <family val="2"/>
        <scheme val="minor"/>
      </rPr>
      <t xml:space="preserve">
Macro can be slow</t>
    </r>
  </si>
  <si>
    <t>Display Type</t>
  </si>
  <si>
    <t># Days Per Month</t>
  </si>
  <si>
    <t>Project Duration</t>
  </si>
  <si>
    <t>12 Months</t>
  </si>
  <si>
    <t>Use Estimate Toolbar to Run Proforma</t>
  </si>
  <si>
    <t xml:space="preserve">Update defaults in the Estimate Toolbar </t>
  </si>
  <si>
    <t>TTS SU</t>
  </si>
  <si>
    <t>Use the Import tool on the Estimates Toolbar to import the Daily Rates</t>
  </si>
  <si>
    <t>Hourly Rates in USD</t>
  </si>
  <si>
    <t>Billing Analyst Sr</t>
  </si>
  <si>
    <t>Billing Analyst</t>
  </si>
  <si>
    <t>Business Analyst Sr</t>
  </si>
  <si>
    <t>Business Analyst</t>
  </si>
  <si>
    <t>Default</t>
  </si>
  <si>
    <t>Designer Sr</t>
  </si>
  <si>
    <t>Dev Consultant</t>
  </si>
  <si>
    <t>Operations</t>
  </si>
  <si>
    <t>Support Analyst Sr</t>
  </si>
  <si>
    <t>GLS MT-GB</t>
  </si>
  <si>
    <t>Position Lookup Table</t>
  </si>
  <si>
    <t>GLS VTSA-GB</t>
  </si>
  <si>
    <t>GLS-AE</t>
  </si>
  <si>
    <t>GLS-BR</t>
  </si>
  <si>
    <t>GLS-CA</t>
  </si>
  <si>
    <t>GLS-CO</t>
  </si>
  <si>
    <t>GLS-DE</t>
  </si>
  <si>
    <t>GLS-DK</t>
  </si>
  <si>
    <t>GLS-ES</t>
  </si>
  <si>
    <t>GLS-FR</t>
  </si>
  <si>
    <t>GLS-GB</t>
  </si>
  <si>
    <t>GLS-ID</t>
  </si>
  <si>
    <t>GLS-IT</t>
  </si>
  <si>
    <t>GLS-LB</t>
  </si>
  <si>
    <t>GLS-MX</t>
  </si>
  <si>
    <t>GLS-MY</t>
  </si>
  <si>
    <t>GLS-NG</t>
  </si>
  <si>
    <t>GLS-PH</t>
  </si>
  <si>
    <t>GLS-PL</t>
  </si>
  <si>
    <t>GLS-PT</t>
  </si>
  <si>
    <t>GLS-SE</t>
  </si>
  <si>
    <t>GLS-SG</t>
  </si>
  <si>
    <t>GLS-US</t>
  </si>
  <si>
    <t>GLS-UY</t>
  </si>
  <si>
    <t>SAL-AE</t>
  </si>
  <si>
    <t>SAL-AU</t>
  </si>
  <si>
    <t>SAL-BR</t>
  </si>
  <si>
    <t>SAL-CA</t>
  </si>
  <si>
    <t>SAL-CN</t>
  </si>
  <si>
    <t>SAL-CO</t>
  </si>
  <si>
    <t>SAL-DE</t>
  </si>
  <si>
    <t>SAL-DK</t>
  </si>
  <si>
    <t>SAL-ES</t>
  </si>
  <si>
    <t>SAL-FR</t>
  </si>
  <si>
    <t>SAL-GB</t>
  </si>
  <si>
    <t>SAL-ID</t>
  </si>
  <si>
    <t>SAL-IE</t>
  </si>
  <si>
    <t>SAL-IN</t>
  </si>
  <si>
    <t>SAL-IT</t>
  </si>
  <si>
    <t>SAL-LB</t>
  </si>
  <si>
    <t>SAL-LX</t>
  </si>
  <si>
    <t>SAL-MA</t>
  </si>
  <si>
    <t>SAL-MX</t>
  </si>
  <si>
    <t>SAL-MY</t>
  </si>
  <si>
    <t>SAL-NZ</t>
  </si>
  <si>
    <t>SAL-PH</t>
  </si>
  <si>
    <t>SAL-PL</t>
  </si>
  <si>
    <t>SAL-PT</t>
  </si>
  <si>
    <t>SAL-SA</t>
  </si>
  <si>
    <t>SAL-SE</t>
  </si>
  <si>
    <t>SAL-SG</t>
  </si>
  <si>
    <t>SAL-US</t>
  </si>
  <si>
    <t>SAL-ZA</t>
  </si>
  <si>
    <t>Workday Hours Per Location</t>
  </si>
  <si>
    <r>
      <rPr>
        <b/>
        <sz val="12"/>
        <color rgb="FFFF0000"/>
        <rFont val="Calibri"/>
        <family val="2"/>
        <scheme val="minor"/>
      </rPr>
      <t>Daily Rates will be imported from the file selected after pressing the "Import Cost" button on the Estimate ribbon</t>
    </r>
    <r>
      <rPr>
        <b/>
        <sz val="11"/>
        <color rgb="FFFF0000"/>
        <rFont val="Calibri"/>
        <family val="2"/>
        <scheme val="minor"/>
      </rPr>
      <t xml:space="preserve">
</t>
    </r>
    <r>
      <rPr>
        <b/>
        <sz val="11"/>
        <rFont val="Calibri"/>
        <family val="2"/>
        <scheme val="minor"/>
      </rPr>
      <t xml:space="preserve">The file must have a worksheet named = "DayRates". </t>
    </r>
  </si>
  <si>
    <t>Country</t>
  </si>
  <si>
    <t>Hrs</t>
  </si>
  <si>
    <t>Imported from file</t>
  </si>
  <si>
    <t>New Resource Rate</t>
  </si>
  <si>
    <t>https://csgsystems.sharepoint.com/sites/salesop2012/Commercial Approval/TTSMasterRates FY25-1.7.xlsm</t>
  </si>
  <si>
    <t>United Arab Emirates</t>
  </si>
  <si>
    <t>Australia</t>
  </si>
  <si>
    <t>Brazil</t>
  </si>
  <si>
    <t>Canada</t>
  </si>
  <si>
    <t>Columbia</t>
  </si>
  <si>
    <r>
      <t xml:space="preserve">Ensure that the </t>
    </r>
    <r>
      <rPr>
        <b/>
        <sz val="11"/>
        <color rgb="FFFF0000"/>
        <rFont val="Calibri"/>
        <family val="2"/>
        <scheme val="minor"/>
      </rPr>
      <t>LOCATION</t>
    </r>
    <r>
      <rPr>
        <b/>
        <sz val="11"/>
        <rFont val="Calibri"/>
        <family val="2"/>
        <scheme val="minor"/>
      </rPr>
      <t xml:space="preserve"> values in column B for all three tables are sorted alphabetically. VLOOKUP (by default) will return approximate values which will be incorrect if the table is not in alphabetic order.</t>
    </r>
  </si>
  <si>
    <t>In case of Seavus rates,
1) Get the latest rate card from Mairead / Michelle Rushby
  2) Input the rates as per the mapping table above in row 31</t>
  </si>
  <si>
    <t>Germany</t>
  </si>
  <si>
    <t>Denmark</t>
  </si>
  <si>
    <t>Spain</t>
  </si>
  <si>
    <t>France</t>
  </si>
  <si>
    <t>UK</t>
  </si>
  <si>
    <t>Indonesia</t>
  </si>
  <si>
    <t>Ireland</t>
  </si>
  <si>
    <t>SET Roles</t>
  </si>
  <si>
    <t>Seavus Roles</t>
  </si>
  <si>
    <t>India</t>
  </si>
  <si>
    <t>Solution Architect</t>
  </si>
  <si>
    <t>Italy</t>
  </si>
  <si>
    <t>Lebanon</t>
  </si>
  <si>
    <t>Designer/Test Lead</t>
  </si>
  <si>
    <t>Mexico</t>
  </si>
  <si>
    <t>Program Manager</t>
  </si>
  <si>
    <t>Malaysia</t>
  </si>
  <si>
    <t>Other</t>
  </si>
  <si>
    <t>Admin</t>
  </si>
  <si>
    <t>Nigeria</t>
  </si>
  <si>
    <t>Project Manager/Test Manager</t>
  </si>
  <si>
    <t>Philippines</t>
  </si>
  <si>
    <t>Sr Developer, Intermediate Developers,Junior Developers</t>
  </si>
  <si>
    <t>Poland</t>
  </si>
  <si>
    <t>Env Specialist</t>
  </si>
  <si>
    <t>Portugal</t>
  </si>
  <si>
    <t>Sr Tester, Intermediate Testers, Junior Testers</t>
  </si>
  <si>
    <t>Sweden</t>
  </si>
  <si>
    <t>Singapore</t>
  </si>
  <si>
    <t>United States</t>
  </si>
  <si>
    <t>Uruguay</t>
  </si>
  <si>
    <t>South Africa</t>
  </si>
  <si>
    <t>Daily Rates in USD - from Oracle</t>
  </si>
  <si>
    <t>ONLY CHANGE CELLS IN BLUE</t>
  </si>
  <si>
    <t>Row
Type</t>
  </si>
  <si>
    <t>EXPECTED PROJECT EXPENSES</t>
  </si>
  <si>
    <t>Travel
Expenses</t>
  </si>
  <si>
    <t>Travel
Days</t>
  </si>
  <si>
    <t>Travel Time Cost
Line</t>
  </si>
  <si>
    <t>Use the Estimate Toolbar to Add or Remove Expense Rows</t>
  </si>
  <si>
    <t>TOTAL EXPENSES:</t>
  </si>
  <si>
    <t>Product</t>
  </si>
  <si>
    <t>Phase
(Ignore for SV)</t>
  </si>
  <si>
    <t>Resource
Role</t>
  </si>
  <si>
    <t>Quantity
of
Employees</t>
  </si>
  <si>
    <t>Resource Location</t>
  </si>
  <si>
    <t>Daily Rate</t>
  </si>
  <si>
    <t>Number of
Trips</t>
  </si>
  <si>
    <t>Destination Country</t>
  </si>
  <si>
    <t>Travel Days per Return Flight</t>
  </si>
  <si>
    <t>Cost per Flight</t>
  </si>
  <si>
    <t>Total Days on Site</t>
  </si>
  <si>
    <t>Daily Hotel Cost</t>
  </si>
  <si>
    <t>Daily Meal Cost</t>
  </si>
  <si>
    <t>Daily Extras</t>
  </si>
  <si>
    <t>Visa Cost</t>
  </si>
  <si>
    <t>Taxes
(IOF)</t>
  </si>
  <si>
    <t>Travel Time Cost</t>
  </si>
  <si>
    <t>Encompass</t>
  </si>
  <si>
    <t>Build</t>
  </si>
  <si>
    <t>Ignore for SV</t>
  </si>
  <si>
    <t>Project Definition</t>
  </si>
  <si>
    <t>Design/Spec</t>
  </si>
  <si>
    <t>Import from file</t>
  </si>
  <si>
    <t>Expense Rates in USD</t>
  </si>
  <si>
    <t>From File:</t>
  </si>
  <si>
    <t>C:\Users\reenb\Desktop\ExpenseRates_20161001.xlsx</t>
  </si>
  <si>
    <t>Cost per flight</t>
  </si>
  <si>
    <t>Taxes (IOF)</t>
  </si>
  <si>
    <t>Expense rates can be entered manually in the Expense Rates table to the left or they can be imported from an external spreadsheet. (Max 200 rows) The file to import from can be selected after pressung the "Import Rates" in the Esimtate ribbon.
The first country in the Expense Rates table is United States,which should not be removed. Importing new rates will overwrite all existing rates in the table, except for United States. Any rows for United States in the external spreadsheet will be skipped during import. 
The external spreadsheet format must be the same as the Expense Rates table to the left including a header row and starting at Cell A1. The external sheet name must be Sheet1.</t>
  </si>
  <si>
    <r>
      <rPr>
        <b/>
        <sz val="10"/>
        <color theme="1"/>
        <rFont val="Calibri"/>
        <family val="2"/>
        <scheme val="minor"/>
      </rPr>
      <t>DO NOT MODIFY</t>
    </r>
    <r>
      <rPr>
        <sz val="10"/>
        <color theme="1"/>
        <rFont val="Calibri"/>
        <family val="2"/>
        <scheme val="minor"/>
      </rPr>
      <t xml:space="preserve"> - THESE ATTRIBUTES DRIVE ALL THE INBUILT MACROS. If changes are required please contact Support.
Support - Ensure you use named ranges when referencing this tab in code or macros.</t>
    </r>
  </si>
  <si>
    <t>Estimate Status</t>
  </si>
  <si>
    <t>Released</t>
  </si>
  <si>
    <t>Revised</t>
  </si>
  <si>
    <t>Accepted</t>
  </si>
  <si>
    <t>Selected</t>
  </si>
  <si>
    <t>% Utilisation</t>
  </si>
  <si>
    <t>EC CC</t>
  </si>
  <si>
    <t>EC CM</t>
  </si>
  <si>
    <t>EC CE</t>
  </si>
  <si>
    <t>RPT</t>
  </si>
  <si>
    <t>Agile Resource Roles</t>
  </si>
  <si>
    <t>Business Owners</t>
  </si>
  <si>
    <t>Data Consulting Manager</t>
  </si>
  <si>
    <t>Data Director Programs</t>
  </si>
  <si>
    <t>Data Technical Consultant</t>
  </si>
  <si>
    <t>Data Test Consultant</t>
  </si>
  <si>
    <t>STE</t>
  </si>
  <si>
    <t>Agile Resource Location</t>
  </si>
  <si>
    <t>Agile Iteration Type</t>
  </si>
  <si>
    <t>Project Phase</t>
  </si>
  <si>
    <t>Scope</t>
  </si>
  <si>
    <t>Deploy</t>
  </si>
  <si>
    <t>Secondary Agile Iteration Type</t>
  </si>
  <si>
    <t>Agile Resource Top-Down Parameters</t>
  </si>
  <si>
    <t>Default Value</t>
  </si>
  <si>
    <t>Default Developer CUT Capacity</t>
  </si>
  <si>
    <t>Default Contingency</t>
  </si>
  <si>
    <t>Default Warranty</t>
  </si>
  <si>
    <t>Project Activity</t>
  </si>
  <si>
    <t>Ref Data Config</t>
  </si>
  <si>
    <t>Performance Test</t>
  </si>
  <si>
    <t>Scrum</t>
  </si>
  <si>
    <t>Detail Tabs Attribute Values.  These are the values selected in the "Detail Tabs" ribbon group.  DO NOT MODIFY!!!</t>
  </si>
  <si>
    <t>Selected Scenario</t>
  </si>
  <si>
    <t>Dropdown Box Index</t>
  </si>
  <si>
    <t>Default Solution Component</t>
  </si>
  <si>
    <t>Highlight Selected Scenario Estimates</t>
  </si>
  <si>
    <t>Highlight Estimates with No Scenario</t>
  </si>
  <si>
    <t>Proforma Tabs Attribute Values.   DO NOT MODIFY!!!</t>
  </si>
  <si>
    <t>Proforma Display</t>
  </si>
  <si>
    <t>Default Display Type</t>
  </si>
  <si>
    <t>Cost</t>
  </si>
  <si>
    <t>FTE</t>
  </si>
  <si>
    <t>Proforma Days per Month</t>
  </si>
  <si>
    <t>FTE (Round to 0.25)</t>
  </si>
  <si>
    <t>FTE (Round to 0.5)</t>
  </si>
  <si>
    <t>FTE (Round to 1.0)</t>
  </si>
  <si>
    <t>Included Expenses</t>
  </si>
  <si>
    <t>Proforma Attributes</t>
  </si>
  <si>
    <t>Project Duration in Weeks</t>
  </si>
  <si>
    <t>Number of Rows in the Agile Top Down</t>
  </si>
  <si>
    <t>Number of Columns in the Agile Top Down</t>
  </si>
  <si>
    <t>Project Duration in Months</t>
  </si>
  <si>
    <t>TTS Tabs Attribute Values.   DO NOT MODIFY!!!</t>
  </si>
  <si>
    <t>TTS Resource Roles</t>
  </si>
  <si>
    <t>Mapping TTS Roles to default Agile roles - Ensure this table is sorted alphabethically by SET Project Roles for vLoopkups</t>
  </si>
  <si>
    <t>SET Project Roles</t>
  </si>
  <si>
    <t>Preferred TTS Equivalent Role</t>
  </si>
  <si>
    <t>Regional Enterprise Solution Architect</t>
  </si>
  <si>
    <t>Solution Business Owner</t>
  </si>
  <si>
    <t>Not in agile roles</t>
  </si>
  <si>
    <t>VSE</t>
  </si>
  <si>
    <t>Assumptions Attribute Values.  These are the values selected in the "Assumptions" tab.  DO NOT MODIFY!!!</t>
  </si>
  <si>
    <t>Yes</t>
  </si>
  <si>
    <t>Internal</t>
  </si>
  <si>
    <t>Open</t>
  </si>
  <si>
    <t>External</t>
  </si>
  <si>
    <t>In Progress</t>
  </si>
  <si>
    <t>Deferred</t>
  </si>
  <si>
    <t>Ascendon</t>
  </si>
  <si>
    <t>CPIS</t>
  </si>
  <si>
    <t>MSS</t>
  </si>
  <si>
    <t>Mapping TTS Roles to default SU roles</t>
  </si>
  <si>
    <t>Preferred SU Equivalent Role</t>
  </si>
  <si>
    <t>Mapping of Resource Locations to Onshore/Offshore</t>
  </si>
  <si>
    <t>Onshore or Offshore</t>
  </si>
  <si>
    <t>EC Estimation Tool Version</t>
  </si>
  <si>
    <t>Encompass Estimation Tool v4.0</t>
  </si>
  <si>
    <t>Change Description</t>
  </si>
  <si>
    <t>Change Date</t>
  </si>
  <si>
    <t>Release Version</t>
  </si>
  <si>
    <t>Development Version</t>
  </si>
  <si>
    <t>Sujata Swarnalipi</t>
  </si>
  <si>
    <r>
      <t xml:space="preserve">Enhancement:
1)Changing of Singleview Estimation Tool(SET)  to Encompass Estimation Tool(ECET)
</t>
    </r>
    <r>
      <rPr>
        <sz val="10"/>
        <color theme="1"/>
        <rFont val="Calibri"/>
        <family val="2"/>
        <scheme val="minor"/>
      </rPr>
      <t>https://confluence.csgicorp.com/pages/viewpage.action?pageId=1735300864</t>
    </r>
    <r>
      <rPr>
        <b/>
        <sz val="10"/>
        <color theme="1"/>
        <rFont val="Calibri"/>
        <family val="2"/>
        <scheme val="minor"/>
      </rPr>
      <t xml:space="preserve">
2)Modification ECET Tool file for incorporating new rates of locations starting with SAL*
</t>
    </r>
    <r>
      <rPr>
        <sz val="10"/>
        <color theme="1"/>
        <rFont val="Calibri"/>
        <family val="2"/>
        <scheme val="minor"/>
      </rPr>
      <t>https://confluence.csgicorp.com/pages/viewpage.action?pageId=1735302297</t>
    </r>
    <r>
      <rPr>
        <b/>
        <sz val="10"/>
        <color theme="1"/>
        <rFont val="Calibri"/>
        <family val="2"/>
        <scheme val="minor"/>
      </rPr>
      <t xml:space="preserve">
3)Addition of new assumptions in Assumptions Tab
</t>
    </r>
    <r>
      <rPr>
        <sz val="10"/>
        <color theme="1"/>
        <rFont val="Calibri"/>
        <family val="2"/>
        <scheme val="minor"/>
      </rPr>
      <t>https://confluence.csgicorp.com/display/GSSP/V3.10+Assumptions+tab</t>
    </r>
    <r>
      <rPr>
        <b/>
        <sz val="10"/>
        <color theme="1"/>
        <rFont val="Calibri"/>
        <family val="2"/>
        <scheme val="minor"/>
      </rPr>
      <t xml:space="preserve">
4)Addition of new locations named GLS MT-GB and GLS VTSA-GB. And removal of "Seavus" Locations as GLS MT-GB was mapped to Seavus in the Master Rate card sheet
</t>
    </r>
    <r>
      <rPr>
        <sz val="10"/>
        <color theme="1"/>
        <rFont val="Calibri"/>
        <family val="2"/>
        <scheme val="minor"/>
      </rPr>
      <t>https://confluence.csgicorp.com/pages/viewpage.action?pageId=1686132929</t>
    </r>
    <r>
      <rPr>
        <b/>
        <sz val="10"/>
        <color theme="1"/>
        <rFont val="Calibri"/>
        <family val="2"/>
        <scheme val="minor"/>
      </rPr>
      <t xml:space="preserve">
5)Removal of Locations GLS LOW-BR &amp; GLS LOW-US
</t>
    </r>
    <r>
      <rPr>
        <sz val="10"/>
        <color theme="1"/>
        <rFont val="Calibri"/>
        <family val="2"/>
        <scheme val="minor"/>
      </rPr>
      <t xml:space="preserve">https://confluence.csgicorp.com/pages/viewpage.action?pageId=1712198091
</t>
    </r>
    <r>
      <rPr>
        <b/>
        <sz val="10"/>
        <color theme="1"/>
        <rFont val="Calibri"/>
        <family val="2"/>
        <scheme val="minor"/>
      </rPr>
      <t xml:space="preserve">
6)Updation in SV Performance Testing Resource Group of Agile Top-Down tab
</t>
    </r>
    <r>
      <rPr>
        <sz val="10"/>
        <color theme="1"/>
        <rFont val="Calibri"/>
        <family val="2"/>
        <scheme val="minor"/>
      </rPr>
      <t>https://confluence.csgicorp.com/display/GSSP/Updation+in+SV+Performance+Testing+Resource+Group++of+Agile+Top-Down+tab</t>
    </r>
    <r>
      <rPr>
        <b/>
        <sz val="10"/>
        <color theme="1"/>
        <rFont val="Calibri"/>
        <family val="2"/>
        <scheme val="minor"/>
      </rPr>
      <t xml:space="preserve">
7)Updation in Platform Engineering Resource Group of Agile Top-Down Tab
</t>
    </r>
    <r>
      <rPr>
        <sz val="10"/>
        <color theme="1"/>
        <rFont val="Calibri"/>
        <family val="2"/>
        <scheme val="minor"/>
      </rPr>
      <t>https://confluence.csgicorp.com/display/GSSP/Updation+in+Platform+Engineering+Resource+Group++of+Agile+Top-Down+Tab</t>
    </r>
    <r>
      <rPr>
        <b/>
        <sz val="10"/>
        <color theme="1"/>
        <rFont val="Calibri"/>
        <family val="2"/>
        <scheme val="minor"/>
      </rPr>
      <t xml:space="preserve">
8)Program Resource Group : Updation of “E2E Solution Business Owner” TTS Role from “Architect Sr” to “Business Consultant Sr” in Agile Top-Down Tab
</t>
    </r>
    <r>
      <rPr>
        <sz val="10"/>
        <color theme="1"/>
        <rFont val="Calibri"/>
        <family val="2"/>
        <scheme val="minor"/>
      </rPr>
      <t xml:space="preserve">https://confluence.csgicorp.com/pages/viewpage.action?pageId=1686401627
</t>
    </r>
    <r>
      <rPr>
        <b/>
        <sz val="10"/>
        <color theme="1"/>
        <rFont val="Calibri"/>
        <family val="2"/>
        <scheme val="minor"/>
      </rPr>
      <t xml:space="preserve">
9)Updation in Agile Top-Down Tab for Scrum Team Resource Group
</t>
    </r>
    <r>
      <rPr>
        <sz val="10"/>
        <color theme="1"/>
        <rFont val="Calibri"/>
        <family val="2"/>
        <scheme val="minor"/>
      </rPr>
      <t>https://confluence.csgicorp.com/display/GSSP/Updation+in+Agile+Top-Down+Tab+for+Scrum+Team+Resource+Group</t>
    </r>
    <r>
      <rPr>
        <b/>
        <sz val="10"/>
        <color theme="1"/>
        <rFont val="Calibri"/>
        <family val="2"/>
        <scheme val="minor"/>
      </rPr>
      <t xml:space="preserve">
10)Updation of "SV" to "EC" in Solution Component to reflect in Detail CUT and Detail Non-CUT Tab
</t>
    </r>
    <r>
      <rPr>
        <sz val="10"/>
        <color theme="1"/>
        <rFont val="Calibri"/>
        <family val="2"/>
        <scheme val="minor"/>
      </rPr>
      <t>https://confluence.csgicorp.com/pages/viewpage.action?pageId=1747324369</t>
    </r>
    <r>
      <rPr>
        <b/>
        <sz val="10"/>
        <color theme="1"/>
        <rFont val="Calibri"/>
        <family val="2"/>
        <scheme val="minor"/>
      </rPr>
      <t xml:space="preserve">
Defect:
1)Detail CUT/Non-CUT tab:Handling of Add Work Item/Delete Work Item functionalities in data filter enabled ECET file
</t>
    </r>
    <r>
      <rPr>
        <sz val="10"/>
        <color theme="1"/>
        <rFont val="Calibri"/>
        <family val="2"/>
        <scheme val="minor"/>
      </rPr>
      <t xml:space="preserve">https://confluence.csgicorp.com/pages/viewpage.action?pageId=1739560511
</t>
    </r>
    <r>
      <rPr>
        <b/>
        <sz val="10"/>
        <color theme="1"/>
        <rFont val="Calibri"/>
        <family val="2"/>
        <scheme val="minor"/>
      </rPr>
      <t xml:space="preserve">
2)Updation in Agile Top-Down tab for Data-Migration Resource Group
</t>
    </r>
    <r>
      <rPr>
        <sz val="10"/>
        <color theme="1"/>
        <rFont val="Calibri"/>
        <family val="2"/>
        <scheme val="minor"/>
      </rPr>
      <t>https://confluence.csgicorp.com/pages/viewpage.action?spaceKey=GSSP&amp;title=Updation+in+Agile+Top-Down+tab+for+Data-Migration+Resource+Group</t>
    </r>
  </si>
  <si>
    <r>
      <t>Enhancement:
1) Dynamic segregation of tables for domain having efforts in Proforma_Segregated tab</t>
    </r>
    <r>
      <rPr>
        <sz val="10"/>
        <color theme="1"/>
        <rFont val="Calibri"/>
        <family val="2"/>
        <scheme val="minor"/>
      </rPr>
      <t xml:space="preserve">
https://confluence.csgicorp.com/display/GSSP/Enhancement%3A+Dynamic+segregation+of+tables+in+Proforma_Segregated+Tab
</t>
    </r>
    <r>
      <rPr>
        <b/>
        <sz val="10"/>
        <color theme="1"/>
        <rFont val="Calibri"/>
        <family val="2"/>
        <scheme val="minor"/>
      </rPr>
      <t>2) TTS role updates for all domains on the SET ATD plan based on granular rate cards.</t>
    </r>
    <r>
      <rPr>
        <sz val="10"/>
        <color theme="1"/>
        <rFont val="Calibri"/>
        <family val="2"/>
        <scheme val="minor"/>
      </rPr>
      <t xml:space="preserve">
https://confluence.csgicorp.com/pages/viewpage.action?pageId=1686842027</t>
    </r>
    <r>
      <rPr>
        <b/>
        <sz val="10"/>
        <color theme="1"/>
        <rFont val="Calibri"/>
        <family val="2"/>
        <scheme val="minor"/>
      </rPr>
      <t xml:space="preserve">
Defect:
1)Total FTE not matching between Proforma and Proforma_Segregated
</t>
    </r>
    <r>
      <rPr>
        <sz val="10"/>
        <color theme="1"/>
        <rFont val="Calibri"/>
        <family val="2"/>
        <scheme val="minor"/>
      </rPr>
      <t xml:space="preserve">https://confluence.csgicorp.com/display/GSSP/Total+FTE+count+is+NOT+matching+between+Proforma+and+Proforma_Segregated
</t>
    </r>
    <r>
      <rPr>
        <b/>
        <sz val="10"/>
        <color theme="1"/>
        <rFont val="Calibri"/>
        <family val="2"/>
        <scheme val="minor"/>
      </rPr>
      <t>2)Proper exception handling for null TTS Location in TTS,TTS_Consolidated and TTS_Segregated Tab.</t>
    </r>
    <r>
      <rPr>
        <sz val="10"/>
        <color theme="1"/>
        <rFont val="Calibri"/>
        <family val="2"/>
        <scheme val="minor"/>
      </rPr>
      <t xml:space="preserve">
https://confluence.csgicorp.com/pages/viewpage.action?pageId=1615615493
</t>
    </r>
    <r>
      <rPr>
        <b/>
        <sz val="10"/>
        <color theme="1"/>
        <rFont val="Calibri"/>
        <family val="2"/>
        <scheme val="minor"/>
      </rPr>
      <t xml:space="preserve">3) In Scenario 4 of ATD, wrong domain showing for "Program"
</t>
    </r>
    <r>
      <rPr>
        <sz val="10"/>
        <color theme="1"/>
        <rFont val="Calibri"/>
        <family val="2"/>
        <scheme val="minor"/>
      </rPr>
      <t xml:space="preserve">https://confluence.csgicorp.com/pages/viewpage.action?pageId=1677660217
</t>
    </r>
    <r>
      <rPr>
        <b/>
        <sz val="10"/>
        <color theme="1"/>
        <rFont val="Calibri"/>
        <family val="2"/>
        <scheme val="minor"/>
      </rPr>
      <t>4)No further execution for null TTS location(of ATD tab) during generation of Proforma_Segregated tab</t>
    </r>
    <r>
      <rPr>
        <sz val="10"/>
        <color theme="1"/>
        <rFont val="Calibri"/>
        <family val="2"/>
        <scheme val="minor"/>
      </rPr>
      <t xml:space="preserve">
https://confluence.csgicorp.com/display/GSSP/Defect%3A+Proper+exception+handling+for+null+TTS+location+while+executing+Proforma_Segregated+Tab
</t>
    </r>
    <r>
      <rPr>
        <b/>
        <sz val="10"/>
        <color theme="1"/>
        <rFont val="Calibri"/>
        <family val="2"/>
        <scheme val="minor"/>
      </rPr>
      <t>5)For similar TTS Roles and Location duplicate rows coming in Proforma_Segregated tab</t>
    </r>
    <r>
      <rPr>
        <sz val="10"/>
        <color theme="1"/>
        <rFont val="Calibri"/>
        <family val="2"/>
        <scheme val="minor"/>
      </rPr>
      <t xml:space="preserve">
https://confluence.csgicorp.com/display/GSSP/BUG%3A+For+similar+TTS+Roles+and+Location+duplicate+rows+coming+in+Proforma_Segregated+tab
</t>
    </r>
    <r>
      <rPr>
        <b/>
        <sz val="10"/>
        <color theme="1"/>
        <rFont val="Calibri"/>
        <family val="2"/>
        <scheme val="minor"/>
      </rPr>
      <t>*Defect 1&amp; 5 resolved by re-introducing Enhancement 1 i.e. Proforma_Segregated Tab</t>
    </r>
    <r>
      <rPr>
        <sz val="10"/>
        <color theme="1"/>
        <rFont val="Calibri"/>
        <family val="2"/>
        <scheme val="minor"/>
      </rPr>
      <t xml:space="preserve">
</t>
    </r>
  </si>
  <si>
    <r>
      <t xml:space="preserve">Enhancement:
1)SET Tool modification for 2024 Cost Rates
</t>
    </r>
    <r>
      <rPr>
        <sz val="10"/>
        <color theme="1"/>
        <rFont val="Calibri"/>
        <family val="2"/>
        <scheme val="minor"/>
      </rPr>
      <t xml:space="preserve">https://confluence.csgicorp.com/pages/viewpage.action?spaceKey=GSSP&amp;title=Enhancement%3A%20Modification%20in%20SET%20Tool%20with%20respect%20to%20new%20Cost%20Rates%20introduced%20in%202024
</t>
    </r>
    <r>
      <rPr>
        <b/>
        <sz val="10"/>
        <color theme="1"/>
        <rFont val="Calibri"/>
        <family val="2"/>
        <scheme val="minor"/>
      </rPr>
      <t xml:space="preserve">Note:
In this V3.8, the feature Proforma_Segregated tab has been rollback to fix defect as mentioned below:
https://confluence.csgicorp.com/display/GSSP/Total+FTE+count+is+NOT+matching+between+Proforma+and+Proforma_Segregated
</t>
    </r>
    <r>
      <rPr>
        <sz val="10"/>
        <color theme="1"/>
        <rFont val="Calibri"/>
        <family val="2"/>
        <scheme val="minor"/>
      </rPr>
      <t xml:space="preserve">
</t>
    </r>
  </si>
  <si>
    <r>
      <t>Enhancement:
1)</t>
    </r>
    <r>
      <rPr>
        <sz val="10"/>
        <color theme="1"/>
        <rFont val="Calibri"/>
        <family val="2"/>
        <scheme val="minor"/>
      </rPr>
      <t xml:space="preserve">Dynamic segregation of tables  for each TTS  resource groups( of Agile Tab) in TTS Tab:
https://confluence.csgicorp.com/display/GSSP/Enhancement-+Dynamic+Segregation+of+tables+for+each+TTS+resource+group+in+TTS+Tab
</t>
    </r>
    <r>
      <rPr>
        <b/>
        <sz val="10"/>
        <color theme="1"/>
        <rFont val="Calibri"/>
        <family val="2"/>
        <scheme val="minor"/>
      </rPr>
      <t>2)</t>
    </r>
    <r>
      <rPr>
        <sz val="10"/>
        <color theme="1"/>
        <rFont val="Calibri"/>
        <family val="2"/>
        <scheme val="minor"/>
      </rPr>
      <t xml:space="preserve"> Display of warning message(on not to edit SET online) while opening SET Tool
https://confluence.csgicorp.com/display/GSSP/Error+in+proforma+-Paratus+reference+.Also+a++warning+to+display++on+to+not+to+edit+the+SET+in+online
</t>
    </r>
    <r>
      <rPr>
        <b/>
        <sz val="10"/>
        <color theme="1"/>
        <rFont val="Calibri"/>
        <family val="2"/>
        <scheme val="minor"/>
      </rPr>
      <t xml:space="preserve">
3) </t>
    </r>
    <r>
      <rPr>
        <sz val="10"/>
        <color theme="1"/>
        <rFont val="Calibri"/>
        <family val="2"/>
        <scheme val="minor"/>
      </rPr>
      <t xml:space="preserve">Enabling filter option by button in Tabs Detail CUT, Detail Non-CUT, Agile Top-Down and Proforma Tab.
https://confluence.csgicorp.com/display/GSSP/Enhancement%3A+Add+Filter+Option+to+tabs
</t>
    </r>
    <r>
      <rPr>
        <b/>
        <sz val="10"/>
        <color theme="1"/>
        <rFont val="Calibri"/>
        <family val="2"/>
        <scheme val="minor"/>
      </rPr>
      <t xml:space="preserve">
4)</t>
    </r>
    <r>
      <rPr>
        <sz val="10"/>
        <color theme="1"/>
        <rFont val="Calibri"/>
        <family val="2"/>
        <scheme val="minor"/>
      </rPr>
      <t xml:space="preserve"> Separate tables for Resource Role named "Data Migration", "IME", "IAT", "AMM", "CHF" while generating Proforma Tab:
https://confluence.csgicorp.com/display/GSSP/Additions+to+the+TTS+and+Proforma+tabs+of+the+SET
</t>
    </r>
    <r>
      <rPr>
        <b/>
        <sz val="10"/>
        <color theme="1"/>
        <rFont val="Calibri"/>
        <family val="2"/>
        <scheme val="minor"/>
      </rPr>
      <t xml:space="preserve">
5)</t>
    </r>
    <r>
      <rPr>
        <sz val="10"/>
        <color theme="1"/>
        <rFont val="Calibri"/>
        <family val="2"/>
        <scheme val="minor"/>
      </rPr>
      <t>Replacing</t>
    </r>
    <r>
      <rPr>
        <b/>
        <sz val="10"/>
        <color theme="1"/>
        <rFont val="Calibri"/>
        <family val="2"/>
        <scheme val="minor"/>
      </rPr>
      <t xml:space="preserve"> </t>
    </r>
    <r>
      <rPr>
        <sz val="10"/>
        <color theme="1"/>
        <rFont val="Calibri"/>
        <family val="2"/>
        <scheme val="minor"/>
      </rPr>
      <t xml:space="preserve">SV with SV PE (Singleview Process Engine) as drop down value in the Solution Component in Detail CUT and Detail Non-CUT tab.
https://confluence.csgicorp.com/display/GSSP/Add+Process+Engine+Solution+Component
</t>
    </r>
    <r>
      <rPr>
        <b/>
        <sz val="10"/>
        <color theme="1"/>
        <rFont val="Calibri"/>
        <family val="2"/>
        <scheme val="minor"/>
      </rPr>
      <t xml:space="preserve">
6) </t>
    </r>
    <r>
      <rPr>
        <sz val="10"/>
        <color theme="1"/>
        <rFont val="Calibri"/>
        <family val="2"/>
        <scheme val="minor"/>
      </rPr>
      <t xml:space="preserve">Addition of new resource location for Portugal (i.e. GLS-PT) in SET
https://confluence.csgicorp.com/pages/resumedraft.action?draftId=1492895851&amp;draftShareId=a6e73dee-e374-4568-8553-6b80b76013b4&amp;
</t>
    </r>
    <r>
      <rPr>
        <b/>
        <sz val="10"/>
        <color theme="1"/>
        <rFont val="Calibri"/>
        <family val="2"/>
        <scheme val="minor"/>
      </rPr>
      <t xml:space="preserve">
7)</t>
    </r>
    <r>
      <rPr>
        <sz val="10"/>
        <color theme="1"/>
        <rFont val="Calibri"/>
        <family val="2"/>
        <scheme val="minor"/>
      </rPr>
      <t xml:space="preserve">Removal of one Designer from SIT Support, UAT Support, Scrum Teams sections in Agile Top-Down Tab and change it to Software Developer.
https://confluence.csgicorp.com/display/GSSP/1.+Enhacement%3A+Please+remove+the+comment+in+the+automation+section+of+the+Agile+Top-Down+worksheet
</t>
    </r>
    <r>
      <rPr>
        <b/>
        <sz val="10"/>
        <color theme="1"/>
        <rFont val="Calibri"/>
        <family val="2"/>
        <scheme val="minor"/>
      </rPr>
      <t xml:space="preserve">
8)</t>
    </r>
    <r>
      <rPr>
        <sz val="10"/>
        <color theme="1"/>
        <rFont val="Calibri"/>
        <family val="2"/>
        <scheme val="minor"/>
      </rPr>
      <t xml:space="preserve">Removal of the comment in the Automation section of the Agile Top-doen tab
https://confluence.csgicorp.com/display/GSSP/1.+Enhacement%3A+Please+remove+the+comment+in+the+automation+section+of+the+Agile+Top-Down+worksheet
</t>
    </r>
    <r>
      <rPr>
        <b/>
        <sz val="10"/>
        <color theme="1"/>
        <rFont val="Calibri"/>
        <family val="2"/>
        <scheme val="minor"/>
      </rPr>
      <t>9)</t>
    </r>
    <r>
      <rPr>
        <sz val="10"/>
        <color theme="1"/>
        <rFont val="Calibri"/>
        <family val="2"/>
        <scheme val="minor"/>
      </rPr>
      <t xml:space="preserve">TTS Role mapping for Agile Resource Roles "Scrum Master" and "Scrum Developers - Tech Lead" 
https://confluence.csgicorp.com/pages/viewpage.action?pageId=1585734059
</t>
    </r>
    <r>
      <rPr>
        <b/>
        <sz val="10"/>
        <color theme="1"/>
        <rFont val="Calibri"/>
        <family val="2"/>
        <scheme val="minor"/>
      </rPr>
      <t xml:space="preserve">10) </t>
    </r>
    <r>
      <rPr>
        <sz val="10"/>
        <color theme="1"/>
        <rFont val="Calibri"/>
        <family val="2"/>
        <scheme val="minor"/>
      </rPr>
      <t xml:space="preserve">Consolidation of all domains effort in a single table in TTS Tab
https://confluence.csgicorp.com/display/GSSP/Enhancement%3A+Consolidating+all+resource+groups+data+in+one+Table++of+TTS+Tab 
11) Addition of  default rates for Seavus location
https://confluence.csgicorp.com/display/GSSP/Requesting+to+add+below+default+rates+for+Seavus+location
12) Removal of Tech Lead role from SIT Support &amp; UAT Support domain in Agile Top-Down Tab
https://confluence.csgicorp.com/pages/viewpage.action?pageId=1615615056
</t>
    </r>
    <r>
      <rPr>
        <b/>
        <sz val="10"/>
        <color theme="1"/>
        <rFont val="Calibri"/>
        <family val="2"/>
        <scheme val="minor"/>
      </rPr>
      <t xml:space="preserve">
Defect:
1) </t>
    </r>
    <r>
      <rPr>
        <sz val="10"/>
        <color theme="1"/>
        <rFont val="Calibri"/>
        <family val="2"/>
        <scheme val="minor"/>
      </rPr>
      <t xml:space="preserve">Circular Reference Error in Proforma tab for 0 effort:
https://confluence.csgicorp.com/pages/viewpage.action?spaceKey=GSSP&amp;title=Defect%3A%20Circular%20Reference%20error%20in%20Proforma%20Tab%20for%200%20Effort
</t>
    </r>
    <r>
      <rPr>
        <b/>
        <sz val="10"/>
        <color theme="1"/>
        <rFont val="Calibri"/>
        <family val="2"/>
        <scheme val="minor"/>
      </rPr>
      <t xml:space="preserve">2) </t>
    </r>
    <r>
      <rPr>
        <sz val="10"/>
        <color theme="1"/>
        <rFont val="Calibri"/>
        <family val="2"/>
        <scheme val="minor"/>
      </rPr>
      <t>Person days value less than 1 in Agile Top-Down not considering in TTS Tab:</t>
    </r>
    <r>
      <rPr>
        <b/>
        <sz val="10"/>
        <color theme="1"/>
        <rFont val="Calibri"/>
        <family val="2"/>
        <scheme val="minor"/>
      </rPr>
      <t xml:space="preserve">
</t>
    </r>
    <r>
      <rPr>
        <sz val="10"/>
        <color theme="1"/>
        <rFont val="Calibri"/>
        <family val="2"/>
        <scheme val="minor"/>
      </rPr>
      <t xml:space="preserve">https://confluence.csgicorp.com/display/GSSP/Fraction+Error-+Agile+Top+Down+estimate+value
</t>
    </r>
    <r>
      <rPr>
        <b/>
        <sz val="10"/>
        <color theme="1"/>
        <rFont val="Calibri"/>
        <family val="2"/>
        <scheme val="minor"/>
      </rPr>
      <t xml:space="preserve">3) </t>
    </r>
    <r>
      <rPr>
        <sz val="10"/>
        <color theme="1"/>
        <rFont val="Calibri"/>
        <family val="2"/>
        <scheme val="minor"/>
      </rPr>
      <t xml:space="preserve">Similar sorting order in Proforma Tab as of TTS sorting order:
https://confluence.csgicorp.com/display/GSSP/Defect%3A+Similar+sorting+order%28as+per+TTS+Tab%29+in+Proforma+tab+i.e.%2C+in+order+of+Resource+Role+and+Location
</t>
    </r>
    <r>
      <rPr>
        <b/>
        <sz val="10"/>
        <color theme="1"/>
        <rFont val="Calibri"/>
        <family val="2"/>
        <scheme val="minor"/>
      </rPr>
      <t>4)</t>
    </r>
    <r>
      <rPr>
        <sz val="10"/>
        <color theme="1"/>
        <rFont val="Calibri"/>
        <family val="2"/>
        <scheme val="minor"/>
      </rPr>
      <t>Import Resource Cost values when more than 30 locations
https://confluence.csgicorp.com/pages/viewpage.action?pageId=1453035551</t>
    </r>
    <r>
      <rPr>
        <b/>
        <sz val="10"/>
        <color theme="1"/>
        <rFont val="Calibri"/>
        <family val="2"/>
        <scheme val="minor"/>
      </rPr>
      <t xml:space="preserve">
5)</t>
    </r>
    <r>
      <rPr>
        <sz val="10"/>
        <color theme="1"/>
        <rFont val="Calibri"/>
        <family val="2"/>
        <scheme val="minor"/>
      </rPr>
      <t xml:space="preserve">Modification of Roles for Resource group 'Non-CUT' and 'SV Performance Testing' in Agile Top-Down Tab
https://confluence.csgicorp.com/display/GSSP/Modification+of+Roles+for+Resource+group+%27Non-CUT%27+and+%27SV+Performance+Testing%27+in+Agile+Top-Down+Tab
</t>
    </r>
    <r>
      <rPr>
        <b/>
        <sz val="10"/>
        <color theme="1"/>
        <rFont val="Calibri"/>
        <family val="2"/>
        <scheme val="minor"/>
      </rPr>
      <t xml:space="preserve">6) </t>
    </r>
    <r>
      <rPr>
        <sz val="10"/>
        <color theme="1"/>
        <rFont val="Calibri"/>
        <family val="2"/>
        <scheme val="minor"/>
      </rPr>
      <t>Addition of Role Mapping for Scrum Devlopers -&gt; Designer in Agile Top Down Tab
https://confluence.csgicorp.com/display/GSSP/Scrum+Teams+1+and+2+are+loaded+with+a+4%3A3+%28DEV%3ATEST%29+ratio+rather+than+a+5%3A3+ratio.+The+same+issue+exists+at+the+SIT+and+UAT+support+levels</t>
    </r>
  </si>
  <si>
    <r>
      <rPr>
        <b/>
        <sz val="10"/>
        <color theme="1"/>
        <rFont val="Calibri"/>
        <family val="2"/>
        <scheme val="minor"/>
      </rPr>
      <t>Enhacement:
1)</t>
    </r>
    <r>
      <rPr>
        <sz val="10"/>
        <color theme="1"/>
        <rFont val="Calibri"/>
        <family val="2"/>
        <scheme val="minor"/>
      </rPr>
      <t xml:space="preserve"> Change of "Scoping Study Prep" to "Definition Study Prep", change of "Scoping Study" to "Definition Study" in Agile Top-Down tab
https://confluence.csgicorp.com/display/GSSP/Enhancement+%3A+Change+Scoping+Workshops+to+Definition+Workshops
</t>
    </r>
    <r>
      <rPr>
        <b/>
        <sz val="10"/>
        <color theme="1"/>
        <rFont val="Calibri"/>
        <family val="2"/>
        <scheme val="minor"/>
      </rPr>
      <t>2)</t>
    </r>
    <r>
      <rPr>
        <sz val="10"/>
        <color theme="1"/>
        <rFont val="Calibri"/>
        <family val="2"/>
        <scheme val="minor"/>
      </rPr>
      <t xml:space="preserve"> Change of Contingency % to default 10% in Agile Top-Down tab &amp; Parameters tab
https://confluence.csgicorp.com/pages/viewpage.action?pageId=1311818684
</t>
    </r>
    <r>
      <rPr>
        <b/>
        <sz val="10"/>
        <color theme="1"/>
        <rFont val="Calibri"/>
        <family val="2"/>
        <scheme val="minor"/>
      </rPr>
      <t>3)</t>
    </r>
    <r>
      <rPr>
        <sz val="10"/>
        <color theme="1"/>
        <rFont val="Calibri"/>
        <family val="2"/>
        <scheme val="minor"/>
      </rPr>
      <t xml:space="preserve">Addition of Reviews. Resourcing, Regional Delivery and Delivery Enablement in Front Sheet tab
https://confluence.csgicorp.com/display/GSSP/Enhancement+%3A+To+document+the+various+Reviews+in+the+SET+Tool
</t>
    </r>
    <r>
      <rPr>
        <b/>
        <sz val="10"/>
        <color theme="1"/>
        <rFont val="Calibri"/>
        <family val="2"/>
        <scheme val="minor"/>
      </rPr>
      <t>4)</t>
    </r>
    <r>
      <rPr>
        <sz val="10"/>
        <color theme="1"/>
        <rFont val="Calibri"/>
        <family val="2"/>
        <scheme val="minor"/>
      </rPr>
      <t xml:space="preserve">Addition of 1 week 'Design' phase in between Proposal Submission and Prep phase in Agile Top-down tab
https://confluence.csgicorp.com/display/GSSP/Enhancement+-+Add+Design+Phase 
</t>
    </r>
    <r>
      <rPr>
        <b/>
        <sz val="10"/>
        <color theme="1"/>
        <rFont val="Calibri"/>
        <family val="2"/>
        <scheme val="minor"/>
      </rPr>
      <t>5)</t>
    </r>
    <r>
      <rPr>
        <sz val="10"/>
        <color theme="1"/>
        <rFont val="Calibri"/>
        <family val="2"/>
        <scheme val="minor"/>
      </rPr>
      <t xml:space="preserve">Moving of Ref Data Config Managers to Resource group 'Program' [last line] in Agile Top-Down tab
https://confluence.csgicorp.com/display/GSSP/Enhancement%3A+Ref+Data+Config+Mngr+changes
</t>
    </r>
    <r>
      <rPr>
        <b/>
        <sz val="10"/>
        <color theme="1"/>
        <rFont val="Calibri"/>
        <family val="2"/>
        <scheme val="minor"/>
      </rPr>
      <t xml:space="preserve">6) </t>
    </r>
    <r>
      <rPr>
        <sz val="10"/>
        <color theme="1"/>
        <rFont val="Calibri"/>
        <family val="2"/>
        <scheme val="minor"/>
      </rPr>
      <t xml:space="preserve">Adding of a new Solution Component 'SV CC' (in Parameters Tab) to reflect in tabs 'Detail CUT', 'Detail Non-CUT' and 'CUT &amp; Non-CUT Profile'.
https://confluence.csgicorp.com/display/GSSP/Enhancement+%3A+Add+a+new+Solution+Component+SV+CC
</t>
    </r>
    <r>
      <rPr>
        <b/>
        <sz val="10"/>
        <color theme="1"/>
        <rFont val="Calibri"/>
        <family val="2"/>
        <scheme val="minor"/>
      </rPr>
      <t>7)</t>
    </r>
    <r>
      <rPr>
        <sz val="10"/>
        <color theme="1"/>
        <rFont val="Calibri"/>
        <family val="2"/>
        <scheme val="minor"/>
      </rPr>
      <t xml:space="preserve"> New value 'Solution Engineering' for Solution Unit dropdown and default to 'Solution Integrity' role in Agile Top-Down tab.
https://confluence.csgicorp.com/pages/viewpage.action?pageId=1296083431
</t>
    </r>
    <r>
      <rPr>
        <b/>
        <sz val="10"/>
        <color theme="1"/>
        <rFont val="Calibri"/>
        <family val="2"/>
        <scheme val="minor"/>
      </rPr>
      <t>8)</t>
    </r>
    <r>
      <rPr>
        <sz val="10"/>
        <color theme="1"/>
        <rFont val="Calibri"/>
        <family val="2"/>
        <scheme val="minor"/>
      </rPr>
      <t xml:space="preserve">Place holder for Seavus rates in ResourceCostValues tab.
https://confluence.csgicorp.com/display/GSSP/Enhancement+-+Create+placeholder+for+Seavus+rates+as+per+mapping+provided
</t>
    </r>
    <r>
      <rPr>
        <b/>
        <sz val="10"/>
        <color theme="1"/>
        <rFont val="Calibri"/>
        <family val="2"/>
        <scheme val="minor"/>
      </rPr>
      <t>9)</t>
    </r>
    <r>
      <rPr>
        <sz val="10"/>
        <color theme="1"/>
        <rFont val="Calibri"/>
        <family val="2"/>
        <scheme val="minor"/>
      </rPr>
      <t>Rename of 'Performance Testing' resource group to 'SV Performance Testing' in the Agile Top-Down tab
https://confluence.csgicorp.com/pages/viewpage.action?pageId=1343143181</t>
    </r>
  </si>
  <si>
    <r>
      <rPr>
        <b/>
        <sz val="10"/>
        <color theme="1"/>
        <rFont val="Calibri"/>
        <family val="2"/>
        <scheme val="minor"/>
      </rPr>
      <t>Enhancement:</t>
    </r>
    <r>
      <rPr>
        <sz val="10"/>
        <color theme="1"/>
        <rFont val="Calibri"/>
        <family val="2"/>
        <scheme val="minor"/>
      </rPr>
      <t xml:space="preserve">Changing  of "Dev Consultant" to "Software Developer" in Mapping of SET Project Roles and equivalent TTS Project Roles in Parameters tab
</t>
    </r>
    <r>
      <rPr>
        <b/>
        <sz val="10"/>
        <color theme="1"/>
        <rFont val="Calibri"/>
        <family val="2"/>
        <scheme val="minor"/>
      </rPr>
      <t>Confluence Path:</t>
    </r>
    <r>
      <rPr>
        <sz val="10"/>
        <color theme="1"/>
        <rFont val="Calibri"/>
        <family val="2"/>
        <scheme val="minor"/>
      </rPr>
      <t>https://confluence.csgicorp.com/pages/viewpage.action?pageId=1296083239</t>
    </r>
  </si>
  <si>
    <r>
      <rPr>
        <b/>
        <sz val="10"/>
        <color theme="1"/>
        <rFont val="Calibri"/>
        <family val="2"/>
        <scheme val="minor"/>
      </rPr>
      <t>BUG</t>
    </r>
    <r>
      <rPr>
        <sz val="10"/>
        <color theme="1"/>
        <rFont val="Calibri"/>
        <family val="2"/>
        <scheme val="minor"/>
      </rPr>
      <t xml:space="preserve">: Width of the column name had been got extended inadvertently in Agile Top-Down Tab in SET V3.3. The change has been reverted back.
Confluence Path:
https://confluence.csgicorp.com/display/GSSP/%5BBUG%5D+Group+Agile+Top-Down+Columns+to+Hide+when+Not+Used+to+Make+More+Room+for+Estimate+Columns
</t>
    </r>
    <r>
      <rPr>
        <b/>
        <sz val="10"/>
        <color theme="1"/>
        <rFont val="Calibri"/>
        <family val="2"/>
        <scheme val="minor"/>
      </rPr>
      <t>Enhancement:
PMO Analysts</t>
    </r>
    <r>
      <rPr>
        <sz val="10"/>
        <color theme="1"/>
        <rFont val="Calibri"/>
        <family val="2"/>
        <scheme val="minor"/>
      </rPr>
      <t xml:space="preserve"> form part of 'Delivery Enablement so New Solution Unit named "DE" added for  the same in Parameters tab.
Confluence Path:
https://confluence.csgicorp.com/display/GSSP/%5BEnhancement%5D+PMO+Analysts+-+Solution+Unit+change</t>
    </r>
  </si>
  <si>
    <r>
      <rPr>
        <b/>
        <sz val="10"/>
        <color theme="1"/>
        <rFont val="Calibri"/>
        <family val="2"/>
        <scheme val="minor"/>
      </rPr>
      <t>Parameters Tab:</t>
    </r>
    <r>
      <rPr>
        <sz val="10"/>
        <color theme="1"/>
        <rFont val="Calibri"/>
        <family val="2"/>
        <scheme val="minor"/>
      </rPr>
      <t xml:space="preserve">
(1) Introduction of additional roles for Complex Deals: 
1. E2E Solution Architect
2. E2E Solution Business Owner
3. E2E Test Manager
4.E2E Release Manager
5.Environments Manager
6.Change Manager
(2) Modified Roles:
1.Solution Architects -&gt; CSG Solution Architects
2.Soluion Business Owner-&gt;CSG Solution Business Owner
3.SV Solution Architect-&gt;SV System Architect
(3)Removal of 'Platform Engineering' Solution Unit from SET
(4)Updated  TTS Role from 'Designer' to 'Business Consultant'  for  'Ref Data Config Managers' Agile Role.
(5)Updation of TTS Roles for SV Release Managers
</t>
    </r>
    <r>
      <rPr>
        <b/>
        <sz val="10"/>
        <color theme="1"/>
        <rFont val="Calibri"/>
        <family val="2"/>
        <scheme val="minor"/>
      </rPr>
      <t xml:space="preserve">Agile Top-Down Tab:
</t>
    </r>
    <r>
      <rPr>
        <sz val="10"/>
        <color theme="1"/>
        <rFont val="Calibri"/>
        <family val="2"/>
        <scheme val="minor"/>
      </rPr>
      <t xml:space="preserve">Below mentioned new resource group added:
1. Project
2. Platform Enginering
3. PI0
4. Customer Owned SIT &amp; UAT
5. Automation
6. Internal SIT
</t>
    </r>
    <r>
      <rPr>
        <b/>
        <sz val="10"/>
        <color theme="1"/>
        <rFont val="Calibri"/>
        <family val="2"/>
        <scheme val="minor"/>
      </rPr>
      <t>Differentiate between CSG owned SIT &amp; UAT and Customer Owned SIT &amp; UAT:</t>
    </r>
    <r>
      <rPr>
        <sz val="10"/>
        <color theme="1"/>
        <rFont val="Calibri"/>
        <family val="2"/>
        <scheme val="minor"/>
      </rPr>
      <t xml:space="preserve"> 
1. Renaming of "SIT" to "SIT Support"
2. Renaming of "UAT" to "UAT Support"
Confluence Path:
https://confluence.csgicorp.com/display/GSSP/Enhancement-+Addition+of+new+Roles+and+Resource+Groups+in+SET+Tool
https://confluence.csgicorp.com/display/GSSP/BUG%3A+Updation+of+TTS+Role+for+SV+Release+Managers
https://confluence.csgicorp.com/display/GSSP/BUG+-+Removal+of+%27Platform+Engineering%27+Solution+Unit
https://confluence.csgicorp.com/pages/viewpage.action?pageId=1257743573</t>
    </r>
  </si>
  <si>
    <r>
      <t xml:space="preserve">TTS Tab:
</t>
    </r>
    <r>
      <rPr>
        <sz val="10"/>
        <color theme="1"/>
        <rFont val="Calibri"/>
        <family val="2"/>
        <scheme val="minor"/>
      </rPr>
      <t xml:space="preserve">-Fixed Bug: 
TTS Tab : Resourcing Ratio table displays wrong entries in case different Solution Units have the same TTS Location and TTS Resource Role.
Previously the combination for grouping was TTS Location and TTS Resource Role. TTS module macro has been modified to include the combination of TTS Location, TTS Resource Role and Solution Unit.
Extra column named 'TTS Sol Unit'  added in TTS Primary Table, TTS Data Migration Table &amp; TTS Training Table for displaying respective Solution Unit.
Confluence Path:
https://confluence.csgicorp.com/pages/viewpage.action?pageId=1200337888
</t>
    </r>
  </si>
  <si>
    <r>
      <rPr>
        <b/>
        <sz val="10"/>
        <color theme="1"/>
        <rFont val="Calibri"/>
        <family val="2"/>
        <scheme val="minor"/>
      </rPr>
      <t>Parameters Tab:</t>
    </r>
    <r>
      <rPr>
        <sz val="10"/>
        <color theme="1"/>
        <rFont val="Calibri"/>
        <family val="2"/>
        <scheme val="minor"/>
      </rPr>
      <t xml:space="preserve">
1) New Agile roles and appropriate mapping with TTS Roles added for Data Migration roles to match with Oracle Roles. Below are mappings added:
Data Director Programs - Management
Data Consulting Manager - Management
Data Project Manager – Project Manager
Data Analyst-Business Consultant
Data Architect - Architect
Data Development Consultant – Development Consultant
Data Test Consultant – Test Consultant
Data Technical Consultant – Technical Consultant
2) Removed "Data Migrator" from Agile Resource Roles and its mapping with TTS Role "Designer" from Mapping TTS Roles to default Agile roles.
Confluence Path:https://confluence.csgicorp.com/pages/viewpage.action?pageId=1182043476
</t>
    </r>
    <r>
      <rPr>
        <b/>
        <sz val="10"/>
        <color theme="1"/>
        <rFont val="Calibri"/>
        <family val="2"/>
        <scheme val="minor"/>
      </rPr>
      <t>TTS tab:</t>
    </r>
    <r>
      <rPr>
        <sz val="10"/>
        <color theme="1"/>
        <rFont val="Calibri"/>
        <family val="2"/>
        <scheme val="minor"/>
      </rPr>
      <t xml:space="preserve">
-Fixed bug: For Domain Data Migration,TTS tab not populating TTS Migration Table data. This bug fixed by changing last_Cols_in_Agile_tab + 5 to C_AgileTopDownDomainColumn in TTS module for refering to latest Domain column position of Agile Top-Down tab.
Confluence Path:https://confluence.csgicorp.com/display/GSSP/%5BRESOLVED%5D-BUG-+TTS+Tab+not+generating+TTS+Data+Migration+Table+data+for+domain+Data+Migration
</t>
    </r>
    <r>
      <rPr>
        <b/>
        <sz val="10"/>
        <color theme="1"/>
        <rFont val="Calibri"/>
        <family val="2"/>
        <scheme val="minor"/>
      </rPr>
      <t>ResourceCostValues Tab:</t>
    </r>
    <r>
      <rPr>
        <sz val="10"/>
        <color theme="1"/>
        <rFont val="Calibri"/>
        <family val="2"/>
        <scheme val="minor"/>
      </rPr>
      <t xml:space="preserve">
- The default path i.e. https://csgsystems.sharepoint.com/sites/salesop2012/Commercial%20Approval/Forms/AllItems.aspx has been added, which will open while import Daily oracle rates from external file[Import Cost button in Estimate Ribbon].
Note:- This sharepoint path contains latest Oracle rate file.
Confluence Path:https://confluence.csgicorp.com/pages/viewpage.action?pageId=1182312582
Bug Fixes:
Fixed bug: While importing oracle rate from external file if no file selected and file dialog cancelled, then Macro was showing error. The issue has been fixed in Library.Open_File() and module Import_Resource_DailyRates. In Library.Open_File() , the filename assigned as False if fd.SelectedItems.Count = 0. In module Import_Resource_DailyRates when filename received as False, the module has been exited.
Confluence Path:https://confluence.csgicorp.com/pages/viewpage.action?pageId=1182312699
</t>
    </r>
    <r>
      <rPr>
        <b/>
        <sz val="10"/>
        <color theme="1"/>
        <rFont val="Calibri"/>
        <family val="2"/>
        <scheme val="minor"/>
      </rPr>
      <t>Expenses Tab:</t>
    </r>
    <r>
      <rPr>
        <sz val="10"/>
        <color theme="1"/>
        <rFont val="Calibri"/>
        <family val="2"/>
        <scheme val="minor"/>
      </rPr>
      <t xml:space="preserve">
Bug Fixes:
Fixed bug: While importing rate from external file[Import Rates button in Estimate Ribbon] if no file selected and file dialog cancelled, then Macro was showing error. The issue has been fixed in Library.Open_File() and module Import_Expense_NewRates. In Library.Open_File() , the filename assigned as False if fd.SelectedItems.Count = 0. In module Import_Expense_NewRates when filename received as False, the module has been exited.
Confluence Path:https://confluence.csgicorp.com/pages/viewpage.action?pageId=1182312699
</t>
    </r>
    <r>
      <rPr>
        <b/>
        <sz val="10"/>
        <color theme="1"/>
        <rFont val="Calibri"/>
        <family val="2"/>
        <scheme val="minor"/>
      </rPr>
      <t>Agile Top-Down Tab:</t>
    </r>
    <r>
      <rPr>
        <sz val="10"/>
        <color theme="1"/>
        <rFont val="Calibri"/>
        <family val="2"/>
        <scheme val="minor"/>
      </rPr>
      <t xml:space="preserve">
Bug Fixes:
1)Fixed Bug: Add new week on First week causing incorrect date in the header. This issue fixed by setting initial iteration column value as mentioned below in module Agile_Top_Down.SetInitialIterationColumnValues()
If columnNo - 1 = C_Agile_FirstIterationColumn Then
       Cells(C_IterationTypeRow + 1, columnNo).FormulaR1C1 = Cells(C_IterationTypeRow + 1, columnNo + 1).FormulaR1C1
End If
Confluence Path:https://confluence.csgicorp.com/display/GSSP/%5BRESOLVED%5D-BUG+-+Agile+Top-Down+Add+Week+Causing+Incorrect+Date+in+the+Header
2)Fixed Bug: Domain value for newly added resource role showing error while one of previous newly added resource deleted. The issue has been fixed in Agile_Top_Down.DeleteResourceRow() for pointing to immediate above row's Domain value.
Confluence Path: https://confluence.csgicorp.com/pages/viewpage.action?pageId=1182316331</t>
    </r>
  </si>
  <si>
    <t>Bairbre Reen</t>
  </si>
  <si>
    <r>
      <t xml:space="preserve">BUG Found by Algar team documented in confluence but fixed here:- https://confluence.csgicorp.com/x/LRetRQ
The last column in the AgileTopDownTable was not being included as the </t>
    </r>
    <r>
      <rPr>
        <b/>
        <sz val="10"/>
        <color theme="1"/>
        <rFont val="Calibri"/>
        <family val="2"/>
        <scheme val="minor"/>
      </rPr>
      <t xml:space="preserve">DISPLAY_FTE subroutine in the Proforma Macro </t>
    </r>
    <r>
      <rPr>
        <sz val="10"/>
        <color theme="1"/>
        <rFont val="Calibri"/>
        <family val="2"/>
        <scheme val="minor"/>
      </rPr>
      <t>as it was adding 7 additional columns, but should have added 8 given the Domain column was moved from the end to the start of the table
Before: - For ProjectWeekcols = C_Agile_FirstIterationColumn To weeks_in_project + 7
After: - For ProjectWeekcols = C_Agile_FirstIterationColumn To weeks_in_project + C_Agile_FirstIterationColumn - 1</t>
    </r>
  </si>
  <si>
    <t>Fransiska Handoko</t>
  </si>
  <si>
    <t>Bug Fixes
- Fixed bug: Proforma generation does not consider all resources. Fixed this by changing the hardcoding value in last_Cols_in_Agile_tab + 6 to last_Cols_in_Agile_tab + C_AgileTopDown_ColsBeforeTable_Minus1 where the constant is defined as the number of columns before week 1 starts minus 1
- Fixed bug: Formulas in Average FTEs and Person_Days in in CUT &amp; Non-CUT Profile tab do not cover all columns until the hidden last column</t>
  </si>
  <si>
    <r>
      <rPr>
        <b/>
        <sz val="10"/>
        <color theme="1"/>
        <rFont val="Calibri"/>
        <family val="2"/>
        <scheme val="minor"/>
      </rPr>
      <t>Domain_BRKDN tab</t>
    </r>
    <r>
      <rPr>
        <sz val="10"/>
        <color theme="1"/>
        <rFont val="Calibri"/>
        <family val="2"/>
        <scheme val="minor"/>
      </rPr>
      <t xml:space="preserve">
Added the ability to breakdown the cost of the project by Domain. The implementation is similar to the existing functionalities to breakdown the cost of the program by TTS Role | TTS Location on the TTS tab and TTS Role | TTS Location | Month on the Proforma tab
</t>
    </r>
    <r>
      <rPr>
        <b/>
        <sz val="10"/>
        <color theme="1"/>
        <rFont val="Calibri"/>
        <family val="2"/>
        <scheme val="minor"/>
      </rPr>
      <t>Agile Top-Down tab</t>
    </r>
    <r>
      <rPr>
        <sz val="10"/>
        <color theme="1"/>
        <rFont val="Calibri"/>
        <family val="2"/>
        <scheme val="minor"/>
      </rPr>
      <t xml:space="preserve">
- Added Scrum Team #3 and Scrum Team #4, each team consisting of 4 Scrum Developers and 2 Scrum Testers. The existing Scrum Team #1 and Scrum Team #2 remain the same with 5 Scrum Developers and 3 Scrum Testers
- Move "Domain" column to the right of the "Name" column. The default value for "Domain" would be Resource Group Name, except Scrum Teams has default values of "Development"
- Changes on Program level roles
- Added a new Resource Group "Integration", and "Integration Architect" role
</t>
    </r>
    <r>
      <rPr>
        <b/>
        <sz val="10"/>
        <color theme="1"/>
        <rFont val="Calibri"/>
        <family val="2"/>
        <scheme val="minor"/>
      </rPr>
      <t>Parameters tab</t>
    </r>
    <r>
      <rPr>
        <sz val="10"/>
        <color theme="1"/>
        <rFont val="Calibri"/>
        <family val="2"/>
        <scheme val="minor"/>
      </rPr>
      <t xml:space="preserve">
- Changed Agile Resource Role "Consulting Managers" to "CDE"
- Changed Agile Resource Role "Build Managers" to "Build / Release Managers"
- Added new roles: Regional Enterprise Solution Architect, SV Solution Architect, Solution Business Owner, SV Business Owner, Integration Architect, Project Managers (Delivery Manager)
- Changed the mapping of TTS Roles to Agile Roles for the updated / added roles above
</t>
    </r>
  </si>
  <si>
    <t>Updated Hyperlink to user guide on Instructions tab.</t>
  </si>
  <si>
    <r>
      <rPr>
        <b/>
        <sz val="10"/>
        <color theme="1"/>
        <rFont val="Calibri"/>
        <family val="2"/>
        <scheme val="minor"/>
      </rPr>
      <t xml:space="preserve">Set Review Flow
</t>
    </r>
    <r>
      <rPr>
        <sz val="10"/>
        <color theme="1"/>
        <rFont val="Calibri"/>
        <family val="2"/>
        <scheme val="minor"/>
      </rPr>
      <t xml:space="preserve">This is a new worksheet as guiding principles for filling / reviewing SET gathered from Best practices of various projects , DEBP, GSO and RM SMEs. </t>
    </r>
    <r>
      <rPr>
        <b/>
        <sz val="10"/>
        <color theme="1"/>
        <rFont val="Calibri"/>
        <family val="2"/>
        <scheme val="minor"/>
      </rPr>
      <t xml:space="preserve">
Parameters tab</t>
    </r>
    <r>
      <rPr>
        <sz val="10"/>
        <color theme="1"/>
        <rFont val="Calibri"/>
        <family val="2"/>
        <scheme val="minor"/>
      </rPr>
      <t xml:space="preserve">
Added Solution Unit table "SolutionUnit" to list the applicable Solution Units
Added TTS Resource Roles - Preferred SU Equivalent Role mapping table "MappingFromTTStoSU"
Added Resource Locations to Onshore/Offshore mapping table "MappingFromLocationToOnOffshore"  
- When a new Resource Location is added, the new Resource Location is added to the mapping table, defaulted to Onshore
</t>
    </r>
    <r>
      <rPr>
        <b/>
        <sz val="10"/>
        <color theme="1"/>
        <rFont val="Calibri"/>
        <family val="2"/>
        <scheme val="minor"/>
      </rPr>
      <t>Agile Top-Down tab</t>
    </r>
    <r>
      <rPr>
        <sz val="10"/>
        <color theme="1"/>
        <rFont val="Calibri"/>
        <family val="2"/>
        <scheme val="minor"/>
      </rPr>
      <t xml:space="preserve">
Added Solution Unit column.Default value is set based on mapping table "MappingFromTTStoSU" in parameters tab on insertion, but can be changed to select from different SolutionUnit after.
</t>
    </r>
    <r>
      <rPr>
        <b/>
        <sz val="10"/>
        <color theme="1"/>
        <rFont val="Calibri"/>
        <family val="2"/>
        <scheme val="minor"/>
      </rPr>
      <t>TTS tab</t>
    </r>
    <r>
      <rPr>
        <sz val="10"/>
        <color theme="1"/>
        <rFont val="Calibri"/>
        <family val="2"/>
        <scheme val="minor"/>
      </rPr>
      <t xml:space="preserve">
Added Solution Unit column in Resourcing Ratio Table
Added a new DWMS OnShore/Offshore Ratio Table to show the % of onshore / offshore of DWMS resources ONLY.
</t>
    </r>
    <r>
      <rPr>
        <b/>
        <sz val="10"/>
        <color theme="1"/>
        <rFont val="Calibri"/>
        <family val="2"/>
        <scheme val="minor"/>
      </rPr>
      <t>Bug Fixes</t>
    </r>
    <r>
      <rPr>
        <sz val="10"/>
        <color theme="1"/>
        <rFont val="Calibri"/>
        <family val="2"/>
        <scheme val="minor"/>
      </rPr>
      <t xml:space="preserve">
- Fixed bug TTS Tab: Macro execution error when removing duplicates if there is only 1 Domain specified in the Agile Top-Down tab.
- Fixed bug Proforma Tab: Proforma table is not cleared out properly when it is run. In the Proforma Module, update the Sub Sub Clear_And_Setup_Proforma_Tab() to check the C_Proforma_total_Col instead of the C_TTS_TTS_Resource_Role_Col.
</t>
    </r>
    <r>
      <rPr>
        <b/>
        <sz val="10"/>
        <color theme="1"/>
        <rFont val="Calibri"/>
        <family val="2"/>
        <scheme val="minor"/>
      </rPr>
      <t xml:space="preserve">Pejorative word
</t>
    </r>
    <r>
      <rPr>
        <sz val="10"/>
        <color theme="1"/>
        <rFont val="Calibri"/>
        <family val="2"/>
        <scheme val="minor"/>
      </rPr>
      <t xml:space="preserve">- Replaced Man-Days with Person-Days
- All macros are updated
- Unprotect all sheets and global replace of Man-days with Person-Days
- Four named ranges ScenarioXTotalPersonDays need to be updated from the Agile Top Down tabs.
</t>
    </r>
  </si>
  <si>
    <r>
      <rPr>
        <b/>
        <sz val="10"/>
        <color theme="1"/>
        <rFont val="Calibri"/>
        <family val="2"/>
        <scheme val="minor"/>
      </rPr>
      <t>Parameters</t>
    </r>
    <r>
      <rPr>
        <sz val="10"/>
        <color theme="1"/>
        <rFont val="Calibri"/>
        <family val="2"/>
        <scheme val="minor"/>
      </rPr>
      <t xml:space="preserve"> tab 
Added a new Solution Component - B&amp;A Studio
</t>
    </r>
    <r>
      <rPr>
        <b/>
        <sz val="10"/>
        <color theme="1"/>
        <rFont val="Calibri"/>
        <family val="2"/>
        <scheme val="minor"/>
      </rPr>
      <t xml:space="preserve">CUT &amp; Non-CUT Profile tab
</t>
    </r>
    <r>
      <rPr>
        <sz val="10"/>
        <color theme="1"/>
        <rFont val="Calibri"/>
        <family val="2"/>
        <scheme val="minor"/>
      </rPr>
      <t xml:space="preserve">Added B&amp;A Studio component to the CUT and Non-CUT Tabs.
</t>
    </r>
    <r>
      <rPr>
        <b/>
        <sz val="10"/>
        <color theme="1"/>
        <rFont val="Calibri"/>
        <family val="2"/>
        <scheme val="minor"/>
      </rPr>
      <t>ResourceCostValues tab</t>
    </r>
    <r>
      <rPr>
        <sz val="10"/>
        <color theme="1"/>
        <rFont val="Calibri"/>
        <family val="2"/>
        <scheme val="minor"/>
      </rPr>
      <t xml:space="preserve">
Ensure hidden tabs are unhidden before running the macro to add additional Resource Locations.
</t>
    </r>
  </si>
  <si>
    <r>
      <rPr>
        <b/>
        <sz val="10"/>
        <color theme="1"/>
        <rFont val="Calibri"/>
        <family val="2"/>
        <scheme val="minor"/>
      </rPr>
      <t>Resource Cost Values Tab</t>
    </r>
    <r>
      <rPr>
        <sz val="10"/>
        <color theme="1"/>
        <rFont val="Calibri"/>
        <family val="2"/>
        <scheme val="minor"/>
      </rPr>
      <t xml:space="preserve">
Allow PMs to create new location and add rates for that location to cater for Contractors or Partners.</t>
    </r>
  </si>
  <si>
    <t>Build 4</t>
  </si>
  <si>
    <t>Agile Top-Down tab:
- Changed defaults for Warranty and Contingency %
- Added Ultilisation back into workbooks.
- Updated formulas for Mandays, Warranty, and CUT.
- Add Domain as last column to the Agile Top Down tab. Free text. Needs to be populated if the Domain Breakdown tab is to be calculated.
New Domain Breakdown tab:
- Get the unique Domains from the Agile top down tab.
- Calculate effort for each Domain.
- If user wants they can break it down by resource role, region and domain also by setting the checkbox on the Estimate toolbar.
New Assumptions tab:
- Added Assumptions tab to allow PM to document assumptions made for estimate.
Macros
Moved Macro checkboxes, textboxes and triggers for all new tabs to the Estimate Toolbar.</t>
  </si>
  <si>
    <t>Build 3</t>
  </si>
  <si>
    <r>
      <rPr>
        <b/>
        <sz val="10"/>
        <color theme="1"/>
        <rFont val="Calibri"/>
        <family val="2"/>
        <scheme val="minor"/>
      </rPr>
      <t xml:space="preserve">New Expenses Tab
</t>
    </r>
    <r>
      <rPr>
        <sz val="10"/>
        <color theme="1"/>
        <rFont val="Calibri"/>
        <family val="2"/>
        <scheme val="minor"/>
      </rPr>
      <t>Modified from ImE/ IaT effort workbooks. Allows PMs to import Expenses into the expense tab for common expense rates, which are then used to calculate the project expenses.</t>
    </r>
    <r>
      <rPr>
        <b/>
        <sz val="10"/>
        <color theme="1"/>
        <rFont val="Calibri"/>
        <family val="2"/>
        <scheme val="minor"/>
      </rPr>
      <t xml:space="preserve">
New ResourceCostValues Tab
</t>
    </r>
    <r>
      <rPr>
        <sz val="10"/>
        <color theme="1"/>
        <rFont val="Calibri"/>
        <family val="2"/>
        <scheme val="minor"/>
      </rPr>
      <t>Modified from ImE/ IaT effort workbooks. Allows PMs to import Oracle Daily Rates for Resources, which are then used in the calculations on the TTS, Proforma and Expenses tabs.</t>
    </r>
    <r>
      <rPr>
        <b/>
        <sz val="10"/>
        <color theme="1"/>
        <rFont val="Calibri"/>
        <family val="2"/>
        <scheme val="minor"/>
      </rPr>
      <t xml:space="preserve">
New Proforma Tab</t>
    </r>
    <r>
      <rPr>
        <sz val="10"/>
        <color theme="1"/>
        <rFont val="Calibri"/>
        <family val="2"/>
        <scheme val="minor"/>
      </rPr>
      <t xml:space="preserve">
- Added new "Proforma" Tab to extract information using the  Selected Scenario to the Proforma format. 
- Created a new Macro, Generate_Proforma which 
1) loops through combination of Region:Role from the Agile top down tab
2) works out the number of months for the project based on the Selected Scenario number of weeks and the Number of Working Days per month parameters
3) Each week in the Agile Sceanario is allocated to a month (Row 4)
4) Sums the mandays for each Region:Role per month.
5)  Gets the Role Day Rate from the Resource Cost Value tabs.
6) If Include Expenses is set, checks the Expenses tab to see if there are expenses for Singleview for the existing Region:Role combinations, 
    a) if yes, splits the effort over the number of months in the project, and adds that effort to the effort that is already in the Proforma effort table.
    b) if No, adds a new Region:Role combination and then splits the effort over the number of months in the project, and puts that effort in a new row on the Proforma effort table.
7) depending on which Display Value is selected the display is altered</t>
    </r>
  </si>
  <si>
    <t>Build 2</t>
  </si>
  <si>
    <t>"Parameters" Tab
- Added new Parameters for the TTS Roles that match the Roles in the TTS - TTSRoles.
"AgileTop Down" Tabs:
- Added new Column 3 "TTS Role" to map Agile roles to TTS Roles. Applied Validation that the values can only be from list "TTSRoles" (parameters tab)
** Updated Constants module to accomodate the new column.  Increased the constant row numbers by 1 to accomodate the new column.
** Updated Agile_Top_Down Module to cater for new column, to set values on adding or removing groups/Resources.
- Scenarions 2-4 were using Scenarion 1 Contingency and Warranty values. Add new "DefinedNames" for Contingency and Warranty per Scenario. 
--- Updated Cols BA &amp; BB to use the Scenario Contingency and Warranty per sceanario. 
--- Updated Rows 75&amp;76 to use scenario Contingency and Warranty values.
- Added Total Column for Mandays in column BC for all four scenarios.
- Added total Effort Cell in D8:E8 for all four sceanarios so user doesn't have to scroll to bottom right of scenario.
NEW "TTS" Tab
- Added new "TTS" Tab to extract information from Selected Scenario to the TTS format.
- Created a new Macro, Generate_TTS which 
1) loops through the Agile_Scenario_tab to return the combination of Region:Role, 
2) the sum of the estimates for each combination.
3) provides a % for each region used for resourcing.
4) Subtotal of values provided. Notification if the Sum of total values on SV_TTS tab does not match the total mandays of the Selected Sceanario Agile tab.
- Updated the Library Module to set the new "SV TTS" tab to be a core tool workbook and to have the basic Estimate toolbar. (Would like to move the "Generate TTS" button to toolbar in the future.
5) If Agile row has DataMigration or Training set, then these are seperated into seperate tables.</t>
  </si>
  <si>
    <t>20-14-2018</t>
  </si>
  <si>
    <t>Build 1</t>
  </si>
  <si>
    <t>Ken Campbell</t>
  </si>
  <si>
    <t>Removed "Product Utilisation" from the Agile Top-Down resource plan tabs.</t>
  </si>
  <si>
    <r>
      <rPr>
        <b/>
        <sz val="10"/>
        <color theme="1"/>
        <rFont val="Calibri"/>
        <family val="2"/>
        <scheme val="minor"/>
      </rPr>
      <t>General</t>
    </r>
    <r>
      <rPr>
        <sz val="10"/>
        <color theme="1"/>
        <rFont val="Calibri"/>
        <family val="2"/>
        <scheme val="minor"/>
      </rPr>
      <t xml:space="preserve">
- Renamed the "SEET" custom ribbon tab to "Estimate".
- Changed name of the tool from SEET to SET (Singleview Estimation Tool), including in custom ribbon, popup messages and help text.
- Added workbook level protection to prevent the user from deleting tool core worksheets and added an "Insert Sheet" item to the custom ribbon to allow the user to add his own worksheets.
- Added screen tips to all the custom ribbon items.
- Modifying the name of the currently selected scenario no longer requires the user to re-select the scenario.
</t>
    </r>
    <r>
      <rPr>
        <b/>
        <sz val="10"/>
        <color theme="1"/>
        <rFont val="Calibri"/>
        <family val="2"/>
        <scheme val="minor"/>
      </rPr>
      <t>"Front Sheet" Tab</t>
    </r>
    <r>
      <rPr>
        <sz val="10"/>
        <color theme="1"/>
        <rFont val="Calibri"/>
        <family val="2"/>
        <scheme val="minor"/>
      </rPr>
      <t xml:space="preserve">
- Added SFDC Opp ID.
</t>
    </r>
    <r>
      <rPr>
        <b/>
        <sz val="10"/>
        <color theme="1"/>
        <rFont val="Calibri"/>
        <family val="2"/>
        <scheme val="minor"/>
      </rPr>
      <t>"Instructions" Tab</t>
    </r>
    <r>
      <rPr>
        <sz val="10"/>
        <color theme="1"/>
        <rFont val="Calibri"/>
        <family val="2"/>
        <scheme val="minor"/>
      </rPr>
      <t xml:space="preserve">
- Brought the tab up-to-date.
- Added link to Feedback portal.
</t>
    </r>
    <r>
      <rPr>
        <b/>
        <sz val="10"/>
        <color theme="1"/>
        <rFont val="Calibri"/>
        <family val="2"/>
        <scheme val="minor"/>
      </rPr>
      <t>"Attributes" Tab</t>
    </r>
    <r>
      <rPr>
        <sz val="10"/>
        <color theme="1"/>
        <rFont val="Calibri"/>
        <family val="2"/>
        <scheme val="minor"/>
      </rPr>
      <t xml:space="preserve">
- Moved "Select Scenario", "Highlight Scenario Work Items", "Highlight Work Items with No Scenario" and "Default Solution Component" from the Attributes tab into the custom ribbon.
- Added support for scenario tag names.
</t>
    </r>
    <r>
      <rPr>
        <b/>
        <sz val="10"/>
        <color theme="1"/>
        <rFont val="Calibri"/>
        <family val="2"/>
        <scheme val="minor"/>
      </rPr>
      <t>"Detail CUT" and "Detail Non-CUT" Tabs</t>
    </r>
    <r>
      <rPr>
        <sz val="10"/>
        <color theme="1"/>
        <rFont val="Calibri"/>
        <family val="2"/>
        <scheme val="minor"/>
      </rPr>
      <t xml:space="preserve">
- Renamed "TAM Level 3" to "Work Item".
- Removed the legacy non-CUT functionality from the Detail CUT tab (was previously hidden, now removed completely).
</t>
    </r>
  </si>
  <si>
    <r>
      <rPr>
        <b/>
        <sz val="10"/>
        <color theme="1"/>
        <rFont val="Calibri"/>
        <family val="2"/>
        <scheme val="minor"/>
      </rPr>
      <t>"Agile Top-Down" Tab</t>
    </r>
    <r>
      <rPr>
        <sz val="10"/>
        <color theme="1"/>
        <rFont val="Calibri"/>
        <family val="2"/>
        <scheme val="minor"/>
      </rPr>
      <t xml:space="preserve">
- Tool now displays only the Agile Top-Down worksheet associated with the selected scenario.
- Aligned "Location" drop-down choices with the TTS.
- Added week numbers along the top of the tab.
- Removed Contingency &amp; Warranty totals from the FTE &amp; Effort section.
- Added new resource roles to the Resource Role dropdown to more closely align with the Agile RACI.
- Added Regression Testing resource group.
</t>
    </r>
    <r>
      <rPr>
        <b/>
        <sz val="10"/>
        <color theme="1"/>
        <rFont val="Calibri"/>
        <family val="2"/>
        <scheme val="minor"/>
      </rPr>
      <t xml:space="preserve">"CUT &amp; Non-CUT Profile" Tab
</t>
    </r>
    <r>
      <rPr>
        <sz val="10"/>
        <color theme="1"/>
        <rFont val="Calibri"/>
        <family val="2"/>
        <scheme val="minor"/>
      </rPr>
      <t xml:space="preserve">- Added a Non-CUT profile table.
- Added support for scenario tag names.
</t>
    </r>
    <r>
      <rPr>
        <b/>
        <sz val="10"/>
        <color theme="1"/>
        <rFont val="Calibri"/>
        <family val="2"/>
        <scheme val="minor"/>
      </rPr>
      <t>Bug Fixes</t>
    </r>
    <r>
      <rPr>
        <sz val="10"/>
        <color theme="1"/>
        <rFont val="Calibri"/>
        <family val="2"/>
        <scheme val="minor"/>
      </rPr>
      <t xml:space="preserve">
- Fixed bug: Macro execution error when opening workbook while user-added worksheet is active.
- Fixed bug: Macro execution error when navigating to an Excel spreadsheet in "Protected View" mode.</t>
    </r>
  </si>
  <si>
    <t>Full GA release.</t>
  </si>
  <si>
    <t>1.1</t>
  </si>
  <si>
    <t>Draft release for field testing.</t>
  </si>
  <si>
    <t>1.0</t>
  </si>
  <si>
    <t>Ribbon Item Type</t>
  </si>
  <si>
    <t>Ribbon Item Id</t>
  </si>
  <si>
    <t>Screen Tip</t>
  </si>
  <si>
    <t>Super Tip</t>
  </si>
  <si>
    <t>Tab</t>
  </si>
  <si>
    <t>SeetTab</t>
  </si>
  <si>
    <t>SV Estimation Tool tab screentip.  Not supported.</t>
  </si>
  <si>
    <t>SV Estimation Tool tab supertip.  Not supported.</t>
  </si>
  <si>
    <t>Group</t>
  </si>
  <si>
    <t>RibbonScenario</t>
  </si>
  <si>
    <t>Select scenario</t>
  </si>
  <si>
    <t>RibbonScenarioSelect</t>
  </si>
  <si>
    <t>Select Scenario</t>
  </si>
  <si>
    <t>Select the scenario you wish to work with or view.
This tool supports the estimation of up to four different scenarios simultaneously.  
The scenario names and attributes can be modified in the "Attributes" tab.</t>
  </si>
  <si>
    <t>RibbonDetailAttributes</t>
  </si>
  <si>
    <t>Modify the behaviour of the Detail tabs</t>
  </si>
  <si>
    <t>RibbonDefSolnComp</t>
  </si>
  <si>
    <t>Pick the solution component that is auto populated when a new TAM Level 3 row is added.</t>
  </si>
  <si>
    <t>RibbonHighlightScenarioEffort</t>
  </si>
  <si>
    <t>Highlight the work items in the selected scenario</t>
  </si>
  <si>
    <t>Highlight the work items that are included in the selected scenario.
All work items not in the selected scenario are greyed out.</t>
  </si>
  <si>
    <t>RibbonHighlightEffortNoScenario</t>
  </si>
  <si>
    <t>Highlight all work items that have no scenario</t>
  </si>
  <si>
    <t>Highlight the work items that are not included in any scenario.
A work item that is not included in any scenario is indicated by pink highlighting in its four senario cells.</t>
  </si>
  <si>
    <t>RibbonDetailAddTam</t>
  </si>
  <si>
    <t>Add to TAM based estimate</t>
  </si>
  <si>
    <t>RibbonAddTam3</t>
  </si>
  <si>
    <t>Add Work Item to estimate</t>
  </si>
  <si>
    <t>Add a work item row to the estimate.
You must be on a work item row to do this.</t>
  </si>
  <si>
    <t>RibbonAddTam2</t>
  </si>
  <si>
    <t>Add TAM Level 2 to estimate</t>
  </si>
  <si>
    <t>Add a TAM level 2 group.
You must be on a TAM level 2 row to do this.
Adds a new TAM level 2 group immediately below the current selection.  The new group is created with one TAM level 3 row.</t>
  </si>
  <si>
    <t>RibbonAddTam1</t>
  </si>
  <si>
    <t>Add TAM Level 1 to estimate</t>
  </si>
  <si>
    <t>Add a TAM level 1 group.
You must be on a TAM level 1 row to do this.
Adds a new TAM level 1 group immediately below the current selection.  The new group is created one TAM level 2 group and one TAM level 3 row.</t>
  </si>
  <si>
    <t>RibbonDetailDeleteTam</t>
  </si>
  <si>
    <t>Delete from TAM based estimate</t>
  </si>
  <si>
    <t>RibbonDeleteTam3</t>
  </si>
  <si>
    <t>Delete Work Item from estimate</t>
  </si>
  <si>
    <t>Delete the selected work item row.</t>
  </si>
  <si>
    <t>RibbonDeleteTam2</t>
  </si>
  <si>
    <t>Delete TAM Level 2 from estimate</t>
  </si>
  <si>
    <t>Delete the seleted TAM level 2 group.
This also deletes all the TAM level 3 rows in the group.</t>
  </si>
  <si>
    <t>RibbonDeleteTam1</t>
  </si>
  <si>
    <t>Delete TAM Level 1 from estimate</t>
  </si>
  <si>
    <t>Delete the selected TAM level 1 group.
This also deletes all the TAM level 2 groups and TAM level 1 rows in the group.</t>
  </si>
  <si>
    <t>RibbonAgileAdd</t>
  </si>
  <si>
    <t>Add to Agile Top-Down estimate</t>
  </si>
  <si>
    <t>RibbonAddIteration</t>
  </si>
  <si>
    <t>Add Week</t>
  </si>
  <si>
    <t>Add an iteration week.
You must be on an iteration week to do this.
Adds the new iteration week immediately after the current selection.</t>
  </si>
  <si>
    <t>RibbonAddResourceRow</t>
  </si>
  <si>
    <t>Add Resource Role</t>
  </si>
  <si>
    <t>Add a resource row.
You must be on a resource row to do this.
Adds a new resource row immediately below the current selection.</t>
  </si>
  <si>
    <t>RibbonAddResourceGroup</t>
  </si>
  <si>
    <t>Add Resource Group or Scrum Team</t>
  </si>
  <si>
    <t>Add a resource group or scrum team.
You must be on a resource group row to add a new resource group and a on scrum team row to add a new scrum team.
Adds a new resource group or scrum team immediately below the current selection.  The new resource group or scrum team is created with one resource row.</t>
  </si>
  <si>
    <t>RibbonAgileDelete</t>
  </si>
  <si>
    <t>Delete from Agile Top-Down estimate</t>
  </si>
  <si>
    <t>RibbonDeleteIteration</t>
  </si>
  <si>
    <t>Delete Week</t>
  </si>
  <si>
    <t>Delete the selected iteration week.</t>
  </si>
  <si>
    <t>RibbonDeleteResourceRow</t>
  </si>
  <si>
    <t>Delete Resource Role</t>
  </si>
  <si>
    <t>Delete the selected resouce row.</t>
  </si>
  <si>
    <t>RibbonDeleteResourceGroup</t>
  </si>
  <si>
    <t>Delete Resource Group or Scrum Team</t>
  </si>
  <si>
    <t>Delete the selected resource group or scrum team.
This also deletes all the resource rows in the resource group or scrum team.</t>
  </si>
  <si>
    <t>InsertWorksheetGroup</t>
  </si>
  <si>
    <t>Insert Custom Worksheet</t>
  </si>
  <si>
    <t>InsertWorksheet</t>
  </si>
  <si>
    <t>Use this if you want to add your own custom worksheet.
Custom worksheets can be deleted via the standard Excel 'Delete Sheet' menu items.
The tool's core sheets are vital to the proper exeuction of the tool and are therefore protected from being deleted.  However, this also blocks the user from inserting any new sheets via the standard Excel menu items.</t>
  </si>
  <si>
    <t>RibbonDomainBreakdown</t>
  </si>
  <si>
    <t>Modify the behaviour of the DomainBreakdown tab</t>
  </si>
  <si>
    <t>RibbonDomainBreakdownInclRoleRegion</t>
  </si>
  <si>
    <t>Include Role and Region</t>
  </si>
  <si>
    <t>Use this checkbox if you want the Domain breakdown to include Role and Region.</t>
  </si>
  <si>
    <t>RibbonDomainBreakdownGenerate</t>
  </si>
  <si>
    <t>Run Macro to Generate the Domain Breakdown</t>
  </si>
  <si>
    <t>Press this button to run the Generate Domain Breakdown macro.</t>
  </si>
  <si>
    <t>RibbonTTS</t>
  </si>
  <si>
    <t>Modify the behaviour of the TTS tab</t>
  </si>
  <si>
    <t>RibbonTTSGenerate2</t>
  </si>
  <si>
    <t>Run Macro to Generate the Domain Breakdown EXCLUDING</t>
  </si>
  <si>
    <t>Press this button to generate the TTS for the Selected Scenario.</t>
  </si>
  <si>
    <t>RibbonProforma</t>
  </si>
  <si>
    <t>Modify the behaviour of the Proforma tab</t>
  </si>
  <si>
    <t>RibbonProformaIncExpenses</t>
  </si>
  <si>
    <t>Include Expenses?</t>
  </si>
  <si>
    <t>Set to TRUE if you wish for the Proforma to include Expenses from the Expenses tab.</t>
  </si>
  <si>
    <t>RibbonProformaDisplayType</t>
  </si>
  <si>
    <t>Enter the Type of Display you wish to be generated.</t>
  </si>
  <si>
    <t>RibbonProformaGenerate</t>
  </si>
  <si>
    <t>Generate Proforma</t>
  </si>
  <si>
    <t>Press this button to generate the Proforma for the Selected Scenario.</t>
  </si>
  <si>
    <t>RibbonProformaDaysPerMonthEditBox</t>
  </si>
  <si>
    <t># Days per Month</t>
  </si>
  <si>
    <t>Enter the number of Days worked per month. The default is set to 22.</t>
  </si>
  <si>
    <t>RibbonResourceCostValues</t>
  </si>
  <si>
    <t>Modify the behaviour of the ResourceCostValues tab</t>
  </si>
  <si>
    <t>RibbonResourceCostValuesEditBox</t>
  </si>
  <si>
    <t>Modify the filename to import the Resource Cost Values from.</t>
  </si>
  <si>
    <t>Populate this with the name of the file you wish to import the rates from. The file must exist in the same directory as this SET file, and must have a tab called "DayRates".</t>
  </si>
  <si>
    <t>RibbonResourceCostValuesImport</t>
  </si>
  <si>
    <t>Import Resource Cost Values</t>
  </si>
  <si>
    <t>Press this button to import the Daily Rates.</t>
  </si>
  <si>
    <t>RibbonExpenseInsertValues</t>
  </si>
  <si>
    <t>Modify the behaviour of the Expenses tab - Insert</t>
  </si>
  <si>
    <t>RibbonExpensesInsertLineBefore</t>
  </si>
  <si>
    <t>Insert Before</t>
  </si>
  <si>
    <t>Insert an Expense Line before the active line.</t>
  </si>
  <si>
    <t>RibbonExpensesInsertAfterBefore</t>
  </si>
  <si>
    <t>Insert After</t>
  </si>
  <si>
    <t>Insert an Expense Line after the active line.</t>
  </si>
  <si>
    <t>RibbonExpenseDeleteValues</t>
  </si>
  <si>
    <t>Modify the behaviour of the Expenses tab - Delete</t>
  </si>
  <si>
    <t>RibbonExpensesDeleteExpenseRow</t>
  </si>
  <si>
    <t>Delete the Expense Line</t>
  </si>
  <si>
    <t>Delete the active expense line.</t>
  </si>
  <si>
    <t>RibbonExpenseImportRates</t>
  </si>
  <si>
    <t>Modify the behaviour of the Expenses tab - Import</t>
  </si>
  <si>
    <t>RibbonExpenseImportRateEditBox</t>
  </si>
  <si>
    <t>Modify the filename to import the Expenses from.</t>
  </si>
  <si>
    <t>Populate this with the name of the file you wish to import the expenses from. The file must exist in the same directory as this SET file, and must have a tab called "Sheet1".</t>
  </si>
  <si>
    <t>RibbonExpensesImportRates</t>
  </si>
  <si>
    <t>Import Expense Rates</t>
  </si>
  <si>
    <t>Press this button to import the Expense Rates.</t>
  </si>
  <si>
    <t>Input File Verifications + Normalisation Effort</t>
  </si>
  <si>
    <t>Selection of bills to be put on hold</t>
  </si>
  <si>
    <t>4.2.5.1.1 Holding Customer Hierarchy from Billing</t>
  </si>
  <si>
    <t>Updates to Processed Charges</t>
  </si>
  <si>
    <t>4.2.5.1.2 Updates to Processed Charges</t>
  </si>
  <si>
    <t>Additional PE/CC changes needed due to updates to Product Model</t>
  </si>
  <si>
    <t>Additional Misc CC related effort</t>
  </si>
  <si>
    <t>Details TBD</t>
  </si>
  <si>
    <t>Product Lifecycle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</si>
</sst>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1" formatCode="_(* #,##0_);_(* \(#,##0\);_(* &quot;-&quot;_);_(@_)"/>
    <numFmt numFmtId="164" formatCode="_-* #,##0.00_-;\-* #,##0.00_-;_-* &quot;-&quot;??_-;_-@_-"/>
    <numFmt numFmtId="165" formatCode="dd\-mmm\-yyyy"/>
    <numFmt numFmtId="166" formatCode="_-* #,##0.0_-;\-* #,##0.0_-;_-* &quot;-&quot;?_-;_-@_-"/>
    <numFmt numFmtId="167" formatCode="#,##0.0_ ;\-#,##0.0\ "/>
    <numFmt numFmtId="168" formatCode="0;\-0;;@"/>
    <numFmt numFmtId="169" formatCode="0.0%"/>
    <numFmt numFmtId="170" formatCode="0.0"/>
    <numFmt numFmtId="171" formatCode="ddd\ dd\-mmm\-yyyy"/>
    <numFmt numFmtId="172" formatCode="#,##0.0"/>
    <numFmt numFmtId="173" formatCode="&quot;$&quot;#,##0"/>
    <numFmt numFmtId="174" formatCode="_-* #,##0.00_-;\-* #,##0.00_-;_-* &quot;-&quot;?_-;_-@_-"/>
    <numFmt numFmtId="175" formatCode="&quot;$&quot;#,##0.00"/>
    <numFmt numFmtId="176" formatCode="_(* #,##0.0_);_(* \(#,##0.0\);_(* &quot;-&quot;?_);_(@_)"/>
    <numFmt numFmtId="177" formatCode="_-* #,##0.0_-;\-* #,##0.0_-;_-* &quot;-&quot;??_-;_-@_-"/>
    <numFmt numFmtId="178" formatCode="#,##0.00;[Red]#,##0.00"/>
    <numFmt numFmtId="179" formatCode="#,##0;[Red]&quot;$&quot;#,##0"/>
    <numFmt numFmtId="180" formatCode="&quot;$&quot;#,##0;[Red]&quot;$&quot;#,##0"/>
  </numFmts>
  <fonts count="79" x14ac:knownFonts="1">
    <font>
      <sz val="11"/>
      <color theme="1"/>
      <name val="Calibri"/>
      <family val="2"/>
      <scheme val="minor"/>
    </font>
    <font>
      <b/>
      <sz val="11"/>
      <color theme="1"/>
      <name val="Calibri"/>
      <family val="2"/>
      <scheme val="minor"/>
    </font>
    <font>
      <sz val="10"/>
      <color theme="1"/>
      <name val="Calibri"/>
      <family val="2"/>
      <scheme val="minor"/>
    </font>
    <font>
      <sz val="9"/>
      <color indexed="81"/>
      <name val="Tahoma"/>
      <family val="2"/>
    </font>
    <font>
      <sz val="8"/>
      <color theme="1"/>
      <name val="Calibri"/>
      <family val="2"/>
      <scheme val="minor"/>
    </font>
    <font>
      <sz val="14"/>
      <color theme="1"/>
      <name val="Calibri"/>
      <family val="2"/>
      <scheme val="minor"/>
    </font>
    <font>
      <sz val="18"/>
      <color theme="1"/>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0"/>
      <color rgb="FF0000FF"/>
      <name val="Calibri"/>
      <family val="2"/>
      <scheme val="minor"/>
    </font>
    <font>
      <b/>
      <sz val="14"/>
      <color theme="1"/>
      <name val="Calibri"/>
      <family val="2"/>
      <scheme val="minor"/>
    </font>
    <font>
      <b/>
      <sz val="13"/>
      <color theme="1"/>
      <name val="Calibri"/>
      <family val="2"/>
      <scheme val="minor"/>
    </font>
    <font>
      <sz val="13"/>
      <color theme="1"/>
      <name val="Calibri"/>
      <family val="2"/>
      <scheme val="minor"/>
    </font>
    <font>
      <sz val="11"/>
      <color theme="1"/>
      <name val="Calibri"/>
      <family val="2"/>
      <scheme val="minor"/>
    </font>
    <font>
      <b/>
      <sz val="10"/>
      <name val="Calibri"/>
      <family val="2"/>
      <scheme val="minor"/>
    </font>
    <font>
      <sz val="10"/>
      <name val="Calibri"/>
      <family val="2"/>
      <scheme val="minor"/>
    </font>
    <font>
      <sz val="8"/>
      <color theme="0"/>
      <name val="Calibri"/>
      <family val="2"/>
      <scheme val="minor"/>
    </font>
    <font>
      <b/>
      <sz val="8"/>
      <color theme="1"/>
      <name val="Calibri"/>
      <family val="2"/>
      <scheme val="minor"/>
    </font>
    <font>
      <b/>
      <u/>
      <sz val="8"/>
      <color theme="1"/>
      <name val="Calibri"/>
      <family val="2"/>
      <scheme val="minor"/>
    </font>
    <font>
      <sz val="8"/>
      <color rgb="FF0000FF"/>
      <name val="Calibri"/>
      <family val="2"/>
      <scheme val="minor"/>
    </font>
    <font>
      <b/>
      <sz val="8"/>
      <color theme="0"/>
      <name val="Calibri"/>
      <family val="2"/>
      <scheme val="minor"/>
    </font>
    <font>
      <b/>
      <sz val="8"/>
      <name val="Calibri"/>
      <family val="2"/>
      <scheme val="minor"/>
    </font>
    <font>
      <sz val="8"/>
      <name val="Calibri"/>
      <family val="2"/>
      <scheme val="minor"/>
    </font>
    <font>
      <b/>
      <sz val="8"/>
      <color rgb="FF0000FF"/>
      <name val="Calibri"/>
      <family val="2"/>
      <scheme val="minor"/>
    </font>
    <font>
      <b/>
      <u/>
      <sz val="8"/>
      <name val="Calibri"/>
      <family val="2"/>
      <scheme val="minor"/>
    </font>
    <font>
      <b/>
      <sz val="9"/>
      <color indexed="81"/>
      <name val="Tahoma"/>
      <family val="2"/>
    </font>
    <font>
      <b/>
      <sz val="10"/>
      <color theme="1" tint="0.499984740745262"/>
      <name val="Calibri"/>
      <family val="2"/>
      <scheme val="minor"/>
    </font>
    <font>
      <sz val="10"/>
      <color theme="1" tint="0.499984740745262"/>
      <name val="Calibri"/>
      <family val="2"/>
      <scheme val="minor"/>
    </font>
    <font>
      <b/>
      <sz val="10"/>
      <color theme="0"/>
      <name val="Calibri"/>
      <family val="2"/>
      <scheme val="minor"/>
    </font>
    <font>
      <sz val="10"/>
      <color theme="0"/>
      <name val="Calibri"/>
      <family val="2"/>
      <scheme val="minor"/>
    </font>
    <font>
      <sz val="10"/>
      <color theme="1" tint="0.249977111117893"/>
      <name val="Calibri"/>
      <family val="2"/>
      <scheme val="minor"/>
    </font>
    <font>
      <sz val="26"/>
      <color rgb="FF0000FF"/>
      <name val="Calibri"/>
      <family val="2"/>
      <scheme val="minor"/>
    </font>
    <font>
      <sz val="8"/>
      <color theme="8" tint="-0.499984740745262"/>
      <name val="Calibri"/>
      <family val="2"/>
      <scheme val="minor"/>
    </font>
    <font>
      <sz val="8"/>
      <color theme="2" tint="-0.749961851863155"/>
      <name val="Calibri"/>
      <family val="2"/>
      <scheme val="minor"/>
    </font>
    <font>
      <b/>
      <sz val="12"/>
      <name val="Calibri"/>
      <family val="2"/>
      <scheme val="minor"/>
    </font>
    <font>
      <b/>
      <sz val="48"/>
      <color theme="9" tint="-0.499984740745262"/>
      <name val="Calibri"/>
      <family val="2"/>
      <scheme val="minor"/>
    </font>
    <font>
      <b/>
      <sz val="48"/>
      <color theme="7" tint="-0.499984740745262"/>
      <name val="Calibri"/>
      <family val="2"/>
      <scheme val="minor"/>
    </font>
    <font>
      <b/>
      <sz val="18"/>
      <color theme="9" tint="-0.499984740745262"/>
      <name val="Calibri"/>
      <family val="2"/>
      <scheme val="minor"/>
    </font>
    <font>
      <b/>
      <sz val="18"/>
      <color theme="7" tint="-0.499984740745262"/>
      <name val="Calibri"/>
      <family val="2"/>
      <scheme val="minor"/>
    </font>
    <font>
      <u/>
      <sz val="11"/>
      <color theme="10"/>
      <name val="Calibri"/>
      <family val="2"/>
      <scheme val="minor"/>
    </font>
    <font>
      <u/>
      <sz val="10"/>
      <color theme="10"/>
      <name val="Calibri"/>
      <family val="2"/>
      <scheme val="minor"/>
    </font>
    <font>
      <b/>
      <sz val="8"/>
      <color theme="9" tint="0.59999389629810485"/>
      <name val="Calibri"/>
      <family val="2"/>
      <scheme val="minor"/>
    </font>
    <font>
      <sz val="10"/>
      <name val="Arial"/>
      <family val="2"/>
    </font>
    <font>
      <sz val="11"/>
      <name val="Calibri"/>
      <family val="2"/>
      <scheme val="minor"/>
    </font>
    <font>
      <b/>
      <sz val="20"/>
      <color rgb="FF5F6062"/>
      <name val="Calibri"/>
      <family val="2"/>
      <scheme val="minor"/>
    </font>
    <font>
      <sz val="10"/>
      <name val="MS Sans Serif"/>
      <family val="2"/>
    </font>
    <font>
      <b/>
      <sz val="11"/>
      <name val="Calibri"/>
      <family val="2"/>
      <scheme val="minor"/>
    </font>
    <font>
      <b/>
      <sz val="14"/>
      <color theme="0"/>
      <name val="Calibri"/>
      <family val="2"/>
      <scheme val="minor"/>
    </font>
    <font>
      <b/>
      <sz val="9"/>
      <color theme="0"/>
      <name val="Calibri"/>
      <family val="2"/>
      <scheme val="minor"/>
    </font>
    <font>
      <sz val="8"/>
      <color rgb="FFFFFF00"/>
      <name val="Calibri"/>
      <family val="2"/>
      <scheme val="minor"/>
    </font>
    <font>
      <b/>
      <sz val="8"/>
      <color theme="0" tint="-0.14999847407452621"/>
      <name val="Calibri"/>
      <family val="2"/>
      <scheme val="minor"/>
    </font>
    <font>
      <sz val="8"/>
      <color rgb="FFFF0000"/>
      <name val="Calibri"/>
      <family val="2"/>
      <scheme val="minor"/>
    </font>
    <font>
      <b/>
      <sz val="11"/>
      <color theme="0"/>
      <name val="Calibri"/>
      <family val="2"/>
      <scheme val="minor"/>
    </font>
    <font>
      <sz val="9"/>
      <name val="Calibri"/>
      <family val="2"/>
      <scheme val="minor"/>
    </font>
    <font>
      <b/>
      <sz val="26"/>
      <color rgb="FF5F6062"/>
      <name val="Calibri"/>
      <family val="2"/>
      <scheme val="minor"/>
    </font>
    <font>
      <b/>
      <sz val="9"/>
      <name val="Calibri"/>
      <family val="2"/>
      <scheme val="minor"/>
    </font>
    <font>
      <b/>
      <sz val="11"/>
      <color rgb="FF8A1F03"/>
      <name val="Calibri"/>
      <family val="2"/>
      <scheme val="minor"/>
    </font>
    <font>
      <b/>
      <sz val="9"/>
      <color rgb="FF8A1F03"/>
      <name val="Calibri"/>
      <family val="2"/>
      <scheme val="minor"/>
    </font>
    <font>
      <sz val="9"/>
      <color rgb="FF8A1F03"/>
      <name val="Calibri"/>
      <family val="2"/>
      <scheme val="minor"/>
    </font>
    <font>
      <sz val="10"/>
      <color rgb="FFFF0000"/>
      <name val="Calibri"/>
      <family val="2"/>
      <scheme val="minor"/>
    </font>
    <font>
      <b/>
      <sz val="12"/>
      <color rgb="FFFF0000"/>
      <name val="Calibri"/>
      <family val="2"/>
      <scheme val="minor"/>
    </font>
    <font>
      <sz val="8"/>
      <color indexed="81"/>
      <name val="Tahoma"/>
      <family val="2"/>
    </font>
    <font>
      <i/>
      <sz val="10"/>
      <color theme="1"/>
      <name val="Arial"/>
      <family val="2"/>
    </font>
    <font>
      <b/>
      <sz val="9"/>
      <color rgb="FFFF0000"/>
      <name val="Calibri"/>
      <family val="2"/>
      <scheme val="minor"/>
    </font>
    <font>
      <b/>
      <sz val="16"/>
      <color theme="0"/>
      <name val="Calibri"/>
      <family val="2"/>
      <scheme val="minor"/>
    </font>
    <font>
      <i/>
      <sz val="11"/>
      <color theme="1"/>
      <name val="Calibri"/>
      <family val="2"/>
      <scheme val="minor"/>
    </font>
    <font>
      <b/>
      <sz val="12"/>
      <color theme="0"/>
      <name val="Calibri"/>
      <family val="2"/>
      <scheme val="minor"/>
    </font>
    <font>
      <b/>
      <sz val="20"/>
      <color theme="0"/>
      <name val="Calibri"/>
      <family val="2"/>
      <scheme val="minor"/>
    </font>
    <font>
      <b/>
      <sz val="8"/>
      <color indexed="81"/>
      <name val="Tahoma"/>
      <family val="2"/>
    </font>
    <font>
      <b/>
      <sz val="11"/>
      <color rgb="FFFF0000"/>
      <name val="Calibri"/>
      <family val="2"/>
      <scheme val="minor"/>
    </font>
    <font>
      <b/>
      <sz val="18"/>
      <color theme="0"/>
      <name val="Calibri"/>
      <family val="2"/>
      <scheme val="minor"/>
    </font>
    <font>
      <b/>
      <i/>
      <sz val="11"/>
      <color theme="0"/>
      <name val="Calibri"/>
      <family val="2"/>
      <scheme val="minor"/>
    </font>
    <font>
      <b/>
      <i/>
      <u/>
      <sz val="12"/>
      <color theme="0"/>
      <name val="Calibri"/>
      <family val="2"/>
      <scheme val="minor"/>
    </font>
    <font>
      <b/>
      <sz val="14"/>
      <color rgb="FFFF0000"/>
      <name val="Calibri"/>
      <family val="2"/>
      <scheme val="minor"/>
    </font>
    <font>
      <b/>
      <sz val="11"/>
      <color rgb="FFFFFFFF"/>
      <name val="Calibri"/>
      <family val="2"/>
      <scheme val="minor"/>
    </font>
    <font>
      <sz val="8"/>
      <color rgb="FFEE0000"/>
      <name val="Calibri"/>
      <family val="2"/>
      <scheme val="minor"/>
    </font>
    <font>
      <strike/>
      <sz val="8"/>
      <color rgb="FF0000FF"/>
      <name val="Calibri"/>
      <family val="2"/>
      <scheme val="minor"/>
    </font>
    <font>
      <sz val="11"/>
      <color rgb="FF000000"/>
      <name val="Calibri"/>
      <family val="2"/>
    </font>
  </fonts>
  <fills count="45">
    <fill>
      <patternFill patternType="none"/>
    </fill>
    <fill>
      <patternFill patternType="gray125"/>
    </fill>
    <fill>
      <patternFill patternType="solid">
        <fgColor indexed="22"/>
        <bgColor indexed="64"/>
      </patternFill>
    </fill>
    <fill>
      <patternFill patternType="solid">
        <fgColor theme="9" tint="0.599963377788628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67955565050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48118533890809E-2"/>
        <bgColor indexed="64"/>
      </patternFill>
    </fill>
    <fill>
      <patternFill patternType="solid">
        <fgColor theme="0"/>
        <bgColor indexed="64"/>
      </patternFill>
    </fill>
    <fill>
      <patternFill patternType="solid">
        <fgColor theme="2"/>
        <bgColor indexed="64"/>
      </patternFill>
    </fill>
    <fill>
      <patternFill patternType="solid">
        <fgColor theme="2" tint="-0.249977111117893"/>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CDE2F3"/>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DEDEDE"/>
        <bgColor indexed="64"/>
      </patternFill>
    </fill>
    <fill>
      <patternFill patternType="solid">
        <fgColor rgb="FFCADFF2"/>
        <bgColor indexed="64"/>
      </patternFill>
    </fill>
    <fill>
      <patternFill patternType="solid">
        <fgColor theme="7" tint="0.39997558519241921"/>
        <bgColor indexed="64"/>
      </patternFill>
    </fill>
    <fill>
      <patternFill patternType="solid">
        <fgColor theme="9" tint="0.59999389629810485"/>
        <bgColor auto="1"/>
      </patternFill>
    </fill>
    <fill>
      <patternFill patternType="solid">
        <fgColor theme="0" tint="-0.34998626667073579"/>
        <bgColor indexed="64"/>
      </patternFill>
    </fill>
    <fill>
      <patternFill patternType="solid">
        <fgColor rgb="FFC0C0C0"/>
        <bgColor indexed="64"/>
      </patternFill>
    </fill>
    <fill>
      <patternFill patternType="solid">
        <fgColor rgb="FF00A8CB"/>
        <bgColor indexed="64"/>
      </patternFill>
    </fill>
    <fill>
      <patternFill patternType="solid">
        <fgColor theme="4" tint="0.79998168889431442"/>
        <bgColor indexed="64"/>
      </patternFill>
    </fill>
    <fill>
      <patternFill patternType="solid">
        <fgColor rgb="FF8A1F03"/>
        <bgColor indexed="64"/>
      </patternFill>
    </fill>
    <fill>
      <patternFill patternType="solid">
        <fgColor rgb="FF5F6062"/>
        <bgColor indexed="64"/>
      </patternFill>
    </fill>
    <fill>
      <patternFill patternType="solid">
        <fgColor theme="3"/>
        <bgColor indexed="64"/>
      </patternFill>
    </fill>
    <fill>
      <patternFill patternType="solid">
        <fgColor rgb="FFC6E0B4"/>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BCD9B"/>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FF0000"/>
        <bgColor indexed="64"/>
      </patternFill>
    </fill>
    <fill>
      <patternFill patternType="solid">
        <fgColor rgb="FFEAEAEA"/>
        <bgColor indexed="64"/>
      </patternFill>
    </fill>
    <fill>
      <patternFill patternType="solid">
        <fgColor rgb="FFFF66FF"/>
        <bgColor indexed="64"/>
      </patternFill>
    </fill>
    <fill>
      <patternFill patternType="solid">
        <fgColor rgb="FFE6E6E6"/>
        <bgColor indexed="64"/>
      </patternFill>
    </fill>
    <fill>
      <patternFill patternType="solid">
        <fgColor rgb="FFCCCCCC"/>
        <bgColor indexed="64"/>
      </patternFill>
    </fill>
    <fill>
      <patternFill patternType="solid">
        <fgColor rgb="FF00FF00"/>
        <bgColor indexed="64"/>
      </patternFill>
    </fill>
    <fill>
      <patternFill patternType="solid">
        <fgColor theme="7" tint="0.79998168889431442"/>
        <bgColor indexed="64"/>
      </patternFill>
    </fill>
  </fills>
  <borders count="89">
    <border>
      <left/>
      <right/>
      <top/>
      <bottom/>
      <diagonal/>
    </border>
    <border>
      <left/>
      <right/>
      <top/>
      <bottom style="thick">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right/>
      <top style="thin">
        <color theme="1" tint="0.499984740745262"/>
      </top>
      <bottom style="thin">
        <color theme="1"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14993743705557422"/>
      </bottom>
      <diagonal/>
    </border>
    <border>
      <left/>
      <right style="thin">
        <color theme="0" tint="-0.14996795556505021"/>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right style="thin">
        <color theme="0" tint="-0.14996795556505021"/>
      </right>
      <top/>
      <bottom/>
      <diagonal/>
    </border>
    <border>
      <left style="thin">
        <color theme="0" tint="-0.24994659260841701"/>
      </left>
      <right/>
      <top/>
      <bottom style="thin">
        <color theme="0" tint="-0.24994659260841701"/>
      </bottom>
      <diagonal/>
    </border>
    <border>
      <left style="thin">
        <color theme="0" tint="-0.14996795556505021"/>
      </left>
      <right/>
      <top/>
      <bottom/>
      <diagonal/>
    </border>
    <border>
      <left/>
      <right style="thin">
        <color theme="0" tint="-0.24994659260841701"/>
      </right>
      <top/>
      <bottom style="thin">
        <color theme="0" tint="-0.24994659260841701"/>
      </bottom>
      <diagonal/>
    </border>
    <border>
      <left/>
      <right/>
      <top style="thin">
        <color theme="0" tint="-0.14993743705557422"/>
      </top>
      <bottom/>
      <diagonal/>
    </border>
    <border>
      <left style="thin">
        <color theme="1" tint="0.34998626667073579"/>
      </left>
      <right/>
      <top/>
      <bottom/>
      <diagonal/>
    </border>
    <border>
      <left style="thin">
        <color theme="1" tint="0.499984740745262"/>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ck">
        <color theme="6" tint="-0.499984740745262"/>
      </left>
      <right style="thick">
        <color theme="6" tint="-0.499984740745262"/>
      </right>
      <top style="thick">
        <color theme="6" tint="-0.499984740745262"/>
      </top>
      <bottom style="thick">
        <color theme="6"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1" tint="0.499984740745262"/>
      </top>
      <bottom/>
      <diagonal/>
    </border>
    <border>
      <left/>
      <right/>
      <top/>
      <bottom style="thin">
        <color theme="1"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tint="-0.14993743705557422"/>
      </left>
      <right style="thin">
        <color theme="0" tint="-0.14993743705557422"/>
      </right>
      <top style="thin">
        <color theme="0" tint="-0.14993743705557422"/>
      </top>
      <bottom style="thin">
        <color theme="0" tint="-0.24994659260841701"/>
      </bottom>
      <diagonal/>
    </border>
    <border>
      <left style="thin">
        <color theme="0" tint="-0.14993743705557422"/>
      </left>
      <right style="thin">
        <color theme="0" tint="-0.14993743705557422"/>
      </right>
      <top/>
      <bottom style="thin">
        <color theme="0" tint="-0.14993743705557422"/>
      </bottom>
      <diagonal/>
    </border>
    <border>
      <left style="thin">
        <color theme="0" tint="-0.14993743705557422"/>
      </left>
      <right style="thin">
        <color theme="0" tint="-0.14993743705557422"/>
      </right>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diagonal/>
    </border>
    <border>
      <left style="thin">
        <color theme="0" tint="-0.14993743705557422"/>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34998626667073579"/>
      </right>
      <top style="thin">
        <color theme="1" tint="0.499984740745262"/>
      </top>
      <bottom style="thin">
        <color theme="1"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style="thin">
        <color theme="0" tint="-0.14990691854609822"/>
      </right>
      <top style="thin">
        <color theme="0" tint="-0.14990691854609822"/>
      </top>
      <bottom style="thin">
        <color theme="0" tint="-0.14990691854609822"/>
      </bottom>
      <diagonal/>
    </border>
    <border>
      <left style="thin">
        <color theme="0" tint="-0.1498458815271462"/>
      </left>
      <right style="thin">
        <color theme="0" tint="-0.14981536301767021"/>
      </right>
      <top style="thin">
        <color theme="0" tint="-0.1498458815271462"/>
      </top>
      <bottom style="thin">
        <color theme="0" tint="-0.14981536301767021"/>
      </bottom>
      <diagonal/>
    </border>
    <border>
      <left style="thin">
        <color theme="0" tint="-0.14981536301767021"/>
      </left>
      <right style="thin">
        <color theme="0" tint="-0.1498764000366222"/>
      </right>
      <top style="thin">
        <color theme="0" tint="-0.1498458815271462"/>
      </top>
      <bottom style="thin">
        <color theme="0" tint="-0.14981536301767021"/>
      </bottom>
      <diagonal/>
    </border>
    <border>
      <left style="thin">
        <color theme="0" tint="-0.14981536301767021"/>
      </left>
      <right style="thin">
        <color theme="0" tint="-0.1498764000366222"/>
      </right>
      <top style="thin">
        <color theme="0" tint="-0.14981536301767021"/>
      </top>
      <bottom style="thin">
        <color theme="0" tint="-0.14981536301767021"/>
      </bottom>
      <diagonal/>
    </border>
    <border>
      <left style="thin">
        <color theme="0" tint="-0.14981536301767021"/>
      </left>
      <right style="thin">
        <color theme="0" tint="-0.1498764000366222"/>
      </right>
      <top style="thin">
        <color theme="0" tint="-0.14981536301767021"/>
      </top>
      <bottom style="thin">
        <color theme="0" tint="-0.149876400036622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right/>
      <top/>
      <bottom style="thin">
        <color indexed="64"/>
      </bottom>
      <diagonal/>
    </border>
    <border>
      <left style="thin">
        <color rgb="FFA6A6A6"/>
      </left>
      <right style="thin">
        <color rgb="FFA6A6A6"/>
      </right>
      <top style="medium">
        <color indexed="64"/>
      </top>
      <bottom/>
      <diagonal/>
    </border>
    <border>
      <left/>
      <right/>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s>
  <cellStyleXfs count="9">
    <xf numFmtId="0" fontId="0" fillId="0" borderId="0"/>
    <xf numFmtId="164" fontId="14" fillId="0" borderId="0" applyFont="0" applyFill="0" applyBorder="0" applyAlignment="0" applyProtection="0"/>
    <xf numFmtId="0" fontId="40" fillId="0" borderId="0" applyNumberFormat="0" applyFill="0" applyBorder="0" applyAlignment="0" applyProtection="0"/>
    <xf numFmtId="0" fontId="43" fillId="0" borderId="0"/>
    <xf numFmtId="0" fontId="43" fillId="0" borderId="0"/>
    <xf numFmtId="0" fontId="46" fillId="0" borderId="0"/>
    <xf numFmtId="0" fontId="46" fillId="0" borderId="0"/>
    <xf numFmtId="0" fontId="43" fillId="0" borderId="0"/>
    <xf numFmtId="9" fontId="14" fillId="0" borderId="0" applyFont="0" applyFill="0" applyBorder="0" applyAlignment="0" applyProtection="0"/>
  </cellStyleXfs>
  <cellXfs count="814">
    <xf numFmtId="0" fontId="0" fillId="0" borderId="0" xfId="0"/>
    <xf numFmtId="0" fontId="2" fillId="0" borderId="0" xfId="0" applyFont="1"/>
    <xf numFmtId="0" fontId="0" fillId="4" borderId="0" xfId="0" applyFill="1" applyAlignment="1">
      <alignment horizontal="center" vertical="top"/>
    </xf>
    <xf numFmtId="0" fontId="0" fillId="4" borderId="0" xfId="0" applyFill="1" applyAlignment="1">
      <alignment horizontal="left" vertical="top"/>
    </xf>
    <xf numFmtId="0" fontId="0" fillId="4" borderId="0" xfId="0" applyFill="1" applyAlignment="1">
      <alignment horizontal="left" vertical="top" wrapText="1"/>
    </xf>
    <xf numFmtId="0" fontId="1" fillId="4" borderId="0" xfId="0" applyFont="1" applyFill="1" applyAlignment="1">
      <alignment horizontal="left" vertical="top"/>
    </xf>
    <xf numFmtId="0" fontId="0" fillId="4" borderId="0" xfId="0" applyFill="1" applyAlignment="1">
      <alignment wrapText="1"/>
    </xf>
    <xf numFmtId="0" fontId="0" fillId="4" borderId="0" xfId="0" applyFill="1" applyAlignment="1">
      <alignment vertical="top"/>
    </xf>
    <xf numFmtId="0" fontId="11" fillId="4" borderId="0" xfId="0" applyFont="1" applyFill="1" applyAlignment="1">
      <alignment horizontal="left" vertical="top"/>
    </xf>
    <xf numFmtId="0" fontId="13" fillId="4" borderId="0" xfId="0" applyFont="1" applyFill="1" applyAlignment="1">
      <alignment vertical="top"/>
    </xf>
    <xf numFmtId="49" fontId="8" fillId="4" borderId="0" xfId="0" applyNumberFormat="1" applyFont="1" applyFill="1" applyAlignment="1">
      <alignment horizontal="right" vertical="top" indent="1"/>
    </xf>
    <xf numFmtId="0" fontId="13" fillId="4" borderId="0" xfId="0" applyFont="1" applyFill="1" applyAlignment="1">
      <alignment horizontal="left" vertical="top"/>
    </xf>
    <xf numFmtId="0" fontId="11" fillId="4" borderId="0" xfId="0" applyFont="1" applyFill="1" applyAlignment="1">
      <alignment vertical="top"/>
    </xf>
    <xf numFmtId="0" fontId="0" fillId="4" borderId="0" xfId="0" applyFill="1" applyAlignment="1">
      <alignment vertical="top" wrapText="1"/>
    </xf>
    <xf numFmtId="0" fontId="12" fillId="4" borderId="0" xfId="0" applyFont="1" applyFill="1" applyAlignment="1">
      <alignment horizontal="left" vertical="top"/>
    </xf>
    <xf numFmtId="0" fontId="0" fillId="4" borderId="0" xfId="0" applyFill="1" applyAlignment="1">
      <alignment horizontal="left" vertical="center"/>
    </xf>
    <xf numFmtId="0" fontId="0" fillId="4" borderId="0" xfId="0" applyFill="1" applyAlignment="1">
      <alignment vertical="center"/>
    </xf>
    <xf numFmtId="0" fontId="0" fillId="4" borderId="0" xfId="0" applyFill="1" applyAlignment="1">
      <alignment horizontal="left" vertical="center" wrapText="1"/>
    </xf>
    <xf numFmtId="0" fontId="16" fillId="0" borderId="0" xfId="0" applyFont="1" applyAlignment="1">
      <alignment horizontal="left" indent="1"/>
    </xf>
    <xf numFmtId="0" fontId="18" fillId="11" borderId="0" xfId="0" applyFont="1" applyFill="1" applyAlignment="1">
      <alignment horizontal="center" vertical="center" wrapText="1"/>
    </xf>
    <xf numFmtId="0" fontId="18" fillId="0" borderId="0" xfId="0" applyFont="1"/>
    <xf numFmtId="0" fontId="4" fillId="11" borderId="0" xfId="0" applyFont="1" applyFill="1" applyAlignment="1">
      <alignment horizontal="center" vertical="center"/>
    </xf>
    <xf numFmtId="0" fontId="4" fillId="0" borderId="0" xfId="0" applyFont="1" applyAlignment="1">
      <alignment vertical="center"/>
    </xf>
    <xf numFmtId="0" fontId="18" fillId="5" borderId="2" xfId="0" applyFont="1" applyFill="1" applyBorder="1" applyAlignment="1">
      <alignment horizontal="left" vertical="center"/>
    </xf>
    <xf numFmtId="0" fontId="18" fillId="5" borderId="2" xfId="0" applyFont="1" applyFill="1" applyBorder="1" applyAlignment="1">
      <alignment horizontal="center" vertical="center" wrapText="1"/>
    </xf>
    <xf numFmtId="167" fontId="18" fillId="5" borderId="2" xfId="0" applyNumberFormat="1" applyFont="1" applyFill="1" applyBorder="1" applyAlignment="1">
      <alignment horizontal="center" vertical="center" textRotation="180"/>
    </xf>
    <xf numFmtId="166" fontId="18" fillId="5" borderId="2" xfId="0" applyNumberFormat="1" applyFont="1" applyFill="1" applyBorder="1" applyAlignment="1">
      <alignment horizontal="left" vertical="center" wrapText="1"/>
    </xf>
    <xf numFmtId="0" fontId="18" fillId="0" borderId="0" xfId="0" applyFont="1" applyAlignment="1">
      <alignment horizontal="center" vertical="center"/>
    </xf>
    <xf numFmtId="0" fontId="4" fillId="6" borderId="2" xfId="0" applyFont="1" applyFill="1" applyBorder="1" applyAlignment="1">
      <alignment horizontal="left" vertical="center"/>
    </xf>
    <xf numFmtId="0" fontId="4" fillId="6" borderId="2" xfId="0" applyFont="1" applyFill="1" applyBorder="1" applyAlignment="1">
      <alignment horizontal="center" vertical="center" wrapText="1"/>
    </xf>
    <xf numFmtId="166" fontId="4" fillId="6" borderId="2" xfId="0" applyNumberFormat="1" applyFont="1" applyFill="1" applyBorder="1" applyAlignment="1">
      <alignment vertical="center" wrapText="1"/>
    </xf>
    <xf numFmtId="0" fontId="4" fillId="0" borderId="0" xfId="0" applyFont="1" applyAlignment="1">
      <alignment horizontal="left" vertical="center"/>
    </xf>
    <xf numFmtId="0" fontId="4" fillId="0" borderId="0" xfId="0" applyFont="1"/>
    <xf numFmtId="0" fontId="4" fillId="10" borderId="2" xfId="0" applyFont="1" applyFill="1" applyBorder="1" applyAlignment="1">
      <alignment horizontal="left" vertical="top"/>
    </xf>
    <xf numFmtId="0" fontId="4" fillId="10" borderId="2" xfId="0" applyFont="1" applyFill="1" applyBorder="1" applyAlignment="1">
      <alignment horizontal="center" vertical="top" wrapText="1"/>
    </xf>
    <xf numFmtId="166" fontId="4" fillId="10" borderId="2" xfId="0" applyNumberFormat="1" applyFont="1" applyFill="1" applyBorder="1" applyAlignment="1">
      <alignment vertical="top" wrapText="1"/>
    </xf>
    <xf numFmtId="0" fontId="4" fillId="0" borderId="2" xfId="0" applyFont="1" applyBorder="1" applyAlignment="1">
      <alignment horizontal="left" vertical="top"/>
    </xf>
    <xf numFmtId="0" fontId="4" fillId="0" borderId="2" xfId="0" applyFont="1" applyBorder="1" applyAlignment="1">
      <alignment horizontal="center" vertical="top" wrapText="1"/>
    </xf>
    <xf numFmtId="166" fontId="4" fillId="0" borderId="2" xfId="0" applyNumberFormat="1" applyFont="1" applyBorder="1" applyAlignment="1">
      <alignment vertical="top" wrapText="1"/>
    </xf>
    <xf numFmtId="0" fontId="4" fillId="0" borderId="0" xfId="0" applyFont="1" applyAlignment="1">
      <alignment wrapText="1"/>
    </xf>
    <xf numFmtId="0" fontId="4" fillId="0" borderId="0" xfId="0" applyFont="1" applyAlignment="1">
      <alignment horizontal="center"/>
    </xf>
    <xf numFmtId="0" fontId="4" fillId="0" borderId="0" xfId="0" applyFont="1" applyAlignment="1">
      <alignment horizontal="center" vertical="center" wrapText="1"/>
    </xf>
    <xf numFmtId="0" fontId="18" fillId="10" borderId="7" xfId="0" applyFont="1" applyFill="1" applyBorder="1" applyAlignment="1">
      <alignment horizontal="center"/>
    </xf>
    <xf numFmtId="0" fontId="0" fillId="13" borderId="0" xfId="0" applyFill="1"/>
    <xf numFmtId="0" fontId="1" fillId="13" borderId="0" xfId="0" applyFont="1" applyFill="1"/>
    <xf numFmtId="0" fontId="0" fillId="13" borderId="0" xfId="0" applyFill="1" applyAlignment="1">
      <alignment horizontal="center" vertical="center"/>
    </xf>
    <xf numFmtId="0" fontId="0" fillId="13" borderId="0" xfId="0" applyFill="1" applyAlignment="1">
      <alignment horizontal="center" vertical="center" wrapText="1"/>
    </xf>
    <xf numFmtId="0" fontId="0" fillId="13" borderId="0" xfId="0" applyFill="1" applyAlignment="1">
      <alignment horizontal="left" vertical="center"/>
    </xf>
    <xf numFmtId="0" fontId="15" fillId="2" borderId="8" xfId="0" applyFont="1" applyFill="1" applyBorder="1"/>
    <xf numFmtId="0" fontId="16" fillId="0" borderId="8" xfId="0" applyFont="1" applyBorder="1" applyAlignment="1">
      <alignment horizontal="left" indent="1"/>
    </xf>
    <xf numFmtId="0" fontId="4" fillId="18" borderId="2" xfId="0" applyFont="1" applyFill="1" applyBorder="1" applyAlignment="1">
      <alignment horizontal="left" vertical="top"/>
    </xf>
    <xf numFmtId="0" fontId="4" fillId="18" borderId="2" xfId="0" applyFont="1" applyFill="1" applyBorder="1" applyAlignment="1">
      <alignment horizontal="center" vertical="top" wrapText="1"/>
    </xf>
    <xf numFmtId="166" fontId="4" fillId="18" borderId="2" xfId="0" applyNumberFormat="1" applyFont="1" applyFill="1" applyBorder="1" applyAlignment="1">
      <alignment vertical="top" wrapText="1"/>
    </xf>
    <xf numFmtId="0" fontId="18" fillId="5" borderId="2" xfId="0" applyFont="1" applyFill="1" applyBorder="1" applyAlignment="1">
      <alignment horizontal="right" vertical="center" wrapText="1"/>
    </xf>
    <xf numFmtId="0" fontId="0" fillId="5" borderId="0" xfId="0" applyFill="1"/>
    <xf numFmtId="169" fontId="16" fillId="0" borderId="8" xfId="0" applyNumberFormat="1" applyFont="1" applyBorder="1"/>
    <xf numFmtId="0" fontId="18" fillId="10" borderId="3" xfId="0" applyFont="1" applyFill="1" applyBorder="1"/>
    <xf numFmtId="0" fontId="18" fillId="10" borderId="7" xfId="0" applyFont="1" applyFill="1" applyBorder="1"/>
    <xf numFmtId="0" fontId="18" fillId="10" borderId="7" xfId="0" applyFont="1" applyFill="1" applyBorder="1" applyAlignment="1">
      <alignment horizontal="center" vertical="center"/>
    </xf>
    <xf numFmtId="0" fontId="18" fillId="10" borderId="4" xfId="0" applyFont="1" applyFill="1" applyBorder="1" applyAlignment="1">
      <alignment horizontal="center" vertical="center"/>
    </xf>
    <xf numFmtId="0" fontId="18" fillId="19" borderId="2" xfId="0" applyFont="1" applyFill="1" applyBorder="1" applyAlignment="1">
      <alignment horizontal="right" vertical="center" wrapText="1"/>
    </xf>
    <xf numFmtId="0" fontId="18" fillId="19" borderId="2" xfId="0" applyFont="1" applyFill="1" applyBorder="1" applyAlignment="1">
      <alignment horizontal="left" vertical="center"/>
    </xf>
    <xf numFmtId="0" fontId="18" fillId="19" borderId="2" xfId="0" applyFont="1" applyFill="1" applyBorder="1" applyAlignment="1">
      <alignment horizontal="center" vertical="center" wrapText="1"/>
    </xf>
    <xf numFmtId="167" fontId="18" fillId="19" borderId="2" xfId="0" applyNumberFormat="1" applyFont="1" applyFill="1" applyBorder="1" applyAlignment="1">
      <alignment horizontal="center" vertical="center" textRotation="180"/>
    </xf>
    <xf numFmtId="0" fontId="27" fillId="2" borderId="8" xfId="0" applyFont="1" applyFill="1" applyBorder="1"/>
    <xf numFmtId="0" fontId="28" fillId="0" borderId="8" xfId="0" applyFont="1" applyBorder="1" applyAlignment="1">
      <alignment horizontal="left" indent="1"/>
    </xf>
    <xf numFmtId="165" fontId="2" fillId="8" borderId="0" xfId="0" applyNumberFormat="1" applyFont="1" applyFill="1" applyAlignment="1">
      <alignment horizontal="left" vertical="top"/>
    </xf>
    <xf numFmtId="165" fontId="2" fillId="0" borderId="0" xfId="0" applyNumberFormat="1" applyFont="1" applyAlignment="1">
      <alignment horizontal="left" vertical="top"/>
    </xf>
    <xf numFmtId="0" fontId="29" fillId="9" borderId="2" xfId="0" applyFont="1" applyFill="1" applyBorder="1" applyAlignment="1">
      <alignment vertical="top" wrapText="1"/>
    </xf>
    <xf numFmtId="165" fontId="29" fillId="9" borderId="2" xfId="0" applyNumberFormat="1" applyFont="1" applyFill="1" applyBorder="1" applyAlignment="1">
      <alignment horizontal="left" vertical="top" wrapText="1"/>
    </xf>
    <xf numFmtId="0" fontId="9" fillId="0" borderId="0" xfId="0" applyFont="1" applyAlignment="1">
      <alignment vertical="top" wrapText="1"/>
    </xf>
    <xf numFmtId="165" fontId="2" fillId="0" borderId="2" xfId="0" applyNumberFormat="1" applyFont="1" applyBorder="1" applyAlignment="1">
      <alignment horizontal="left" vertical="top" wrapText="1"/>
    </xf>
    <xf numFmtId="165" fontId="2" fillId="0" borderId="0" xfId="0" applyNumberFormat="1" applyFont="1" applyAlignment="1">
      <alignment horizontal="left" vertical="top" wrapText="1"/>
    </xf>
    <xf numFmtId="0" fontId="28" fillId="0" borderId="0" xfId="0" applyFont="1" applyAlignment="1">
      <alignment horizontal="left" indent="1"/>
    </xf>
    <xf numFmtId="0" fontId="20"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0" fillId="0" borderId="0" xfId="0" applyProtection="1">
      <protection locked="0"/>
    </xf>
    <xf numFmtId="170" fontId="23" fillId="0" borderId="0" xfId="0" applyNumberFormat="1" applyFont="1" applyAlignment="1" applyProtection="1">
      <alignment horizontal="center"/>
      <protection locked="0"/>
    </xf>
    <xf numFmtId="170" fontId="25" fillId="0" borderId="0" xfId="0" applyNumberFormat="1" applyFont="1" applyAlignment="1" applyProtection="1">
      <alignment wrapText="1"/>
      <protection locked="0"/>
    </xf>
    <xf numFmtId="0" fontId="4" fillId="0" borderId="0" xfId="0" applyFont="1" applyAlignment="1">
      <alignment horizontal="center" vertical="center"/>
    </xf>
    <xf numFmtId="166" fontId="23" fillId="16" borderId="0" xfId="0" applyNumberFormat="1" applyFont="1" applyFill="1" applyAlignment="1">
      <alignment horizontal="left"/>
    </xf>
    <xf numFmtId="0" fontId="4" fillId="0" borderId="0" xfId="0" applyFont="1" applyAlignment="1" applyProtection="1">
      <alignment horizontal="center" vertical="center" wrapText="1"/>
      <protection locked="0"/>
    </xf>
    <xf numFmtId="0" fontId="18" fillId="0" borderId="0" xfId="0" applyFont="1" applyAlignment="1">
      <alignment horizontal="right" vertical="center"/>
    </xf>
    <xf numFmtId="166" fontId="18" fillId="0" borderId="0" xfId="0" applyNumberFormat="1" applyFont="1" applyAlignment="1">
      <alignment horizontal="left" vertical="center"/>
    </xf>
    <xf numFmtId="0" fontId="18" fillId="6" borderId="2" xfId="0" applyFont="1" applyFill="1" applyBorder="1" applyAlignment="1" applyProtection="1">
      <alignment horizontal="left" vertical="center" wrapText="1"/>
      <protection locked="0"/>
    </xf>
    <xf numFmtId="0" fontId="4" fillId="6" borderId="2" xfId="0" applyFont="1" applyFill="1" applyBorder="1" applyAlignment="1" applyProtection="1">
      <alignment horizontal="left" vertical="center" wrapText="1"/>
      <protection locked="0"/>
    </xf>
    <xf numFmtId="0" fontId="4" fillId="6" borderId="2" xfId="0" applyFont="1" applyFill="1" applyBorder="1" applyAlignment="1" applyProtection="1">
      <alignment horizontal="center" vertical="center" wrapText="1"/>
      <protection locked="0"/>
    </xf>
    <xf numFmtId="0" fontId="4" fillId="6" borderId="2" xfId="0" applyFont="1" applyFill="1" applyBorder="1" applyAlignment="1" applyProtection="1">
      <alignment horizontal="center" vertical="center"/>
      <protection locked="0"/>
    </xf>
    <xf numFmtId="0" fontId="4" fillId="10" borderId="2" xfId="0" applyFont="1" applyFill="1" applyBorder="1" applyAlignment="1" applyProtection="1">
      <alignment horizontal="left" vertical="top" wrapText="1"/>
      <protection locked="0"/>
    </xf>
    <xf numFmtId="0" fontId="4" fillId="10" borderId="2" xfId="0" applyFont="1" applyFill="1" applyBorder="1" applyAlignment="1" applyProtection="1">
      <alignment horizontal="center" vertical="top" wrapText="1"/>
      <protection locked="0"/>
    </xf>
    <xf numFmtId="0" fontId="4" fillId="10" borderId="2" xfId="0" applyFont="1" applyFill="1" applyBorder="1" applyAlignment="1" applyProtection="1">
      <alignment horizontal="center" vertical="top"/>
      <protection locked="0"/>
    </xf>
    <xf numFmtId="0" fontId="4" fillId="18" borderId="2" xfId="0" applyFont="1" applyFill="1" applyBorder="1" applyAlignment="1" applyProtection="1">
      <alignment horizontal="left" vertical="top" wrapText="1"/>
      <protection locked="0"/>
    </xf>
    <xf numFmtId="0" fontId="4" fillId="18" borderId="2" xfId="0" applyFont="1" applyFill="1" applyBorder="1" applyAlignment="1" applyProtection="1">
      <alignment horizontal="center" vertical="top" wrapText="1"/>
      <protection locked="0"/>
    </xf>
    <xf numFmtId="0" fontId="4" fillId="18" borderId="2" xfId="0" applyFont="1" applyFill="1" applyBorder="1" applyAlignment="1" applyProtection="1">
      <alignment horizontal="center" vertical="top"/>
      <protection locked="0"/>
    </xf>
    <xf numFmtId="0" fontId="20" fillId="0" borderId="2" xfId="0" applyFont="1" applyBorder="1" applyAlignment="1" applyProtection="1">
      <alignment horizontal="left" vertical="top" wrapText="1"/>
      <protection locked="0"/>
    </xf>
    <xf numFmtId="166" fontId="20" fillId="0" borderId="2" xfId="0" applyNumberFormat="1" applyFont="1" applyBorder="1" applyAlignment="1" applyProtection="1">
      <alignment horizontal="left" vertical="top" wrapText="1"/>
      <protection locked="0"/>
    </xf>
    <xf numFmtId="0" fontId="20" fillId="0" borderId="2" xfId="0" applyFont="1" applyBorder="1" applyAlignment="1" applyProtection="1">
      <alignment horizontal="center" vertical="top" wrapText="1"/>
      <protection locked="0"/>
    </xf>
    <xf numFmtId="0" fontId="20" fillId="0" borderId="2" xfId="0" applyFont="1" applyBorder="1" applyAlignment="1" applyProtection="1">
      <alignment horizontal="center" vertical="top"/>
      <protection locked="0"/>
    </xf>
    <xf numFmtId="0" fontId="4" fillId="10" borderId="2" xfId="0" applyFont="1" applyFill="1" applyBorder="1" applyAlignment="1" applyProtection="1">
      <alignment vertical="top" wrapText="1"/>
      <protection locked="0"/>
    </xf>
    <xf numFmtId="0" fontId="4" fillId="18" borderId="2" xfId="0" applyFont="1" applyFill="1" applyBorder="1" applyAlignment="1" applyProtection="1">
      <alignment vertical="top" wrapText="1"/>
      <protection locked="0"/>
    </xf>
    <xf numFmtId="0" fontId="20" fillId="0" borderId="2" xfId="0" applyFont="1" applyBorder="1" applyAlignment="1" applyProtection="1">
      <alignment vertical="top" wrapText="1"/>
      <protection locked="0"/>
    </xf>
    <xf numFmtId="166" fontId="18" fillId="19" borderId="2" xfId="0" applyNumberFormat="1" applyFont="1" applyFill="1" applyBorder="1" applyAlignment="1">
      <alignment horizontal="left" vertical="center" wrapText="1"/>
    </xf>
    <xf numFmtId="0" fontId="17" fillId="0" borderId="7" xfId="0" applyFont="1" applyBorder="1" applyAlignment="1">
      <alignment vertical="center" wrapText="1"/>
    </xf>
    <xf numFmtId="0" fontId="17" fillId="0" borderId="0" xfId="0" applyFont="1" applyAlignment="1">
      <alignment horizontal="center" vertical="center" wrapText="1"/>
    </xf>
    <xf numFmtId="0" fontId="17" fillId="0" borderId="7" xfId="0" applyFont="1" applyBorder="1"/>
    <xf numFmtId="0" fontId="17" fillId="0" borderId="7" xfId="0" applyFont="1" applyBorder="1" applyAlignment="1">
      <alignment horizontal="left" vertical="center"/>
    </xf>
    <xf numFmtId="0" fontId="17" fillId="0" borderId="7" xfId="0" applyFont="1" applyBorder="1" applyAlignment="1">
      <alignment wrapText="1"/>
    </xf>
    <xf numFmtId="0" fontId="17" fillId="0" borderId="7" xfId="0" applyFont="1" applyBorder="1" applyAlignment="1">
      <alignment horizontal="center" vertical="center" wrapText="1"/>
    </xf>
    <xf numFmtId="0" fontId="17" fillId="0" borderId="7" xfId="0" applyFont="1" applyBorder="1" applyAlignment="1">
      <alignment horizontal="center"/>
    </xf>
    <xf numFmtId="0" fontId="17" fillId="11" borderId="0" xfId="0" applyFont="1" applyFill="1" applyAlignment="1">
      <alignment horizontal="center" vertical="center"/>
    </xf>
    <xf numFmtId="0" fontId="17" fillId="0" borderId="0" xfId="0" applyFont="1"/>
    <xf numFmtId="0" fontId="21" fillId="0" borderId="7" xfId="0" applyFont="1" applyBorder="1" applyAlignment="1">
      <alignment horizontal="left" vertical="center" wrapText="1"/>
    </xf>
    <xf numFmtId="0" fontId="17" fillId="0" borderId="7" xfId="0" applyFont="1" applyBorder="1" applyAlignment="1">
      <alignment horizontal="left" vertical="center" wrapText="1"/>
    </xf>
    <xf numFmtId="0" fontId="17" fillId="0" borderId="7" xfId="0" applyFont="1" applyBorder="1" applyAlignment="1">
      <alignment horizontal="center" vertical="center"/>
    </xf>
    <xf numFmtId="0" fontId="17" fillId="0" borderId="0" xfId="0" applyFont="1" applyAlignment="1">
      <alignment horizontal="left" vertical="center"/>
    </xf>
    <xf numFmtId="0" fontId="17" fillId="0" borderId="0" xfId="0" applyFont="1" applyAlignment="1">
      <alignment wrapText="1"/>
    </xf>
    <xf numFmtId="0" fontId="17" fillId="0" borderId="0" xfId="0" applyFont="1" applyAlignment="1">
      <alignment horizontal="center"/>
    </xf>
    <xf numFmtId="0" fontId="18" fillId="5" borderId="0" xfId="0" applyFont="1" applyFill="1" applyAlignment="1">
      <alignment horizontal="center" vertical="center"/>
    </xf>
    <xf numFmtId="1" fontId="23" fillId="11" borderId="0" xfId="0" applyNumberFormat="1" applyFont="1" applyFill="1" applyAlignment="1">
      <alignment horizontal="center" vertical="center"/>
    </xf>
    <xf numFmtId="0" fontId="23" fillId="11" borderId="0" xfId="0" applyFont="1" applyFill="1" applyAlignment="1">
      <alignment horizontal="center"/>
    </xf>
    <xf numFmtId="0" fontId="20" fillId="11" borderId="0" xfId="0" applyFont="1" applyFill="1" applyAlignment="1">
      <alignment horizontal="center" vertical="center"/>
    </xf>
    <xf numFmtId="0" fontId="23" fillId="11" borderId="0" xfId="0" applyFont="1" applyFill="1"/>
    <xf numFmtId="0" fontId="23" fillId="11" borderId="0" xfId="0" applyFont="1" applyFill="1" applyAlignment="1">
      <alignment wrapText="1"/>
    </xf>
    <xf numFmtId="0" fontId="23" fillId="11" borderId="0" xfId="0" applyFont="1" applyFill="1" applyAlignment="1">
      <alignment horizontal="center" vertical="center" wrapText="1"/>
    </xf>
    <xf numFmtId="170" fontId="23" fillId="11" borderId="0" xfId="0" applyNumberFormat="1" applyFont="1" applyFill="1" applyAlignment="1">
      <alignment horizontal="right"/>
    </xf>
    <xf numFmtId="166" fontId="23" fillId="6" borderId="0" xfId="0" applyNumberFormat="1" applyFont="1" applyFill="1" applyAlignment="1">
      <alignment horizontal="left"/>
    </xf>
    <xf numFmtId="0" fontId="18" fillId="11" borderId="2" xfId="0" applyFont="1" applyFill="1" applyBorder="1" applyAlignment="1">
      <alignment horizontal="center" vertical="center" wrapText="1"/>
    </xf>
    <xf numFmtId="0" fontId="4" fillId="11" borderId="0" xfId="0" applyFont="1" applyFill="1" applyAlignment="1">
      <alignment horizontal="center" vertical="center" wrapText="1"/>
    </xf>
    <xf numFmtId="170" fontId="4" fillId="11" borderId="0" xfId="0" applyNumberFormat="1" applyFont="1" applyFill="1" applyAlignment="1">
      <alignment horizontal="right" vertical="center"/>
    </xf>
    <xf numFmtId="172" fontId="23" fillId="6" borderId="0" xfId="0" applyNumberFormat="1" applyFont="1" applyFill="1" applyAlignment="1">
      <alignment horizontal="right" wrapText="1"/>
    </xf>
    <xf numFmtId="0" fontId="18" fillId="5" borderId="2" xfId="0" applyFont="1" applyFill="1" applyBorder="1" applyAlignment="1">
      <alignment wrapText="1"/>
    </xf>
    <xf numFmtId="166" fontId="18" fillId="0" borderId="2" xfId="0" applyNumberFormat="1" applyFont="1" applyBorder="1" applyAlignment="1">
      <alignment horizontal="left" vertical="center" wrapText="1"/>
    </xf>
    <xf numFmtId="0" fontId="18" fillId="10" borderId="7" xfId="0" applyFont="1" applyFill="1" applyBorder="1" applyAlignment="1">
      <alignment wrapText="1"/>
    </xf>
    <xf numFmtId="0" fontId="18" fillId="19" borderId="2" xfId="0" applyFont="1" applyFill="1" applyBorder="1" applyAlignment="1">
      <alignment wrapText="1"/>
    </xf>
    <xf numFmtId="0" fontId="18" fillId="0" borderId="0" xfId="0" applyFont="1" applyAlignment="1" applyProtection="1">
      <alignment horizontal="center" vertical="center"/>
      <protection locked="0"/>
    </xf>
    <xf numFmtId="170" fontId="4" fillId="0" borderId="0" xfId="0" applyNumberFormat="1" applyFont="1" applyAlignment="1" applyProtection="1">
      <alignment horizontal="right" vertical="center"/>
      <protection locked="0"/>
    </xf>
    <xf numFmtId="170" fontId="4" fillId="0" borderId="0" xfId="0" applyNumberFormat="1" applyFont="1" applyAlignment="1" applyProtection="1">
      <alignment horizontal="center" vertical="center"/>
      <protection locked="0"/>
    </xf>
    <xf numFmtId="0" fontId="18" fillId="6" borderId="0" xfId="0" applyFont="1" applyFill="1" applyAlignment="1">
      <alignment horizontal="center" vertical="center"/>
    </xf>
    <xf numFmtId="0" fontId="4" fillId="6" borderId="0" xfId="0" applyFont="1" applyFill="1" applyAlignment="1">
      <alignment horizontal="center" vertical="center"/>
    </xf>
    <xf numFmtId="0" fontId="18" fillId="5" borderId="0" xfId="0" applyFont="1" applyFill="1" applyAlignment="1">
      <alignment horizontal="left" vertical="center"/>
    </xf>
    <xf numFmtId="15" fontId="18" fillId="0" borderId="0" xfId="0" applyNumberFormat="1" applyFont="1" applyAlignment="1" applyProtection="1">
      <alignment horizontal="center" vertical="center"/>
      <protection locked="0"/>
    </xf>
    <xf numFmtId="1" fontId="22" fillId="11" borderId="0" xfId="0" applyNumberFormat="1" applyFont="1" applyFill="1" applyAlignment="1">
      <alignment horizontal="center" vertical="center"/>
    </xf>
    <xf numFmtId="0" fontId="22" fillId="11" borderId="0" xfId="0" applyFont="1" applyFill="1" applyAlignment="1">
      <alignment horizontal="center" vertical="center"/>
    </xf>
    <xf numFmtId="1" fontId="22" fillId="11" borderId="0" xfId="0" applyNumberFormat="1" applyFont="1" applyFill="1" applyAlignment="1">
      <alignment horizontal="left" vertical="center"/>
    </xf>
    <xf numFmtId="0" fontId="23" fillId="11" borderId="0" xfId="0" applyFont="1" applyFill="1" applyAlignment="1">
      <alignment horizontal="center" vertical="center"/>
    </xf>
    <xf numFmtId="1" fontId="23" fillId="11" borderId="0" xfId="0" applyNumberFormat="1" applyFont="1" applyFill="1" applyAlignment="1">
      <alignment horizontal="right" vertical="center"/>
    </xf>
    <xf numFmtId="1" fontId="23" fillId="11" borderId="0" xfId="0" applyNumberFormat="1" applyFont="1" applyFill="1" applyAlignment="1">
      <alignment horizontal="center" vertical="center" wrapText="1"/>
    </xf>
    <xf numFmtId="15" fontId="22" fillId="11" borderId="0" xfId="0" applyNumberFormat="1" applyFont="1" applyFill="1" applyAlignment="1">
      <alignment horizontal="center" vertical="center"/>
    </xf>
    <xf numFmtId="170" fontId="22" fillId="6" borderId="0" xfId="0" applyNumberFormat="1" applyFont="1" applyFill="1" applyAlignment="1">
      <alignment horizontal="center" wrapText="1"/>
    </xf>
    <xf numFmtId="170" fontId="22" fillId="6" borderId="0" xfId="0" applyNumberFormat="1" applyFont="1" applyFill="1" applyAlignment="1">
      <alignment horizontal="center"/>
    </xf>
    <xf numFmtId="0" fontId="20" fillId="0" borderId="0" xfId="0" applyFont="1" applyAlignment="1">
      <alignment horizontal="center" vertical="center"/>
    </xf>
    <xf numFmtId="0" fontId="30" fillId="9" borderId="2" xfId="0" applyFont="1" applyFill="1" applyBorder="1" applyAlignment="1">
      <alignment horizontal="left" vertical="top" wrapText="1"/>
    </xf>
    <xf numFmtId="0" fontId="30" fillId="9" borderId="2" xfId="0" applyFont="1" applyFill="1" applyBorder="1" applyAlignment="1">
      <alignment horizontal="center" wrapText="1"/>
    </xf>
    <xf numFmtId="0" fontId="0" fillId="5" borderId="2" xfId="0" applyFill="1" applyBorder="1" applyAlignment="1">
      <alignment vertical="center" wrapText="1"/>
    </xf>
    <xf numFmtId="0" fontId="31" fillId="4" borderId="2" xfId="0" applyFont="1" applyFill="1" applyBorder="1" applyAlignment="1">
      <alignment vertical="center" wrapText="1"/>
    </xf>
    <xf numFmtId="0" fontId="2" fillId="4" borderId="0" xfId="0" applyFont="1" applyFill="1" applyAlignment="1">
      <alignment horizontal="left" vertical="top" wrapText="1"/>
    </xf>
    <xf numFmtId="0" fontId="1" fillId="4" borderId="0" xfId="0" applyFont="1" applyFill="1" applyAlignment="1">
      <alignment vertical="top" wrapText="1"/>
    </xf>
    <xf numFmtId="0" fontId="11" fillId="7" borderId="0" xfId="0" applyFont="1" applyFill="1" applyAlignment="1">
      <alignment horizontal="left" vertical="top"/>
    </xf>
    <xf numFmtId="0" fontId="8" fillId="5" borderId="0" xfId="0" applyFont="1" applyFill="1" applyAlignment="1">
      <alignment horizontal="left" vertical="center"/>
    </xf>
    <xf numFmtId="0" fontId="7" fillId="5" borderId="0" xfId="0" applyFont="1" applyFill="1" applyAlignment="1">
      <alignment horizontal="center" vertical="center"/>
    </xf>
    <xf numFmtId="0" fontId="5" fillId="7" borderId="0" xfId="0" applyFont="1" applyFill="1" applyAlignment="1">
      <alignment horizontal="left" vertical="top"/>
    </xf>
    <xf numFmtId="0" fontId="5" fillId="7" borderId="0" xfId="0" applyFont="1" applyFill="1" applyAlignment="1">
      <alignment horizontal="center" vertical="top"/>
    </xf>
    <xf numFmtId="0" fontId="5" fillId="7" borderId="0" xfId="0" applyFont="1" applyFill="1" applyAlignment="1">
      <alignment horizontal="left" vertical="top" wrapText="1"/>
    </xf>
    <xf numFmtId="49" fontId="1" fillId="4" borderId="0" xfId="0" applyNumberFormat="1" applyFont="1" applyFill="1" applyAlignment="1">
      <alignment horizontal="left" vertical="top" indent="1"/>
    </xf>
    <xf numFmtId="0" fontId="1" fillId="4" borderId="0" xfId="0" applyFont="1" applyFill="1" applyAlignment="1">
      <alignment horizontal="left" vertical="top" wrapText="1"/>
    </xf>
    <xf numFmtId="0" fontId="7" fillId="5" borderId="0" xfId="0" applyFont="1" applyFill="1" applyAlignment="1">
      <alignment horizontal="left" vertical="center"/>
    </xf>
    <xf numFmtId="0" fontId="7" fillId="5" borderId="0" xfId="0" applyFont="1" applyFill="1" applyAlignment="1">
      <alignment horizontal="left" vertical="center" wrapText="1"/>
    </xf>
    <xf numFmtId="0" fontId="7" fillId="5" borderId="0" xfId="0" applyFont="1" applyFill="1" applyAlignment="1">
      <alignment vertical="center"/>
    </xf>
    <xf numFmtId="0" fontId="8" fillId="5" borderId="0" xfId="0" applyFont="1" applyFill="1" applyAlignment="1">
      <alignment vertical="center"/>
    </xf>
    <xf numFmtId="0" fontId="7" fillId="5" borderId="0" xfId="0" applyFont="1" applyFill="1" applyAlignment="1">
      <alignment vertical="center" wrapText="1"/>
    </xf>
    <xf numFmtId="0" fontId="20" fillId="0" borderId="14" xfId="0" applyFont="1" applyBorder="1" applyAlignment="1" applyProtection="1">
      <alignment horizontal="center"/>
      <protection locked="0"/>
    </xf>
    <xf numFmtId="0" fontId="20" fillId="11" borderId="14" xfId="0" applyFont="1" applyFill="1" applyBorder="1" applyAlignment="1">
      <alignment horizontal="center"/>
    </xf>
    <xf numFmtId="0" fontId="20" fillId="0" borderId="14" xfId="0" applyFont="1" applyBorder="1" applyAlignment="1" applyProtection="1">
      <alignment horizontal="center" vertical="center"/>
      <protection locked="0"/>
    </xf>
    <xf numFmtId="0" fontId="20" fillId="11" borderId="14" xfId="0" applyFont="1" applyFill="1" applyBorder="1" applyAlignment="1">
      <alignment horizontal="center" vertical="center"/>
    </xf>
    <xf numFmtId="0" fontId="20" fillId="0" borderId="16" xfId="0" applyFont="1" applyBorder="1" applyAlignment="1" applyProtection="1">
      <alignment horizontal="center"/>
      <protection locked="0"/>
    </xf>
    <xf numFmtId="0" fontId="20" fillId="0" borderId="16" xfId="0" applyFont="1" applyBorder="1" applyAlignment="1" applyProtection="1">
      <alignment horizontal="center" vertical="center"/>
      <protection locked="0"/>
    </xf>
    <xf numFmtId="0" fontId="20" fillId="11" borderId="16" xfId="0" applyFont="1" applyFill="1" applyBorder="1" applyAlignment="1">
      <alignment horizontal="center"/>
    </xf>
    <xf numFmtId="0" fontId="20" fillId="0" borderId="17" xfId="0" applyFont="1" applyBorder="1" applyAlignment="1" applyProtection="1">
      <alignment horizontal="center"/>
      <protection locked="0"/>
    </xf>
    <xf numFmtId="0" fontId="20" fillId="11" borderId="17" xfId="0" applyFont="1" applyFill="1" applyBorder="1" applyAlignment="1">
      <alignment horizontal="center"/>
    </xf>
    <xf numFmtId="0" fontId="20" fillId="0" borderId="17" xfId="0" applyFont="1" applyBorder="1" applyAlignment="1" applyProtection="1">
      <alignment horizontal="center" vertical="center"/>
      <protection locked="0"/>
    </xf>
    <xf numFmtId="0" fontId="20" fillId="0" borderId="18" xfId="0" applyFont="1" applyBorder="1" applyAlignment="1" applyProtection="1">
      <alignment horizontal="center"/>
      <protection locked="0"/>
    </xf>
    <xf numFmtId="0" fontId="20" fillId="0" borderId="18" xfId="0" applyFont="1" applyBorder="1" applyAlignment="1" applyProtection="1">
      <alignment horizontal="center" vertical="center"/>
      <protection locked="0"/>
    </xf>
    <xf numFmtId="0" fontId="20" fillId="11" borderId="18" xfId="0" applyFont="1" applyFill="1" applyBorder="1" applyAlignment="1">
      <alignment horizontal="center"/>
    </xf>
    <xf numFmtId="0" fontId="20" fillId="11" borderId="15" xfId="0" applyFont="1" applyFill="1" applyBorder="1" applyAlignment="1">
      <alignment horizontal="center" vertical="center"/>
    </xf>
    <xf numFmtId="168" fontId="18" fillId="11" borderId="15" xfId="0" applyNumberFormat="1" applyFont="1" applyFill="1" applyBorder="1"/>
    <xf numFmtId="0" fontId="23" fillId="0" borderId="0" xfId="0" applyFont="1" applyAlignment="1">
      <alignment horizontal="center" vertical="center"/>
    </xf>
    <xf numFmtId="0" fontId="23" fillId="0" borderId="0" xfId="0" applyFont="1" applyAlignment="1" applyProtection="1">
      <alignment horizontal="center" vertical="center"/>
      <protection locked="0"/>
    </xf>
    <xf numFmtId="166" fontId="23" fillId="16" borderId="0" xfId="0" applyNumberFormat="1" applyFont="1" applyFill="1" applyAlignment="1">
      <alignment horizontal="right"/>
    </xf>
    <xf numFmtId="166" fontId="4" fillId="4" borderId="0" xfId="0" applyNumberFormat="1" applyFont="1" applyFill="1" applyAlignment="1">
      <alignment horizontal="right" vertical="center"/>
    </xf>
    <xf numFmtId="166" fontId="23" fillId="6" borderId="0" xfId="0" applyNumberFormat="1" applyFont="1" applyFill="1" applyAlignment="1">
      <alignment horizontal="left" wrapText="1"/>
    </xf>
    <xf numFmtId="166" fontId="22" fillId="11" borderId="0" xfId="0" applyNumberFormat="1" applyFont="1" applyFill="1" applyAlignment="1">
      <alignment horizontal="right"/>
    </xf>
    <xf numFmtId="15" fontId="18" fillId="11" borderId="20" xfId="0" applyNumberFormat="1" applyFont="1" applyFill="1" applyBorder="1" applyAlignment="1">
      <alignment horizontal="center" vertical="center"/>
    </xf>
    <xf numFmtId="0" fontId="18" fillId="17" borderId="19" xfId="0" applyFont="1" applyFill="1" applyBorder="1" applyAlignment="1">
      <alignment horizontal="left" vertical="center"/>
    </xf>
    <xf numFmtId="15" fontId="22" fillId="14" borderId="19" xfId="0" applyNumberFormat="1" applyFont="1" applyFill="1" applyBorder="1" applyAlignment="1">
      <alignment horizontal="center" vertical="center"/>
    </xf>
    <xf numFmtId="15" fontId="23" fillId="11" borderId="19" xfId="0" applyNumberFormat="1" applyFont="1" applyFill="1" applyBorder="1" applyAlignment="1">
      <alignment horizontal="center" vertical="center"/>
    </xf>
    <xf numFmtId="0" fontId="22" fillId="0" borderId="0" xfId="0" applyFont="1" applyAlignment="1">
      <alignment horizontal="center" vertical="center"/>
    </xf>
    <xf numFmtId="166" fontId="22" fillId="0" borderId="0" xfId="0" applyNumberFormat="1" applyFont="1" applyAlignment="1">
      <alignment horizontal="right"/>
    </xf>
    <xf numFmtId="170" fontId="23" fillId="0" borderId="0" xfId="0" applyNumberFormat="1" applyFont="1" applyAlignment="1">
      <alignment horizontal="right"/>
    </xf>
    <xf numFmtId="170" fontId="25" fillId="0" borderId="0" xfId="0" applyNumberFormat="1" applyFont="1" applyAlignment="1">
      <alignment wrapText="1"/>
    </xf>
    <xf numFmtId="0" fontId="23" fillId="0" borderId="0" xfId="0" applyFont="1" applyAlignment="1">
      <alignment horizontal="center" vertical="center" wrapText="1"/>
    </xf>
    <xf numFmtId="15" fontId="22" fillId="0" borderId="0" xfId="0" applyNumberFormat="1" applyFont="1" applyAlignment="1">
      <alignment horizontal="center" vertical="center"/>
    </xf>
    <xf numFmtId="0" fontId="23" fillId="0" borderId="0" xfId="0" applyFont="1" applyAlignment="1">
      <alignment horizontal="center"/>
    </xf>
    <xf numFmtId="166" fontId="22" fillId="0" borderId="0" xfId="0" applyNumberFormat="1" applyFont="1" applyAlignment="1" applyProtection="1">
      <alignment horizontal="right"/>
      <protection locked="0"/>
    </xf>
    <xf numFmtId="15" fontId="18" fillId="21" borderId="20" xfId="0" applyNumberFormat="1" applyFont="1" applyFill="1" applyBorder="1" applyAlignment="1" applyProtection="1">
      <alignment horizontal="left" vertical="center"/>
      <protection locked="0"/>
    </xf>
    <xf numFmtId="168" fontId="22" fillId="21" borderId="15" xfId="0" applyNumberFormat="1" applyFont="1" applyFill="1" applyBorder="1" applyAlignment="1" applyProtection="1">
      <alignment horizontal="left" vertical="center"/>
      <protection locked="0"/>
    </xf>
    <xf numFmtId="168" fontId="22" fillId="22" borderId="15" xfId="0" applyNumberFormat="1" applyFont="1" applyFill="1" applyBorder="1" applyAlignment="1" applyProtection="1">
      <alignment horizontal="left" vertical="center"/>
      <protection locked="0"/>
    </xf>
    <xf numFmtId="1" fontId="22" fillId="11" borderId="14" xfId="0" applyNumberFormat="1" applyFont="1" applyFill="1" applyBorder="1" applyAlignment="1">
      <alignment horizontal="center" vertical="center"/>
    </xf>
    <xf numFmtId="15" fontId="22" fillId="11" borderId="14" xfId="0" applyNumberFormat="1" applyFont="1" applyFill="1" applyBorder="1" applyAlignment="1">
      <alignment horizontal="center" vertical="center"/>
    </xf>
    <xf numFmtId="1" fontId="23" fillId="11" borderId="14" xfId="0" applyNumberFormat="1" applyFont="1" applyFill="1" applyBorder="1" applyAlignment="1">
      <alignment horizontal="center" vertical="center"/>
    </xf>
    <xf numFmtId="0" fontId="23" fillId="11" borderId="14" xfId="0" applyFont="1" applyFill="1" applyBorder="1" applyAlignment="1">
      <alignment horizontal="center" vertical="center"/>
    </xf>
    <xf numFmtId="1" fontId="23" fillId="11" borderId="14" xfId="0" applyNumberFormat="1" applyFont="1" applyFill="1" applyBorder="1" applyAlignment="1">
      <alignment horizontal="center"/>
    </xf>
    <xf numFmtId="0" fontId="23" fillId="11" borderId="14" xfId="0" applyFont="1" applyFill="1" applyBorder="1" applyAlignment="1">
      <alignment horizontal="center"/>
    </xf>
    <xf numFmtId="168" fontId="33" fillId="22" borderId="15" xfId="0" applyNumberFormat="1" applyFont="1" applyFill="1" applyBorder="1" applyAlignment="1" applyProtection="1">
      <alignment horizontal="center" vertical="center" wrapText="1"/>
      <protection locked="0"/>
    </xf>
    <xf numFmtId="15" fontId="34" fillId="21" borderId="20" xfId="0" applyNumberFormat="1" applyFont="1" applyFill="1" applyBorder="1" applyAlignment="1" applyProtection="1">
      <alignment horizontal="center" vertical="center" wrapText="1"/>
      <protection locked="0"/>
    </xf>
    <xf numFmtId="0" fontId="34" fillId="21" borderId="15" xfId="0" applyFont="1" applyFill="1" applyBorder="1" applyAlignment="1" applyProtection="1">
      <alignment horizontal="center" vertical="center" wrapText="1"/>
      <protection locked="0"/>
    </xf>
    <xf numFmtId="168" fontId="34" fillId="21" borderId="15" xfId="0" applyNumberFormat="1" applyFont="1" applyFill="1" applyBorder="1" applyAlignment="1" applyProtection="1">
      <alignment horizontal="center" vertical="center" wrapText="1"/>
      <protection locked="0"/>
    </xf>
    <xf numFmtId="0" fontId="4" fillId="5" borderId="0" xfId="0" applyFont="1" applyFill="1" applyAlignment="1" applyProtection="1">
      <alignment horizontal="center" vertical="center"/>
      <protection locked="0"/>
    </xf>
    <xf numFmtId="0" fontId="4" fillId="5" borderId="0" xfId="0" applyFont="1" applyFill="1" applyAlignment="1">
      <alignment horizontal="center" vertical="center"/>
    </xf>
    <xf numFmtId="0" fontId="23" fillId="5" borderId="0" xfId="0" applyFont="1" applyFill="1" applyAlignment="1" applyProtection="1">
      <alignment horizontal="center" vertical="center"/>
      <protection locked="0"/>
    </xf>
    <xf numFmtId="0" fontId="18" fillId="5" borderId="0" xfId="0" applyFont="1" applyFill="1" applyAlignment="1">
      <alignment horizontal="right" vertical="center"/>
    </xf>
    <xf numFmtId="9" fontId="24" fillId="5" borderId="0" xfId="0" applyNumberFormat="1" applyFont="1" applyFill="1" applyAlignment="1">
      <alignment horizontal="right" vertical="center"/>
    </xf>
    <xf numFmtId="0" fontId="8" fillId="5" borderId="0" xfId="0" applyFont="1" applyFill="1" applyAlignment="1">
      <alignment vertical="center" wrapText="1"/>
    </xf>
    <xf numFmtId="0" fontId="18" fillId="5" borderId="0" xfId="0" applyFont="1" applyFill="1" applyAlignment="1">
      <alignment horizontal="center" vertical="center" wrapText="1"/>
    </xf>
    <xf numFmtId="0" fontId="23" fillId="5" borderId="0" xfId="0" applyFont="1" applyFill="1" applyAlignment="1">
      <alignment horizontal="center" vertical="center"/>
    </xf>
    <xf numFmtId="169" fontId="24" fillId="5" borderId="0" xfId="0" applyNumberFormat="1" applyFont="1" applyFill="1" applyAlignment="1" applyProtection="1">
      <alignment horizontal="right" vertical="center"/>
      <protection locked="0"/>
    </xf>
    <xf numFmtId="169" fontId="24" fillId="5" borderId="0" xfId="0" applyNumberFormat="1" applyFont="1" applyFill="1" applyAlignment="1">
      <alignment horizontal="right" vertical="center"/>
    </xf>
    <xf numFmtId="0" fontId="20" fillId="11" borderId="16" xfId="0" applyFont="1" applyFill="1" applyBorder="1" applyAlignment="1">
      <alignment horizontal="left" vertical="center"/>
    </xf>
    <xf numFmtId="0" fontId="20" fillId="0" borderId="28" xfId="0" applyFont="1" applyBorder="1" applyAlignment="1">
      <alignment horizontal="left" vertical="center"/>
    </xf>
    <xf numFmtId="0" fontId="20" fillId="0" borderId="28" xfId="0" applyFont="1" applyBorder="1" applyAlignment="1">
      <alignment horizontal="center" vertical="center"/>
    </xf>
    <xf numFmtId="0" fontId="20" fillId="0" borderId="28" xfId="0" applyFont="1" applyBorder="1" applyAlignment="1">
      <alignment horizontal="center"/>
    </xf>
    <xf numFmtId="0" fontId="20" fillId="11" borderId="28" xfId="0" applyFont="1" applyFill="1" applyBorder="1" applyAlignment="1">
      <alignment horizontal="center"/>
    </xf>
    <xf numFmtId="0" fontId="36" fillId="5" borderId="4" xfId="0" applyFont="1" applyFill="1" applyBorder="1" applyAlignment="1">
      <alignment horizontal="center" vertical="center" wrapText="1"/>
    </xf>
    <xf numFmtId="0" fontId="37" fillId="19" borderId="4" xfId="0" applyFont="1" applyFill="1" applyBorder="1" applyAlignment="1">
      <alignment horizontal="center" vertical="center" wrapText="1"/>
    </xf>
    <xf numFmtId="0" fontId="27" fillId="0" borderId="29" xfId="0" applyFont="1" applyBorder="1" applyAlignment="1">
      <alignment wrapText="1"/>
    </xf>
    <xf numFmtId="1" fontId="28" fillId="0" borderId="29" xfId="1" applyNumberFormat="1" applyFont="1" applyBorder="1" applyAlignment="1">
      <alignment horizontal="left" indent="1"/>
    </xf>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1" fontId="28" fillId="0" borderId="0" xfId="1" applyNumberFormat="1" applyFont="1" applyAlignment="1">
      <alignment horizontal="left" indent="1"/>
    </xf>
    <xf numFmtId="0" fontId="15" fillId="0" borderId="0" xfId="0" applyFont="1"/>
    <xf numFmtId="1" fontId="16" fillId="0" borderId="8" xfId="0" applyNumberFormat="1" applyFont="1" applyBorder="1" applyAlignment="1">
      <alignment horizontal="left" indent="1"/>
    </xf>
    <xf numFmtId="0" fontId="30" fillId="4" borderId="30" xfId="0" applyFont="1" applyFill="1" applyBorder="1" applyAlignment="1">
      <alignment horizontal="left" wrapText="1"/>
    </xf>
    <xf numFmtId="0" fontId="10" fillId="4" borderId="30" xfId="0" applyFont="1" applyFill="1" applyBorder="1" applyAlignment="1">
      <alignment horizontal="left" vertical="center" wrapText="1"/>
    </xf>
    <xf numFmtId="0" fontId="0" fillId="4" borderId="1" xfId="0" applyFill="1" applyBorder="1"/>
    <xf numFmtId="0" fontId="0" fillId="4" borderId="0" xfId="0" applyFill="1"/>
    <xf numFmtId="0" fontId="2" fillId="4" borderId="0" xfId="0" applyFont="1" applyFill="1" applyAlignment="1">
      <alignment horizontal="left" vertical="top"/>
    </xf>
    <xf numFmtId="0" fontId="4" fillId="4" borderId="0" xfId="0" applyFont="1" applyFill="1" applyAlignment="1">
      <alignment wrapText="1"/>
    </xf>
    <xf numFmtId="0" fontId="9" fillId="4" borderId="0" xfId="0" applyFont="1" applyFill="1" applyAlignment="1">
      <alignment horizontal="left" vertical="top"/>
    </xf>
    <xf numFmtId="0" fontId="2" fillId="4" borderId="0" xfId="0" applyFont="1" applyFill="1"/>
    <xf numFmtId="0" fontId="9" fillId="3" borderId="2" xfId="0" applyFont="1" applyFill="1" applyBorder="1"/>
    <xf numFmtId="0" fontId="1" fillId="4" borderId="0" xfId="0" applyFont="1" applyFill="1" applyAlignment="1">
      <alignment vertical="top"/>
    </xf>
    <xf numFmtId="0" fontId="9" fillId="5" borderId="2" xfId="0" applyFont="1" applyFill="1" applyBorder="1"/>
    <xf numFmtId="49" fontId="10" fillId="4" borderId="2" xfId="0" applyNumberFormat="1" applyFont="1" applyFill="1" applyBorder="1" applyAlignment="1" applyProtection="1">
      <alignment horizontal="left" vertical="top" wrapText="1" indent="1"/>
      <protection locked="0"/>
    </xf>
    <xf numFmtId="165" fontId="10" fillId="4" borderId="2" xfId="0" applyNumberFormat="1" applyFont="1" applyFill="1" applyBorder="1" applyAlignment="1" applyProtection="1">
      <alignment vertical="top" wrapText="1"/>
      <protection locked="0"/>
    </xf>
    <xf numFmtId="0" fontId="10" fillId="4" borderId="2" xfId="0" applyFont="1" applyFill="1" applyBorder="1" applyAlignment="1" applyProtection="1">
      <alignment horizontal="left" vertical="top" wrapText="1"/>
      <protection locked="0"/>
    </xf>
    <xf numFmtId="0" fontId="10" fillId="4" borderId="2" xfId="0" applyFont="1" applyFill="1" applyBorder="1" applyAlignment="1" applyProtection="1">
      <alignment horizontal="center" vertical="center" wrapText="1"/>
      <protection locked="0"/>
    </xf>
    <xf numFmtId="171" fontId="10" fillId="4" borderId="2" xfId="0" applyNumberFormat="1" applyFont="1" applyFill="1" applyBorder="1" applyAlignment="1" applyProtection="1">
      <alignment horizontal="center" vertical="center" wrapText="1"/>
      <protection locked="0"/>
    </xf>
    <xf numFmtId="0" fontId="27" fillId="0" borderId="29" xfId="0" applyFont="1" applyBorder="1"/>
    <xf numFmtId="0" fontId="4" fillId="24" borderId="0" xfId="0" applyFont="1" applyFill="1" applyAlignment="1" applyProtection="1">
      <alignment horizontal="center" vertical="center"/>
      <protection locked="0"/>
    </xf>
    <xf numFmtId="0" fontId="2" fillId="8" borderId="0" xfId="0" applyFont="1" applyFill="1" applyAlignment="1">
      <alignment vertical="top"/>
    </xf>
    <xf numFmtId="0" fontId="2" fillId="0" borderId="0" xfId="0" applyFont="1" applyAlignment="1">
      <alignment vertical="top"/>
    </xf>
    <xf numFmtId="0" fontId="2" fillId="0" borderId="2" xfId="0" applyFont="1" applyBorder="1" applyAlignment="1">
      <alignment vertical="top" wrapText="1"/>
    </xf>
    <xf numFmtId="0" fontId="2" fillId="0" borderId="0" xfId="0" applyFont="1" applyAlignment="1">
      <alignment vertical="top" wrapText="1"/>
    </xf>
    <xf numFmtId="169" fontId="42" fillId="5" borderId="0" xfId="0" applyNumberFormat="1" applyFont="1" applyFill="1" applyAlignment="1">
      <alignment horizontal="right" vertical="center"/>
    </xf>
    <xf numFmtId="170" fontId="22" fillId="11" borderId="0" xfId="0" applyNumberFormat="1" applyFont="1" applyFill="1" applyAlignment="1">
      <alignment horizontal="center"/>
    </xf>
    <xf numFmtId="170" fontId="22" fillId="11" borderId="0" xfId="0" applyNumberFormat="1" applyFont="1" applyFill="1" applyAlignment="1">
      <alignment horizontal="center" wrapText="1"/>
    </xf>
    <xf numFmtId="166" fontId="23" fillId="11" borderId="0" xfId="0" applyNumberFormat="1" applyFont="1" applyFill="1" applyAlignment="1">
      <alignment horizontal="right"/>
    </xf>
    <xf numFmtId="166" fontId="23" fillId="11" borderId="0" xfId="0" applyNumberFormat="1" applyFont="1" applyFill="1" applyAlignment="1">
      <alignment horizontal="left" wrapText="1"/>
    </xf>
    <xf numFmtId="0" fontId="4" fillId="11" borderId="0" xfId="0" applyFont="1" applyFill="1" applyAlignment="1" applyProtection="1">
      <alignment horizontal="center" vertical="center"/>
      <protection locked="0"/>
    </xf>
    <xf numFmtId="0" fontId="0" fillId="11" borderId="0" xfId="0" applyFill="1" applyProtection="1">
      <protection locked="0"/>
    </xf>
    <xf numFmtId="0" fontId="44" fillId="0" borderId="0" xfId="3" applyFont="1"/>
    <xf numFmtId="0" fontId="44" fillId="0" borderId="0" xfId="3" applyFont="1" applyAlignment="1">
      <alignment horizontal="center"/>
    </xf>
    <xf numFmtId="0" fontId="45" fillId="0" borderId="0" xfId="4" applyFont="1" applyAlignment="1">
      <alignment horizontal="center" vertical="center" wrapText="1"/>
    </xf>
    <xf numFmtId="4" fontId="44" fillId="0" borderId="0" xfId="3" applyNumberFormat="1" applyFont="1" applyAlignment="1">
      <alignment horizontal="center"/>
    </xf>
    <xf numFmtId="2" fontId="49" fillId="27" borderId="31" xfId="4" applyNumberFormat="1" applyFont="1" applyFill="1" applyBorder="1" applyAlignment="1">
      <alignment horizontal="center" vertical="center" wrapText="1"/>
    </xf>
    <xf numFmtId="41" fontId="44" fillId="0" borderId="0" xfId="3" applyNumberFormat="1" applyFont="1"/>
    <xf numFmtId="2" fontId="44" fillId="0" borderId="0" xfId="3" applyNumberFormat="1" applyFont="1"/>
    <xf numFmtId="0" fontId="9" fillId="10" borderId="0" xfId="0" applyFont="1" applyFill="1"/>
    <xf numFmtId="0" fontId="1" fillId="5" borderId="0" xfId="0" applyFont="1" applyFill="1"/>
    <xf numFmtId="166" fontId="4" fillId="0" borderId="0" xfId="0" applyNumberFormat="1" applyFont="1" applyAlignment="1" applyProtection="1">
      <alignment horizontal="center" vertical="center"/>
      <protection locked="0"/>
    </xf>
    <xf numFmtId="0" fontId="23" fillId="0" borderId="0" xfId="0" applyFont="1" applyAlignment="1">
      <alignment horizontal="left" vertical="center"/>
    </xf>
    <xf numFmtId="0" fontId="22"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xf>
    <xf numFmtId="0" fontId="23" fillId="5" borderId="0" xfId="0" applyFont="1" applyFill="1" applyAlignment="1">
      <alignment horizontal="left" vertical="center"/>
    </xf>
    <xf numFmtId="0" fontId="22" fillId="5" borderId="0" xfId="0" applyFont="1" applyFill="1" applyAlignment="1">
      <alignment horizontal="left" vertical="center"/>
    </xf>
    <xf numFmtId="0" fontId="22" fillId="5" borderId="0" xfId="0" applyFont="1" applyFill="1" applyAlignment="1">
      <alignment horizontal="center" vertical="center"/>
    </xf>
    <xf numFmtId="1" fontId="23" fillId="0" borderId="0" xfId="0" applyNumberFormat="1" applyFont="1" applyAlignment="1">
      <alignment horizontal="left" vertical="center" wrapText="1"/>
    </xf>
    <xf numFmtId="0" fontId="23" fillId="13" borderId="0" xfId="0" applyFont="1" applyFill="1" applyAlignment="1">
      <alignment horizontal="center" vertical="center"/>
    </xf>
    <xf numFmtId="0" fontId="22" fillId="13" borderId="0" xfId="0" applyFont="1" applyFill="1" applyAlignment="1">
      <alignment horizontal="center" vertical="center"/>
    </xf>
    <xf numFmtId="0" fontId="23" fillId="13" borderId="0" xfId="0" applyFont="1" applyFill="1" applyAlignment="1">
      <alignment horizontal="center"/>
    </xf>
    <xf numFmtId="0" fontId="23" fillId="11" borderId="0" xfId="0" applyFont="1" applyFill="1" applyAlignment="1">
      <alignment horizontal="left"/>
    </xf>
    <xf numFmtId="15" fontId="50" fillId="11" borderId="20" xfId="0" applyNumberFormat="1" applyFont="1" applyFill="1" applyBorder="1" applyAlignment="1" applyProtection="1">
      <alignment horizontal="center" vertical="center" wrapText="1"/>
      <protection locked="0"/>
    </xf>
    <xf numFmtId="1" fontId="52" fillId="21" borderId="20" xfId="0" applyNumberFormat="1" applyFont="1" applyFill="1" applyBorder="1" applyAlignment="1" applyProtection="1">
      <alignment horizontal="center" vertical="center" wrapText="1"/>
      <protection locked="0"/>
    </xf>
    <xf numFmtId="0" fontId="54" fillId="0" borderId="0" xfId="4" applyFont="1" applyAlignment="1">
      <alignment vertical="center"/>
    </xf>
    <xf numFmtId="0" fontId="54" fillId="0" borderId="0" xfId="4" applyFont="1" applyAlignment="1">
      <alignment horizontal="center" vertical="center"/>
    </xf>
    <xf numFmtId="0" fontId="54" fillId="0" borderId="0" xfId="4" applyFont="1" applyAlignment="1">
      <alignment horizontal="center" vertical="center" wrapText="1"/>
    </xf>
    <xf numFmtId="0" fontId="54" fillId="0" borderId="0" xfId="4" applyFont="1" applyAlignment="1">
      <alignment vertical="center" wrapText="1"/>
    </xf>
    <xf numFmtId="0" fontId="55" fillId="0" borderId="35" xfId="4" applyFont="1" applyBorder="1" applyAlignment="1">
      <alignment vertical="center" wrapText="1"/>
    </xf>
    <xf numFmtId="0" fontId="55" fillId="0" borderId="36" xfId="4" applyFont="1" applyBorder="1" applyAlignment="1">
      <alignment vertical="center" wrapText="1"/>
    </xf>
    <xf numFmtId="0" fontId="54" fillId="28" borderId="0" xfId="4" applyFont="1" applyFill="1" applyAlignment="1">
      <alignment horizontal="center" vertical="center" wrapText="1"/>
    </xf>
    <xf numFmtId="0" fontId="53" fillId="29" borderId="0" xfId="4" applyFont="1" applyFill="1" applyAlignment="1">
      <alignment horizontal="center" vertical="center" wrapText="1"/>
    </xf>
    <xf numFmtId="0" fontId="53" fillId="29" borderId="41" xfId="4" applyFont="1" applyFill="1" applyBorder="1" applyAlignment="1">
      <alignment horizontal="center" vertical="center" wrapText="1"/>
    </xf>
    <xf numFmtId="0" fontId="56" fillId="13" borderId="0" xfId="4" applyFont="1" applyFill="1" applyAlignment="1">
      <alignment vertical="center"/>
    </xf>
    <xf numFmtId="173" fontId="57" fillId="26" borderId="31" xfId="4" applyNumberFormat="1" applyFont="1" applyFill="1" applyBorder="1" applyAlignment="1">
      <alignment horizontal="center" vertical="center" wrapText="1"/>
    </xf>
    <xf numFmtId="172" fontId="57" fillId="26" borderId="31" xfId="4" applyNumberFormat="1" applyFont="1" applyFill="1" applyBorder="1" applyAlignment="1">
      <alignment horizontal="center" vertical="center" wrapText="1"/>
    </xf>
    <xf numFmtId="173" fontId="57" fillId="26" borderId="46" xfId="4" applyNumberFormat="1" applyFont="1" applyFill="1" applyBorder="1" applyAlignment="1">
      <alignment horizontal="center" vertical="center" wrapText="1"/>
    </xf>
    <xf numFmtId="0" fontId="49" fillId="30" borderId="31" xfId="4" applyFont="1" applyFill="1" applyBorder="1" applyAlignment="1">
      <alignment horizontal="center" vertical="center" wrapText="1"/>
    </xf>
    <xf numFmtId="0" fontId="49" fillId="30" borderId="32" xfId="4" applyFont="1" applyFill="1" applyBorder="1" applyAlignment="1">
      <alignment horizontal="center" vertical="center" wrapText="1"/>
    </xf>
    <xf numFmtId="0" fontId="49" fillId="30" borderId="46" xfId="4" applyFont="1" applyFill="1" applyBorder="1" applyAlignment="1">
      <alignment horizontal="center" vertical="center" wrapText="1"/>
    </xf>
    <xf numFmtId="0" fontId="54" fillId="13" borderId="0" xfId="4" applyFont="1" applyFill="1" applyAlignment="1">
      <alignment horizontal="center" vertical="center"/>
    </xf>
    <xf numFmtId="173" fontId="58" fillId="26" borderId="0" xfId="4" applyNumberFormat="1" applyFont="1" applyFill="1" applyAlignment="1">
      <alignment horizontal="center" vertical="center" wrapText="1"/>
    </xf>
    <xf numFmtId="172" fontId="58" fillId="26" borderId="0" xfId="4" applyNumberFormat="1" applyFont="1" applyFill="1" applyAlignment="1">
      <alignment horizontal="center" vertical="center" wrapText="1"/>
    </xf>
    <xf numFmtId="173" fontId="58" fillId="26" borderId="41" xfId="4" applyNumberFormat="1" applyFont="1" applyFill="1" applyBorder="1" applyAlignment="1">
      <alignment horizontal="center" vertical="center" wrapText="1"/>
    </xf>
    <xf numFmtId="0" fontId="54" fillId="13" borderId="40" xfId="4" applyFont="1" applyFill="1" applyBorder="1" applyAlignment="1">
      <alignment horizontal="center" vertical="center"/>
    </xf>
    <xf numFmtId="0" fontId="49" fillId="27" borderId="31" xfId="4" applyFont="1" applyFill="1" applyBorder="1" applyAlignment="1">
      <alignment horizontal="center" vertical="center" wrapText="1"/>
    </xf>
    <xf numFmtId="0" fontId="49" fillId="27" borderId="31" xfId="4" applyFont="1" applyFill="1" applyBorder="1" applyAlignment="1">
      <alignment horizontal="center" vertical="center"/>
    </xf>
    <xf numFmtId="173" fontId="59" fillId="13" borderId="31" xfId="7" applyNumberFormat="1" applyFont="1" applyFill="1" applyBorder="1" applyAlignment="1">
      <alignment horizontal="center" vertical="center" wrapText="1"/>
    </xf>
    <xf numFmtId="1" fontId="49" fillId="27" borderId="31" xfId="4" applyNumberFormat="1" applyFont="1" applyFill="1" applyBorder="1" applyAlignment="1">
      <alignment horizontal="center" vertical="center" wrapText="1"/>
    </xf>
    <xf numFmtId="49" fontId="49" fillId="27" borderId="31" xfId="4" applyNumberFormat="1" applyFont="1" applyFill="1" applyBorder="1" applyAlignment="1">
      <alignment horizontal="center" vertical="center" wrapText="1"/>
    </xf>
    <xf numFmtId="3" fontId="49" fillId="27" borderId="31" xfId="4" applyNumberFormat="1" applyFont="1" applyFill="1" applyBorder="1" applyAlignment="1">
      <alignment horizontal="center" vertical="center" wrapText="1"/>
    </xf>
    <xf numFmtId="173" fontId="59" fillId="13" borderId="31" xfId="4" applyNumberFormat="1" applyFont="1" applyFill="1" applyBorder="1" applyAlignment="1">
      <alignment horizontal="center" vertical="center" wrapText="1"/>
    </xf>
    <xf numFmtId="172" fontId="59" fillId="13" borderId="32" xfId="4" applyNumberFormat="1" applyFont="1" applyFill="1" applyBorder="1" applyAlignment="1">
      <alignment horizontal="center" vertical="center" wrapText="1"/>
    </xf>
    <xf numFmtId="173" fontId="59" fillId="13" borderId="46" xfId="4" applyNumberFormat="1" applyFont="1" applyFill="1" applyBorder="1" applyAlignment="1">
      <alignment horizontal="center" vertical="center" wrapText="1"/>
    </xf>
    <xf numFmtId="0" fontId="56" fillId="13" borderId="0" xfId="4" applyFont="1" applyFill="1" applyAlignment="1">
      <alignment horizontal="center" vertical="center"/>
    </xf>
    <xf numFmtId="173" fontId="54" fillId="13" borderId="0" xfId="4" applyNumberFormat="1" applyFont="1" applyFill="1" applyAlignment="1">
      <alignment horizontal="center" vertical="center" wrapText="1"/>
    </xf>
    <xf numFmtId="173" fontId="58" fillId="26" borderId="31" xfId="4" applyNumberFormat="1" applyFont="1" applyFill="1" applyBorder="1" applyAlignment="1">
      <alignment horizontal="center" vertical="center" wrapText="1"/>
    </xf>
    <xf numFmtId="172" fontId="58" fillId="26" borderId="31" xfId="4" applyNumberFormat="1" applyFont="1" applyFill="1" applyBorder="1" applyAlignment="1">
      <alignment horizontal="center" vertical="center" wrapText="1"/>
    </xf>
    <xf numFmtId="173" fontId="58" fillId="26" borderId="46" xfId="4" applyNumberFormat="1" applyFont="1" applyFill="1" applyBorder="1" applyAlignment="1">
      <alignment horizontal="center" vertical="center" wrapText="1"/>
    </xf>
    <xf numFmtId="0" fontId="54" fillId="0" borderId="37" xfId="4" applyFont="1" applyBorder="1" applyAlignment="1">
      <alignment horizontal="center" vertical="center"/>
    </xf>
    <xf numFmtId="0" fontId="54" fillId="0" borderId="38" xfId="4" applyFont="1" applyBorder="1" applyAlignment="1">
      <alignment horizontal="center" vertical="center"/>
    </xf>
    <xf numFmtId="0" fontId="54" fillId="0" borderId="38" xfId="4" applyFont="1" applyBorder="1" applyAlignment="1">
      <alignment horizontal="center" vertical="center" wrapText="1"/>
    </xf>
    <xf numFmtId="0" fontId="54" fillId="13" borderId="38" xfId="4" applyFont="1" applyFill="1" applyBorder="1" applyAlignment="1">
      <alignment horizontal="center" vertical="center" wrapText="1"/>
    </xf>
    <xf numFmtId="0" fontId="54" fillId="0" borderId="39" xfId="4" applyFont="1" applyBorder="1" applyAlignment="1">
      <alignment horizontal="center" vertical="center" wrapText="1"/>
    </xf>
    <xf numFmtId="0" fontId="56" fillId="0" borderId="0" xfId="5" applyFont="1" applyAlignment="1">
      <alignment horizontal="center" vertical="center" wrapText="1"/>
    </xf>
    <xf numFmtId="0" fontId="45" fillId="0" borderId="0" xfId="4" applyFont="1" applyAlignment="1">
      <alignment vertical="center" wrapText="1"/>
    </xf>
    <xf numFmtId="0" fontId="56" fillId="26" borderId="31" xfId="5" applyFont="1" applyFill="1" applyBorder="1" applyAlignment="1">
      <alignment horizontal="center" vertical="center" wrapText="1"/>
    </xf>
    <xf numFmtId="0" fontId="49" fillId="31" borderId="31" xfId="4" applyFont="1" applyFill="1" applyBorder="1" applyAlignment="1">
      <alignment horizontal="center" vertical="center" wrapText="1"/>
    </xf>
    <xf numFmtId="170" fontId="2" fillId="0" borderId="2" xfId="0" quotePrefix="1" applyNumberFormat="1" applyFont="1" applyBorder="1" applyAlignment="1">
      <alignment vertical="top" wrapText="1"/>
    </xf>
    <xf numFmtId="2" fontId="18" fillId="0" borderId="0" xfId="0" applyNumberFormat="1" applyFont="1" applyAlignment="1">
      <alignment horizontal="right" vertical="center"/>
    </xf>
    <xf numFmtId="2" fontId="18" fillId="0" borderId="0" xfId="0" applyNumberFormat="1" applyFont="1" applyAlignment="1">
      <alignment horizontal="center" vertical="center"/>
    </xf>
    <xf numFmtId="2" fontId="4" fillId="0" borderId="0" xfId="0" applyNumberFormat="1" applyFont="1" applyAlignment="1">
      <alignment horizontal="center" vertical="center"/>
    </xf>
    <xf numFmtId="2" fontId="4" fillId="0" borderId="0" xfId="0" applyNumberFormat="1" applyFont="1" applyAlignment="1" applyProtection="1">
      <alignment horizontal="center" vertical="center"/>
      <protection locked="0"/>
    </xf>
    <xf numFmtId="2" fontId="4" fillId="0" borderId="0" xfId="0" applyNumberFormat="1" applyFont="1" applyAlignment="1">
      <alignment horizontal="left" vertical="center"/>
    </xf>
    <xf numFmtId="2" fontId="18" fillId="21" borderId="20" xfId="0" applyNumberFormat="1" applyFont="1" applyFill="1" applyBorder="1" applyAlignment="1" applyProtection="1">
      <alignment horizontal="left" vertical="center"/>
      <protection locked="0"/>
    </xf>
    <xf numFmtId="2" fontId="52" fillId="21" borderId="20" xfId="0" applyNumberFormat="1" applyFont="1" applyFill="1" applyBorder="1" applyAlignment="1" applyProtection="1">
      <alignment horizontal="center" vertical="center" wrapText="1"/>
      <protection locked="0"/>
    </xf>
    <xf numFmtId="0" fontId="20" fillId="13" borderId="21" xfId="0" applyFont="1" applyFill="1" applyBorder="1" applyAlignment="1">
      <alignment horizontal="left" vertical="center"/>
    </xf>
    <xf numFmtId="166" fontId="15" fillId="15" borderId="4" xfId="0" applyNumberFormat="1" applyFont="1" applyFill="1" applyBorder="1" applyAlignment="1">
      <alignment horizontal="left" vertical="center"/>
    </xf>
    <xf numFmtId="14" fontId="9" fillId="10" borderId="49" xfId="0" applyNumberFormat="1" applyFont="1" applyFill="1" applyBorder="1" applyAlignment="1">
      <alignment horizontal="center" vertical="center"/>
    </xf>
    <xf numFmtId="1" fontId="9" fillId="10" borderId="49" xfId="0" applyNumberFormat="1" applyFont="1" applyFill="1" applyBorder="1" applyAlignment="1">
      <alignment horizontal="center" vertical="center"/>
    </xf>
    <xf numFmtId="2" fontId="9" fillId="10" borderId="49" xfId="0" applyNumberFormat="1" applyFont="1" applyFill="1" applyBorder="1" applyAlignment="1">
      <alignment horizontal="center" vertical="center"/>
    </xf>
    <xf numFmtId="0" fontId="2" fillId="14" borderId="49" xfId="0" applyFont="1" applyFill="1" applyBorder="1" applyAlignment="1">
      <alignment horizontal="left" vertical="center"/>
    </xf>
    <xf numFmtId="14" fontId="2" fillId="13" borderId="49" xfId="0" applyNumberFormat="1" applyFont="1" applyFill="1" applyBorder="1" applyAlignment="1">
      <alignment horizontal="center" vertical="center"/>
    </xf>
    <xf numFmtId="1" fontId="2" fillId="13" borderId="49" xfId="0" applyNumberFormat="1" applyFont="1" applyFill="1" applyBorder="1" applyAlignment="1">
      <alignment horizontal="center" vertical="center"/>
    </xf>
    <xf numFmtId="0" fontId="16" fillId="14" borderId="11" xfId="0" applyFont="1" applyFill="1" applyBorder="1" applyAlignment="1">
      <alignment horizontal="left" vertical="center" indent="1"/>
    </xf>
    <xf numFmtId="0" fontId="16" fillId="14" borderId="3" xfId="0" applyFont="1" applyFill="1" applyBorder="1" applyAlignment="1">
      <alignment horizontal="left" vertical="center" indent="1"/>
    </xf>
    <xf numFmtId="0" fontId="16" fillId="14" borderId="9" xfId="0" applyFont="1" applyFill="1" applyBorder="1" applyAlignment="1">
      <alignment horizontal="left" vertical="center" indent="1"/>
    </xf>
    <xf numFmtId="0" fontId="15" fillId="23" borderId="10" xfId="0" applyFont="1" applyFill="1" applyBorder="1" applyAlignment="1">
      <alignment horizontal="left" vertical="center" wrapText="1"/>
    </xf>
    <xf numFmtId="0" fontId="15" fillId="23" borderId="12" xfId="0" applyFont="1" applyFill="1" applyBorder="1" applyAlignment="1">
      <alignment horizontal="right" vertical="center" wrapText="1" indent="1"/>
    </xf>
    <xf numFmtId="166" fontId="15" fillId="12" borderId="4" xfId="0" applyNumberFormat="1" applyFont="1" applyFill="1" applyBorder="1" applyAlignment="1">
      <alignment horizontal="left" vertical="center"/>
    </xf>
    <xf numFmtId="0" fontId="16" fillId="19" borderId="49" xfId="0" quotePrefix="1" applyFont="1" applyFill="1" applyBorder="1" applyAlignment="1">
      <alignment horizontal="center" vertical="center" wrapText="1"/>
    </xf>
    <xf numFmtId="166" fontId="2" fillId="13" borderId="49" xfId="0" applyNumberFormat="1" applyFont="1" applyFill="1" applyBorder="1" applyAlignment="1">
      <alignment horizontal="left" vertical="center"/>
    </xf>
    <xf numFmtId="0" fontId="15" fillId="7" borderId="10" xfId="0" applyFont="1" applyFill="1" applyBorder="1" applyAlignment="1">
      <alignment horizontal="left" vertical="center" wrapText="1"/>
    </xf>
    <xf numFmtId="0" fontId="15" fillId="7" borderId="12" xfId="0" applyFont="1" applyFill="1" applyBorder="1" applyAlignment="1">
      <alignment horizontal="right" vertical="center" wrapText="1" indent="1"/>
    </xf>
    <xf numFmtId="0" fontId="16" fillId="5" borderId="49" xfId="0" quotePrefix="1" applyFont="1" applyFill="1" applyBorder="1" applyAlignment="1">
      <alignment horizontal="center" vertical="center" wrapText="1"/>
    </xf>
    <xf numFmtId="174" fontId="23" fillId="6" borderId="0" xfId="0" applyNumberFormat="1" applyFont="1" applyFill="1" applyAlignment="1">
      <alignment horizontal="left" wrapText="1"/>
    </xf>
    <xf numFmtId="2" fontId="22" fillId="0" borderId="0" xfId="0" applyNumberFormat="1" applyFont="1" applyAlignment="1">
      <alignment horizontal="right" vertical="top" wrapText="1"/>
    </xf>
    <xf numFmtId="166" fontId="18" fillId="0" borderId="0" xfId="0" applyNumberFormat="1" applyFont="1" applyAlignment="1">
      <alignment vertical="top"/>
    </xf>
    <xf numFmtId="0" fontId="41" fillId="4" borderId="0" xfId="2" applyFont="1" applyFill="1" applyAlignment="1">
      <alignment horizontal="left" vertical="top"/>
    </xf>
    <xf numFmtId="0" fontId="2" fillId="4" borderId="0" xfId="0" applyFont="1" applyFill="1" applyAlignment="1" applyProtection="1">
      <alignment horizontal="left" vertical="top" wrapText="1"/>
      <protection locked="0"/>
    </xf>
    <xf numFmtId="0" fontId="11" fillId="5" borderId="0" xfId="0" applyFont="1" applyFill="1" applyAlignment="1">
      <alignment vertical="center"/>
    </xf>
    <xf numFmtId="0" fontId="5" fillId="5" borderId="0" xfId="0" applyFont="1" applyFill="1" applyAlignment="1">
      <alignment vertical="center"/>
    </xf>
    <xf numFmtId="0" fontId="5" fillId="5" borderId="0" xfId="0" applyFont="1" applyFill="1" applyAlignment="1">
      <alignment vertical="center" wrapText="1"/>
    </xf>
    <xf numFmtId="0" fontId="11" fillId="5" borderId="0" xfId="0" applyFont="1" applyFill="1" applyAlignment="1">
      <alignment horizontal="left" vertical="center"/>
    </xf>
    <xf numFmtId="0" fontId="40" fillId="4" borderId="0" xfId="2" applyFill="1" applyAlignment="1">
      <alignment horizontal="left" vertical="top"/>
    </xf>
    <xf numFmtId="0" fontId="61" fillId="5" borderId="0" xfId="0" applyFont="1" applyFill="1" applyAlignment="1">
      <alignment horizontal="center" vertical="center"/>
    </xf>
    <xf numFmtId="166" fontId="18" fillId="0" borderId="0" xfId="0" applyNumberFormat="1" applyFont="1" applyAlignment="1">
      <alignment horizontal="left" vertical="top" wrapText="1"/>
    </xf>
    <xf numFmtId="0" fontId="18" fillId="0" borderId="0" xfId="0" applyFont="1" applyAlignment="1">
      <alignment horizontal="right" vertical="top" wrapText="1"/>
    </xf>
    <xf numFmtId="0" fontId="18" fillId="0" borderId="0" xfId="0" applyFont="1" applyAlignment="1">
      <alignment horizontal="right" vertical="top"/>
    </xf>
    <xf numFmtId="166" fontId="18" fillId="5" borderId="0" xfId="0" applyNumberFormat="1" applyFont="1" applyFill="1" applyAlignment="1">
      <alignment horizontal="right" vertical="center"/>
    </xf>
    <xf numFmtId="166" fontId="18" fillId="5" borderId="0" xfId="0" applyNumberFormat="1" applyFont="1" applyFill="1" applyAlignment="1">
      <alignment horizontal="right" vertical="top"/>
    </xf>
    <xf numFmtId="166" fontId="22" fillId="0" borderId="0" xfId="1" applyNumberFormat="1" applyFont="1" applyAlignment="1">
      <alignment horizontal="left" vertical="top" wrapText="1"/>
    </xf>
    <xf numFmtId="2" fontId="22" fillId="0" borderId="0" xfId="0" applyNumberFormat="1" applyFont="1" applyAlignment="1">
      <alignment horizontal="left" vertical="top" wrapText="1"/>
    </xf>
    <xf numFmtId="2" fontId="18" fillId="5" borderId="0" xfId="0" applyNumberFormat="1" applyFont="1" applyFill="1" applyAlignment="1" applyProtection="1">
      <alignment horizontal="right" vertical="center"/>
      <protection locked="0"/>
    </xf>
    <xf numFmtId="2" fontId="18" fillId="5" borderId="0" xfId="0" applyNumberFormat="1" applyFont="1" applyFill="1" applyAlignment="1">
      <alignment horizontal="right" vertical="center"/>
    </xf>
    <xf numFmtId="0" fontId="18" fillId="0" borderId="0" xfId="0" applyFont="1" applyAlignment="1">
      <alignment horizontal="left" vertical="top"/>
    </xf>
    <xf numFmtId="166" fontId="4" fillId="0" borderId="0" xfId="0" applyNumberFormat="1" applyFont="1" applyAlignment="1">
      <alignment horizontal="left" vertical="top" wrapText="1"/>
    </xf>
    <xf numFmtId="0" fontId="18" fillId="0" borderId="0" xfId="0" applyFont="1" applyAlignment="1">
      <alignment horizontal="left" vertical="top" wrapText="1"/>
    </xf>
    <xf numFmtId="1" fontId="22" fillId="10" borderId="0" xfId="0" applyNumberFormat="1" applyFont="1" applyFill="1" applyAlignment="1">
      <alignment horizontal="center" vertical="center"/>
    </xf>
    <xf numFmtId="15" fontId="22" fillId="10" borderId="0" xfId="0" applyNumberFormat="1" applyFont="1" applyFill="1" applyAlignment="1">
      <alignment horizontal="center" vertical="center"/>
    </xf>
    <xf numFmtId="168" fontId="23" fillId="11" borderId="15" xfId="0" applyNumberFormat="1" applyFont="1" applyFill="1" applyBorder="1" applyAlignment="1" applyProtection="1">
      <alignment horizontal="center" vertical="center"/>
      <protection locked="0"/>
    </xf>
    <xf numFmtId="175" fontId="54" fillId="0" borderId="0" xfId="4" applyNumberFormat="1" applyFont="1" applyAlignment="1">
      <alignment horizontal="center" vertical="center" wrapText="1"/>
    </xf>
    <xf numFmtId="0" fontId="20" fillId="11" borderId="18" xfId="0" applyFont="1" applyFill="1" applyBorder="1" applyAlignment="1">
      <alignment horizontal="left" vertical="center"/>
    </xf>
    <xf numFmtId="0" fontId="20" fillId="11" borderId="26" xfId="0" applyFont="1" applyFill="1" applyBorder="1" applyAlignment="1">
      <alignment horizontal="center" vertical="center"/>
    </xf>
    <xf numFmtId="168" fontId="23" fillId="11" borderId="14" xfId="0" applyNumberFormat="1" applyFont="1" applyFill="1" applyBorder="1" applyAlignment="1">
      <alignment horizontal="center" vertical="center"/>
    </xf>
    <xf numFmtId="0" fontId="18" fillId="17" borderId="25" xfId="0" applyFont="1" applyFill="1" applyBorder="1" applyAlignment="1">
      <alignment horizontal="left" vertical="center"/>
    </xf>
    <xf numFmtId="0" fontId="20" fillId="0" borderId="54" xfId="0" applyFont="1" applyBorder="1" applyAlignment="1" applyProtection="1">
      <alignment horizontal="left" vertical="center"/>
      <protection locked="0"/>
    </xf>
    <xf numFmtId="0" fontId="20" fillId="0" borderId="55" xfId="0" applyFont="1" applyBorder="1" applyAlignment="1" applyProtection="1">
      <alignment horizontal="left" vertical="center"/>
      <protection locked="0"/>
    </xf>
    <xf numFmtId="0" fontId="20" fillId="0" borderId="56" xfId="0" applyFont="1" applyBorder="1" applyAlignment="1" applyProtection="1">
      <alignment horizontal="left" vertical="center"/>
      <protection locked="0"/>
    </xf>
    <xf numFmtId="0" fontId="20" fillId="0" borderId="0" xfId="0" applyFont="1" applyAlignment="1" applyProtection="1">
      <alignment horizontal="left" vertical="center"/>
      <protection locked="0"/>
    </xf>
    <xf numFmtId="0" fontId="20" fillId="0" borderId="54" xfId="0" applyFont="1" applyBorder="1" applyAlignment="1" applyProtection="1">
      <alignment horizontal="left"/>
      <protection locked="0"/>
    </xf>
    <xf numFmtId="0" fontId="20" fillId="0" borderId="55" xfId="0" applyFont="1" applyBorder="1" applyAlignment="1" applyProtection="1">
      <alignment horizontal="left"/>
      <protection locked="0"/>
    </xf>
    <xf numFmtId="0" fontId="20" fillId="0" borderId="56" xfId="0" applyFont="1" applyBorder="1" applyAlignment="1" applyProtection="1">
      <alignment horizontal="left"/>
      <protection locked="0"/>
    </xf>
    <xf numFmtId="15" fontId="22" fillId="14" borderId="27" xfId="0" applyNumberFormat="1" applyFont="1" applyFill="1" applyBorder="1" applyAlignment="1">
      <alignment horizontal="center" vertical="center"/>
    </xf>
    <xf numFmtId="0" fontId="20" fillId="0" borderId="21" xfId="0" applyFont="1" applyBorder="1" applyAlignment="1" applyProtection="1">
      <alignment horizontal="center"/>
      <protection locked="0"/>
    </xf>
    <xf numFmtId="0" fontId="20" fillId="0" borderId="22" xfId="0" applyFont="1" applyBorder="1" applyAlignment="1" applyProtection="1">
      <alignment horizontal="center"/>
      <protection locked="0"/>
    </xf>
    <xf numFmtId="0" fontId="20" fillId="0" borderId="23" xfId="0" applyFont="1" applyBorder="1" applyAlignment="1" applyProtection="1">
      <alignment horizontal="center"/>
      <protection locked="0"/>
    </xf>
    <xf numFmtId="0" fontId="20" fillId="0" borderId="24" xfId="0" applyFont="1" applyBorder="1" applyAlignment="1" applyProtection="1">
      <alignment horizontal="center"/>
      <protection locked="0"/>
    </xf>
    <xf numFmtId="0" fontId="20" fillId="11" borderId="24" xfId="0" applyFont="1" applyFill="1" applyBorder="1" applyAlignment="1">
      <alignment horizontal="center" vertical="center"/>
    </xf>
    <xf numFmtId="0" fontId="18" fillId="17" borderId="57" xfId="0" applyFont="1" applyFill="1" applyBorder="1" applyAlignment="1">
      <alignment horizontal="center" vertical="center"/>
    </xf>
    <xf numFmtId="0" fontId="22" fillId="17" borderId="57" xfId="0" applyFont="1" applyFill="1" applyBorder="1" applyAlignment="1">
      <alignment horizontal="center" vertical="center"/>
    </xf>
    <xf numFmtId="15" fontId="34" fillId="21" borderId="58" xfId="0" applyNumberFormat="1" applyFont="1" applyFill="1" applyBorder="1" applyAlignment="1" applyProtection="1">
      <alignment horizontal="center" vertical="center" wrapText="1"/>
      <protection locked="0"/>
    </xf>
    <xf numFmtId="15" fontId="34" fillId="21" borderId="58" xfId="0" applyNumberFormat="1" applyFont="1" applyFill="1" applyBorder="1" applyAlignment="1">
      <alignment horizontal="center" vertical="center" wrapText="1"/>
    </xf>
    <xf numFmtId="0" fontId="20" fillId="0" borderId="59" xfId="0" applyFont="1" applyBorder="1" applyAlignment="1" applyProtection="1">
      <alignment horizontal="center" vertical="center"/>
      <protection locked="0"/>
    </xf>
    <xf numFmtId="0" fontId="20" fillId="0" borderId="60" xfId="0" applyFont="1" applyBorder="1" applyAlignment="1" applyProtection="1">
      <alignment horizontal="center" vertical="center"/>
      <protection locked="0"/>
    </xf>
    <xf numFmtId="0" fontId="20" fillId="0" borderId="61" xfId="0" applyFont="1" applyBorder="1" applyAlignment="1" applyProtection="1">
      <alignment horizontal="center" vertical="center"/>
      <protection locked="0"/>
    </xf>
    <xf numFmtId="0" fontId="34" fillId="21" borderId="53" xfId="0" applyFont="1" applyFill="1" applyBorder="1" applyAlignment="1" applyProtection="1">
      <alignment horizontal="center" vertical="center" wrapText="1"/>
      <protection locked="0"/>
    </xf>
    <xf numFmtId="0" fontId="34" fillId="21" borderId="53" xfId="0" applyFont="1" applyFill="1" applyBorder="1" applyAlignment="1">
      <alignment horizontal="center" vertical="center" wrapText="1"/>
    </xf>
    <xf numFmtId="0" fontId="20" fillId="0" borderId="62" xfId="0" applyFont="1" applyBorder="1" applyAlignment="1" applyProtection="1">
      <alignment horizontal="center" vertical="center"/>
      <protection locked="0"/>
    </xf>
    <xf numFmtId="0" fontId="33" fillId="22" borderId="53" xfId="0" applyFont="1" applyFill="1" applyBorder="1" applyAlignment="1" applyProtection="1">
      <alignment horizontal="center" vertical="center" wrapText="1"/>
      <protection locked="0"/>
    </xf>
    <xf numFmtId="0" fontId="33" fillId="22" borderId="53" xfId="0" applyFont="1" applyFill="1" applyBorder="1" applyAlignment="1">
      <alignment horizontal="center" vertical="center" wrapText="1"/>
    </xf>
    <xf numFmtId="0" fontId="20" fillId="0" borderId="59" xfId="0" applyFont="1" applyBorder="1" applyAlignment="1" applyProtection="1">
      <alignment horizontal="center"/>
      <protection locked="0"/>
    </xf>
    <xf numFmtId="0" fontId="20" fillId="0" borderId="59" xfId="0" applyFont="1" applyBorder="1" applyAlignment="1">
      <alignment horizontal="center"/>
    </xf>
    <xf numFmtId="0" fontId="20" fillId="0" borderId="60" xfId="0" applyFont="1" applyBorder="1" applyAlignment="1" applyProtection="1">
      <alignment horizontal="center"/>
      <protection locked="0"/>
    </xf>
    <xf numFmtId="0" fontId="20" fillId="0" borderId="60" xfId="0" applyFont="1" applyBorder="1" applyAlignment="1">
      <alignment horizontal="center"/>
    </xf>
    <xf numFmtId="2" fontId="18" fillId="17" borderId="25" xfId="0" applyNumberFormat="1" applyFont="1" applyFill="1" applyBorder="1" applyAlignment="1">
      <alignment horizontal="left" vertical="center"/>
    </xf>
    <xf numFmtId="2" fontId="20" fillId="0" borderId="54" xfId="0" applyNumberFormat="1" applyFont="1" applyBorder="1" applyAlignment="1" applyProtection="1">
      <alignment horizontal="left" vertical="center"/>
      <protection locked="0"/>
    </xf>
    <xf numFmtId="2" fontId="20" fillId="0" borderId="55" xfId="0" applyNumberFormat="1" applyFont="1" applyBorder="1" applyAlignment="1" applyProtection="1">
      <alignment horizontal="left" vertical="center"/>
      <protection locked="0"/>
    </xf>
    <xf numFmtId="2" fontId="18" fillId="17" borderId="63" xfId="0" applyNumberFormat="1" applyFont="1" applyFill="1" applyBorder="1" applyAlignment="1">
      <alignment horizontal="center" vertical="center"/>
    </xf>
    <xf numFmtId="2" fontId="51" fillId="21" borderId="63" xfId="0" applyNumberFormat="1" applyFont="1" applyFill="1" applyBorder="1" applyAlignment="1" applyProtection="1">
      <alignment horizontal="center" vertical="center" wrapText="1"/>
      <protection locked="0"/>
    </xf>
    <xf numFmtId="2" fontId="51" fillId="21" borderId="63" xfId="0" applyNumberFormat="1" applyFont="1" applyFill="1" applyBorder="1" applyAlignment="1">
      <alignment horizontal="center" vertical="center" wrapText="1"/>
    </xf>
    <xf numFmtId="2" fontId="20" fillId="0" borderId="63" xfId="0" applyNumberFormat="1" applyFont="1" applyBorder="1" applyAlignment="1" applyProtection="1">
      <alignment horizontal="center" vertical="center"/>
      <protection locked="0"/>
    </xf>
    <xf numFmtId="2" fontId="20" fillId="0" borderId="63" xfId="0" applyNumberFormat="1" applyFont="1" applyBorder="1" applyAlignment="1">
      <alignment horizontal="center" vertical="center"/>
    </xf>
    <xf numFmtId="0" fontId="20" fillId="0" borderId="63" xfId="0" applyFont="1" applyBorder="1" applyAlignment="1" applyProtection="1">
      <alignment horizontal="center" vertical="center"/>
      <protection locked="0"/>
    </xf>
    <xf numFmtId="0" fontId="34" fillId="21" borderId="63" xfId="0" applyFont="1" applyFill="1" applyBorder="1" applyAlignment="1" applyProtection="1">
      <alignment horizontal="center" vertical="center" wrapText="1"/>
      <protection locked="0"/>
    </xf>
    <xf numFmtId="0" fontId="33" fillId="22" borderId="63" xfId="0" applyFont="1" applyFill="1" applyBorder="1" applyAlignment="1" applyProtection="1">
      <alignment horizontal="center" vertical="center" wrapText="1"/>
      <protection locked="0"/>
    </xf>
    <xf numFmtId="0" fontId="20" fillId="0" borderId="63" xfId="0" applyFont="1" applyBorder="1" applyAlignment="1" applyProtection="1">
      <alignment horizontal="center"/>
      <protection locked="0"/>
    </xf>
    <xf numFmtId="0" fontId="18" fillId="17" borderId="63" xfId="0" applyFont="1" applyFill="1" applyBorder="1" applyAlignment="1">
      <alignment horizontal="center" vertical="center"/>
    </xf>
    <xf numFmtId="0" fontId="22" fillId="17" borderId="63" xfId="0" applyFont="1" applyFill="1" applyBorder="1" applyAlignment="1">
      <alignment horizontal="center" vertical="center"/>
    </xf>
    <xf numFmtId="15" fontId="34" fillId="21" borderId="63" xfId="0" applyNumberFormat="1" applyFont="1" applyFill="1" applyBorder="1" applyAlignment="1" applyProtection="1">
      <alignment horizontal="center" vertical="center" wrapText="1"/>
      <protection locked="0"/>
    </xf>
    <xf numFmtId="15" fontId="34" fillId="21" borderId="63" xfId="0" applyNumberFormat="1" applyFont="1" applyFill="1" applyBorder="1" applyAlignment="1">
      <alignment horizontal="center" vertical="center" wrapText="1"/>
    </xf>
    <xf numFmtId="0" fontId="20" fillId="0" borderId="63" xfId="0" applyFont="1" applyBorder="1" applyAlignment="1">
      <alignment horizontal="center" vertical="center"/>
    </xf>
    <xf numFmtId="0" fontId="18" fillId="17" borderId="53" xfId="0" applyFont="1" applyFill="1" applyBorder="1" applyAlignment="1">
      <alignment horizontal="center" vertical="center"/>
    </xf>
    <xf numFmtId="0" fontId="22" fillId="17" borderId="53" xfId="0" applyFont="1" applyFill="1" applyBorder="1" applyAlignment="1">
      <alignment horizontal="center" vertical="center"/>
    </xf>
    <xf numFmtId="15" fontId="34" fillId="21" borderId="53" xfId="0" applyNumberFormat="1" applyFont="1" applyFill="1" applyBorder="1" applyAlignment="1" applyProtection="1">
      <alignment horizontal="center" vertical="center" wrapText="1"/>
      <protection locked="0"/>
    </xf>
    <xf numFmtId="15" fontId="34" fillId="21" borderId="53" xfId="0" applyNumberFormat="1" applyFont="1" applyFill="1" applyBorder="1" applyAlignment="1">
      <alignment horizontal="center" vertical="center" wrapText="1"/>
    </xf>
    <xf numFmtId="0" fontId="20" fillId="0" borderId="53" xfId="0" applyFont="1" applyBorder="1" applyAlignment="1" applyProtection="1">
      <alignment horizontal="center" vertical="center"/>
      <protection locked="0"/>
    </xf>
    <xf numFmtId="0" fontId="20" fillId="0" borderId="53" xfId="0" applyFont="1" applyBorder="1" applyAlignment="1">
      <alignment horizontal="center" vertical="center"/>
    </xf>
    <xf numFmtId="0" fontId="20" fillId="0" borderId="53" xfId="0" applyFont="1" applyBorder="1" applyAlignment="1" applyProtection="1">
      <alignment horizontal="center"/>
      <protection locked="0"/>
    </xf>
    <xf numFmtId="0" fontId="20" fillId="0" borderId="53" xfId="0" applyFont="1" applyBorder="1" applyAlignment="1">
      <alignment horizontal="center"/>
    </xf>
    <xf numFmtId="166" fontId="15" fillId="12" borderId="52" xfId="0" applyNumberFormat="1" applyFont="1" applyFill="1" applyBorder="1" applyAlignment="1">
      <alignment horizontal="left" vertical="center"/>
    </xf>
    <xf numFmtId="0" fontId="0" fillId="13" borderId="0" xfId="0" applyFill="1" applyAlignment="1">
      <alignment vertical="center"/>
    </xf>
    <xf numFmtId="0" fontId="0" fillId="0" borderId="0" xfId="0" applyAlignment="1">
      <alignment vertical="center"/>
    </xf>
    <xf numFmtId="0" fontId="9" fillId="25" borderId="0" xfId="0" applyFont="1" applyFill="1" applyAlignment="1">
      <alignment horizontal="center"/>
    </xf>
    <xf numFmtId="168" fontId="20" fillId="0" borderId="15" xfId="0" applyNumberFormat="1" applyFont="1" applyBorder="1" applyAlignment="1">
      <alignment horizontal="left" vertical="center"/>
    </xf>
    <xf numFmtId="15" fontId="20" fillId="0" borderId="20" xfId="0" applyNumberFormat="1" applyFont="1" applyBorder="1" applyAlignment="1">
      <alignment horizontal="left" vertical="center"/>
    </xf>
    <xf numFmtId="0" fontId="23" fillId="11" borderId="67" xfId="0" applyFont="1" applyFill="1" applyBorder="1" applyAlignment="1">
      <alignment horizontal="center" vertical="center"/>
    </xf>
    <xf numFmtId="15" fontId="18" fillId="21" borderId="0" xfId="0" applyNumberFormat="1" applyFont="1" applyFill="1" applyAlignment="1" applyProtection="1">
      <alignment horizontal="left" vertical="center"/>
      <protection locked="0"/>
    </xf>
    <xf numFmtId="0" fontId="20" fillId="0" borderId="69" xfId="0" applyFont="1" applyBorder="1" applyAlignment="1" applyProtection="1">
      <alignment horizontal="center" vertical="center"/>
      <protection locked="0"/>
    </xf>
    <xf numFmtId="0" fontId="20" fillId="0" borderId="68" xfId="0" applyFont="1" applyBorder="1" applyAlignment="1" applyProtection="1">
      <alignment horizontal="left" vertical="center"/>
      <protection locked="0"/>
    </xf>
    <xf numFmtId="15" fontId="20" fillId="0" borderId="70" xfId="0" applyNumberFormat="1" applyFont="1" applyBorder="1" applyAlignment="1">
      <alignment horizontal="left" vertical="center"/>
    </xf>
    <xf numFmtId="0" fontId="20" fillId="0" borderId="71" xfId="0" applyFont="1" applyBorder="1" applyAlignment="1" applyProtection="1">
      <alignment horizontal="left" vertical="center"/>
      <protection locked="0"/>
    </xf>
    <xf numFmtId="0" fontId="20" fillId="0" borderId="72" xfId="0" applyFont="1" applyBorder="1" applyAlignment="1" applyProtection="1">
      <alignment horizontal="left" vertical="center"/>
      <protection locked="0"/>
    </xf>
    <xf numFmtId="0" fontId="20" fillId="0" borderId="73" xfId="0" applyFont="1" applyBorder="1" applyAlignment="1" applyProtection="1">
      <alignment horizontal="left" vertical="center"/>
      <protection locked="0"/>
    </xf>
    <xf numFmtId="0" fontId="47" fillId="25" borderId="49" xfId="5" applyFont="1" applyFill="1" applyBorder="1" applyAlignment="1">
      <alignment horizontal="center" vertical="center" wrapText="1"/>
    </xf>
    <xf numFmtId="0" fontId="47" fillId="26" borderId="49" xfId="5" applyFont="1" applyFill="1" applyBorder="1" applyAlignment="1">
      <alignment horizontal="center" vertical="center" wrapText="1"/>
    </xf>
    <xf numFmtId="0" fontId="44" fillId="0" borderId="49" xfId="6" applyFont="1" applyBorder="1"/>
    <xf numFmtId="4" fontId="43" fillId="0" borderId="49" xfId="3" applyNumberFormat="1" applyBorder="1"/>
    <xf numFmtId="0" fontId="1" fillId="26" borderId="49" xfId="3" applyFont="1" applyFill="1" applyBorder="1"/>
    <xf numFmtId="0" fontId="47" fillId="26" borderId="49" xfId="3" applyFont="1" applyFill="1" applyBorder="1"/>
    <xf numFmtId="0" fontId="44" fillId="0" borderId="49" xfId="3" applyFont="1" applyBorder="1"/>
    <xf numFmtId="2" fontId="49" fillId="27" borderId="49" xfId="4" applyNumberFormat="1" applyFont="1" applyFill="1" applyBorder="1" applyAlignment="1">
      <alignment horizontal="center" vertical="center" wrapText="1"/>
    </xf>
    <xf numFmtId="0" fontId="53" fillId="27" borderId="49" xfId="6" applyFont="1" applyFill="1" applyBorder="1"/>
    <xf numFmtId="0" fontId="15" fillId="28" borderId="49" xfId="0" applyFont="1" applyFill="1" applyBorder="1" applyAlignment="1">
      <alignment horizontal="center" vertical="center"/>
    </xf>
    <xf numFmtId="0" fontId="9" fillId="10" borderId="49" xfId="0" applyFont="1" applyFill="1" applyBorder="1" applyAlignment="1">
      <alignment horizontal="center" vertical="center"/>
    </xf>
    <xf numFmtId="0" fontId="63" fillId="0" borderId="35" xfId="0" applyFont="1" applyBorder="1"/>
    <xf numFmtId="0" fontId="1" fillId="0" borderId="0" xfId="0" applyFont="1" applyAlignment="1">
      <alignment horizontal="center" vertical="top" wrapText="1"/>
    </xf>
    <xf numFmtId="2" fontId="0" fillId="0" borderId="0" xfId="0" applyNumberFormat="1"/>
    <xf numFmtId="168" fontId="52" fillId="0" borderId="0" xfId="0" applyNumberFormat="1" applyFont="1" applyAlignment="1">
      <alignment horizontal="center" vertical="center"/>
    </xf>
    <xf numFmtId="0" fontId="9" fillId="33" borderId="0" xfId="0" applyFont="1" applyFill="1"/>
    <xf numFmtId="0" fontId="2" fillId="34" borderId="0" xfId="0" applyFont="1" applyFill="1"/>
    <xf numFmtId="0" fontId="9" fillId="34" borderId="0" xfId="0" applyFont="1" applyFill="1"/>
    <xf numFmtId="0" fontId="15" fillId="34" borderId="0" xfId="0" applyFont="1" applyFill="1"/>
    <xf numFmtId="0" fontId="2" fillId="4" borderId="0" xfId="0" applyFont="1" applyFill="1" applyAlignment="1">
      <alignment wrapText="1"/>
    </xf>
    <xf numFmtId="0" fontId="44" fillId="0" borderId="0" xfId="0" applyFont="1"/>
    <xf numFmtId="0" fontId="47" fillId="0" borderId="0" xfId="0" applyFont="1"/>
    <xf numFmtId="2" fontId="65" fillId="5" borderId="0" xfId="0" applyNumberFormat="1" applyFont="1" applyFill="1" applyAlignment="1">
      <alignment vertical="center"/>
    </xf>
    <xf numFmtId="0" fontId="0" fillId="0" borderId="31" xfId="0" applyBorder="1"/>
    <xf numFmtId="0" fontId="53" fillId="9" borderId="31" xfId="0" applyFont="1" applyFill="1" applyBorder="1" applyAlignment="1">
      <alignment horizontal="left"/>
    </xf>
    <xf numFmtId="0" fontId="0" fillId="0" borderId="0" xfId="0" applyAlignment="1">
      <alignment horizontal="left"/>
    </xf>
    <xf numFmtId="14" fontId="0" fillId="0" borderId="31" xfId="0" applyNumberFormat="1" applyBorder="1"/>
    <xf numFmtId="0" fontId="67" fillId="9" borderId="0" xfId="0" applyFont="1" applyFill="1" applyAlignment="1">
      <alignment horizontal="center" vertical="top" wrapText="1"/>
    </xf>
    <xf numFmtId="0" fontId="29" fillId="9" borderId="0" xfId="0" applyFont="1" applyFill="1" applyAlignment="1">
      <alignment horizontal="center" vertical="top" wrapText="1"/>
    </xf>
    <xf numFmtId="171" fontId="10" fillId="4" borderId="2" xfId="0" applyNumberFormat="1" applyFont="1" applyFill="1" applyBorder="1" applyAlignment="1" applyProtection="1">
      <alignment horizontal="left" vertical="center" wrapText="1"/>
      <protection locked="0"/>
    </xf>
    <xf numFmtId="9" fontId="10" fillId="4" borderId="2" xfId="8" applyFont="1" applyFill="1" applyBorder="1" applyAlignment="1" applyProtection="1">
      <alignment horizontal="left" vertical="center" wrapText="1"/>
      <protection locked="0"/>
    </xf>
    <xf numFmtId="176" fontId="4" fillId="0" borderId="0" xfId="0" applyNumberFormat="1" applyFont="1" applyAlignment="1" applyProtection="1">
      <alignment horizontal="center" vertical="center"/>
      <protection locked="0"/>
    </xf>
    <xf numFmtId="9" fontId="28" fillId="0" borderId="29" xfId="8" applyFont="1" applyBorder="1" applyAlignment="1">
      <alignment horizontal="left" indent="1"/>
    </xf>
    <xf numFmtId="0" fontId="2" fillId="16" borderId="0" xfId="0" applyFont="1" applyFill="1" applyAlignment="1">
      <alignment horizontal="right" wrapText="1"/>
    </xf>
    <xf numFmtId="0" fontId="2" fillId="20" borderId="0" xfId="0" applyFont="1" applyFill="1" applyAlignment="1">
      <alignment horizontal="right" wrapText="1"/>
    </xf>
    <xf numFmtId="2" fontId="0" fillId="0" borderId="41" xfId="0" applyNumberFormat="1" applyBorder="1"/>
    <xf numFmtId="0" fontId="53" fillId="37" borderId="42" xfId="4" applyFont="1" applyFill="1" applyBorder="1" applyAlignment="1">
      <alignment horizontal="center" vertical="center"/>
    </xf>
    <xf numFmtId="0" fontId="44" fillId="0" borderId="0" xfId="6" applyFont="1"/>
    <xf numFmtId="4" fontId="43" fillId="0" borderId="0" xfId="3" applyNumberFormat="1"/>
    <xf numFmtId="0" fontId="44" fillId="0" borderId="31" xfId="3" applyFont="1" applyBorder="1" applyAlignment="1">
      <alignment horizontal="left"/>
    </xf>
    <xf numFmtId="0" fontId="44" fillId="0" borderId="31" xfId="5" applyFont="1" applyBorder="1" applyAlignment="1">
      <alignment horizontal="left" vertical="center" wrapText="1"/>
    </xf>
    <xf numFmtId="0" fontId="47" fillId="25" borderId="49" xfId="6" applyFont="1" applyFill="1" applyBorder="1" applyAlignment="1">
      <alignment horizontal="center" vertical="center" wrapText="1"/>
    </xf>
    <xf numFmtId="2" fontId="47" fillId="25" borderId="49" xfId="4" applyNumberFormat="1" applyFont="1" applyFill="1" applyBorder="1" applyAlignment="1">
      <alignment horizontal="center" vertical="center" wrapText="1"/>
    </xf>
    <xf numFmtId="177" fontId="16" fillId="16" borderId="0" xfId="1" applyNumberFormat="1" applyFont="1" applyFill="1" applyAlignment="1">
      <alignment horizontal="right" wrapText="1"/>
    </xf>
    <xf numFmtId="177" fontId="16" fillId="16" borderId="0" xfId="1" applyNumberFormat="1" applyFont="1" applyFill="1" applyAlignment="1">
      <alignment horizontal="center" wrapText="1"/>
    </xf>
    <xf numFmtId="177" fontId="2" fillId="20" borderId="0" xfId="1" applyNumberFormat="1" applyFont="1" applyFill="1" applyAlignment="1">
      <alignment horizontal="center" wrapText="1"/>
    </xf>
    <xf numFmtId="0" fontId="44" fillId="39" borderId="0" xfId="3" applyFont="1" applyFill="1"/>
    <xf numFmtId="0" fontId="35" fillId="10" borderId="0" xfId="3" applyFont="1" applyFill="1" applyAlignment="1">
      <alignment horizontal="center" vertical="center" wrapText="1"/>
    </xf>
    <xf numFmtId="0" fontId="35" fillId="10" borderId="0" xfId="3" applyFont="1" applyFill="1" applyAlignment="1">
      <alignment horizontal="left" vertical="center"/>
    </xf>
    <xf numFmtId="14" fontId="2" fillId="39" borderId="49" xfId="0" applyNumberFormat="1" applyFont="1" applyFill="1" applyBorder="1" applyAlignment="1">
      <alignment horizontal="center" vertical="center"/>
    </xf>
    <xf numFmtId="0" fontId="11" fillId="5" borderId="0" xfId="0" applyFont="1" applyFill="1" applyAlignment="1">
      <alignment vertical="top"/>
    </xf>
    <xf numFmtId="0" fontId="5" fillId="5" borderId="0" xfId="0" applyFont="1" applyFill="1" applyAlignment="1">
      <alignment vertical="top"/>
    </xf>
    <xf numFmtId="0" fontId="5" fillId="5" borderId="0" xfId="0" applyFont="1" applyFill="1" applyAlignment="1">
      <alignment vertical="top" wrapText="1"/>
    </xf>
    <xf numFmtId="0" fontId="5" fillId="4" borderId="0" xfId="0" applyFont="1" applyFill="1" applyAlignment="1">
      <alignment vertical="top"/>
    </xf>
    <xf numFmtId="0" fontId="15" fillId="2" borderId="31" xfId="0" applyFont="1" applyFill="1" applyBorder="1"/>
    <xf numFmtId="0" fontId="2" fillId="0" borderId="31" xfId="0" applyFont="1" applyBorder="1"/>
    <xf numFmtId="0" fontId="9" fillId="0" borderId="0" xfId="0" applyFont="1"/>
    <xf numFmtId="0" fontId="34" fillId="21" borderId="63" xfId="0" applyFont="1" applyFill="1" applyBorder="1" applyAlignment="1">
      <alignment horizontal="center" vertical="center" wrapText="1"/>
    </xf>
    <xf numFmtId="0" fontId="33" fillId="22" borderId="63" xfId="0" applyFont="1" applyFill="1" applyBorder="1" applyAlignment="1">
      <alignment horizontal="center" vertical="center" wrapText="1"/>
    </xf>
    <xf numFmtId="0" fontId="20" fillId="0" borderId="63" xfId="0" applyFont="1" applyBorder="1" applyAlignment="1">
      <alignment horizontal="center"/>
    </xf>
    <xf numFmtId="0" fontId="8" fillId="0" borderId="0" xfId="0" applyFont="1" applyAlignment="1">
      <alignment vertical="center" wrapText="1"/>
    </xf>
    <xf numFmtId="0" fontId="35" fillId="24" borderId="0" xfId="0" applyFont="1" applyFill="1" applyAlignment="1">
      <alignment horizontal="center" vertical="center" wrapText="1"/>
    </xf>
    <xf numFmtId="0" fontId="20" fillId="0" borderId="69" xfId="0" applyFont="1" applyBorder="1" applyAlignment="1">
      <alignment horizontal="center" vertical="center"/>
    </xf>
    <xf numFmtId="0" fontId="20" fillId="0" borderId="59" xfId="0" applyFont="1" applyBorder="1" applyAlignment="1">
      <alignment horizontal="center" vertical="center"/>
    </xf>
    <xf numFmtId="0" fontId="20" fillId="0" borderId="60" xfId="0" applyFont="1" applyBorder="1" applyAlignment="1">
      <alignment horizontal="center" vertical="center"/>
    </xf>
    <xf numFmtId="0" fontId="20" fillId="0" borderId="61" xfId="0" applyFont="1" applyBorder="1" applyAlignment="1">
      <alignment horizontal="center" vertical="center"/>
    </xf>
    <xf numFmtId="0" fontId="20" fillId="0" borderId="62" xfId="0" applyFont="1" applyBorder="1" applyAlignment="1">
      <alignment horizontal="center" vertical="center"/>
    </xf>
    <xf numFmtId="15" fontId="20" fillId="0" borderId="63" xfId="0" applyNumberFormat="1" applyFont="1" applyBorder="1" applyAlignment="1">
      <alignment horizontal="center" vertical="center"/>
    </xf>
    <xf numFmtId="168" fontId="20" fillId="0" borderId="63" xfId="0" applyNumberFormat="1" applyFont="1" applyBorder="1" applyAlignment="1">
      <alignment horizontal="center" vertical="center"/>
    </xf>
    <xf numFmtId="15" fontId="20" fillId="0" borderId="59" xfId="0" applyNumberFormat="1" applyFont="1" applyBorder="1" applyAlignment="1">
      <alignment horizontal="center" vertical="center"/>
    </xf>
    <xf numFmtId="15" fontId="20" fillId="0" borderId="60" xfId="0" applyNumberFormat="1" applyFont="1" applyBorder="1" applyAlignment="1">
      <alignment horizontal="center" vertical="center"/>
    </xf>
    <xf numFmtId="168" fontId="20" fillId="0" borderId="59" xfId="0" applyNumberFormat="1" applyFont="1" applyBorder="1" applyAlignment="1">
      <alignment horizontal="center" vertical="center"/>
    </xf>
    <xf numFmtId="168" fontId="20" fillId="0" borderId="61" xfId="0" applyNumberFormat="1" applyFont="1" applyBorder="1" applyAlignment="1">
      <alignment horizontal="center" vertical="center"/>
    </xf>
    <xf numFmtId="168" fontId="20" fillId="0" borderId="62" xfId="0" applyNumberFormat="1" applyFont="1" applyBorder="1" applyAlignment="1">
      <alignment horizontal="center" vertical="center"/>
    </xf>
    <xf numFmtId="168" fontId="20" fillId="0" borderId="60" xfId="0" applyNumberFormat="1" applyFont="1" applyBorder="1" applyAlignment="1">
      <alignment horizontal="center" vertical="center"/>
    </xf>
    <xf numFmtId="168" fontId="20" fillId="0" borderId="53" xfId="0" applyNumberFormat="1" applyFont="1" applyBorder="1" applyAlignment="1">
      <alignment horizontal="center" vertical="center"/>
    </xf>
    <xf numFmtId="0" fontId="9" fillId="0" borderId="2" xfId="0" applyFont="1" applyBorder="1" applyAlignment="1">
      <alignment vertical="top" wrapText="1"/>
    </xf>
    <xf numFmtId="0" fontId="0" fillId="0" borderId="31" xfId="0" applyBorder="1" applyAlignment="1">
      <alignment vertical="top" wrapText="1"/>
    </xf>
    <xf numFmtId="0" fontId="0" fillId="0" borderId="31" xfId="0" applyBorder="1" applyAlignment="1">
      <alignment wrapText="1"/>
    </xf>
    <xf numFmtId="168" fontId="22" fillId="21" borderId="15" xfId="0" applyNumberFormat="1" applyFont="1" applyFill="1" applyBorder="1" applyAlignment="1" applyProtection="1">
      <alignment horizontal="left" vertical="center" wrapText="1"/>
      <protection locked="0"/>
    </xf>
    <xf numFmtId="15" fontId="20" fillId="0" borderId="53" xfId="0" applyNumberFormat="1" applyFont="1" applyBorder="1" applyAlignment="1">
      <alignment horizontal="center" vertical="center"/>
    </xf>
    <xf numFmtId="0" fontId="2" fillId="11" borderId="0" xfId="0" applyFont="1" applyFill="1"/>
    <xf numFmtId="15" fontId="18" fillId="21" borderId="0" xfId="0" applyNumberFormat="1" applyFont="1" applyFill="1" applyAlignment="1" applyProtection="1">
      <alignment horizontal="left" vertical="top"/>
      <protection locked="0"/>
    </xf>
    <xf numFmtId="15" fontId="18" fillId="21" borderId="20" xfId="0" applyNumberFormat="1" applyFont="1" applyFill="1" applyBorder="1" applyAlignment="1" applyProtection="1">
      <alignment horizontal="left" vertical="top"/>
      <protection locked="0"/>
    </xf>
    <xf numFmtId="15" fontId="18" fillId="21" borderId="20" xfId="0" applyNumberFormat="1" applyFont="1" applyFill="1" applyBorder="1" applyAlignment="1" applyProtection="1">
      <alignment horizontal="left" vertical="top" wrapText="1"/>
      <protection locked="0"/>
    </xf>
    <xf numFmtId="15" fontId="34" fillId="21" borderId="58" xfId="0" applyNumberFormat="1" applyFont="1" applyFill="1" applyBorder="1" applyAlignment="1" applyProtection="1">
      <alignment horizontal="center" vertical="top" wrapText="1"/>
      <protection locked="0"/>
    </xf>
    <xf numFmtId="15" fontId="34" fillId="21" borderId="58" xfId="0" applyNumberFormat="1" applyFont="1" applyFill="1" applyBorder="1" applyAlignment="1">
      <alignment horizontal="center" vertical="top" wrapText="1"/>
    </xf>
    <xf numFmtId="15" fontId="34" fillId="21" borderId="53" xfId="0" applyNumberFormat="1" applyFont="1" applyFill="1" applyBorder="1" applyAlignment="1" applyProtection="1">
      <alignment horizontal="center" vertical="top" wrapText="1"/>
      <protection locked="0"/>
    </xf>
    <xf numFmtId="15" fontId="34" fillId="21" borderId="53" xfId="0" applyNumberFormat="1" applyFont="1" applyFill="1" applyBorder="1" applyAlignment="1">
      <alignment horizontal="center" wrapText="1"/>
    </xf>
    <xf numFmtId="2" fontId="18" fillId="21" borderId="63" xfId="0" applyNumberFormat="1" applyFont="1" applyFill="1" applyBorder="1" applyAlignment="1" applyProtection="1">
      <alignment horizontal="left" vertical="top"/>
      <protection locked="0"/>
    </xf>
    <xf numFmtId="0" fontId="10" fillId="4" borderId="0" xfId="0" applyFont="1" applyFill="1" applyAlignment="1" applyProtection="1">
      <alignment horizontal="left" vertical="top" wrapText="1"/>
      <protection locked="0"/>
    </xf>
    <xf numFmtId="0" fontId="10" fillId="4" borderId="2" xfId="0" applyFont="1" applyFill="1" applyBorder="1" applyAlignment="1" applyProtection="1">
      <alignment vertical="top" wrapText="1"/>
      <protection locked="0"/>
    </xf>
    <xf numFmtId="0" fontId="4" fillId="40" borderId="0" xfId="0" applyFont="1" applyFill="1" applyAlignment="1" applyProtection="1">
      <alignment horizontal="center" vertical="center" wrapText="1"/>
      <protection locked="0"/>
    </xf>
    <xf numFmtId="0" fontId="9" fillId="3" borderId="2" xfId="0" applyFont="1" applyFill="1" applyBorder="1" applyAlignment="1">
      <alignment wrapText="1"/>
    </xf>
    <xf numFmtId="0" fontId="44" fillId="0" borderId="31" xfId="3" applyFont="1" applyBorder="1"/>
    <xf numFmtId="0" fontId="44" fillId="0" borderId="31" xfId="3" applyFont="1" applyBorder="1" applyAlignment="1">
      <alignment wrapText="1"/>
    </xf>
    <xf numFmtId="0" fontId="54" fillId="0" borderId="31" xfId="3" applyFont="1" applyBorder="1"/>
    <xf numFmtId="0" fontId="47" fillId="10" borderId="31" xfId="3" applyFont="1" applyFill="1" applyBorder="1"/>
    <xf numFmtId="165" fontId="2" fillId="13" borderId="2" xfId="0" applyNumberFormat="1" applyFont="1" applyFill="1" applyBorder="1" applyAlignment="1">
      <alignment horizontal="left" vertical="top" wrapText="1"/>
    </xf>
    <xf numFmtId="0" fontId="4" fillId="13" borderId="0" xfId="0" applyFont="1" applyFill="1" applyAlignment="1" applyProtection="1">
      <alignment horizontal="center" vertical="center" wrapText="1"/>
      <protection locked="0"/>
    </xf>
    <xf numFmtId="0" fontId="0" fillId="4" borderId="0" xfId="0" applyFill="1" applyAlignment="1">
      <alignment horizontal="right"/>
    </xf>
    <xf numFmtId="2" fontId="4" fillId="40" borderId="0" xfId="0" applyNumberFormat="1" applyFont="1" applyFill="1" applyAlignment="1" applyProtection="1">
      <alignment horizontal="center" vertical="center" wrapText="1"/>
      <protection locked="0"/>
    </xf>
    <xf numFmtId="0" fontId="0" fillId="0" borderId="0" xfId="0" applyAlignment="1">
      <alignment horizontal="center"/>
    </xf>
    <xf numFmtId="0" fontId="44" fillId="39" borderId="0" xfId="3" applyFont="1" applyFill="1" applyAlignment="1">
      <alignment horizontal="center" vertical="top" wrapText="1"/>
    </xf>
    <xf numFmtId="0" fontId="45" fillId="13" borderId="0" xfId="6" applyFont="1" applyFill="1" applyAlignment="1">
      <alignment horizontal="center"/>
    </xf>
    <xf numFmtId="0" fontId="47" fillId="10" borderId="0" xfId="3" applyFont="1" applyFill="1"/>
    <xf numFmtId="0" fontId="54" fillId="0" borderId="0" xfId="3" applyFont="1"/>
    <xf numFmtId="0" fontId="44" fillId="0" borderId="0" xfId="3" applyFont="1" applyAlignment="1">
      <alignment wrapText="1"/>
    </xf>
    <xf numFmtId="2" fontId="49" fillId="13" borderId="0" xfId="4" applyNumberFormat="1" applyFont="1" applyFill="1" applyAlignment="1">
      <alignment horizontal="center" vertical="center" wrapText="1"/>
    </xf>
    <xf numFmtId="0" fontId="44" fillId="13" borderId="0" xfId="3" applyFont="1" applyFill="1"/>
    <xf numFmtId="0" fontId="44" fillId="27" borderId="0" xfId="3" applyFont="1" applyFill="1"/>
    <xf numFmtId="0" fontId="2" fillId="13" borderId="0" xfId="0" applyFont="1" applyFill="1"/>
    <xf numFmtId="0" fontId="2" fillId="11" borderId="31" xfId="0" applyFont="1" applyFill="1" applyBorder="1"/>
    <xf numFmtId="0" fontId="2" fillId="13" borderId="31" xfId="0" applyFont="1" applyFill="1" applyBorder="1"/>
    <xf numFmtId="0" fontId="1" fillId="35" borderId="0" xfId="0" applyFont="1" applyFill="1" applyAlignment="1">
      <alignment horizontal="center" vertical="top" wrapText="1"/>
    </xf>
    <xf numFmtId="1" fontId="23" fillId="0" borderId="14" xfId="0" applyNumberFormat="1" applyFont="1" applyBorder="1" applyAlignment="1">
      <alignment horizontal="center" vertical="center"/>
    </xf>
    <xf numFmtId="168" fontId="23" fillId="0" borderId="15" xfId="0" applyNumberFormat="1" applyFont="1" applyBorder="1" applyAlignment="1" applyProtection="1">
      <alignment horizontal="center" vertical="center"/>
      <protection locked="0"/>
    </xf>
    <xf numFmtId="0" fontId="20" fillId="0" borderId="17" xfId="0" applyFont="1" applyBorder="1" applyAlignment="1">
      <alignment horizontal="center"/>
    </xf>
    <xf numFmtId="0" fontId="23" fillId="0" borderId="14" xfId="0" applyFont="1" applyBorder="1" applyAlignment="1">
      <alignment horizontal="center" vertical="center"/>
    </xf>
    <xf numFmtId="0" fontId="20" fillId="0" borderId="14" xfId="0" applyFont="1" applyBorder="1" applyAlignment="1">
      <alignment horizontal="center"/>
    </xf>
    <xf numFmtId="0" fontId="20" fillId="0" borderId="14" xfId="0" applyFont="1" applyBorder="1" applyAlignment="1">
      <alignment horizontal="center" vertical="center"/>
    </xf>
    <xf numFmtId="0" fontId="16" fillId="11" borderId="8" xfId="0" applyFont="1" applyFill="1" applyBorder="1" applyAlignment="1">
      <alignment horizontal="left" indent="1"/>
    </xf>
    <xf numFmtId="1" fontId="23" fillId="13" borderId="14" xfId="0" applyNumberFormat="1" applyFont="1" applyFill="1" applyBorder="1" applyAlignment="1">
      <alignment horizontal="center"/>
    </xf>
    <xf numFmtId="0" fontId="23" fillId="13" borderId="14" xfId="0" applyFont="1" applyFill="1" applyBorder="1" applyAlignment="1">
      <alignment horizontal="center"/>
    </xf>
    <xf numFmtId="0" fontId="20" fillId="13" borderId="55" xfId="0" applyFont="1" applyFill="1" applyBorder="1" applyAlignment="1" applyProtection="1">
      <alignment horizontal="left"/>
      <protection locked="0"/>
    </xf>
    <xf numFmtId="0" fontId="20" fillId="13" borderId="53" xfId="0" applyFont="1" applyFill="1" applyBorder="1" applyAlignment="1" applyProtection="1">
      <alignment horizontal="center"/>
      <protection locked="0"/>
    </xf>
    <xf numFmtId="0" fontId="20" fillId="13" borderId="53" xfId="0" applyFont="1" applyFill="1" applyBorder="1" applyAlignment="1">
      <alignment horizontal="center"/>
    </xf>
    <xf numFmtId="0" fontId="20" fillId="13" borderId="22" xfId="0" applyFont="1" applyFill="1" applyBorder="1" applyAlignment="1" applyProtection="1">
      <alignment horizontal="center"/>
      <protection locked="0"/>
    </xf>
    <xf numFmtId="0" fontId="20" fillId="13" borderId="14" xfId="0" applyFont="1" applyFill="1" applyBorder="1" applyAlignment="1" applyProtection="1">
      <alignment horizontal="center"/>
      <protection locked="0"/>
    </xf>
    <xf numFmtId="0" fontId="20" fillId="13" borderId="17" xfId="0" applyFont="1" applyFill="1" applyBorder="1" applyAlignment="1" applyProtection="1">
      <alignment horizontal="center"/>
      <protection locked="0"/>
    </xf>
    <xf numFmtId="0" fontId="20" fillId="13" borderId="14" xfId="0" applyFont="1" applyFill="1" applyBorder="1" applyAlignment="1">
      <alignment horizontal="center"/>
    </xf>
    <xf numFmtId="0" fontId="20" fillId="13" borderId="0" xfId="0" applyFont="1" applyFill="1" applyAlignment="1" applyProtection="1">
      <alignment horizontal="center"/>
      <protection locked="0"/>
    </xf>
    <xf numFmtId="0" fontId="20" fillId="0" borderId="21" xfId="0" applyFont="1" applyBorder="1" applyAlignment="1">
      <alignment horizontal="left" vertical="center"/>
    </xf>
    <xf numFmtId="1" fontId="23" fillId="0" borderId="14" xfId="0" applyNumberFormat="1" applyFont="1" applyBorder="1" applyAlignment="1">
      <alignment horizontal="center"/>
    </xf>
    <xf numFmtId="0" fontId="23" fillId="0" borderId="14" xfId="0" applyFont="1" applyBorder="1" applyAlignment="1">
      <alignment horizontal="center"/>
    </xf>
    <xf numFmtId="168" fontId="23" fillId="0" borderId="14" xfId="0" applyNumberFormat="1" applyFont="1" applyBorder="1" applyAlignment="1">
      <alignment horizontal="center" vertical="center"/>
    </xf>
    <xf numFmtId="168" fontId="18" fillId="0" borderId="15" xfId="0" applyNumberFormat="1" applyFont="1" applyBorder="1"/>
    <xf numFmtId="0" fontId="1" fillId="35" borderId="0" xfId="0" applyFont="1" applyFill="1"/>
    <xf numFmtId="0" fontId="1" fillId="35" borderId="0" xfId="0" applyFont="1" applyFill="1" applyAlignment="1">
      <alignment horizontal="center"/>
    </xf>
    <xf numFmtId="0" fontId="75" fillId="35" borderId="0" xfId="0" applyFont="1" applyFill="1"/>
    <xf numFmtId="0" fontId="9" fillId="13" borderId="2" xfId="0" applyFont="1" applyFill="1" applyBorder="1" applyAlignment="1">
      <alignment vertical="top" wrapText="1"/>
    </xf>
    <xf numFmtId="0" fontId="1" fillId="35" borderId="77" xfId="0" applyFont="1" applyFill="1" applyBorder="1" applyAlignment="1">
      <alignment horizontal="center" vertical="top" wrapText="1"/>
    </xf>
    <xf numFmtId="0" fontId="0" fillId="0" borderId="77" xfId="0" applyBorder="1"/>
    <xf numFmtId="178" fontId="0" fillId="41" borderId="77" xfId="0" applyNumberFormat="1" applyFill="1" applyBorder="1"/>
    <xf numFmtId="0" fontId="1" fillId="42" borderId="77" xfId="0" applyFont="1" applyFill="1" applyBorder="1"/>
    <xf numFmtId="179" fontId="1" fillId="42" borderId="77" xfId="0" applyNumberFormat="1" applyFont="1" applyFill="1" applyBorder="1"/>
    <xf numFmtId="0" fontId="1" fillId="35" borderId="77" xfId="0" applyFont="1" applyFill="1" applyBorder="1" applyAlignment="1">
      <alignment horizontal="center"/>
    </xf>
    <xf numFmtId="0" fontId="1" fillId="35" borderId="77" xfId="0" applyFont="1" applyFill="1" applyBorder="1"/>
    <xf numFmtId="180" fontId="0" fillId="0" borderId="86" xfId="0" applyNumberFormat="1" applyBorder="1"/>
    <xf numFmtId="2" fontId="0" fillId="0" borderId="77" xfId="0" applyNumberFormat="1" applyBorder="1"/>
    <xf numFmtId="0" fontId="0" fillId="43" borderId="0" xfId="0" applyFill="1"/>
    <xf numFmtId="0" fontId="1" fillId="42" borderId="77" xfId="0" applyFont="1" applyFill="1" applyBorder="1" applyAlignment="1">
      <alignment horizontal="right"/>
    </xf>
    <xf numFmtId="2" fontId="1" fillId="35" borderId="77" xfId="0" applyNumberFormat="1" applyFont="1" applyFill="1" applyBorder="1" applyAlignment="1">
      <alignment horizontal="center" vertical="top" wrapText="1"/>
    </xf>
    <xf numFmtId="10" fontId="1" fillId="35" borderId="77" xfId="0" applyNumberFormat="1" applyFont="1" applyFill="1" applyBorder="1" applyAlignment="1">
      <alignment horizontal="center" vertical="top" wrapText="1"/>
    </xf>
    <xf numFmtId="10" fontId="0" fillId="0" borderId="77" xfId="0" applyNumberFormat="1" applyBorder="1"/>
    <xf numFmtId="10" fontId="1" fillId="42" borderId="77" xfId="0" applyNumberFormat="1" applyFont="1" applyFill="1" applyBorder="1"/>
    <xf numFmtId="0" fontId="0" fillId="0" borderId="77" xfId="0" applyBorder="1" applyAlignment="1">
      <alignment horizontal="center"/>
    </xf>
    <xf numFmtId="10" fontId="1" fillId="35" borderId="77" xfId="0" applyNumberFormat="1" applyFont="1" applyFill="1" applyBorder="1"/>
    <xf numFmtId="166" fontId="20" fillId="11" borderId="2" xfId="0" applyNumberFormat="1" applyFont="1" applyFill="1" applyBorder="1" applyAlignment="1" applyProtection="1">
      <alignment horizontal="left" vertical="top" wrapText="1"/>
      <protection locked="0"/>
    </xf>
    <xf numFmtId="0" fontId="20" fillId="11" borderId="2" xfId="0" applyFont="1" applyFill="1" applyBorder="1" applyAlignment="1" applyProtection="1">
      <alignment vertical="top" wrapText="1"/>
      <protection locked="0"/>
    </xf>
    <xf numFmtId="0" fontId="20" fillId="13" borderId="2" xfId="0" applyFont="1" applyFill="1" applyBorder="1" applyAlignment="1" applyProtection="1">
      <alignment vertical="top" wrapText="1"/>
      <protection locked="0"/>
    </xf>
    <xf numFmtId="0" fontId="76" fillId="0" borderId="2" xfId="0" applyFont="1" applyBorder="1" applyAlignment="1" applyProtection="1">
      <alignment vertical="top" wrapText="1"/>
      <protection locked="0"/>
    </xf>
    <xf numFmtId="0" fontId="53" fillId="9" borderId="31" xfId="0" applyFont="1" applyFill="1" applyBorder="1" applyAlignment="1">
      <alignment horizontal="left" wrapText="1"/>
    </xf>
    <xf numFmtId="14" fontId="0" fillId="0" borderId="31" xfId="0" applyNumberFormat="1" applyBorder="1" applyAlignment="1">
      <alignment vertical="top"/>
    </xf>
    <xf numFmtId="0" fontId="0" fillId="0" borderId="31" xfId="0" applyBorder="1" applyAlignment="1">
      <alignment vertical="top"/>
    </xf>
    <xf numFmtId="0" fontId="77" fillId="0" borderId="2" xfId="0" applyFont="1" applyBorder="1" applyAlignment="1" applyProtection="1">
      <alignment vertical="top" wrapText="1"/>
      <protection locked="0"/>
    </xf>
    <xf numFmtId="178" fontId="1" fillId="42" borderId="77" xfId="0" applyNumberFormat="1" applyFont="1" applyFill="1" applyBorder="1"/>
    <xf numFmtId="7" fontId="0" fillId="0" borderId="77" xfId="0" applyNumberFormat="1" applyBorder="1" applyAlignment="1">
      <alignment horizontal="center"/>
    </xf>
    <xf numFmtId="7" fontId="1" fillId="0" borderId="77" xfId="0" applyNumberFormat="1" applyFont="1" applyBorder="1" applyAlignment="1">
      <alignment horizontal="center"/>
    </xf>
    <xf numFmtId="0" fontId="0" fillId="43" borderId="77" xfId="0" applyFill="1" applyBorder="1"/>
    <xf numFmtId="2" fontId="4" fillId="40" borderId="0" xfId="0" applyNumberFormat="1" applyFont="1" applyFill="1" applyAlignment="1" applyProtection="1">
      <alignment horizontal="center" vertical="center"/>
      <protection locked="0"/>
    </xf>
    <xf numFmtId="15" fontId="20" fillId="44" borderId="20" xfId="0" applyNumberFormat="1" applyFont="1" applyFill="1" applyBorder="1" applyAlignment="1">
      <alignment horizontal="left" vertical="center"/>
    </xf>
    <xf numFmtId="0" fontId="20" fillId="44" borderId="55" xfId="0" applyFont="1" applyFill="1" applyBorder="1" applyAlignment="1" applyProtection="1">
      <alignment horizontal="left"/>
      <protection locked="0"/>
    </xf>
    <xf numFmtId="0" fontId="20" fillId="44" borderId="54" xfId="0" applyFont="1" applyFill="1" applyBorder="1" applyAlignment="1" applyProtection="1">
      <alignment horizontal="left"/>
      <protection locked="0"/>
    </xf>
    <xf numFmtId="0" fontId="0" fillId="0" borderId="86" xfId="0" applyBorder="1"/>
    <xf numFmtId="180" fontId="1" fillId="41" borderId="86" xfId="0" applyNumberFormat="1" applyFont="1" applyFill="1" applyBorder="1"/>
    <xf numFmtId="0" fontId="4" fillId="4" borderId="0" xfId="0" applyFont="1" applyFill="1" applyAlignment="1">
      <alignment wrapText="1"/>
    </xf>
    <xf numFmtId="0" fontId="9" fillId="3" borderId="2" xfId="0" applyFont="1" applyFill="1" applyBorder="1"/>
    <xf numFmtId="0" fontId="10" fillId="4" borderId="2" xfId="0" applyFont="1" applyFill="1" applyBorder="1" applyAlignment="1" applyProtection="1">
      <alignment vertical="top" wrapText="1"/>
      <protection locked="0"/>
    </xf>
    <xf numFmtId="0" fontId="2" fillId="4" borderId="0" xfId="0" applyFont="1" applyFill="1" applyAlignment="1">
      <alignment horizontal="left" vertical="top" wrapText="1"/>
    </xf>
    <xf numFmtId="0" fontId="1" fillId="4" borderId="0" xfId="0" applyFont="1" applyFill="1" applyAlignment="1">
      <alignment vertical="top"/>
    </xf>
    <xf numFmtId="0" fontId="9" fillId="5" borderId="2" xfId="0" applyFont="1" applyFill="1" applyBorder="1"/>
    <xf numFmtId="0" fontId="40" fillId="4" borderId="2" xfId="2" applyFill="1" applyBorder="1" applyAlignment="1" applyProtection="1">
      <alignment horizontal="left" vertical="top" wrapText="1"/>
      <protection locked="0"/>
    </xf>
    <xf numFmtId="0" fontId="10" fillId="4" borderId="2" xfId="0" applyFont="1" applyFill="1" applyBorder="1" applyAlignment="1" applyProtection="1">
      <alignment horizontal="left" vertical="top" wrapText="1"/>
      <protection locked="0"/>
    </xf>
    <xf numFmtId="0" fontId="32" fillId="4" borderId="0" xfId="0" applyFont="1" applyFill="1" applyAlignment="1" applyProtection="1">
      <alignment horizontal="center" vertical="top"/>
      <protection locked="0"/>
    </xf>
    <xf numFmtId="0" fontId="6" fillId="4" borderId="0" xfId="0" applyFont="1" applyFill="1" applyAlignment="1">
      <alignment horizontal="center" vertical="top"/>
    </xf>
    <xf numFmtId="0" fontId="0" fillId="4" borderId="0" xfId="0" applyFill="1" applyAlignment="1">
      <alignment horizontal="center"/>
    </xf>
    <xf numFmtId="0" fontId="6" fillId="4" borderId="0" xfId="0" applyFont="1" applyFill="1" applyAlignment="1">
      <alignment horizontal="center"/>
    </xf>
    <xf numFmtId="0" fontId="4" fillId="4" borderId="0" xfId="0" applyFont="1" applyFill="1"/>
    <xf numFmtId="0" fontId="10" fillId="4" borderId="0" xfId="0" applyFont="1" applyFill="1" applyAlignment="1" applyProtection="1">
      <alignment horizontal="left" vertical="top" wrapText="1"/>
      <protection locked="0"/>
    </xf>
    <xf numFmtId="165" fontId="10" fillId="4" borderId="0" xfId="0" applyNumberFormat="1" applyFont="1" applyFill="1" applyAlignment="1" applyProtection="1">
      <alignment horizontal="left" vertical="top" wrapText="1"/>
      <protection locked="0"/>
    </xf>
    <xf numFmtId="0" fontId="41" fillId="4" borderId="0" xfId="2" applyFont="1" applyFill="1" applyAlignment="1">
      <alignment horizontal="left" vertical="top" wrapText="1"/>
    </xf>
    <xf numFmtId="0" fontId="1" fillId="5" borderId="0" xfId="0" applyFont="1" applyFill="1" applyAlignment="1">
      <alignment horizontal="center" vertical="center" wrapText="1"/>
    </xf>
    <xf numFmtId="0" fontId="1" fillId="4" borderId="0" xfId="0" applyFont="1" applyFill="1" applyAlignment="1">
      <alignment horizontal="left" vertical="center" wrapText="1"/>
    </xf>
    <xf numFmtId="0" fontId="18" fillId="5" borderId="2" xfId="0" applyFont="1" applyFill="1" applyBorder="1" applyAlignment="1">
      <alignment horizontal="center" vertical="center"/>
    </xf>
    <xf numFmtId="0" fontId="18" fillId="5" borderId="5" xfId="0" applyFont="1" applyFill="1" applyBorder="1" applyAlignment="1">
      <alignment horizontal="center" vertical="center" wrapText="1"/>
    </xf>
    <xf numFmtId="0" fontId="18" fillId="5" borderId="6" xfId="0" applyFont="1" applyFill="1" applyBorder="1" applyAlignment="1">
      <alignment horizontal="center" vertical="center" wrapText="1"/>
    </xf>
    <xf numFmtId="0" fontId="18" fillId="5" borderId="5" xfId="0" applyFont="1" applyFill="1" applyBorder="1" applyAlignment="1">
      <alignment horizontal="center" vertical="center" textRotation="180" wrapText="1"/>
    </xf>
    <xf numFmtId="0" fontId="18" fillId="5" borderId="6" xfId="0" applyFont="1" applyFill="1" applyBorder="1" applyAlignment="1">
      <alignment horizontal="center" vertical="center" textRotation="180"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wrapText="1"/>
    </xf>
    <xf numFmtId="0" fontId="18" fillId="11" borderId="5" xfId="0" applyFont="1" applyFill="1" applyBorder="1" applyAlignment="1">
      <alignment horizontal="center" vertical="center" wrapText="1"/>
    </xf>
    <xf numFmtId="0" fontId="18" fillId="11" borderId="6" xfId="0" applyFont="1" applyFill="1" applyBorder="1" applyAlignment="1">
      <alignment horizontal="center" vertical="center" wrapText="1"/>
    </xf>
    <xf numFmtId="0" fontId="18" fillId="19" borderId="5" xfId="0" applyFont="1" applyFill="1" applyBorder="1" applyAlignment="1">
      <alignment horizontal="center" vertical="center" wrapText="1"/>
    </xf>
    <xf numFmtId="0" fontId="18" fillId="19" borderId="6" xfId="0" applyFont="1" applyFill="1" applyBorder="1" applyAlignment="1">
      <alignment horizontal="center" vertical="center" wrapText="1"/>
    </xf>
    <xf numFmtId="0" fontId="18" fillId="19" borderId="2" xfId="0" applyFont="1" applyFill="1" applyBorder="1" applyAlignment="1">
      <alignment horizontal="center" vertical="center"/>
    </xf>
    <xf numFmtId="0" fontId="18" fillId="19" borderId="5" xfId="0" applyFont="1" applyFill="1" applyBorder="1" applyAlignment="1">
      <alignment horizontal="center" vertical="center" textRotation="180" wrapText="1"/>
    </xf>
    <xf numFmtId="0" fontId="18" fillId="19" borderId="6" xfId="0" applyFont="1" applyFill="1" applyBorder="1" applyAlignment="1">
      <alignment horizontal="center" vertical="center" textRotation="180" wrapText="1"/>
    </xf>
    <xf numFmtId="0" fontId="8" fillId="19" borderId="3" xfId="0" applyFont="1" applyFill="1" applyBorder="1" applyAlignment="1">
      <alignment horizontal="center" vertical="center" wrapText="1"/>
    </xf>
    <xf numFmtId="0" fontId="8" fillId="19" borderId="4" xfId="0" applyFont="1" applyFill="1" applyBorder="1" applyAlignment="1">
      <alignment horizontal="center" vertical="center" wrapText="1"/>
    </xf>
    <xf numFmtId="0" fontId="61" fillId="5" borderId="81" xfId="0" applyFont="1" applyFill="1" applyBorder="1" applyAlignment="1">
      <alignment horizontal="center" vertical="center" wrapText="1"/>
    </xf>
    <xf numFmtId="0" fontId="61" fillId="5" borderId="82" xfId="0" applyFont="1" applyFill="1" applyBorder="1" applyAlignment="1">
      <alignment horizontal="center" vertical="center" wrapText="1"/>
    </xf>
    <xf numFmtId="0" fontId="61" fillId="5" borderId="83" xfId="0" applyFont="1" applyFill="1" applyBorder="1" applyAlignment="1">
      <alignment horizontal="center" vertical="center" wrapText="1"/>
    </xf>
    <xf numFmtId="170" fontId="22" fillId="6" borderId="0" xfId="0" applyNumberFormat="1" applyFont="1" applyFill="1" applyAlignment="1">
      <alignment horizontal="center" vertical="center" wrapText="1"/>
    </xf>
    <xf numFmtId="0" fontId="35" fillId="5" borderId="0" xfId="0" applyFont="1" applyFill="1" applyAlignment="1">
      <alignment horizontal="center" vertical="top" wrapText="1"/>
    </xf>
    <xf numFmtId="0" fontId="9" fillId="20" borderId="0" xfId="0" applyFont="1" applyFill="1" applyAlignment="1">
      <alignment horizontal="center" vertical="center"/>
    </xf>
    <xf numFmtId="166" fontId="9" fillId="20" borderId="0" xfId="0" applyNumberFormat="1" applyFont="1" applyFill="1" applyAlignment="1">
      <alignment horizontal="left" vertical="center"/>
    </xf>
    <xf numFmtId="170" fontId="25" fillId="6" borderId="0" xfId="0" applyNumberFormat="1" applyFont="1" applyFill="1" applyAlignment="1">
      <alignment horizontal="center"/>
    </xf>
    <xf numFmtId="0" fontId="22" fillId="5" borderId="0" xfId="0" applyFont="1" applyFill="1" applyAlignment="1">
      <alignment horizontal="center" vertical="center" wrapText="1"/>
    </xf>
    <xf numFmtId="170" fontId="22" fillId="6" borderId="0" xfId="0" applyNumberFormat="1" applyFont="1" applyFill="1" applyAlignment="1">
      <alignment horizontal="center"/>
    </xf>
    <xf numFmtId="0" fontId="35" fillId="24" borderId="0" xfId="0" applyFont="1" applyFill="1" applyAlignment="1">
      <alignment horizontal="center" vertical="top" wrapText="1"/>
    </xf>
    <xf numFmtId="0" fontId="74" fillId="5" borderId="81" xfId="0" applyFont="1" applyFill="1" applyBorder="1" applyAlignment="1">
      <alignment horizontal="center" vertical="center" wrapText="1"/>
    </xf>
    <xf numFmtId="0" fontId="74" fillId="5" borderId="82" xfId="0" applyFont="1" applyFill="1" applyBorder="1" applyAlignment="1">
      <alignment horizontal="center" vertical="center" wrapText="1"/>
    </xf>
    <xf numFmtId="0" fontId="74" fillId="5" borderId="83" xfId="0" applyFont="1" applyFill="1" applyBorder="1" applyAlignment="1">
      <alignment horizontal="center" vertical="center" wrapText="1"/>
    </xf>
    <xf numFmtId="0" fontId="35" fillId="24" borderId="0" xfId="0" applyFont="1" applyFill="1" applyAlignment="1">
      <alignment horizontal="center" vertical="center" wrapText="1"/>
    </xf>
    <xf numFmtId="0" fontId="70" fillId="5" borderId="81" xfId="0" applyFont="1" applyFill="1" applyBorder="1" applyAlignment="1">
      <alignment horizontal="center" vertical="center" wrapText="1"/>
    </xf>
    <xf numFmtId="0" fontId="70" fillId="5" borderId="82" xfId="0" applyFont="1" applyFill="1" applyBorder="1" applyAlignment="1">
      <alignment horizontal="center" vertical="center" wrapText="1"/>
    </xf>
    <xf numFmtId="0" fontId="70" fillId="5" borderId="83" xfId="0" applyFont="1" applyFill="1" applyBorder="1" applyAlignment="1">
      <alignment horizontal="center" vertical="center" wrapText="1"/>
    </xf>
    <xf numFmtId="49" fontId="4" fillId="14" borderId="64" xfId="0" applyNumberFormat="1" applyFont="1" applyFill="1" applyBorder="1" applyAlignment="1">
      <alignment horizontal="center" vertical="center" wrapText="1"/>
    </xf>
    <xf numFmtId="49" fontId="4" fillId="14" borderId="65" xfId="0" applyNumberFormat="1" applyFont="1" applyFill="1" applyBorder="1" applyAlignment="1">
      <alignment horizontal="center" vertical="center" wrapText="1"/>
    </xf>
    <xf numFmtId="49" fontId="4" fillId="14" borderId="19" xfId="0" applyNumberFormat="1" applyFont="1" applyFill="1" applyBorder="1" applyAlignment="1">
      <alignment horizontal="center" vertical="center" wrapText="1"/>
    </xf>
    <xf numFmtId="0" fontId="15" fillId="12" borderId="3" xfId="0" applyFont="1" applyFill="1" applyBorder="1" applyAlignment="1">
      <alignment horizontal="right" vertical="center" indent="1"/>
    </xf>
    <xf numFmtId="0" fontId="15" fillId="12" borderId="66" xfId="0" applyFont="1" applyFill="1" applyBorder="1" applyAlignment="1">
      <alignment horizontal="right" vertical="center" indent="1"/>
    </xf>
    <xf numFmtId="0" fontId="8" fillId="5" borderId="0" xfId="0" applyFont="1" applyFill="1" applyAlignment="1">
      <alignment horizontal="center" vertical="center" wrapText="1"/>
    </xf>
    <xf numFmtId="0" fontId="16" fillId="5" borderId="49" xfId="0" applyFont="1" applyFill="1" applyBorder="1" applyAlignment="1">
      <alignment horizontal="center" vertical="center"/>
    </xf>
    <xf numFmtId="0" fontId="38" fillId="7" borderId="9" xfId="0" applyFont="1" applyFill="1" applyBorder="1" applyAlignment="1">
      <alignment horizontal="center" vertical="center" wrapText="1"/>
    </xf>
    <xf numFmtId="0" fontId="38" fillId="7" borderId="50" xfId="0" applyFont="1" applyFill="1" applyBorder="1" applyAlignment="1">
      <alignment horizontal="center" vertical="center" wrapText="1"/>
    </xf>
    <xf numFmtId="0" fontId="38" fillId="7" borderId="11" xfId="0" applyFont="1" applyFill="1" applyBorder="1" applyAlignment="1">
      <alignment horizontal="center" vertical="center" wrapText="1"/>
    </xf>
    <xf numFmtId="0" fontId="38" fillId="7" borderId="51" xfId="0" applyFont="1" applyFill="1" applyBorder="1" applyAlignment="1">
      <alignment horizontal="center" vertical="center" wrapText="1"/>
    </xf>
    <xf numFmtId="0" fontId="8" fillId="4" borderId="0" xfId="0" applyFont="1" applyFill="1" applyAlignment="1">
      <alignment horizontal="left" wrapText="1"/>
    </xf>
    <xf numFmtId="0" fontId="2" fillId="14" borderId="5" xfId="0" applyFont="1" applyFill="1" applyBorder="1" applyAlignment="1">
      <alignment horizontal="center" vertical="center" textRotation="90" wrapText="1"/>
    </xf>
    <xf numFmtId="0" fontId="2" fillId="14" borderId="13" xfId="0" applyFont="1" applyFill="1" applyBorder="1" applyAlignment="1">
      <alignment horizontal="center" vertical="center" textRotation="90" wrapText="1"/>
    </xf>
    <xf numFmtId="0" fontId="2" fillId="14" borderId="6" xfId="0" applyFont="1" applyFill="1" applyBorder="1" applyAlignment="1">
      <alignment horizontal="center" vertical="center" textRotation="90" wrapText="1"/>
    </xf>
    <xf numFmtId="0" fontId="15" fillId="28" borderId="74" xfId="0" applyFont="1" applyFill="1" applyBorder="1" applyAlignment="1">
      <alignment horizontal="center" vertical="center"/>
    </xf>
    <xf numFmtId="0" fontId="15" fillId="28" borderId="75" xfId="0" applyFont="1" applyFill="1" applyBorder="1" applyAlignment="1">
      <alignment horizontal="center" vertical="center"/>
    </xf>
    <xf numFmtId="0" fontId="15" fillId="28" borderId="76" xfId="0" applyFont="1" applyFill="1" applyBorder="1" applyAlignment="1">
      <alignment horizontal="center" vertical="center"/>
    </xf>
    <xf numFmtId="0" fontId="8" fillId="13" borderId="0" xfId="0" applyFont="1" applyFill="1" applyAlignment="1">
      <alignment horizontal="left" wrapText="1"/>
    </xf>
    <xf numFmtId="0" fontId="39" fillId="23" borderId="9" xfId="0" applyFont="1" applyFill="1" applyBorder="1" applyAlignment="1">
      <alignment horizontal="center" vertical="center" wrapText="1"/>
    </xf>
    <xf numFmtId="0" fontId="39" fillId="23" borderId="50" xfId="0" applyFont="1" applyFill="1" applyBorder="1" applyAlignment="1">
      <alignment horizontal="center" vertical="center" wrapText="1"/>
    </xf>
    <xf numFmtId="0" fontId="39" fillId="23" borderId="11" xfId="0" applyFont="1" applyFill="1" applyBorder="1" applyAlignment="1">
      <alignment horizontal="center" vertical="center" wrapText="1"/>
    </xf>
    <xf numFmtId="0" fontId="39" fillId="23" borderId="51" xfId="0" applyFont="1" applyFill="1" applyBorder="1" applyAlignment="1">
      <alignment horizontal="center" vertical="center" wrapText="1"/>
    </xf>
    <xf numFmtId="0" fontId="16" fillId="19" borderId="49" xfId="0" applyFont="1" applyFill="1" applyBorder="1" applyAlignment="1">
      <alignment horizontal="center" vertical="center"/>
    </xf>
    <xf numFmtId="0" fontId="1" fillId="42" borderId="77" xfId="0" applyFont="1" applyFill="1" applyBorder="1" applyAlignment="1">
      <alignment horizontal="right"/>
    </xf>
    <xf numFmtId="0" fontId="1" fillId="35" borderId="77" xfId="0" applyFont="1" applyFill="1" applyBorder="1" applyAlignment="1">
      <alignment horizontal="center" vertical="top" wrapText="1"/>
    </xf>
    <xf numFmtId="0" fontId="67" fillId="27" borderId="0" xfId="0" applyFont="1" applyFill="1" applyAlignment="1">
      <alignment horizontal="center"/>
    </xf>
    <xf numFmtId="0" fontId="0" fillId="0" borderId="0" xfId="0" applyAlignment="1">
      <alignment horizontal="center" vertical="center" wrapText="1"/>
    </xf>
    <xf numFmtId="0" fontId="1" fillId="11" borderId="0" xfId="0" applyFont="1" applyFill="1"/>
    <xf numFmtId="0" fontId="0" fillId="0" borderId="0" xfId="0"/>
    <xf numFmtId="0" fontId="1" fillId="5" borderId="0" xfId="0" applyFont="1" applyFill="1" applyAlignment="1">
      <alignment horizontal="center"/>
    </xf>
    <xf numFmtId="0" fontId="8" fillId="35" borderId="0" xfId="0" applyFont="1" applyFill="1" applyAlignment="1">
      <alignment horizontal="center" vertical="center" wrapText="1"/>
    </xf>
    <xf numFmtId="0" fontId="1" fillId="35" borderId="0" xfId="0" applyFont="1" applyFill="1"/>
    <xf numFmtId="0" fontId="70" fillId="5" borderId="0" xfId="0" applyFont="1" applyFill="1" applyAlignment="1">
      <alignment horizontal="center" wrapText="1"/>
    </xf>
    <xf numFmtId="0" fontId="48" fillId="27" borderId="0" xfId="0" applyFont="1" applyFill="1" applyAlignment="1">
      <alignment horizontal="center" vertical="center" wrapText="1"/>
    </xf>
    <xf numFmtId="0" fontId="48" fillId="35" borderId="0" xfId="0" applyFont="1" applyFill="1" applyAlignment="1">
      <alignment horizontal="center" vertical="center" wrapText="1"/>
    </xf>
    <xf numFmtId="0" fontId="8" fillId="11" borderId="0" xfId="0" applyFont="1" applyFill="1" applyAlignment="1">
      <alignment vertical="center" wrapText="1"/>
    </xf>
    <xf numFmtId="0" fontId="1" fillId="35" borderId="0" xfId="0" applyFont="1" applyFill="1" applyAlignment="1">
      <alignment horizontal="center" vertical="top" wrapText="1"/>
    </xf>
    <xf numFmtId="0" fontId="0" fillId="0" borderId="85" xfId="0" applyBorder="1" applyAlignment="1">
      <alignment horizontal="center" vertical="top" wrapText="1"/>
    </xf>
    <xf numFmtId="0" fontId="1" fillId="35" borderId="77" xfId="0" applyFont="1" applyFill="1" applyBorder="1" applyAlignment="1">
      <alignment horizontal="center"/>
    </xf>
    <xf numFmtId="0" fontId="1" fillId="35" borderId="77" xfId="0" applyFont="1" applyFill="1" applyBorder="1"/>
    <xf numFmtId="0" fontId="1" fillId="42" borderId="87" xfId="0" applyFont="1" applyFill="1" applyBorder="1" applyAlignment="1">
      <alignment horizontal="right"/>
    </xf>
    <xf numFmtId="0" fontId="0" fillId="0" borderId="86" xfId="0" applyBorder="1" applyAlignment="1">
      <alignment horizontal="right"/>
    </xf>
    <xf numFmtId="0" fontId="1" fillId="35" borderId="87" xfId="0" applyFont="1" applyFill="1" applyBorder="1" applyAlignment="1">
      <alignment horizontal="center"/>
    </xf>
    <xf numFmtId="0" fontId="0" fillId="0" borderId="88" xfId="0" applyBorder="1"/>
    <xf numFmtId="0" fontId="0" fillId="0" borderId="86" xfId="0" applyBorder="1"/>
    <xf numFmtId="0" fontId="8" fillId="38" borderId="0" xfId="0" applyFont="1" applyFill="1" applyAlignment="1">
      <alignment vertical="center" wrapText="1"/>
    </xf>
    <xf numFmtId="2" fontId="1" fillId="38" borderId="35" xfId="0" applyNumberFormat="1" applyFont="1" applyFill="1" applyBorder="1"/>
    <xf numFmtId="0" fontId="0" fillId="0" borderId="79" xfId="0" applyBorder="1"/>
    <xf numFmtId="0" fontId="0" fillId="0" borderId="35" xfId="0" applyBorder="1"/>
    <xf numFmtId="0" fontId="1" fillId="32" borderId="40" xfId="0" applyFont="1" applyFill="1" applyBorder="1" applyAlignment="1">
      <alignment horizontal="center" vertical="center" wrapText="1"/>
    </xf>
    <xf numFmtId="0" fontId="1" fillId="32" borderId="77" xfId="0" applyFont="1" applyFill="1" applyBorder="1" applyAlignment="1">
      <alignment horizontal="center" vertical="center" wrapText="1"/>
    </xf>
    <xf numFmtId="0" fontId="1" fillId="32" borderId="0" xfId="0" applyFont="1" applyFill="1" applyAlignment="1">
      <alignment horizontal="center" vertical="center" wrapText="1"/>
    </xf>
    <xf numFmtId="0" fontId="72" fillId="38" borderId="0" xfId="0" applyFont="1" applyFill="1" applyAlignment="1">
      <alignment horizontal="center" vertical="center" wrapText="1"/>
    </xf>
    <xf numFmtId="0" fontId="72" fillId="38" borderId="0" xfId="0" applyFont="1" applyFill="1" applyAlignment="1">
      <alignment horizontal="center" vertical="center"/>
    </xf>
    <xf numFmtId="0" fontId="72" fillId="38" borderId="38" xfId="0" applyFont="1" applyFill="1" applyBorder="1" applyAlignment="1">
      <alignment horizontal="center" vertical="center"/>
    </xf>
    <xf numFmtId="0" fontId="66" fillId="0" borderId="35" xfId="0" applyFont="1" applyBorder="1" applyAlignment="1">
      <alignment horizontal="right"/>
    </xf>
    <xf numFmtId="0" fontId="65" fillId="27" borderId="37" xfId="0" applyFont="1" applyFill="1" applyBorder="1" applyAlignment="1">
      <alignment horizontal="center" vertical="center"/>
    </xf>
    <xf numFmtId="0" fontId="65" fillId="27" borderId="38" xfId="0" applyFont="1" applyFill="1" applyBorder="1" applyAlignment="1">
      <alignment horizontal="center" vertical="center"/>
    </xf>
    <xf numFmtId="2" fontId="65" fillId="27" borderId="38" xfId="0" applyNumberFormat="1" applyFont="1" applyFill="1" applyBorder="1" applyAlignment="1">
      <alignment horizontal="center" vertical="center"/>
    </xf>
    <xf numFmtId="2" fontId="65" fillId="27" borderId="39" xfId="0" applyNumberFormat="1" applyFont="1" applyFill="1" applyBorder="1" applyAlignment="1">
      <alignment horizontal="center" vertical="center"/>
    </xf>
    <xf numFmtId="0" fontId="53" fillId="27" borderId="35" xfId="0" applyFont="1" applyFill="1" applyBorder="1" applyAlignment="1">
      <alignment horizontal="center"/>
    </xf>
    <xf numFmtId="2" fontId="66" fillId="0" borderId="0" xfId="0" applyNumberFormat="1" applyFont="1" applyAlignment="1">
      <alignment horizontal="right"/>
    </xf>
    <xf numFmtId="1" fontId="53" fillId="27" borderId="0" xfId="0" applyNumberFormat="1" applyFont="1" applyFill="1" applyAlignment="1">
      <alignment horizontal="center" vertical="top"/>
    </xf>
    <xf numFmtId="2" fontId="66" fillId="0" borderId="0" xfId="0" applyNumberFormat="1" applyFont="1" applyAlignment="1">
      <alignment horizontal="right" vertical="center"/>
    </xf>
    <xf numFmtId="2" fontId="1" fillId="0" borderId="0" xfId="0" applyNumberFormat="1" applyFont="1" applyAlignment="1">
      <alignment horizontal="center" vertical="center"/>
    </xf>
    <xf numFmtId="0" fontId="47" fillId="26" borderId="32" xfId="5" applyFont="1" applyFill="1" applyBorder="1" applyAlignment="1">
      <alignment horizontal="center" vertical="center" wrapText="1"/>
    </xf>
    <xf numFmtId="0" fontId="47" fillId="26" borderId="33" xfId="5" applyFont="1" applyFill="1" applyBorder="1" applyAlignment="1">
      <alignment horizontal="center" vertical="center" wrapText="1"/>
    </xf>
    <xf numFmtId="0" fontId="47" fillId="26" borderId="49" xfId="3" applyFont="1" applyFill="1" applyBorder="1" applyAlignment="1">
      <alignment horizontal="center" wrapText="1"/>
    </xf>
    <xf numFmtId="0" fontId="71" fillId="27" borderId="0" xfId="3" applyFont="1" applyFill="1" applyAlignment="1">
      <alignment horizontal="center"/>
    </xf>
    <xf numFmtId="0" fontId="44" fillId="39" borderId="0" xfId="3" applyFont="1" applyFill="1" applyAlignment="1">
      <alignment horizontal="center" vertical="top" wrapText="1"/>
    </xf>
    <xf numFmtId="0" fontId="47" fillId="34" borderId="34" xfId="3" applyFont="1" applyFill="1" applyBorder="1" applyAlignment="1">
      <alignment horizontal="center" vertical="center" wrapText="1"/>
    </xf>
    <xf numFmtId="0" fontId="47" fillId="34" borderId="35" xfId="3" applyFont="1" applyFill="1" applyBorder="1" applyAlignment="1">
      <alignment horizontal="center" vertical="center" wrapText="1"/>
    </xf>
    <xf numFmtId="0" fontId="47" fillId="34" borderId="36" xfId="3" applyFont="1" applyFill="1" applyBorder="1" applyAlignment="1">
      <alignment horizontal="center" vertical="center" wrapText="1"/>
    </xf>
    <xf numFmtId="0" fontId="47" fillId="34" borderId="40" xfId="3" applyFont="1" applyFill="1" applyBorder="1" applyAlignment="1">
      <alignment horizontal="center" vertical="center" wrapText="1"/>
    </xf>
    <xf numFmtId="0" fontId="47" fillId="34" borderId="0" xfId="3" applyFont="1" applyFill="1" applyAlignment="1">
      <alignment horizontal="center" vertical="center" wrapText="1"/>
    </xf>
    <xf numFmtId="0" fontId="47" fillId="34" borderId="41" xfId="3" applyFont="1" applyFill="1" applyBorder="1" applyAlignment="1">
      <alignment horizontal="center" vertical="center" wrapText="1"/>
    </xf>
    <xf numFmtId="0" fontId="47" fillId="34" borderId="37" xfId="3" applyFont="1" applyFill="1" applyBorder="1" applyAlignment="1">
      <alignment horizontal="center" vertical="center" wrapText="1"/>
    </xf>
    <xf numFmtId="0" fontId="47" fillId="34" borderId="38" xfId="3" applyFont="1" applyFill="1" applyBorder="1" applyAlignment="1">
      <alignment horizontal="center" vertical="center" wrapText="1"/>
    </xf>
    <xf numFmtId="0" fontId="47" fillId="34" borderId="39" xfId="3" applyFont="1" applyFill="1" applyBorder="1" applyAlignment="1">
      <alignment horizontal="center" vertical="center" wrapText="1"/>
    </xf>
    <xf numFmtId="0" fontId="68" fillId="27" borderId="40" xfId="3" applyFont="1" applyFill="1" applyBorder="1" applyAlignment="1">
      <alignment horizontal="center"/>
    </xf>
    <xf numFmtId="0" fontId="68" fillId="27" borderId="0" xfId="3" applyFont="1" applyFill="1" applyAlignment="1">
      <alignment horizontal="center"/>
    </xf>
    <xf numFmtId="0" fontId="70" fillId="34" borderId="34" xfId="3" applyFont="1" applyFill="1" applyBorder="1" applyAlignment="1">
      <alignment horizontal="center" vertical="center" wrapText="1"/>
    </xf>
    <xf numFmtId="0" fontId="70" fillId="34" borderId="35" xfId="3" applyFont="1" applyFill="1" applyBorder="1" applyAlignment="1">
      <alignment horizontal="center" vertical="center" wrapText="1"/>
    </xf>
    <xf numFmtId="0" fontId="70" fillId="34" borderId="36" xfId="3" applyFont="1" applyFill="1" applyBorder="1" applyAlignment="1">
      <alignment horizontal="center" vertical="center" wrapText="1"/>
    </xf>
    <xf numFmtId="0" fontId="70" fillId="34" borderId="40" xfId="3" applyFont="1" applyFill="1" applyBorder="1" applyAlignment="1">
      <alignment horizontal="center" vertical="center" wrapText="1"/>
    </xf>
    <xf numFmtId="0" fontId="70" fillId="34" borderId="0" xfId="3" applyFont="1" applyFill="1" applyAlignment="1">
      <alignment horizontal="center" vertical="center" wrapText="1"/>
    </xf>
    <xf numFmtId="0" fontId="70" fillId="34" borderId="41" xfId="3" applyFont="1" applyFill="1" applyBorder="1" applyAlignment="1">
      <alignment horizontal="center" vertical="center" wrapText="1"/>
    </xf>
    <xf numFmtId="0" fontId="70" fillId="34" borderId="37" xfId="3" applyFont="1" applyFill="1" applyBorder="1" applyAlignment="1">
      <alignment horizontal="center" vertical="center" wrapText="1"/>
    </xf>
    <xf numFmtId="0" fontId="70" fillId="34" borderId="38" xfId="3" applyFont="1" applyFill="1" applyBorder="1" applyAlignment="1">
      <alignment horizontal="center" vertical="center" wrapText="1"/>
    </xf>
    <xf numFmtId="0" fontId="70" fillId="34" borderId="39" xfId="3" applyFont="1" applyFill="1" applyBorder="1" applyAlignment="1">
      <alignment horizontal="center" vertical="center" wrapText="1"/>
    </xf>
    <xf numFmtId="0" fontId="45" fillId="13" borderId="80" xfId="6" applyFont="1" applyFill="1" applyBorder="1" applyAlignment="1">
      <alignment horizontal="center"/>
    </xf>
    <xf numFmtId="0" fontId="45" fillId="0" borderId="0" xfId="4" applyFont="1" applyAlignment="1">
      <alignment horizontal="center" vertical="center" wrapText="1"/>
    </xf>
    <xf numFmtId="0" fontId="56" fillId="0" borderId="48" xfId="4" applyFont="1" applyBorder="1" applyAlignment="1">
      <alignment horizontal="left" vertical="top" wrapText="1"/>
    </xf>
    <xf numFmtId="0" fontId="56" fillId="0" borderId="0" xfId="4" applyFont="1" applyAlignment="1">
      <alignment horizontal="left" vertical="top" wrapText="1"/>
    </xf>
    <xf numFmtId="0" fontId="49" fillId="0" borderId="31" xfId="4" applyFont="1" applyBorder="1" applyAlignment="1">
      <alignment horizontal="center" vertical="center"/>
    </xf>
    <xf numFmtId="0" fontId="49" fillId="30" borderId="47" xfId="4" applyFont="1" applyFill="1" applyBorder="1" applyAlignment="1">
      <alignment horizontal="center" vertical="center" wrapText="1"/>
    </xf>
    <xf numFmtId="0" fontId="49" fillId="30" borderId="31" xfId="4" applyFont="1" applyFill="1" applyBorder="1" applyAlignment="1">
      <alignment horizontal="center" vertical="center" wrapText="1"/>
    </xf>
    <xf numFmtId="0" fontId="64" fillId="30" borderId="31" xfId="4" applyFont="1" applyFill="1" applyBorder="1" applyAlignment="1">
      <alignment horizontal="center" vertical="center" wrapText="1"/>
    </xf>
    <xf numFmtId="0" fontId="45" fillId="0" borderId="43" xfId="4" applyFont="1" applyBorder="1" applyAlignment="1">
      <alignment horizontal="center" vertical="center" wrapText="1"/>
    </xf>
    <xf numFmtId="0" fontId="45" fillId="0" borderId="44" xfId="4" applyFont="1" applyBorder="1" applyAlignment="1">
      <alignment horizontal="center" vertical="center" wrapText="1"/>
    </xf>
    <xf numFmtId="0" fontId="45" fillId="0" borderId="45" xfId="4" applyFont="1" applyBorder="1" applyAlignment="1">
      <alignment horizontal="center" vertical="center" wrapText="1"/>
    </xf>
    <xf numFmtId="0" fontId="53" fillId="27" borderId="38" xfId="4" applyFont="1" applyFill="1" applyBorder="1" applyAlignment="1">
      <alignment horizontal="center" vertical="center"/>
    </xf>
    <xf numFmtId="0" fontId="64" fillId="36" borderId="0" xfId="4" applyFont="1" applyFill="1" applyAlignment="1">
      <alignment horizontal="left" vertical="center" wrapText="1"/>
    </xf>
    <xf numFmtId="0" fontId="48" fillId="27" borderId="78" xfId="4" applyFont="1" applyFill="1" applyBorder="1" applyAlignment="1">
      <alignment horizontal="center" vertical="center"/>
    </xf>
    <xf numFmtId="0" fontId="55" fillId="0" borderId="34" xfId="4" applyFont="1" applyBorder="1" applyAlignment="1">
      <alignment horizontal="center" vertical="center" wrapText="1"/>
    </xf>
    <xf numFmtId="0" fontId="55" fillId="0" borderId="35" xfId="4" applyFont="1" applyBorder="1" applyAlignment="1">
      <alignment horizontal="center" vertical="center" wrapText="1"/>
    </xf>
    <xf numFmtId="0" fontId="55" fillId="0" borderId="40" xfId="4" applyFont="1" applyBorder="1" applyAlignment="1">
      <alignment horizontal="center" vertical="center" wrapText="1"/>
    </xf>
    <xf numFmtId="0" fontId="55" fillId="0" borderId="0" xfId="4" applyFont="1" applyAlignment="1">
      <alignment horizontal="center" vertical="center" wrapText="1"/>
    </xf>
    <xf numFmtId="0" fontId="57" fillId="26" borderId="84" xfId="4" applyFont="1" applyFill="1" applyBorder="1" applyAlignment="1">
      <alignment horizontal="center" vertical="center"/>
    </xf>
    <xf numFmtId="0" fontId="56" fillId="26" borderId="47" xfId="4" applyFont="1" applyFill="1" applyBorder="1" applyAlignment="1">
      <alignment horizontal="center" vertical="center"/>
    </xf>
    <xf numFmtId="0" fontId="56" fillId="26" borderId="31" xfId="4" applyFont="1" applyFill="1" applyBorder="1" applyAlignment="1">
      <alignment horizontal="center" vertical="center"/>
    </xf>
    <xf numFmtId="0" fontId="54" fillId="13" borderId="0" xfId="4" applyFont="1" applyFill="1" applyAlignment="1">
      <alignment horizontal="center" vertical="center"/>
    </xf>
    <xf numFmtId="0" fontId="64" fillId="26" borderId="47" xfId="4" applyFont="1" applyFill="1" applyBorder="1" applyAlignment="1">
      <alignment horizontal="center" vertical="center"/>
    </xf>
    <xf numFmtId="0" fontId="64" fillId="26" borderId="31" xfId="4" applyFont="1" applyFill="1" applyBorder="1" applyAlignment="1">
      <alignment horizontal="center" vertical="center"/>
    </xf>
    <xf numFmtId="0" fontId="56" fillId="13" borderId="0" xfId="4" applyFont="1" applyFill="1" applyAlignment="1">
      <alignment horizontal="center" vertical="center"/>
    </xf>
    <xf numFmtId="175" fontId="53" fillId="29" borderId="0" xfId="4" applyNumberFormat="1" applyFont="1" applyFill="1" applyAlignment="1">
      <alignment horizontal="center" vertical="center" wrapText="1"/>
    </xf>
    <xf numFmtId="0" fontId="9" fillId="33" borderId="0" xfId="0" applyFont="1" applyFill="1" applyAlignment="1">
      <alignment horizontal="center"/>
    </xf>
    <xf numFmtId="0" fontId="2" fillId="33" borderId="0" xfId="0" applyFont="1" applyFill="1" applyAlignment="1">
      <alignment horizontal="center" wrapText="1"/>
    </xf>
    <xf numFmtId="0" fontId="9" fillId="33" borderId="0" xfId="0" applyFont="1" applyFill="1" applyAlignment="1">
      <alignment horizontal="left"/>
    </xf>
  </cellXfs>
  <cellStyles count="9">
    <cellStyle name="Comma" xfId="1" builtinId="3"/>
    <cellStyle name="Hyperlink" xfId="2" builtinId="8"/>
    <cellStyle name="Legal 8½ x 14 in" xfId="4" xr:uid="{8BDDDBA1-5E2A-45B8-8628-0EF1A83439E3}"/>
    <cellStyle name="Legal 8½ x 14 in 2" xfId="7" xr:uid="{1412BD5C-0413-4B17-AE3A-E2E4B753C6E5}"/>
    <cellStyle name="Normal" xfId="0" builtinId="0"/>
    <cellStyle name="Normal 18" xfId="6" xr:uid="{DDFAEA4A-9F5A-41E1-9381-D8AA646B3A22}"/>
    <cellStyle name="Normal 2" xfId="3" xr:uid="{10EEB009-2FD6-472D-A827-B3BDE1EA89F6}"/>
    <cellStyle name="Normal 25" xfId="5" xr:uid="{0A99A485-A24E-4726-BE12-CEEACCFA82D5}"/>
    <cellStyle name="Percent" xfId="8" builtinId="5"/>
  </cellStyles>
  <dxfs count="98">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9" tint="-0.24994659260841701"/>
        </patternFill>
      </fill>
    </dxf>
    <dxf>
      <font>
        <color theme="0"/>
      </font>
      <fill>
        <patternFill>
          <bgColor theme="5" tint="-0.24994659260841701"/>
        </patternFill>
      </fill>
    </dxf>
    <dxf>
      <font>
        <color theme="0"/>
      </font>
      <fill>
        <patternFill>
          <bgColor theme="4" tint="-0.499984740745262"/>
        </patternFill>
      </fill>
    </dxf>
    <dxf>
      <fill>
        <patternFill>
          <bgColor rgb="FFFF0000"/>
        </patternFill>
      </fill>
    </dxf>
    <dxf>
      <fill>
        <patternFill>
          <bgColor rgb="FFFF5050"/>
        </patternFill>
      </fill>
    </dxf>
    <dxf>
      <fill>
        <patternFill>
          <bgColor rgb="FF92D050"/>
        </patternFill>
      </fill>
    </dxf>
    <dxf>
      <fill>
        <patternFill>
          <bgColor rgb="FFFF7C8A"/>
        </patternFill>
      </fill>
    </dxf>
    <dxf>
      <font>
        <color rgb="FFFF0000"/>
      </font>
    </dxf>
    <dxf>
      <font>
        <color rgb="FFFF0000"/>
      </font>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rgb="FFFFE6E6"/>
        </patternFill>
      </fill>
    </dxf>
    <dxf>
      <font>
        <color theme="8" tint="0.39994506668294322"/>
      </font>
    </dxf>
    <dxf>
      <fill>
        <patternFill>
          <bgColor theme="7" tint="0.39994506668294322"/>
        </patternFill>
      </fill>
    </dxf>
    <dxf>
      <fill>
        <patternFill>
          <bgColor rgb="FFFFE6E6"/>
        </patternFill>
      </fill>
    </dxf>
    <dxf>
      <font>
        <color theme="8" tint="0.39994506668294322"/>
      </font>
    </dxf>
    <dxf>
      <fill>
        <patternFill>
          <bgColor theme="9" tint="0.39994506668294322"/>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66FF"/>
      <color rgb="FF00A8CB"/>
      <color rgb="FFEAEAEA"/>
      <color rgb="FF5F6062"/>
      <color rgb="FF0000FF"/>
      <color rgb="FF8A1F03"/>
      <color rgb="FFC6E0B4"/>
      <color rgb="FF76933C"/>
      <color rgb="FFF5F5F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png"/><Relationship Id="rId1" Type="http://schemas.microsoft.com/office/2011/relationships/webextension" Target="../webextensions/webextension1.xml"/></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219075</xdr:colOff>
      <xdr:row>23</xdr:row>
      <xdr:rowOff>28575</xdr:rowOff>
    </xdr:from>
    <xdr:to>
      <xdr:col>0</xdr:col>
      <xdr:colOff>1038225</xdr:colOff>
      <xdr:row>24</xdr:row>
      <xdr:rowOff>171450</xdr:rowOff>
    </xdr:to>
    <xdr:pic>
      <xdr:nvPicPr>
        <xdr:cNvPr id="3" name="Picture 6" descr="IntecLogo_HiRes_size_M">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9075" y="8410575"/>
          <a:ext cx="819150" cy="381000"/>
        </a:xfrm>
        <a:prstGeom prst="rect">
          <a:avLst/>
        </a:prstGeom>
        <a:noFill/>
        <a:ln w="9525">
          <a:noFill/>
          <a:miter lim="800000"/>
          <a:headEnd/>
          <a:tailEnd/>
        </a:ln>
      </xdr:spPr>
    </xdr:pic>
    <xdr:clientData/>
  </xdr:twoCellAnchor>
  <xdr:twoCellAnchor editAs="oneCell">
    <xdr:from>
      <xdr:col>2</xdr:col>
      <xdr:colOff>561975</xdr:colOff>
      <xdr:row>0</xdr:row>
      <xdr:rowOff>180975</xdr:rowOff>
    </xdr:from>
    <xdr:to>
      <xdr:col>5</xdr:col>
      <xdr:colOff>28575</xdr:colOff>
      <xdr:row>0</xdr:row>
      <xdr:rowOff>742950</xdr:rowOff>
    </xdr:to>
    <xdr:pic>
      <xdr:nvPicPr>
        <xdr:cNvPr id="1047" name="Picture 23">
          <a:extLst>
            <a:ext uri="{FF2B5EF4-FFF2-40B4-BE49-F238E27FC236}">
              <a16:creationId xmlns:a16="http://schemas.microsoft.com/office/drawing/2014/main" id="{00000000-0008-0000-0000-000017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80975"/>
          <a:ext cx="16383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71437</xdr:rowOff>
    </xdr:from>
    <xdr:to>
      <xdr:col>6</xdr:col>
      <xdr:colOff>0</xdr:colOff>
      <xdr:row>24</xdr:row>
      <xdr:rowOff>147637</xdr:rowOff>
    </xdr:to>
    <mc:AlternateContent xmlns:mc="http://schemas.openxmlformats.org/markup-compatibility/2006">
      <mc:Choice xmlns:we="http://schemas.microsoft.com/office/webextensions/webextension/2010/11" Requires="we">
        <xdr:graphicFrame macro="">
          <xdr:nvGraphicFramePr>
            <xdr:cNvPr id="2" name="Add-in 1" title="Microsoft Visio Data Visualizer">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Microsoft Visio Data Visualizer">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0</xdr:col>
      <xdr:colOff>0</xdr:colOff>
      <xdr:row>0</xdr:row>
      <xdr:rowOff>0</xdr:rowOff>
    </xdr:from>
    <xdr:to>
      <xdr:col>31</xdr:col>
      <xdr:colOff>542925</xdr:colOff>
      <xdr:row>121</xdr:row>
      <xdr:rowOff>76200</xdr:rowOff>
    </xdr:to>
    <xdr:pic>
      <xdr:nvPicPr>
        <xdr:cNvPr id="2049" name="Picture 1">
          <a:extLst>
            <a:ext uri="{FF2B5EF4-FFF2-40B4-BE49-F238E27FC236}">
              <a16:creationId xmlns:a16="http://schemas.microsoft.com/office/drawing/2014/main" id="{00000000-0008-0000-0100-00000108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0"/>
          <a:ext cx="19440525" cy="2312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33</xdr:row>
          <xdr:rowOff>419100</xdr:rowOff>
        </xdr:from>
        <xdr:to>
          <xdr:col>3</xdr:col>
          <xdr:colOff>1676400</xdr:colOff>
          <xdr:row>33</xdr:row>
          <xdr:rowOff>714375</xdr:rowOff>
        </xdr:to>
        <xdr:sp macro="" textlink="">
          <xdr:nvSpPr>
            <xdr:cNvPr id="9218" name="ShowAllSheetsButton"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1866900</xdr:colOff>
          <xdr:row>33</xdr:row>
          <xdr:rowOff>428625</xdr:rowOff>
        </xdr:from>
        <xdr:to>
          <xdr:col>3</xdr:col>
          <xdr:colOff>3505200</xdr:colOff>
          <xdr:row>33</xdr:row>
          <xdr:rowOff>695325</xdr:rowOff>
        </xdr:to>
        <xdr:sp macro="" textlink="">
          <xdr:nvSpPr>
            <xdr:cNvPr id="9219" name="HideUncommonSheetsButton"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23813</xdr:colOff>
      <xdr:row>27</xdr:row>
      <xdr:rowOff>547685</xdr:rowOff>
    </xdr:from>
    <xdr:to>
      <xdr:col>3</xdr:col>
      <xdr:colOff>6726671</xdr:colOff>
      <xdr:row>27</xdr:row>
      <xdr:rowOff>818159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00138" y="15349535"/>
          <a:ext cx="6695238"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104140</xdr:rowOff>
    </xdr:from>
    <xdr:to>
      <xdr:col>3</xdr:col>
      <xdr:colOff>2539</xdr:colOff>
      <xdr:row>2</xdr:row>
      <xdr:rowOff>66290</xdr:rowOff>
    </xdr:to>
    <xdr:sp macro="" textlink="$A$3">
      <xdr:nvSpPr>
        <xdr:cNvPr id="3" name="TextBox 1">
          <a:extLst>
            <a:ext uri="{FF2B5EF4-FFF2-40B4-BE49-F238E27FC236}">
              <a16:creationId xmlns:a16="http://schemas.microsoft.com/office/drawing/2014/main" id="{00000000-0008-0000-0700-000003000000}"/>
            </a:ext>
          </a:extLst>
        </xdr:cNvPr>
        <xdr:cNvSpPr txBox="1"/>
      </xdr:nvSpPr>
      <xdr:spPr>
        <a:xfrm flipH="1">
          <a:off x="0" y="110490"/>
          <a:ext cx="1375409" cy="549525"/>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72390</xdr:colOff>
      <xdr:row>2</xdr:row>
      <xdr:rowOff>34290</xdr:rowOff>
    </xdr:to>
    <xdr:pic>
      <xdr:nvPicPr>
        <xdr:cNvPr id="19468" name="Picture 12">
          <a:extLst>
            <a:ext uri="{FF2B5EF4-FFF2-40B4-BE49-F238E27FC236}">
              <a16:creationId xmlns:a16="http://schemas.microsoft.com/office/drawing/2014/main" id="{00000000-0008-0000-0800-00000C4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76200"/>
          <a:ext cx="14287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78740</xdr:rowOff>
    </xdr:from>
    <xdr:to>
      <xdr:col>2</xdr:col>
      <xdr:colOff>1463675</xdr:colOff>
      <xdr:row>2</xdr:row>
      <xdr:rowOff>35175</xdr:rowOff>
    </xdr:to>
    <xdr:sp macro="" textlink="$A$3">
      <xdr:nvSpPr>
        <xdr:cNvPr id="2" name="TextBox 1">
          <a:extLst>
            <a:ext uri="{FF2B5EF4-FFF2-40B4-BE49-F238E27FC236}">
              <a16:creationId xmlns:a16="http://schemas.microsoft.com/office/drawing/2014/main" id="{00000000-0008-0000-0900-000002000000}"/>
            </a:ext>
          </a:extLst>
        </xdr:cNvPr>
        <xdr:cNvSpPr txBox="1"/>
      </xdr:nvSpPr>
      <xdr:spPr>
        <a:xfrm>
          <a:off x="19049" y="85725"/>
          <a:ext cx="1438276" cy="540000"/>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111758</xdr:colOff>
      <xdr:row>0</xdr:row>
      <xdr:rowOff>114300</xdr:rowOff>
    </xdr:from>
    <xdr:to>
      <xdr:col>2</xdr:col>
      <xdr:colOff>1616709</xdr:colOff>
      <xdr:row>0</xdr:row>
      <xdr:rowOff>682875</xdr:rowOff>
    </xdr:to>
    <xdr:sp macro="" textlink="$A$3">
      <xdr:nvSpPr>
        <xdr:cNvPr id="2" name="TextBox 1">
          <a:extLst>
            <a:ext uri="{FF2B5EF4-FFF2-40B4-BE49-F238E27FC236}">
              <a16:creationId xmlns:a16="http://schemas.microsoft.com/office/drawing/2014/main" id="{00000000-0008-0000-0A00-000002000000}"/>
            </a:ext>
          </a:extLst>
        </xdr:cNvPr>
        <xdr:cNvSpPr txBox="1"/>
      </xdr:nvSpPr>
      <xdr:spPr>
        <a:xfrm>
          <a:off x="95248" y="114300"/>
          <a:ext cx="1485901" cy="540000"/>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123825</xdr:colOff>
      <xdr:row>1</xdr:row>
      <xdr:rowOff>200025</xdr:rowOff>
    </xdr:from>
    <xdr:to>
      <xdr:col>3</xdr:col>
      <xdr:colOff>0</xdr:colOff>
      <xdr:row>2</xdr:row>
      <xdr:rowOff>330201</xdr:rowOff>
    </xdr:to>
    <xdr:pic>
      <xdr:nvPicPr>
        <xdr:cNvPr id="5" name="Picture 4" descr="CSG Color RGB medium">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srcRect/>
        <a:stretch>
          <a:fillRect/>
        </a:stretch>
      </xdr:blipFill>
      <xdr:spPr bwMode="auto">
        <a:xfrm>
          <a:off x="247650" y="361950"/>
          <a:ext cx="962025" cy="46355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1285875</xdr:colOff>
          <xdr:row>2</xdr:row>
          <xdr:rowOff>66675</xdr:rowOff>
        </xdr:from>
        <xdr:to>
          <xdr:col>1</xdr:col>
          <xdr:colOff>3419475</xdr:colOff>
          <xdr:row>3</xdr:row>
          <xdr:rowOff>161925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Additional Row</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Yogita Vetale" id="{477C90E4-655E-4A40-8867-06D3B95FAD70}" userId="S::Yogita.Vetale@csgi.com::7bc20497-774e-41f9-b9da-44e16916458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8" dT="2025-06-24T16:31:30.96" personId="{477C90E4-655E-4A40-8867-06D3B95FAD70}" id="{B6E9FE35-24BC-4E4E-89DF-ADB538C4BDEC}">
    <text>Considering 300+ pricing plans, 15 days of CUT efforts will not be enough.  This should be supported with NCUT.  Also, what is the product wise breakup?
Which all offer types and features be used here?</text>
  </threadedComment>
  <threadedComment ref="C39" dT="2025-06-24T16:31:30.96" personId="{477C90E4-655E-4A40-8867-06D3B95FAD70}" id="{FE96E9F1-7F0E-4D41-9BBD-C902CB4B7E62}">
    <text>Considering 300+ pricing plans, 15 days of CUT efforts will not be enough.  This should be supported with NCUT.  Also, what is the product wise breakup?
Which all offer types and features be used here?</text>
  </threadedComment>
  <threadedComment ref="C40" dT="2025-06-24T16:31:30.96" personId="{477C90E4-655E-4A40-8867-06D3B95FAD70}" id="{2D7CFC7F-A8BA-4DAD-8C3C-57540C14DBB8}">
    <text>Considering 300+ pricing plans, 15 days of CUT efforts will not be enough.  This should be supported with NCUT.  Also, what is the product wise breakup?
Which all offer types and features be used here?</text>
  </threadedComment>
  <threadedComment ref="C54" dT="2025-06-24T16:33:34.14" personId="{477C90E4-655E-4A40-8867-06D3B95FAD70}" id="{49D5D32F-5A26-453C-9BDA-2B7ED712681B}">
    <text>Which all currencies?  Which all types of transactions supported in multi-currency?
Can’t the customer type from base solution be used here?  It remains with the customer attributes.</text>
  </threadedComment>
  <threadedComment ref="C71" dT="2025-06-24T16:35:56.28" personId="{477C90E4-655E-4A40-8867-06D3B95FAD70}" id="{3D066299-1510-467D-ABBF-649566909CD3}">
    <text>Having IME in place, do we need to have different mappings?</text>
  </threadedComment>
  <threadedComment ref="C80" dT="2025-06-24T16:36:24.45" personId="{477C90E4-655E-4A40-8867-06D3B95FAD70}" id="{C29396CC-A50D-4963-9E96-A2B53F829BAA}">
    <text>Is ppcp code pack considered here?</text>
  </threadedComment>
  <threadedComment ref="C82" dT="2025-06-24T16:36:24.45" personId="{477C90E4-655E-4A40-8867-06D3B95FAD70}" id="{34C9226A-4964-4636-831C-2FCB35A6649D}">
    <text>Is ppcp code pack considered here?</text>
  </threadedComment>
  <threadedComment ref="C240" dT="2025-06-24T16:38:02.71" personId="{477C90E4-655E-4A40-8867-06D3B95FAD70}" id="{D54AD79C-5F01-4BF8-AB21-CBF6CD982E9C}">
    <text>Isn’t cost center customer with services?</text>
  </threadedComment>
</ThreadedComments>
</file>

<file path=xl/threadedComments/threadedComment2.xml><?xml version="1.0" encoding="utf-8"?>
<ThreadedComments xmlns="http://schemas.microsoft.com/office/spreadsheetml/2018/threadedcomments" xmlns:x="http://schemas.openxmlformats.org/spreadsheetml/2006/main">
  <threadedComment ref="C3" dT="2025-06-24T16:40:41.42" personId="{477C90E4-655E-4A40-8867-06D3B95FAD70}" id="{43F1215C-5CD1-432A-83AB-86C9CD44B059}">
    <text>NCUT supporting products, customer, reports, pricing data and interfaces are missing</text>
  </threadedComment>
</ThreadedComments>
</file>

<file path=xl/webextensions/_rels/webextension1.xml.rels><?xml version="1.0" encoding="UTF-8" standalone="yes"?>
<Relationships xmlns="http://schemas.openxmlformats.org/package/2006/relationships"><Relationship Id="rId1" Type="http://schemas.openxmlformats.org/officeDocument/2006/relationships/image" Target="../media/image3.png"/></Relationships>
</file>

<file path=xl/webextensions/webextension1.xml><?xml version="1.0" encoding="utf-8"?>
<we:webextension xmlns:we="http://schemas.microsoft.com/office/webextensions/webextension/2010/11" id="{00000000-0008-0000-0100-000002000000}">
  <we:reference id="wa104381973" version="1.0.0.4" store="en-US" storeType="OMEX"/>
  <we:alternateReferences/>
  <we:properties>
    <we:property name="DVSettings" value="{&quot;shapeBinding&quot;:{&quot;indexColumn&quot;:&quot;Employee ID&quot;,&quot;altTextColumn&quot;:&quot;Title&quot;,&quot;shapeLabelColumn&quot;:&quot;Name&quot;,&quot;$ph&quot;:&quot;Title&quot;,&quot;$No&quot;:&quot;Name&quot;,&quot;$KC&quot;:{&quot;$qT&quot;:&quot;Staff&quot;,&quot;$qU&quot;:&quot;basicorgchart_u.vssx&quot;,&quot;$rx&quot;:&quot;Role Type&quot;,&quot;$Nq&quot;:[{&quot;$7Z&quot;:&quot;Assistant&quot;,&quot;$GY&quot;:&quot;basicorgchart_u.vssx&quot;,&quot;$GK&quot;:&quot;Assistant&quot;},{&quot;$7Z&quot;:&quot;Consultant&quot;,&quot;$GY&quot;:&quot;basicorgchart_u.vssx&quot;,&quot;$GK&quot;:&quot;Consultant&quot;},{&quot;$7Z&quot;:&quot;Executive&quot;,&quot;$GY&quot;:&quot;basicorgchart_u.vssx&quot;,&quot;$GK&quot;:&quot;Executive&quot;},{&quot;$7Z&quot;:&quot;Manager&quot;,&quot;$GY&quot;:&quot;basicorgchart_u.vssx&quot;,&quot;$GK&quot;:&quot;Manager&quot;},{&quot;$7Z&quot;:&quot;Position&quot;,&quot;$GY&quot;:&quot;basicorgchart_u.vssx&quot;,&quot;$GK&quot;:&quot;Staff&quot;},{&quot;$7Z&quot;:&quot;Staff&quot;,&quot;$GY&quot;:&quot;basicorgchart_u.vssx&quot;,&quot;$GK&quot;:&quot;Staff&quot;},{&quot;$7Z&quot;:&quot;Vacancy&quot;,&quot;$GY&quot;:&quot;basicorgchart_u.vssx&quot;,&quot;$GK&quot;:&quot;Vacancy&quot;}]},&quot;shapeTypeColumn&quot;:&quot;Role Type&quot;},&quot;connectorBinding&quot;:{&quot;delimiter&quot;:&quot;,&quot;,&quot;connectorDirection&quot;:0,&quot;connectorLabelColumn&quot;:&quot;&quot;,&quot;targetIndexColumn&quot;:&quot;Manager ID&quot;,&quot;$If&quot;:0,&quot;$qJ&quot;:false,&quot;$No&quot;:&quot;&quot;,&quot;$kv&quot;:&quot;Manager ID&quot;,&quot;connectorBindingType&quot;:0},&quot;layout&quot;:31,&quot;masterSelector&quot;:{&quot;masterMappings&quot;:[{&quot;shapeType&quot;:&quot;Assistant&quot;,&quot;stencil&quot;:&quot;basicorgchart_u.vssx&quot;,&quot;master&quot;:&quot;Assistant&quot;},{&quot;shapeType&quot;:&quot;Consultant&quot;,&quot;stencil&quot;:&quot;basicorgchart_u.vssx&quot;,&quot;master&quot;:&quot;Consultant&quot;},{&quot;shapeType&quot;:&quot;Executive&quot;,&quot;stencil&quot;:&quot;basicorgchart_u.vssx&quot;,&quot;master&quot;:&quot;Executive&quot;},{&quot;shapeType&quot;:&quot;Manager&quot;,&quot;stencil&quot;:&quot;basicorgchart_u.vssx&quot;,&quot;master&quot;:&quot;Manager&quot;},{&quot;shapeType&quot;:&quot;Position&quot;,&quot;stencil&quot;:&quot;basicorgchart_u.vssx&quot;,&quot;master&quot;:&quot;Staff&quot;},{&quot;shapeType&quot;:&quot;Staff&quot;,&quot;stencil&quot;:&quot;basicorgchart_u.vssx&quot;,&quot;master&quot;:&quot;Staff&quot;},{&quot;shapeType&quot;:&quot;Vacancy&quot;,&quot;stencil&quot;:&quot;basicorgchart_u.vssx&quot;,&quot;master&quot;:&quot;Vacancy&quot;}],&quot;defaultMaster&quot;:&quot;Staff&quot;,&quot;defaultMasterStencil&quot;:&quot;basicorgchart_u.vssx&quot;}}"/>
    <we:property name="DiagramType" value="&quot;OrgChart&quot;"/>
    <we:property name="addinIntsanceKey" value="&quot;574915d0-0d03-4dd5-94ce-74ce31904855&quot;"/>
    <we:property name="bootBundle" value="null"/>
    <we:property name="containerID" value="&quot;1&quot;"/>
    <we:property name="docJsonCUnit" value="{&quot;data&quot;:&quot;N4Igwg9gdgLgprAanATgZwJbRALhARhABoQARCAWwCU40AHaNOXAbXwCYBmIzgFiIBsADiL4xRAJwSiAdm5iADKIXtR4vj1UBWEZ1UduGofoX41I-Aq1rrl2+MWz5CpRr1Edmnv17SNvfncjfkszS2kxExEJGTUBZTM5ZVdA7V1VDQF4gWshbhklGXiZaQlc6154sQt8WxdRdhSiAK8jJTs1dssE5KI8uJ7HKWU6kSThG28vTyCfaS14rWstbi0lJY9+LS3YrViW3w9uQ42tVROt7W0lFrWPRcvmkVPlswXm6QP51Z8RC49zvMbn85h8wadFsd5qC9s0tot1hVnm9tFsttZ-KkpkJ2lZOvjQr1+mIqqZ8cMOpYahisTMMvwspJYmI6tZhiU1CEFNwBMyFPwYpyBmU+hUBcz8CFJWowvgIrVJPZ9gLohLWZJSkq4ZJVYreoThiLDXzolqWhT2GYKQoLGTLLi2XzuCKxMqdUy9faeob7LZLcpNWpYpjWvwZLKuXUlAJ5UpBRJbbawvU3GkvJZVIKqZNCS1Zn19PgTYNpTHybEE8ok71Ux50gMxFK+WY8-S+vJulmOO3hRLSWZa3TNkcPPtPp8sRpw1Wgz1ifh4l3+1N3EPYa3sXGnT1GY3vXy1YJYx7K9nCV7B-WMx6zwrc5OGRZ-UM+RE8eyIyNemWX+6z3aU1pK8FyFV0eg3KdCmbBtpQ6YZL3TFQbxtHMyQg-h52XIY31GWRoJJZCt17Fc03cCQwi4KZxl0IDQ0ERdDzg6QOT3SweT5cVQJAkUhBpbV80wks4xwmchBCZ9u0JBD3F4J8xXTSipx5GjpnrDQuylKVZXlNktRDASOywzsROzMSGllEwB1omS5P4-RFLDZSSLrOjKy7dUfVnfS20E89jK-UzxIsnppPOWyNwMKinNCqY3IrKNvUDY0ZxdIspnQnsCL84SApQsyOGCqTrLChp5PcSKlMEFTVzUgUIn9a1qy9ODt1S4MfAfTKQOyjVcpEfKJMs5yh1k0q7IaQxHKq4bavdeMEoNQMWXMgNPTS7zsUMoTespPKgrUIaYtGjg2WOTqJjEK15VfbaCOJO1uu6vFHDYyYYoqhk2XlUl7GrHFkOcRJnCaGq6JOKyxoymQK0Yp7P2WmLyImqLppijQ7g2yqXrhriiOzGRdXCELiqo6ReS8CYlw9dwhB+nM0qzFDKXYIa9w0E7xo+pxUZJ-xPhUqGOy6IypTxlCCeQt8IdB-MLoksWRPgzN5VlLpcSumDP3Z9gyvsybuYmNGtjePjBYJHHWM7YsJcZqWZron9GkS2csue-Bq213Xkcqw3eeN+50s6pJsZF8sZxtm6itUujoZvK3lEBoVPc5hyDeq0i2y0N52vGrHuld+H4-xwmFDto3BF9VDK4IrthamDmItT6j7fzM4nkDmOhYbB7ReQsYS7Lv3BAlVX6eLGuJTr5PG-15vy7bw5MamkOS17xn+8l4no4M4jr2vaesS5ueh7bjGOs783Q9-YvN6jmWfIY3ra52-0D4U2fopP1YIbNle-LX62A8t7302rvJC15KgjizvXHWKcP4823pnVYbZf75wtrBIu4sgF3wzlMHI9N1TLQnpfZokIAQwK9kfT+iCpgrBHEvbmf8e5hxvrbYBuDMgj3NlqW8j8V6QLoXQt+5Um7UJAejH4Hd8zBzQVfTBG82E4JcrLeq6sdppVdr9cCZDtgULgSjX2NCJEeFNkHLuBdcZ91kNgsk5dY7P0ZonPcAjVh8QbofURCDxFbFWPEBhMi67-xYVg2+tih60xPKUSeL8Ww6L8eJU6ucMJbQKjOPyfEQFIyoV4jhvwpFtgCd3QuYsFGRzCUYsMNQByqF8s+Jm5T3HvwMenZRKC-Dn2keY9BADw42OlrkvoXIKJT1UCxfOTNX4JP0T7FpQ50ZNFQYE5h18QmKPKd46xMoCQNNgTPZpLdM4-zMSQoJKzSmrSUXMypWzWKlyscIvW+z54oOOUw4pViI4XPWQM6cYFdpqIed7KahiNm6P8V0uRJTNlrP6a07EXIhlfIho0kR8CQUDI2OCk5yz5HQrKbCq5w8bloLURSR6WspkSDOnRf6jiSwZNwVkzx6K4V8w8Eci+bzLHrzxUig5m4AbgQqO0pJgyApPQ9kPBhF0HpfVAm7QsdNLr4nLsnKlorHZLPeTyymfYPTk2VdjUl31xWjwRiTJG6qUU+RSXUpqCpEYUTRbM2ao0sVcstlCz5RNLmzQlsqmmtrkySo1baaukkUJZn9N6u5vqY5VK8LU4NW8oZ8LqZ+WO547mnhxXUSMB1+VHzTcmDN+Fs32sCCTLmETVVTOtVRKo4hrSxHurKRtSrxkdgZXCotWzm19D5AtJ6laaHVviTQ46uyg6No1pYWIMhWbPW5MoKU46QFjv5ZOr2U4Z07QUPOrh1Q5wuqaUYNduCt2iqKH2t8B7iV-RFeu1ONaSaXtTTe5QsR8FEIjbOkC71n3nrhW+6dH653TSzfa5cAH9YvoneFUDyr+27gAs4ewINcEbqOghmOu7kPHgvFWwDm6cPSLw7egsxK+E4xg9iIDI1SMFPI5+sV54nYER-PUSk-6iOwfo-WEDuGwP7tkF0eG2a9W0bPSRyGiGm0Ud+Rg2UEo2xPr4zJ+tO7hMtqcfUv9-HT0YQMzZWTQmkMKa6FpVaimrN-O7AUYlXIokDCk0ZjTU6zPyZY8YEsURInsJ7cR7DY1NNhkLspgt-1LaFRxUq2Vhbn26erGS4oh6uPfMC+po69Vt2PnFfYPzUbEhpYBbxuj-K7ihcYQqfKdp2MgU4w6AYZkNIJxLMZx50n3qPSbIMDzssE0r0zQ4d2O4OJ9X1LBB6GHMvlfekhHlRC6t+ly7IDtaiHOGqm85girm1virUUIMtdRnCroS1l19fx4ijUOKNBe0Jhy6Ke2iR7L3nsmNM2Rg7Y2blMxGyOtTc2pVInbjdv44O9Hvu44dvGj1IXnaBxOnLoqfNbeic1N2uJ9aA665dz7bYfzjOjPYTSxLpD3T9IdMruOaGVf6wTrCy7ocVy4rZuUCOacgMEyo7ZxPWdk45254LVXr3M8JOTLsqnMNBbx1VlDyY0P4m-Rgtn5PFccCp6OmXtP2j04bd98XaXBvSnytKZ+5qtcXfg-jvBaX5SFgiy9eoA0YsEqvNrrntkRdNf-GMMT8qds8ct1RH39S-eOcGEzongu+gdZXHUEwiflBJ-3lMqGofEz0RY69J3M2hxYeB6DiHYP26AsghN0ysP22rxVdToXr7kcZXupxZqI3mL+9uQr3nMe4MbM4CDkvg+VJVeb4RAXtK9UWM9T3uP3OCkZ-Dh3qbXfc+sbN+jh1dfY-udW5tpdmeUPblX6blvaDu3549xexjoDLAt64230TEes3mOd6T83m-g+c6vzbowp2x9bfJ32kiACwvyt09x-2SRXX-wfxYnAXATvAeniCEBPVRUR3AJHz-0ZiX2YjfBTwQLbT6EfWlzAO-wwKgKwPH2dB2z00f3jBNS2wB2ILQIvUb06lHwoIAKz1vAlEYNmy-2A2v1-3IJUznEwL5GwMyn5AFz2171INgRH0RQ4DrhQwTX7U23+1Wipj21FwAkVTwjji5HV26BkNn0EIwhMBOygIInsR4La2ZxMJ3xRzZ1GRhnlSMLz3dxIIEIgK4JG2r0NTuRsLcO+wcOFz12k1OSejlR1Vwl2i7lCIbx8Nq2GQGEPzsOjwSIqR4AH2L1yMhzYMUPq2yDDXlX01NVr0-3r2twUL62UNJCP2jxPzji6HP08OYO8I5hF0HUmHgi339XEA5BzWKEzHR3S3tVaMM233mxGLSXwJ8IXVykO0KKni31kJ7QW3HjmJF2TT+TJBdwLTjVQP4IY3mNKFtCQKAN-Rn0cPfXN2XWPkqKmMSLuzeAolWwuiUwLTGSUAnzsL2KoKsUOM6yqK52Rzl3lHtUCQ-xxwwgRTnGWJc1WNMJ8MJ0hNSONwrEz0NzSXfAo0yPQPCIZAhNugaxqGcOuLCJWxR0LHHmYRs0WJ7zGHEwSnnBmOtHQza3xLkNWyEGYmZKJA7DZJMk7QpNl0JL6CZPlQSjGXzRz0x1FOqPFN5NkH5K9BlNyncIVIJKpNuOZAkkdyDxhMkNPyGj3z9DUS9ANQcHSzd0mLWJOLINvzjiGlRxG0n3+IbDtRALaOOIEzMKJS20KHWznAdxdhxk1URMePtL9JCyVLFkTmvSK2JUk1WNDLs2XCTRxNtKOJBO5KvWDMJBkF6x9W7CtOTFKyjNn1YLM3lMJFN0SEGxtIlK1O-0gROHWHkHFJ0I5LrKs36PLLnCIL4NzO8LbKBBHBF0bKWK2X7P1D2JQOBKeOtwEQ7PmKnPhJnPXLrKHNAPaJOJXInPFOVzRN2LMApwaBdIXKBSXPAIERNkPPeK0R6lPMkMp0HJbNHMWHvLoRFwLL2L7L-LPKvIL2XOu3HJ-K7MArX0SCguVK5M-PBFXN-INz2LTI0XDNUUjKNOjK8EvRH0swNxAii0+OAMiLi1lAmJzL6HjJ6B0OTD0KCNuU1Pgv3IRAfJRxorrIsL+LO0Yqm2YqRJkwPIgp5M4v-OJRcIML+I5JYpjOEs7NEsFXF13SynJWs1cKYpCMEuC3kqSNh1ZmlBkEIQyO0sSM6KVMd1xO8yDSzLelWMsrlXA0zP-BgpQrMDLNmIpUrM3X5nbhHwcr3R009J2LJDNJxJEA8tvC8uwqrKLySICv7WcpoPYPEIF0ir+2iqYN9Nwt8rn2xASooySurHULNQayNwj1kpyriv8pdisqcpspcv2zF1Co0p6wCidkqpklyv9KEAKusuCtsrCt930KpluXNI-JGm6vitqscpEyKp3FwOT2dmsNasbVlI6tMqR2qospmsCq6iqC9MLKXzrj4rWvao8LtNipLxqt2NmqCqykOvEtSVIoy13OypMxuo0TqrmoauSuo3zVGrdlHk6pKnMt30-A4KXVKuKCXyczjjj17WasSAhtSt2mhogzdl4LepHIdMgrcpVKFEhrqHRuVyx1spBrBBcQ+zu2WF2H9juCe1pvIVhG9wr3FhRrnOJpIRlRJwmpjNZt2kz3pKJpJOyB7KZxoIptux0RB1ODpvZQ8HWHRFHGZr1N3yguFtRqhu5uPHjCxIAguqopwvKg2NmK5oFv33Dg5ox3NtkSPDDhzSakAm8umMBK2KVLQuo2XE1s5tFoHXFVJEgKdMl29MusLTapfJH2rlCvCzDNGWtvS1tpWJdqrVNtvHNvkKPKMidv6gIq2wMrOzRrsuDyq2gV4GsAmFdIIMBvsFHmIvJLItygooR3BKWr3jJBS2oq4ldy4nIuLuwucHwm4jfCJIdv1oHIpuvEW3dp1LYL-yzQINq0UNjT2LzpGwLu7ltsosXPSuN0gOtGXrtkKQxxSKlv9M4xTw7pNX6APsjyPpfwtI2pTsVPeMPRJWWrUr3BvpHrvtooftqL5twv9JKpIW-qsIAnvu7zY0NsXONtBqVLhKzUgdX2gcAY+qVP+q-BruJWjHKoYOq1xEfpgevLgb8owakpak3pwf2pWkauPqbKULQfgfeLfDOMjxKKWzhufJAnoaIaYbIdnodnG1azoKKSFHmvSX5SZVnmOqwqypxtmgl1pLZDJK-DLwZDwY0IprcByLipL3UZoeesls2u1JR3VxZlDqNuRLHNe1sfe3sbe0cce0Edlk0c-CaPf23pIeROQruPyDEXkZvJYPbmgWgTlzcaFBAduWuhShzg2TdQ6QKW4GQMcPVSb1hzvw7BNKgIkfi0dWvIWPweZlUG-XqUsMcClurM6WbMpMkGpS+yRoJr3BFu4aQJSXXv7sZSdVt1+z3v4Z0bbrgMvqTwMd3ojw8Y3y8ZAtMfSeJWMo7WBpMbzLNhSdqbSaDgX3xgTtD3Rt8g6Yt0yW6c4V6YqqWdZUCAT0GeGaWtGYia-rf0mf4byraDmYDvKIqbOdxt32SavMvXWZpTEIOLyYtStAUumWBSvLZXdTtsiK9T6X5WCAAd21GQIwmQ5QG3yyBcJmjXhfLmSIaBGVkFRafHRZ8gRLul+uKuBgRf9n8Vgspb-prBPlJZDzZv6gZcLOpfnhZa00aaie23hpj27O2TPOOx4rkeHMfxkKxvrDpxcaY3xrGfwe0OIerRlemF13lf10ad+NUvhxVZ73VdXE1aSLQtGJ9xFINelYqxNdbtX2V1J04PPI10sdgbjzlY1UZ01Ide7rUB3J9IUaAZRNRb50tlVyeeAagqUYLStdWKNeuFjPeK9e+x9eiz9dfIvNde8ZtfmKjbuZNwee4SFdVefXjcVsTfmM2fFlhs0JTMeKGrD0fyKdQ271jajLLY9YttiJQjSJzxMvrZLdgw7dta7KrdzsFanwwUHdZetZik7aVMBdb20ibY0Of1bb6OncRbnZHZ5MXfv2Xd1bhxrw+YHcNZzbBqvTHZXfExX0aMLeximabk3dhPPczt3yvd7aj0IbX1PxaOLbPe3Yrabz3YkP5eXv-omaLbbewuHaA7nuEMmwPcuM1yNIc1nZJnnd3YQ6XfTdgLwNtqQOAqfYA4w53bMew-3dw8Wr3i2KIv9cmLQ7jdfa1aEODtRofzAcW1CqIk7uVY3ZI51zg4BYo4kJULDLLaPmfbFUA4veA+w6uJSsQ-TdH04LPqE4EnJYa1JFUIsyfwkwlexqat0IGD4sMK0ufpmbYO4rlN4tarM-sM+f5oQYkpGtsLlJksc6DblxUqPYCOYjs+koqJipuLYLkTpmSmzFKY4a-YjaSM0+yHqPSO-e0Yub0byISbi6RdJPFURV46BqC8CdIeeZfdQY40S77e-cg4fdi9k6Dm2abpITA9rYM4Dabctq2cJq1qTvRJy--fQ8E9q5jivZ9ptr9tJr+JDVQ6k7Mhk7fcvbZaafX19taftt-Edsjyk8Y-beY-U58gyaUqW5eqDu6keubvyaPjQvWpKe7fKeMM8-Qe+ZqbFMSTk7Y6BbO5BbqZt2yRZUJTPivQhWPdxRjUHiyNnKdx5by24wK1iZWhB6zanGNwrKb3i8MdO8YWdtBUh6M-FrPI5dCq5eZfyVZcFtEnx6BiZayOgTpfxqa6Ji0L6NgrFZs5a4Y+m9g8G4adrLJCVa0f4-65AUw-zPxsPf8JxWm58Y9uTKge5+x0Ca25g527tej1TZIvZ2dYsaBOzdm6Tcj29d5rTbEHo6sZC4dhDZZzDekPu+YeF8aejeAOg8K457m4ynl0C8cFV-DY15Q8K-dZNah25-cvzZK8O7Pz66Y51925J-a+rb08DwRuI9J-xhrbXdX0d8lZm9I6j-LyT57fK5i8I1PYF9wSF-TwW9F7EenzU8dKkI4JgJT5bbT-54j6z855tRE-Hyr0r6nfD+28j67fCuvdKKS6JHvbD-T8M8z4G5d42YW8-Yg7H7-Yn9a6n8F7I9e9r-Y+Xbp8b7vc66g+b779b5n+E7e5w6N9Y0Gizck4E7X+z6Ds36U4v7w7bto8I978V-74XY784Jf5o4I8IIf8neSvb-mf0o4X9OOtJRIDx3oJ88i+Lfafixwf535RO2ncTkAIz7O8kBxpZ0qIR-4cd56D+avif2kT1ci6Q2BvvH3-a59JSzTLrmNw4bShl+dpLAZWwW4jdE6Y3cWs4Em7y92eIA9WrTzIHa0V4hOHjuPUp7BdXa09DOu+3YHCDuuHGXWpiVsqF8pBqdGYunT6zYDequ1RKuT06YZ8+q9VAanQzzYnM+OFnYJtdR2q3U9quTaAXP2D5PMpqn1bovoNMHJUQOaVZwZU22o8ljBP1TwcVVkYcZfB1vSmhDjcFYNCqBg4VhD1c4wR1qEvHyv4JRyBD7qJ3EKo4JoGJDVKyQlwWkKbwZC0e2Q1bkMw-qpYJ2U2casQICF6DYhwQ2iqEJ4arUpSBLQoTYPqF2CPBD1MofsRerZk3WpvASCUIcHb5WslDTRNQwpql94OZ-K4gcy6Zfd60P3SFrS0SYowPUPfHlPDy16I84+9yTYZkEYEw9swSZPYa9T9R9N6exYBhPi0YYUsmhnLSQRihHQB9cepQwaoTyp7vDZ+uQ8YcHEx5vDieiLUrlp08p7Ud+VA7QozgYoBd3OBXDPtY2uzPBVg6IqBBiMERYicRmIvESPms4S1bOFDCWh5ysEIU7suI7EXiOpG0iqRGImovnTyH8VzO6g0CiE3pE0jORdIrkSiR87+FrS-nEkQJXJGsUORvInkZKO5EMjyGjdJiFYii4akkRk-WKoyLqx1Fs8BfYEciJpbZE0u+ogxg8KKIY0DeV9KhoGRq7OdwRCXTUQv337Vc6hSRRdosOhLLCrUeuNYbqLbjQstU3KQBKEiGFUQAqJ9UEVDzdhnDI0epBsgGN1GKZuiIY+4aj0BE-CseoYnHiKy+F0MUxGKbHg20zzJjXh5zBWjTz5aUDBWsIkXszyJGs8TetTD4RmN56ZUdRqqZYJcw2DXh2xSEAxvEPGRnku+k7XuLMPWBvFqS0vFBrLwwGT9WByvb9p70oLtUfezY4-rr1T7yk5xqnCIcV1W4q8DeavY3sMLrGIZA+RKEOswKNrTis6evFNruK97mNFxKonbvWISGNjxGi-QwYZwV7ACv+2AvMYvkOEM9T2uQnfre2S6H9P+y4tgbkPn7rt4BR-RAZBJj7jtRq3SZUSv0l5YcwBoHBviBMLEfj+B348jphM77VD9WYEr8RBIH7DVgJI-L0FV3H5kTMBAg+blBPz52i6BB-WCeBPgk18UBAuaiRV1H72j6JnE8idxNAGP9z+6vZDtf2I7F84Ucw0-hJPAHs4-+8BAAaswYlTimJG-Xib-2o5qT2sgAs8bAwvEYSlJEhSAYNRgGawk4mklfqZMInmS0qaAuzBJ1kkIC7+bfG-BJIU7eCnWhA5do6O2L2jOBK3aEeWP45ASFBDA3rsZJIYOSy+UUkKTs25rcDyadklgdpKPGfCOBKU0QcoL-A0E1BvvQtGnT+yyDmJiExbrpJEF20xBJ4CQcVKXGjoyp1IbQZl2tFcEMqUIssQBNQ5wiTOCI0kahLDo6VUREo6URNKmkEilRTpFasKNZElSxp4oqUVNNWk8jGRHTUzu7zu6iinOK4vwjZKJjbTERJ7NkZZxpRhcYhCom7iPyHEdT1RqRViTBPOkDJ+8+oofPkRpSo8eaw-PLrXRGm1jnuThLLjaPAwCTaJb4pYc1NMZdFMWvRetgmkGLnFZAmg6PI1WhkPjpBmxCqVDEJHTlOpk9VqahBHFQwdiX1M8tJK17TNlmQcNhpYAuK0Mrijo3Utsn8Y5IYZ1g5EArTlyqMmR3xLunSjrIAkuOgYmmcBjBJ40kyaOGsbA2dGmkfc7GA2gGWtIVlXpHRcSdky4pjicY4wlmedDfpBkReZrMRhGV2ybivcR5YRrYVEYDjMxRU10XCmkYk8RsyddWYSnt5lM-wNQr6a4wsFwD3Zs0d6Z9OOgVDDRBguKWqyymKS3y1My-BSPApgtXezguiUvwtm5tmibWB4oHKqovEeZVs-2RmjLG7FdQzyNMUkA0kv0vuOk3AZI3ybujKEzKdYcOB9Hd8ekrCfFLqKXq-0o4rvU4VixvA4sYxeLRBhAxTQFFQZ9sqlrhNdQCxspGYgsU1MJQZdEpVUxedqOXlzyayOU3qXW36mVjI85TKQubJEmMSCJT43sSrPJlNi8Jt-Evuv3nkJCK+dss6XwLvnySH5NKE2eOLSmRzS20cnnPaxvHzjimMkrwmuH97nRk2zOdcUQPTkzjvwwCjcXtK85407erVKXJK0-FnyKJl41cRyVgUHs7xYCvcrK0gXbyGxKcqGY7NvlySIFFbSiY23Cl9S35QE7CTRI3mtdsFWk8+f8KqnQSm+p8nhbgrkEAj+xKE1+VgvwkiLHJuk+vnpxwlLyuF0isSWZLkUHtxFpEoRfZIAXz52B7CiGa-iElpztFmU3hUNzn7PTj81Cx9jI3fn0KvJrHJyb-wMVaifiNiycTovMU7wiJTrKmVcLZ72KyF9-HAXX2376TCw6kojnYroXBLHFyA6AuEquYkzms+4gpios8kkD2+viggU-CgG0EKwsAm+coqCUasQlinSSWTBcnoU3JMSjyffPKXyy8BOSohVYTgUoKHu8xaKWFN3myz0l8g5KQ11EGMDalM7epR-JCW-iOu7E0bit3G5yleBUi0pca0mXDdul02VIgVPW5ZpNuGShpRe284lgc6XdQ3i6MLq1TbFwbZJYtGaxr0e6lsPupjLaLRD5RJgvoaoJoUr8xhcQ8wQET6Z+Cuh6Qhof1XeV0MP24QjpYCCKFsFvlzwj0i0vTYvi2Ym41wbYK+p3Up5zQ6hmEMLm2TIVkQgRkCp6GNDQVNBHsRtjaFjUOhAKqIWivcEkqshVk9gZSp9mMMaVhK4ocCreWMrGqF9QZmUVOrtC2VKK6FTSlhWkqQh2K1odUIKHsqtxug4lSCp5XJV-FYs+OV8yJXor7BBgiJJMPfDukAZkirGcDJ4mR5F6o85MHbHrouc5RFymPEipNwAk5pY8l4eONPoRCnsWIlEFcvbpDRO6YDZ1ZasZZurqVHqnxFAm9XhMpVxqI6Y6r3SH1g16Mx6bMPDWCJI1o7KVW03jU9yCeMvd1fis9URryEaohNa6qTX5qc5q4VNd-GLXkM9Vjoc0a7KvmQi9wvDABimppHpqeSmDKYVEWoaLzy1oagtdWoVptw7W5adhpi2dV2whs-9VBh2tpFdqUS1s-fnl3cYGCnlXgZ2TnybUnzK1BODSl7NPA+zbmuK5FaYvPG6Kb8yqxZbQvGUOKsl3k2OQEqBnsj-gDjOxk4w-X2NsBDqkPr+3fFoSRhCrPxmnE6HcywmBcv5RHnCklzqY4SMMCUyFFlgIk+Ca9LwBuC5ifmqTepnoqSkzLQpGyp4apUKifKt1RzDRmeqYEZTL13ig9VRv-WZzN1VFbhV4pkWzMts8zd5rtKm7LKE28S7mJXIulUU-1nisxexoNkMaf2TGsjSxr2UTKBNxFZutxgWaAzFyrG8TaooB5Pctqqw1OKJr-lDsr1xzaDfg1TmAbAlsSspYpqXxcbuMizC9SZOM1TQhN+yj0fpohW8arNKygTaJvM3Mb1N8mh9ToNs1vN7Nam-pd5v42PrKorm+SaTI8T6wDNNGpzXRp6amaNC-m2TYFr43lsbNrzFTdxt2W5aFJ1TOLWuHsiNyktnmt+VFry0xbKNGW9xh4sM3wpnNJykbHZvy5GqSldW0rUkx02C8k5iW9LdaX+Upb4p7WvzS1om1Ry0tLzTjWFu608bat96uJQ1sE1XldEem6rVJta1bsJNQjKTVlsuXl4+tn8gSKFsK3haetlmtbdZo20VyttWrLmMlsc2Tb5tjWsbeMxm3va5th2y7QVrdiqbbtcmkrRdoG3lbZWB1KraNuvl4qvN92nzRtum3GKLNYO87eUqu3A6itYm2jQDsh1ba1a1cx+ZfNylDK7aezUjV423Vfb4d56xHXBMyW-qqFaOgLZFqR3RaQtQO+wCDpW1LLMdAmp7cBuvJvbGdXE5ncuuO2-bxdokyXfhR52NqHNsunBVppWa-MqmO9GrQLs531aWd0utndlo51M63N3OxbdduW3FbBdj27DZHz2QmbvtlglXcIrV2Samtr4w3adrDBBb1tZuzrUtsNX8671JuhTTbsG0l8EtkxMXatpD3Bapd7u+5p7rx2paCdAqc3Tjpu1B7etuu-rSjCh3TBKt4LZtVFQR0x6Jdpu+PY7sy0y6y9cuivQrvT287cd+2l9p9s20VZhtUe7XcHvL2h79dCegtknpb3SdU9C2-3RbsD1W6c9EOvPVtrTwjaHd9O6jX9v-lt7UdMy4Sc7rY2u6aU2OpvZnqn2x7fd8xW3Rhxe0ea9ts21faPrp0trB9G+kxVvs03y64yiu6YRaOH2r969XZU-bThh1F7o9Ouo-Q9v71V7mtQ+q-UZrb1Kaq4SuiLTf2t0-jf9gvYnf8x8U+SDKNO0Ft9yblejTEnKGFuLw+S4sh4kVd+jcpI14q+5U6iNNi2jEwpdRZBtWJUNOa28vMbyxAo2rJrs7Ea7BuavGPvyB1LRgg8zCxkKYAQj5Z2fWZ5lnQiZhssoP6NEtIWoKRDfBu9FtgfTCG2Dshr9OGj9UmppDDTNQxjTKEWJDDCrUQ+Bjd6nSs9o04GVDmMP1SlFdhquQ4Z0OUYtsXtEhe9Rt5uH7BP0t8BawT7gL9p2hnqf+L3lLT7Dcmdw-SRlkO94FaC4w62lsqd1zD2rYw+oVsyBFY6dmUZL0r3VRHXDMR+wQZUKyFLvDgbTpcFNOUiFrVTI21VvR7xJYWD8hucmqpCNVVeZNB8o3DxKyVGgmfe7TctCNHKFAjbzFrG5wloEFJ6EdCmSiSR6DT70P2Z1d2zzobKiZmg8qe1LVEpFiNN64NZwrohgpjhYYelnCop7OHW4fwixQCLiHZiixJx23seOYWRGsFTPQ+eK0KOcyKREOUJq8XzkiHjxgB41VkWDnpc8i3Y2CpoqB4pDssprHWd+2apy8fjGq13ub0IXKdiFcczo8jpXGN81xSC9pfuo5XnQMTRJwKR6sL0Xy1E9vbsJ-oSlQKrxMCik1iYXEDHSGHrGkysbAMe6H96Og8Saq7LxiFQCM1DkjPpkKBhiTGsYvSn4ZT0cZ7UvGQyV7KTzNjbtXGXV1mLQQBhzMxI7vklOMznqep-FVuMTKjF2Zv3IDfCbzmQb3ifMraceF1bTGewEXYxqaclmiKqprxvpTfzYUKKOFcJwvCHMhPz7bj-Cqxf2xJMDNfV1ysOWGekRXtn5Ei2wxjun2NL8B2-Vxf-RS56iQzcVcOZmeU4wnYWWh1ed23DzNtFFRi-kzwfcnAG8TCEis11IaKVca9QB3vXHtNVhLcO2Z7vCduT0fab9oSrfsp1VWDn-tO+9A+oqo7XK3+4ejs3XqGPdnRzz-CJSkruhpKED6ZxTX5NyVunJVtsz+svqf346pz2S5xQ-jE6uSJz1+8895K1nwrLzrSuacSaKOwyrRj0srpCLUIFHDS8vAafNL1UiiSTN2caetMmkQX8RUvOIm0qqHAXFpqJuSuBcguoW1pnejTi5xOnDTQdgpt9WiPQuEWoLhyzw0dMCJDSQL751sihaItoXVpI+K6fKJiI4lbuQZ3TZ+b2MQjwZbi-pql1jP8X4zD0zi8UV64UG+1H+-UyDM6kCK9+tZo3eLI1XK8Tyj0L3axmPlPUvz-5pCyoY1TEk5lGJQqdWANRHq8Skl9E+YBimnLMFoJj84IOllulfTiWeTgrPOobdi9TZdI04sfNnlv5usiOWZbd1NryVIZHWcuDNlaWbLeZF5d9UyEHVTD8l59OKoOOFlflvJhnVRYlmirRhXKoIRKqxVQTu91p54rSu6FarehyVp8zOYv4gmirW1QFZysVXcq4rTKi0TioH2jKfDBK+VUleatmDaeLK2VSKuisYrARw3Aa65b8HDXtVFx8oZfQFXjXmYbF0EtNUau5WKrOQ3ddKuQmDWPTK1sqwyt6sqqmZ942q8Jp8g9XaGf1EkQ2vf1NqgpUGnyZxDXXiMN1Ru2nUPxXi5nPZJRY9fmlPXtXeLeZiEwWYTPZL1rt5qA8Oe94cmURlNccHDYRu3Z4bSNxG-DajUA2Bznls4zKctNKHOrt2CDZHr9kA3YNX1UuQhtRn21Y4KGsWvtgw2SAyWk80TRIBeSUZpwjIemzdjyQHA-gLYLDQuY1VoGLz3lgU5IGwMcwhbVEVqvvtzRSMKNYG+eAsleSEHtU-ohg3YjJjBgSmhMbiFre3zQ9ZwXHZ9V5WoMG2XqdB3lD6hfUFJNbFMHW4-BpgdotQRtzNkEnuFiU8e4DEtI5dgwe2OtDdWLBTtUvOnE4R2FU8On4Z3ABEuwVYIiBpH7ACLdCFG+8BRsK6hZoVRdJIZ9vKGuqpCFWk9jIS2ndg95EvBCA+xjrNZk2HAnOaiWxcbGDNDC8LartEsa7hkuCpuIHxgVy2IlDikpQ9IHmYbqQ7oxvuFJk1LJjVSa5Xdbxq48lTKo8z5w6tVGoVimpMfcZnlgwt5XPT4evOIb+BN7eGteWvauMoJ97bWi3beqDmnGTDPReULKUkjiW7rUqK++acuuFwsDBTEg-isX0kJGYnw89ejbSsnmMrhKd6bGcLPEJVKh4LG-rfDFYMJBk9xSlSs+tDWjyjlB+xfZcNnWMj7h6B-OH0qFCajf2aCAg6vTwteI2yLRF9cNlgI-7y+gB0vsY2eMyzxyfPZ0obmyLa5wLGhO9ezkYp9YiyNucEnORW3AxU4W2+4F1TERHbNBw9Rw017MJpU-c824PPoOdyNbRKCR-bepg1Inbht5Rq7YUdX2mDNDjMa2oeN-clbNKSs6uzuQyELWPxPG0vcpqLBtAywemq2Pzux3y7WIhO8OAb3yl27ppq7PnZcfd2oQ+d+ECOCLujqdBAhpZIvcGP0Lo7UCOO7SN8fUjk7Xdw4CLkztfGIrp16wYsHlrvAk7EG4u9TT+PLBFgywakyUeGBRYAnjjxJwJk+ChPTg7j8uzHe7vLAfHITUG9g96gNOOSgT0C8E9hAlOE2Sd+YMU8LtlOYnKJNKRPYCvhnGBNSJp6QwVNm0lTfC1Z0ZIiGbOtBbGH8cWhryZox5OaN++Axh4VjpZdJMtJKeKWYOBkGXIXcxg4MEFbr3BhK43aDG+s8j-tm1YHfIHfO8ESj2gyo-0IBE1ZwDlpyfsmCjHNly3Iiqfns6cH1TMg7Zw7EWPzSNDKx9S2seH64XteVaOY-hA239BK6dyg4iC9Y6kv1EjaKY5TOOtZtbsgV9Gr-dMcm4qXpFGl8vAVCi5jDOy0qVsban3gv5cp0BVr1ZdHbWrut-Gq2qRmEj56Xslnt8fzzEylsLYMkx0Mai1ULS9QOk9ApsdNH8mJwzclRmL120OXJ7dh1GsBq3tVSXDw5nDp-simLScavK+LidpozNijaPiJLbBGaWs1nr3NcfdoS5jzjIby40cdbi5ikzR9mN4cjTGok-adZpLXpaI3ZcZZ2ynnvo-7T3Xd8IpuVNoXJk6nxzsw--YwqFp-ngj0fZs-xJ4u5nQHFQgSyM36c58Iztol6TC7ojvThgGwft3KkxTtvvd5fEs0QZIfIVSxER7O7y2BOFWnnRY96fdmprTPeoycU1QvWawWq+U9R-ZkC7tV7Y-NTq9S0GrLVInk1HqgE+Ormv0vXTP9JBomovcVqe3q4a91Bs2sxrKDX9E96WtDeDrhVBa996Is2tZrb6j789+0aHUkn-jD0v95cYA9P0YPwHoSx0O-Ml7fzM7tV1wsAtbWpjlF7SyZjbLPAvyo6gE7B4o-keqPZHhE7BdfPwX8PiFyK78YDiUeaPbHjj9R7tMZz7LBpWtzUcO6Eb0aPp7D4Evw2Ce8pdUrZY1MTfEuWpIrjc+S4utGNxiPeZT+j2CvYkAb7KrkzCpyuxXLrkqgq5ft2t3ZyF2V1awZ5U-NLnziKhd6+uWtme9r9KpVYdaM+gf3L420z88HM-nX9PmKlK-1ZlUTWRVTnqa+Vbc-5XvTC156Eh9fdQqwvdK66U1cM8LU4z814L4tfA167NVLnlL9Z6OqZrmRZ1LLzp5n1GBo67jNCjpEtcb4-eAcJvJV-EbVfRb713VZsWIcRDv7K8a15fJ-czWZU9FOOL6+LpqjrnXXkdCLmQOtkrOfEz+xshLJaIKlVxQ18yeNdynAUG6aep16-u36evbrmvIaLvvWWCnS7kd+3ptOzff+83gZIt4st7NesvHGpRuWNOa4dt5Wbb4PeWmhNynGwUu1U-LslQTgriZmv-pR7ioTvi7kB+d+F2Acm8LXy4aI64Z3hRsFLiKtQ4gfHjW1FF8zu9+kyfecTOd5e5+fG+7ffZhOirFq-FfXfh5Q8O70ejR+Wu64vX91+YQlexe3v7m9TAT+ttyf10GrmelJYVSA3ux03+SecCu8wEbvRY+n6j6cjGPMftD7G5YZExCvNvxGHnx0aJ9LUMXRzoX6T+jOTef9At2VrhuxAI-pfhKWX+y2mgK+5XjTBVzOSVfgNouhA8dHj7cya-5TAvzU99Ih8i+YfYvtcFfarq4dLfs0a3z2AmB2++EWPwygmlRzvhogix9X9z469fezKJPmNhN-J+z6KsPJC37T6yKR-GfMf5CEr4C87JYd+P9P4T-xvzBanfv7jJD4c9vTA-Jv6YNdkl-b9w-dEEv-L4x-2+4-x3SL1p4cvIOcDaf7Uxn+KNN-hfTb9v6w+0BugBIhf9W3T9jQo+bf0fwf7H4r+J-ZQHYEU8vVwYTtd+jrj7pP4++1-efClxRkjONzZBd-5fiomN+z9k-RfHf3O1zep9S+i-C3zfyW8B-IrxZ8a8CMl1ddifV1P97XdIgv9RvLn2v9p-OvycdsnLPwSMP-Rfw11KabvzD9--W70AD7vJyHEMrQegSdxkmfyyv8a-JANv91VWVkb9MLZvwD84XJf0QpRxGn3X9i-AgIZ8iAv1VICRScYTIM6vXPy28b-LX3xseqY7yYCpvL-yhUy6HAOf5e-aRF4CkXMe3VwPLfpxEDqAsQJQCJA-3wX9mArAIXh5AlSUUCCkZQNmV+AwUkzlU-RAO4IZ-LB0DcDfeLxXBMA1ISTtjA5iFMCqIcwNCkRSRUTo9dpD3wmFRA73wU9NXB6ScDCPVTFcD4TXRHh85vPAKLEfMMyGvQbAqgLsDkA5p17dLmVt2SUjvPQJz9P-FgJOAC-BII4CNkdQkKAa2a0CD4ivDfSb00gz3xCCm3HIJbc2gtsDf90Aw31z9YtQwK79f-Hv0SCPZajC5o3tIIPa8tAkX1aDrmMB3O9asSIOY9ofAwLcCV-HyDX81HIeAWJRNReA0CNfZoMKDWgobyzROfHkkkD9A6QJYCo7EEAGDcA8oJ+QSmZwX+5xg2PxqAdvboObds4HoBZoyQWEHyDGA84ON9Lgm4AnAbghQKGC-UB4Kk1qeXYKn8MgmgNxNVMc2jgIjg4zj+D5-QoJiCs+KOw8DLbFeiR9KbUTW9EYQ2wKId7At6WmC4zNtwiD3-d4MxDBOOQNBCTA8EIdgn-KTR2DKApoMmCWgykJ5C0QhYNO8lgi4K211gCX0ZDPA5kNlhWQgGyeCEA9INJDMg0hhjN6gH8mVDqWIRDmCzgjEOWDAOdwLFDcQ0HgqDUrBh2EC9grkJFUe7cH3+CtQoUJzY4gnEMR9dRI9ANsIkSImMoHNZ4Ldo3g5wN085-fkKh9L7bUKxDSg9gI2CsiTjAedB+M23UsZ1O2jVQzfEzUet-MO2XGF2dHhxaFa3Tq2OYXbX6zUZzvGq39Dsg8hBKDwQCo3AcOfMkITlP1KsO-Uv1N7FANjQ0m2LBBQOxDPIK6XIG1tmgQoHyAbgH4mVdvbAiAEQ-EfIDec5qAIyRdsgRwTQ0s1MsBaAVOACAIJBwngHYh5OHwClDAHc+DnD+wkCAERAgZcIWFVwzzwjxeAPm3Lkg-UIwDcMIfbiFlQ+EwBH9UvOuU+4LuPTjfJ-ApdHiJlnMrV+ZbIC8KZ8Mxf6X7UO8WshUs5bEhnWdYbU4DeAu7EpyKdy7DpzloUnAOBHwtzWgNzkYIguyic5nUJl0Yy7U4HoCCcEZRkC+fWmSxdeuEZ2cD5Vctw-DGbK0IwDAw2fyNowI1IQERXHR7G-ImaQRFSdenO7DmDkIhEOccInVj2OBMIku0qdWPGpwWNSIxiMPESI7jAwheI7XwojmXBUPQl9fGkOcC3AOkOWtxgqSKz4DyE4G0BJEJ7F2B1gMcHY84kJInkj6-PO3GdInUp1HVfvbCIB9cIiSNkjCIu-x0tTbTGj2cgnDqSv5lIkXUcC1IqIJcC6IyXXt0MIHSME5knDiO8coEdJwxFMnBGyQjOhNpzcd5neCJijTgLiOeA8wgiJYD3IzpU8jeaMiOCjFI17wrC0TCeRojaQ0KIj0OQtyJQiVlaKK8csouKJWlwnE4CydNdbEEsidA6yN2A2nVchOAZnDCPsj5nYey8j8oxqN8NzoPKN6isgwqKqi-I+EIUjdA6qPUijfR7kuC8I0CMjsbgNCJaienNqMpEoneGxTs0bJUnmiiuMZ2X9y2dsjaiJnMJxLDHsMhAmjioyKIcCwxYqKuiVIy0OWjtAhaJmjfQoKMWCAwm0LnYfnatA+iGlPSIb8oEN7GMiVacGFHVzI5KOgdfpL+mhiNZe01IifogKJK5-o5h2BiugjaJ6CXNOfXqipoviOlpmaNKKwjOnBCNajBEdJx4iiYjFlciqY1aJcjJovGOkiGAwmNwdNQ2iPBiz9SmKxixRCCIa95gRYDQi6YtiM8du7MHzYJeY6IxkjJo8WNCMio8RhVj6I6iIFiqIs+3RDhYwEK20lYu0g1iPI5WLrs2nRGPujmY1j0mdwnGyMEjuY96LZj8I3GPdiz7fWJ8jOg+k2tCTYirGJ1wohqOpieqHWNvI0IwaNOiBIkpyEixo+mLejxGC2MWi1Y76K9iwRH2NGdqQkmOCiNI2qMys8qKGIzi5IlKNpjWI8u3YjDo+Oz6dXY5OJLiTRbWIbjdTE6wLDU4hgKNiaokWLqtkcH8OW9MDECM9F54G42JsPPUAKCQgRXey2BLHASGsdxMK6PsdQ4hSNady4p7HljxnauLSda4-x2GcI46ixCdmaIaLXd0IuyJ+9xopUjidu4BJ05N9ohWIZojo+2JOipncEC6j5iXJ1Vd8nNuIS80I2yPjiz4+mP+8xI2tVUMNYIZ3xBOYqyOYjYI9KKrjunGuO4iM5UQzATHAEqNBig2aKOjjn452LjiQmT4MTjUHNmXSlfYjNX-AYeCBKccDnbYz19V5XZ1QSBQq8B98djKWSjFTne50KlLnVYxBicPCFwni2Ei51L084vJA3ckjdwxSM9WFCi7QhWEcPnRuXHIz+d0KfIyw9P41v2xiuleRLqNuXM5XNEnXQrhaMxLKoShcKo0I12M0PIigTcp44sWftI3cG0nivRON3L5zEuxPLlhuGt2oFvTPs0EV3gikNyDU8Js0H4ZLUCQ-8h3YJN6hh3PxOGpkzLRVAtuory0SVezAM0MUlrckJHBKwWEBzRVyMsKqt1ecd3eQSHcs0H4G3NiVD5H9ciOAYP2SMzbMIDYhLUU4k5-g8TZLYpNFsCooH2qd2KGuR7MIBSiN2sVzJ-hUl1zcILugU4lpLipT4M2OnNakvpNbs-IJAj3jgMTuxCZUnHaNiSOk9XhFl8lBzHntWDaJMmUNaVxIrEdWKsTd9rY0HF8oV3GsOrDawj7Cnd53Ez1PMU9e8zndt7HJMsQ8k4wPNYJEhuM09c3A3Tktg7FSLhkDbMU3l4JTQqWlM7iXEFU9ZjEr3mNCHV4Je8s470LGSbbUFMv4e6WYUL0BPGqUUEeGPZMilvTdZRJppPVQVk9mknX0VM9fcLwOt7wnRKMF-PQESNC79a+KuofPZz2S81rUf244nBW5PIjTk3z3yo6UnVT3Nl2fMJUTJqBZNZTXldlOpSNrEmns88LRzxZTKU1z2lT0xBIUFUkHOL1KjeUiVJitK-HIWi9MvWLySTC4xVKS9JUqz3R4+Vdugy9trEL288cvBq32tlUgr05TZXBjySE7U7ZMS8dBJry-oWvZaEECSEWIPjCMIX1JNx-Ut63lsJguEIBjronOP9jjYraK-C2Av-zuCZfLgLl8PUsCCe9GXVFPe4TQ2EPlCVoqyL9iW-eVLb8C4sVPiCQwvlHLhyYPWWJC5QuFP8i+Y6iM7jSYooOFCU0wYLTTCUBYmdZ1AymJeDaqWNN+iqo9tMESyYi7ww4qfVfzKDQwioJqQrA5+EaDggs0OqTVI3OLQT8wTtIqxRQudJrSRHWMWu4WLO6UbTOQmNObihYruMDiIY7tNuCF0+4KfwLGV8NYsC0kkObTi0vqNLSpA29Iw4Q-dYNrTwkDsCP8SRWoKKY+vDBDcRZQi9KLTR0oSigiRo0+LwSRIkJicjxIn9IBCk0-P3vSwQ3tMUY36XuCCQnjD0K99uQnxPaCp0+YK4Sv4kKO7jBefoIPTU0x9KLEplWPirNAzAhnfSm0kdKmDQkkJMHcqM69I7TNIkvlWDzfedKAywecpK7dV8QpFXTo0uDIIc0AhNJvTsMm02uCmMntJYy+0pM2eTp8eTPPS10y9PIzKM3IL5CaM0VLBi-0nuNwymQ-DJZC44UYIhVSM-YKCTi1JCGgi5oYfBUyy0oiLO9K02F2xC9Qh0LrTH4TD2M9tPIzMUzP0+DJbEiw+YGFQVaBGUwyA49TMSIGQrTIfSpMjZEZBbZOQwZSS9f+xgzjMpTO5CzkpLLSSRUVLMTTtNYoLhjq05jJyyBkSR1uQh6Pb26lisl7jd1EwzZKCQUwyNNF1nBRsNh4R5AkOQ1ycWm3Q1MNU8MIii4xPg88qHQEiT92hf63XCIbNrWgMKAu5KHMHkh-mNtjk5GK8zjsmWNY9Tsk7NY9g4tl0ZTpNJh2gcX7MgIVtQvQm0r0Gw4uTJt4NLIhSCkNfQhpsWcabOaB+berLGg+4q8IaJHzO8JdTL-Z12yRig78JDSmmB6DPdODJBxpShwHhyRkr2dF3JTlsUhxnIoKbHK2dqEoOAT8ApdNkJzDnXHKhgE-EoQ+JMmeUzpdicvUNTCo0oZNJMaUWZMqiL4OHKksEUzK1CYkU3aIBVUoiuJeA74ziOOicoiyM+Szw3OSWi0UjLM+DtIsuNPg5YyuPFzYox+Kly0Yg2N6Cc2P6IVytqM+OVz7pZqLgSt4p+I6jpYpKMuiZcwiMyy9Yw3OWtjckrPITAYu6IOjzc7KLxFEo1O1tzhc2ONmcE41DJpogEiu3SzacfdMdz802IKVzXctnJpjVc0XI8cN4r3Mly-Hf3NC8f4l2OicAE0SJKcMMmzKG1ecp3OCYXc6vwiiVcliLXj1c1PPvj4E7XMzzTPbPJwTc8kPOeB0M4BLqyKYg3JjzFclWhNzdc0uIDzsEoPP-j288u1aTw87vJwze8wYTcC48ivKXjxA6XPuzZc1cEYzo8+fNjyB82BB-DYfVWJY1MchbgpyqEqnJJz8c-GlPzRXc-PjQtkFTjfNgo-IV4zJye-NpzVGOlChSuIMl2DCH8FnKFyh87yOzj6Mmbyb8+csVIFyxYvaOsiH41YHiiY4zqMRsWU6fKbxOczWJYcsAufJNNncxfKL03cm+P6jGY2AqRjE7K3KliwQHXJ8j67JDL-iUMipzQyw8pZM+hoCxcNTy7sAaMPiY40fJjjDlNTmI8oEOmJB9Rk3BPBBbouIKlyUCyTXRiE8mJPJj9c+XL7yjcq4CgLTcz3PryLc0goRtzoigqbyvUlvLHy6Cv73zyp8pgunTacWdK3zsCsvNwKQ4-Aththol6NGjx8+gtDyC8rvNQKVcmgpELxnCfJwjC8iPMF4o872NLz+cmwoX1K83BzQLUI9XPfUa1QRG0AATUPLuxWkuXD+SEMlaUELAfBr25l9IgSIQTJCxzJHzTI5IuZpHgQRARju7UyIKK-ZaQuUyAikvgRyW4llzhjqi2BgTzw4u3MuCQ-LpJwLd87rO5ysAoINnI2MtnMoSb8omwKQkZAnP2dGEpnOkRSctpUpN8VZ-MjouyGnP886cwVC-zLYH-Lsyavc7mfR2ivOwcKT42gvztfCzvNaKeozouTSsC1uNztICwfILVb4uvIlytcn3LOjX4yguAKi86wQULt8-vJZp48lgrUK3iuAvaitCr4t0KeUmAtXdHsOIuQQaPJIpI8rk34omU7i5orGinimDxeLiC9cE0Lfc5G2QLTCuhNozE8rwrbyXCjvMYKFnEEsuynCjgtPgj4wPJ4LLxIooJVHop7AMi7GRGPXA4YqNVqLXkgYsp8S8xQudzlC7EtKTV8rPJZLkM84qpLJ8rIpALxfUUoBKjcsIvNjm4qIqI9EMxwrlKfChUr8L3CjAo71VSqwtCK+ivAqOLqCvUrOKDSowoYK3Cq4qMBtSoGNlg0i5aSfjMi5yJTscilovlp8i0wsZA+Cmi3acBC0HxELci52MDKpdQUpQd6i+SW6KlI3nyjLC9ffPXyudEnUUkRbf-KHiT4fA1Hj2XA7wnjzHWaH+4m8OeIDwe8ReLsKmIwu2+Asi30oVooygMokKJitPQCdXS0HDQjlCrzMQKSnXYDVyxc1PJHxL412CZT9c0Es1zwSy3MhKbc3fHfjqxUTyszoi7gv1KHIkZMuLTCgV1ASaymQusjq8uCNgT1C73O20REwZxrKuysCwPimSrgopLhI1EsfJCEpZw3SaE-31rLsZInNvzEzU9OAJSSlcpNowgwX18YWE3hN-p+Ey2DzQCg+thOcwKx9wgqgHSdJedHtaRMkIPnB+y+dVLHcvCNm2GEXjLUPR4TMSZrWxO5Zy5axI5To3CxOhDKpZsx3snE-xBcSlEjMNHd-TDjMSS+MijOuZuxGTO4sczA4P4yBKwTO4qx3EiVhM6ijhxWT28BJMbd+KuhFSSVBL0HVCnRIswgF9MnviFKfy1ipsdqzdxSqSfir02bMAkwSV+Tm4oVPiS2Kni0xt05ARCOiekypTzS1S7ZLsrlJau34t5zD8rxx+Cu7G0BBc5ZNXNJktyvUkry+ZKc9nI5yosk1kuewqNv3RCu3TifY51p5cUmCoPks0LO2XLy0ljwJsEsi5Jyrv1BKvQVuUxc1V0X9IEyeTRK0sw0q1gxExUDOSQAq+Tag08Q9U+Ux5MoUfkxpLTcuYoXSLd13PolLd4UkIrirEIrskNMHK80sGrp8pVPy90eDqqMB1PMoXqrDwp3RhLvU3LzZSLU+avBVCqwaqyqfQizydSpq-oTMrqrOVP8yq001NKs8vKVKhyPrOqROrSUnauaqMIOasGoNaGL1qFnsh1L09LPPVLa563N6ug9lq86tWrzUn6qtTkQu93VTWVTVO2rtUyaquqNPdMOK8hVaGvoTc5IGqjoNzcNIFwA0t+iEDYgoIoq9Matn04Jcy00JMzAC6jK3TUandNEzRye0K8D2YDNJt8VihmFgFc0poqjhXM9dP0rN01TJEzAsuXJCyGa5HyW8d3I9NE0LcLmvJrXy8dL9CAK6IIFqmo+molCOgpmrUt4PWa35U73SWtdzh0l8kqrDYuWoyrBQtErXALCiTMPS8Qxg3WqiEqWrKyKa4TMnTd0udgJriaprKPS7EJdJVMq-PAr1r5jQWOgq1MmfLvTGs7TOazWMr2uAIV06LL9qvQ0qLWiJ0wavzjlS4Pz2L9QhHkQ0LeFVxi4FM2OqMTLY4mL5qna2mrXBf8sOo9rNgy7kzZX0s9KHTPQ-Ovbi20o2tOrrMhMrXBN8i2vdqravFhAy9HYfjIMiM2W1zr66ltM8rwLQwsciaSm7AbKfS3ypK5E66moVqU62VnEyjAQDIrqwefpPcq-gXymHqyMju27LvCjcsASnSoHxnrxI94Bqyg69XSYjNMqqstqDQn5C3qgqglT3q3MrxI8yfKgODcgfM04MDr+a5etzkQQrLLwydMxRnCzdOSLPWy367mo7TxI4sIcKUs3zN-S26oLJuBlahzMlCkwgrMVYXM3WpHqv093IGYKs56KQa-69aOLrFa2QPNq16yTI3rcsnWy5B2sxargEJbBHN+QkcvlBWLD3R8Kbhj83IWvzFPXfCmKr8-Z0ZzvyyYvvyyci-m2KMEXYupy38jYo-ztwWRuLIJGzuuXZSa2DCOLviqUsAaiPf4rGqgsyCJUKZSpPJrzhyrpxPL08s8p5Iry4BgzLsAsAoGrjGy0tsL9yqBLDL6YjKM3jTy1mLXz7c9BucaxS6wrcbwi5fKcco7KcqZiZygks+L5ylHHsaqG5ssMb7i6hrCbNS1Qo1yYmkgo+KX4hJo8L2S04qPr5nE+pMLkmowOCbHK0JqBKl8jyrqsRcixpTyrGsEtybbGxJs8LbSkprzzHS8pv0buSjEqld5gDUoYiq86BO8bjy1pvxKM8uxs6bimykodLXCvptNrZWJMvKihmrEuBLIiuZt-jumi4ppL+m6mlSbMS8vKtKtSm4oqwO6zOJcaqqU5vTK5s+HIkqRCB8O4dsDS0KDdDGZfE3hrWTqXrJNRUqnftskENUA9byY5q15dq9TTnVL3ZcjBbefbjxDi21edU8rYWwMSuKo5QmSHgWbCokGaUyx5pmlnyBhkMp+jKVzvqthBUDt8v3Y8wk5ZitCGuyrbGMJOonVJtRgMlsGW0n1GSScuya8S+AufjEClG0KbnifQqcKJ6zcoOa5uPuNXss0juhugfmj5r+buLAFsHjPEYFpRr0ElFsfFwmxFuhbQWqpqMbpgdsqBbEPYhh-9+Ym5tXAdo9Fo+by4LFoqYMgO1taB7WoIEdbnWh1tdanWt1pdb8wHFsDF5s+BBVbjW4BssK0mz6sykMWrIhtbjCT1qjaPWmNvda426NvjaGbFVATaU22NtTbE2xMWTKfWvFo4tTEpAgMpn3SJmJaAIdZyTEaSDiRhzDiustXi4I3712BuSsukTkOm772KcH4h4C4LXgdj0ZLlC8y0IqjIN2X3jpm28vsY3gIQoTZ+yo6MSkPPaGxJbjih7Dyr5Skp2HFu7cdrXdXucGx0o6WzrNiqgs5WmHLgQosKqj2qlHzRlFCfyFSRN2mlHFpWfX8svlL2zSsWzSDWRzgdVstZqtapUdNs-a0279ozbHWgDLFRr0BF3SqyUr8oNaq2m00aba2hOIbaWwJtoFaGm0QqeicEpmISL87GDqcbAFY0RW5vvB+NHb6C2kTewSoJ7CGj-haduxNcWudpRizs+UrtiL62QKI6Q-bbNALCym7NiC92lPIPbKmhgOPaYePVVHgLQbNpRxr249hVc725FtuNH2sMOfa4IPmTxBM2sNr7wv239p-alOhNv-aUgo03fb5PDU0xdRmiDprb0outuZoa1O2MaK0lRPJbBngXkriKdgbu2njHsKxpobR6Ptr9pvvezoyiH41ECo7GafJtaip23ZnI7BO+uxMbjs8p1o7maejtrj12iiqEot2rz2dz2O8u047Xa27MeYo63NOwgVoe9p8hhO05FE7oXOmok70aOtOk6VsqlXk6tOxTpU7qu5Ttq7WbOdI061LYS2FcdOvXwlambMGQcAnYMO3+Qr42Lrn9muxkF3AuuwoEXKjknDvY9yPeBuQLvVbxsaKfpTrpSJgczxqHL2IvBPQ7TOoX0G7FujoX-Lv40dT-jbY+dss6XY+0tsqYLIjUJawwYtqC7lbCukH9KWhexa7dfWlpldBRLhrtokgMlDro99OAyJdi4uH2ibuWiEsJKMOnyHM6V4tcrtLj64wqVLH1PMqp5x0ZORADiyuklLLjjGeJ8hKy6JmrLvsepsc9IOmBK5aG8mZt7tmcPbpbrVy+8uDzDSrcqSIxyiOyybXi6craaEo+Jr9yFyz4w-jmK93OvLQmREtg9kS1jxexci4sPha6ncnD3KxmrxvXiWmlnqHaYfZjGQTugCnvuqxnPDtPhEi6kpKL3sUXsSzATDVEWd3THmrfLGA-HswwaW9so7daErsrGKhGnj1Aq7ncCorRUIR2o-FYKp3vgqXe3M2Qr8q5IycRfOCcRmrlfZIzHCLAnnrjShdXIwUSAXBowPcTXVYj0SzRHF1VkG6m3hMSXOuitIqSxY8Sz6ieBiocTiK9Htjdk3DN3Rpg+7cWUsRLbNwkFjLH61MsN065J3kmKqRNwatqxevjxsqv7zXcyGuzPeTkTT5MKzt2xh0eYC3K9G6qgUrBRBShiSm3BSPlD0pJdoU+RqDh8ZF70q7nAu3oGSuyPqtVN1mwhs5M56luxn6Oa-fvdYMU3Nsz7segVh+bjRZXocdpe1boZjMo4HoQTGRW-svLDs-Xu774Sg7uZote-DpSKrRW-oZ6hDJnrl6cmodrZ78mjnt5yTqMbrgtjk-nr-7my7XpRLdehrK-6regmJOoleqXpHzDyonuZ6IBlmN8icBj9Dv6gCqUvrsPHWIt-7NelAYAHHy2AdSIjejB3lr2cjuO26bkJ2DaMExTPwMqCkpKt40tKm9k4zuQ-M30YYfHitV8ZK9zM4q8gqQZErkJKJO9CTu8KuIllBsSvuzGKiyqKSANCvsj6SEzt14r+zds22rLZcho+brzTIyEGALSPHhEFpBzioLwLUj049Ju9wbcH8Wt8IQHsLAj3MHjitAa48ghjweCHuPTFP-xapE6lsGllcTyxTLLLyO0GBlAjUk9lCVgbT6iw1pLtiQuqOO8KRcqtytpBlYFzGMx6YlONT88cRqwHRQFJTiNx-ezAJSg0mYqAqKpOGptqMZXlz6BnqvqwKqos+1Ihb+U76tGsuUnoa9Sgax1MurWhrwRUr2cEVONrYXFarGG1qn6v5ZlCO6umiOSx6o6GBU4iterDU96t6GNhhVX2r4ajauZVdhgGq1TxUlodBr+k5Prw8pWvYZGGQ2vavGGlhxGshqdrR4dz1CagZKxqSa8ltxqGh8wqic2CMNLdrNGwbM0Dpa7oOICIh3+Q1D-6yhsOaTW++q7rH69NJq9uArNNZqYIdmq6S7a2LPEr3m5utJTk6lZsFqQG+zLAajtBtLrr96mWsLq-Mkkc2jg63SIwaqRpQIzY+B2kffq9G5BqwyWRoEdDrss+hqfTWSawJjqCGuLMPym6yzNmHe3EuroC060LMrqs6131f98GukZJNN+wXyJHZRynppqKmxovXru6lUd66QxE9nxHeMgOooak65kZvq52f9ofqM6ymyKYX026QEkYGqEd5HLB4kbWHSR1BumAy64UZNGvs3ywvc4R7kdgbgo8XoZGUGgUYYylR4Wq6hQMvjstdB6y509H7a+kY7jfRviP9H4xsTMTGVaslr-Zpk7jNgyCR60YXraM-MftHirIscwaBtarjNHUKWEbDJoMuprzrR63WMNq9RpkanSD82zKFHQG8Or7SukWu2Pog8S0f1rrK0Mp5ayC7QoerR1dzoOG3ejvtrGTS2IKCaKR8UMbHvAy-hOocfJwenH-apqsILn+knoyd2ei6J9G+xv0btHNx-vOHHKR0cYhCDx5rBAGoCTMcrGHahEdtGBxxxtF62R18ZjhRkXD3d8NRnkejGXi8AZf64m6AZvHeaxkfvGAJubIbLnx3cfZGzAjw28H6PcsdKyfxoD3jTkJvMYfHhStjobGsJ69RTHc0ges5cpQDx2-GrR38ZtH1xsic-C3AoMZHGRR1jOfrDJJiZnHnBucv5aZux7HWBgQVeJFDiJuMbrGjcq5rBHgxtEcJRQ-OzHDHCE94AEnTx7MZlGqamsfYmKfWINXqFJ7iZDGKg8cbbsrO-CZizmJ7Sd7HdJ9gY3HyJ3SNJbaGp0f2E+XUsc4NlSX4IlHNR70aQmZJx8aijA2jRsUnnR1SUiU27ZG2qzIJqMf8Gr6gBrJGVlYLJ3H069yZbtAqqKdYDNJuOvim+RtLILGJlB3NCmTJpSdmgeupdHidsp3yagn-x4bvQqVKWx3hHWJvSdQmgQw9qFrixxmoxHM0nfxR75XQyh8DF416Eaw-iZFFimvRp-Mt7pJ-kdkm7+XUNSnlRsHjAmReXRxk7baiaazGtR6aYSnERpKcmdHR1EfCnFEgETWmyu90xPHcptib1FBM26f16LM+yblGDRw5vryMJtKd58O3et3qTv2QzMjHJp-8ebcZgyjIemi6gGYVGylFO2AmeJ3TMsVZM6PF+nLp9IaVCgZriuanqxhyf0m8-HUKMmPDI6fSm8sxiG+SehxGe7HBeNQfynasuabqjkRkqZfHoZv1D0zyqogwRnNpwiY-qx1TzNOyf6oTL-Hrp52pnSwe2mcwmQJrBvyyZEoYegaapuKb5n4G-XsQaYp28cen9Rpev2nR1bcZRHy60yZayIGsQyH6vPEmdP7dRQGfsHeQtGdzHtfRyY4m52RIqhmtZosQJm9qYyxRcWGrygNmpRsE1lm4SqrJ5mWpjGbamttb1TemlphhpJFmGsYL3yEcp2ako+s5hAGzAWi-WGG4GrvsqzSwuYMC7P+3KsuTzkn9VeybskbPOE4mAZB8x2ba7CVpgRrQqp9gfYcGPDZsnnLYbe7ERnBzOHSHOmqIRpuCrrQFGuo9G6qwCceb8kqiXqGV4KnWpd453bUTmna3RnzM1s40KsrbJsfWU0M9S3QubW0obPb7Wp42fkHfE+hxuzZ5k3rYJfu262V0YSpEd7j2GrcORz0K2UjRz6wDHJnIscxoda71Gg4WVQFq1Rpfy1iqRsWLycsRqX7dOyRuVRDhl4c2LP8h+Ze7KhlSfZwtG7EB0boS+OuSaaZ65pCaLSy+q2aKapJpPmzS4NqOyrszJrPGzc6xveKrxhCZ0LZmgJvanvWhfIya9OvBaB7LxqAb5bEJ+Dr3mnJwUfVad82prOawBogroWEC63JgGmF-ydd4F+qKNoWNCvJoYWSFz1gbjyYOMu6TVZrjqDaTmiUtQXni88d8abG+hb4XGFq2JDLwQGgfnaES5AbLpUBoBJen5urNsoWOF9xrpKiBuCfEWtFyRYEW4F6ga9nU1DXtQ7jFxgfbF5FtZvALXGqxfCbze1RKcX-Blxe-7C1JAfoHPFh0rcKXp8hr8XbmkZraLzm3RbF7KstxagQPFk7piXABgMY3zMFk5qSWACueeHye5+3JxmT+n1uGaqF5Je2b0Y4Rc+is8dGMLm4F7owNq9cjTIKWNm0+DTL2G3ufqjhi++eWKdpj+Zfnpi4ZaaG-5qiAWLXzJYq1GKhtckUbvq4BZUbQFnHPAWI00eegWUlspZ5yKF9hcFyAetBeXnniNhcBKcF6hdUX8FqZvnHhJ7RY5yTlqKLOX1SmpeKWcStRbTzCFzRfILUA0hd2WA5rpZTLqlgJdwWrl0RdPLvlxcdkLKB5xdcGBe--pyXbGPXvLtKhwccCLAVqpc2a6mjxsJ6Jm4nrEX2mkJY76+e9xaRKTFkpxF6MBlFcNGMVyxYuXalsxoIG8V2xcvH-G2cboGslhgp17KV5OYN6qZxMtpX2F+lbeXBFnRfZXIlzlaF6KV6uapXJYuJcFXzl0xpKWYVvKbyWv6-ZcVX65-lbFShi-hqqlBGrfuEbL8xpjfnVio1YAXpG9nFNWYU0ZfEBAFxYZWXaqiZcfmNl7GrbntGnZdNMQq68fWHlx7uwknzGqSaRGXJgmLNb0mlBexWbF2CZ4XeWhxd+Xm2g+uvLQepcdCYVxkJmryg1ghPwHxm2Xu4WCVvMIj6x0o7VkWnK1WeldTWpBYgLlFyNa4WLxglchWoSv5a9XD65Ne1TU1-1fTWku40odgGlmGPBWNF3hZ+XoV4MsTXgnVtfFT21hmgDWM17tZqLACq0zJLoVtFZhjnl8UtnWGVsFfxWIVwdahXpSoSYlWyVrxZ5WSGmMatmBZjVZeWQVy5feXrl+XtuXx13RthWOVw9cRX0B3ldPWCcXtfRL+1r5Z3XG1qRd0WD1wXvJX22uINlXO2gUvnX9yl6ZS7KltwOrXOF45cA3SV4DaPWZV99cqH8EbNZl7a86NfzW+RRAZQ2EV2WlA2YQWQIg2C5EtePn5F8xb37MVnpaVXmFgSCSa7yTJZfWSNpFfA2+V86C-WucrBuQ22N1DdfXj18je43i1qDcJGgpwXl8Ww1xDrRbwOpDdHXKOiRZTW3gNNe8qu150rkK52eJdk3sFxjdFWHlqWm9XiF1TbEm7o54BnWtNlnHRjC1zdBM2VNttbU2O1jTdOBM11+mkXoN+RfknRqrBZaLelwqbj0EWvVebMDVnUYvyxl0RudWwFxZYtWv5mRp-nv8qZefm7V9-JCkUTQau1HffVKagWjAGBabWmNgyfE6K16puQXDlhTc3WWV+tb-WCmsVeVXl1wuNXWam4VaOXKtvDe3XY1odb3XCtvBF43glW9eIGQen1fjXXeOzc9KINBtvraIy7QtC6c1oao82qNi4Zen1Z4IsrWgshDesXa19Rd-XOt3dcfXQltiknXxJztbc2IukJim3T4YVY6Xz1preQWWtirZvXzs2brKLDI2zoZoqi8jyu3Sl-daI2GB4TfQ2T1zDb62ylZJwkWwNjDY7WSnPDt4LxV2DvztO24jos3JJs7fYLYyiTfaXtNjDlg2eisvI23Al60tfjd10Kuc2p1k7eWB3NhNZ+3BN4jZCZSNxDrF7UVxxoWnFF7paKXWtnrZdLEB5dsR2rg5HYY3UdhjavXP1w7Im2Ho3stOz+y2WNFzD+kdap2TihHfU3LNzTZ7bLJyDeVWF19gZG2pNkvhk21t25rx3QVjne+2jdswsF5dNvXYeK2dh7cM3mN6ReB3G6vBDG2x67wsm2ztvsutyByubYjWNUFpdVXQ0STZYWExi9bXXp8+5suCwO2eBC3B+a1eX678yLZNW1l0Dti27Vy1dt6Fl1-IAW0tgjQy2O+rLeS3jJyBfdXtl4zZbXE7e9eG2nN8zb6HOdgTfiL2N2nc42Id4NYVXL18rY9Wttz5dib7Frrf23iV9Xup2-tjjbfXAd+BZCnEF0rYgKrd9vZoWt1gdd23-1olbJL+9uvaE2h9kTb0WxNs9aeXdWvzaxXEN5VdV61hvnvDWQu3xDs6Yigxd-6Xppzt83Cl+bf32Tdw-bDiDy8EHI9zIhmkS7aBpAZg2W93oqF2RV1pdgXtqpLKpoiFxzYnWSd47a13A9hot-3mtgzcAOCt8iJAOdEBtaQLu7SA7uil1pnd12J9-xfu3p9trbzWOthcYX26t7OKgSjs0-dY8y5sXK-3od+RfN28DxJfv3Ntmfaq2SDu5ccXyDqgdCcqD07sO3P9y-e-3vNuA7u2ED8apgniDufdIPatozfFWT9gQ-P26D4Q4YO1VpGNu3J9y0rD2ttALfaTnm6+fI0CmAJkeMc4ZHrdSX-BITMd17VuEx7tl8KTsc8enFYM7mV9rZsa5gj-tSWv+9JaLUV9mnZ17YncO1AH2Dtw523ZD-hZX6uepcuUSnp4ZKA3-DtAfX2GdxBK8wKBoJarTcV3NbrW-GlI93K8eljagj9Fn-viPB9hve8Wnyx7JfKTdvfFoTRikZa9Mbe0IJdWdknhM97znF3s4ZeZhjg97S0Z3sO8c-X3tyPprMsc+d0iLCtQqRPGI+VnJFjPtv7HE7PqsSReeY-z7n7eNyL6bDpNxz7m+3Coilkq7ocln3Mkhvlm9EfIeT4W+g1hEHCXWQY-rrUrWtuPhKliThnAkm47MzgZxQbEUmZ3JLPH-9z6cEHpKvQZk17dt0oPtDKipOMqeOrQwBTYHSfo-Ed+p6gSX2B73ahgRquDfRTJlQec+7oh2+ViG2xuZTSHSZwp3DLXC4pzeBaD9iNujTj9mkKHIhxFzW4ZPMoeAhf5ilKVJQR3GfBH7u6quA6gJq9qJq2T9Nly2Kxmycf21x9efBmDGzqb3Hup+mGZq6XHNOH5UTqWf+m+9maYKntVuYdtmypvvzVru5CDyJn1snWs7HJRq9K6O-Z-me33FppMZL8xaq2rBr9DGCA7Hfao04x21Lc2czDMZ67dYWJTqieOYaRt2eNPfZ2I7oz5F2DeNHNTikf76JxHKfSGP1uydBm+ZsU4GaNT50fnAaJ-usIz6J+AMNO-JxA4CnZp7XYFWg5pMYWI6KV-ggmsz2qY76om2fbCOuD6A5zG7x0if9nZ8pM-Sn+053zwmozgk-WJJluYp0m4z0U4qafNiBeFn6Z0Ce9r3XJoD9OvD0zcr2ed6deV2VTymfzO1wCpdDPnR+qdw54BvCbCSpz9ldLsvHHXtCGjz9wd2mwZ0fdBwWzj6bDA+JssZ3PWZoU94PHsXsrwT2I1NSnzeS8NVPP4z88-LWNZsKfxmOScD0y064O8-LPpZpfcXPr65c7QbKJkWewmB0isl3OD9kU9NOEz1-dgvRzjka7mc6ylHYa1lak+xTg3Y80imDiseYOOXjlGYUHc5orPv0IT3BwPmH7I+afXp6+BevxXtVYcbON54zmOCt4beZouR+itpt29uN-UYv4DI-bGcfnD060iSsmYemPkZnkNmDqL4ftS7BLnM441x9RefZbnThrbj1988+Y+6SvHhteaP7O+ZPzE9ynNRWRGhPei31l5Pc9tZl7+eWL0921bPIs9wTxz3aMvPd7OhZ1r1ZzPV6o-6Xg9mprb3i9kI+kOazh9aAPlTjBaCvxDyUugmPlgha72wDuNehWn9zqqzWwr7I5kPaz4dad2ex45kW2YaippW3x9vVoeKDd69e9CpD7K4iuK97rcfOSj6JbX2Ad0TZjOpL6mc0P8DiQ8rOar7beSu0DiI-kOqdvw9KPuV1q4332r5go72kr1npq2hr-jdh2B95q7KOkjzAbR31drzfUOFF1beYOKr9dYAO-dxfc13l9+FbGvEjia+SOzFsQ60P-99naEvri2vbOuVr8a-B2R91IukX8ryOOfXV91a8uv1rtXZN2NdwM7rOit2nFwPyryLvk3CDx-fQXGDm6+6v4ro654O1Lnjc+vpF33eiujyLa8C3odBG-12u8nQ5F0j4KPeGowt7Lf-mBicZfmWmTp+euQ4thy4S2nL2m8sullo4a-RlGp1e2mezum75OL+AU4ibeesdb+MDzwIZCHxbtj172IL5vdivbrkK7y2o11eIF6H48ncmvGmw-vSuV8j6+w3H+nxs722mgtYznwD4nar35z07es2ZF9Hfwq1T8kZZ2gVs7aRver88erzlb8Mqjsv+9W4aun1pq+yWWrt67avGdwJvxvLd15fuvmLkW6R2odiW+PPYPKW5OvrI37ZeuLr-28mugdh-uTyn+-q4NuCNwDas2VdtDum2oI87MHKNroG5xubbt92Duobi1ut3w7laQDXXBmO6buvb5G5gOVS2W8RuI53G66Mu7-Q-zT-89rt+b2mXLhlamOX5uyMh6EpKdl5bLVpfdCukrchunhyFrzVzh-ci6v9WgZaha57te532s2aG8Njmu2tCrvCVdh2rTLum9t4HB0nVuqYca6NRYMlq7s+aPzD97qPTZ1dRB+6RLvnWm4u0gbbsWUrrreOu4jxO99u-rlO6uvxW2jblbh7-cFWhZW5rvlaZBxVtIuSxqDxBbmOu29Ra+Uw1sLa0H+e4weRSoYq3vV7uSnXvzWymNR5PamB4sCyaeToRObeU+-HT4HgttQeiW37H1dS2yeVdJR+3hphv94w8-Y8A1mEDpiVb8gpSnwe9ItJ3wl2zttNbI1NW52e27Vxc7sO53ZTv1C2yJ0RGS+mnWAsnUjoC72TWdvrss5tbpoO1ZzgocLoulVOy6XXfi9vqkOsudR3LQiE-S7CXc9smQYWnk+BapsRgQK6d7h9uK6n25bJUZX2rbrzbj0qh98CaH9TuxsgOqY68vccwe6sGduxhgqmh0YI-ZFVH1J3UeHo0DdJOflxh9CehulSh4Gtz4+SmO+eiSfzMvGkyOg6i1X84PuCnpJ+67bilwY8HBHya73ahCqCNKv56rgY3Pkn8zrGdUnHw6XbqV8Z1XIy7e6K8GzUK7shdU+gx7u7fwhISe9HnQCqfut21hj9ovulWHASGLr+45bAe6s4Gv5r5GxRuJY4B65Xk7sjdTuK2BJ-gfoHg0FHvtuce9+xJ73y+MOV73B98f8Hu3U1aiHz55Ifd78Foj2UH80dVbxThe+Db97wN0PvMWwsDsOyrrBZzbgw8+9YS2HllxDXqsDk9ldHurZIt6ebm-fSoNnsKSZaP7xvT+7UzDdbv5f7mNfCOTn4a4J7ZS6HtKbYesKogfx+pzMEdpwch14cZfSiCc9yYEZ-wQDS8un1EU7SeeLwAfMsAXg-gbCLyR3gcmAcxolnkDYoOYVdJ5fl5XeuftAeUs12EkxuWH46ykYt2Vg77-RNYMtYn9F6NUkYOZaySWYJEVg-AY1+xf77uAVmZ07ey9Pd+J1Yj9s93e5QwRHldoZDs5wT8adJZhcBb9sYRuj1KevruqM3d78Vypbdt6jOYbtlK51S6B43-DiymS9pNaba07I-H7tqCNgZBvh1zm-5uJxce2N7qNmpOnt73ZbMcE+sgOUreCKuY-WOw3PezIqljlt9k823gvruNO3ixJXlZa7uELeQozyOboyUSQMPmItfOPUu77OuB9f+7v16DtcekOgnjjKZ4-8moTyuBhPnlZhNfsuILZYOE9x-sYpbnX12Y-djQ0zKpDHSe30egoHCmrOmgnqo8beZ3wimjfMrD6--CnQw2ZXneWYw1wcu4RqrkXwacC812l1sh3FpKHHPxPfTXywT4vlL3eYeuOr1RIYfsyzh2hzlhBHtBR+HOlqtdUejNGL62kUvBD8r+uGkcPye5w4tD95-I5VzJLjCGDepCbS5KepDRNaXXcBpw8QHaPpqlSPPDpTapoPryo4rfUblZ3fK6j-F4QlGj8m6YSeSEj9WhDgYG9F1oFRpwD2sG-BXASuy6vec7GiNnI0-txSrivLsDyYGsMcLFXsAieyHhjhOJ6DQTWfHM1T5QSmlV1Vk8RXup8yBFPghQe777peZZagI4oD+ewX84BAPFHxons-Q3Rz4C+zebvGg-bhvZ68+zPnz4+e-P5oDC+b78lvN4Yvxrgs+NjkDosuHevd+x8+j10KucGz-XFudejr3v6OyfQY6nd-ewyVGO+2cY+0wXRiQzyc33nVfJdJWqNwx4qKgsosNc+5Y6p5uvut0H48+-r7TEYn9-gcOx79-vY-ANzj4Gg53nj+bW+e2b-Eg53+j4nLvvOi02+aRZqeNEI33Cajeudt3d7Ljvo79O+GNt-rIGkEvAfFWhn2vJTz7vu79ryNblb5M42P8noKPWAyR+O2vvyHe++-v0gZYHnywT9bvOBhp+4GoINF9nbN3m+yFYMvhU9UWRcFE5x2Er15x4Tah-jyPIy+k5BBcMan4YL2avQNIn9HPEEd5Phzt58hGtpmEso-YxvM7buvnny+teZfUbGdC5EN0PVH+i4m16zoqlCTjmlWsi7ezDhODWbCKbLYImzt8KcM7Ck26F4KfnBLFpDBi59ylLmLz5X5uwTwrFDrne7rUz8gL5+4Y28eH6ZdMuBGxLZ2L89zZHj3jxST+8uUt91-DZLf3m9nJ7VkGsdXXoO39dW-hg94iLFN+rcCvSH8NflvPfoD8p3QLJLJivff9C44WibtZkaLgv9D+nusy0H8z77n6Vtgex7uVonuSSD364zQX41oxf4fsKN+f4vnP+PuYz7B9QeEvhBdDWLdyq6c0FOgZAjb4Xyv72v6H2b+YfzR1h8MT5nggyxfP3U94ETyhlm593fsIl8zc4v77p2fP75vVWJmn8udt2joeZJ7stVoOGltOX1sKezi-SiAZpTsoV-poZyyeblnxX0HEleGsmV5GS5X1kMVfsl5V5y81Xkw7+57yVuRflgePV8woxLA1Qste5WaJ6NYeK1+f+0PW4bf+v3tjxA3sLIvbJ68oyN69NEhvR39IYcjaN681vjYtm7rm8xpo19kwGlVYnuJcX9pOsdEKmpVbk2UZtuCVyjhw5q3hFNMau-xpzsbdRJnOcydiu0U3upY03hlME3i-Us3mOt6ribcqAa5tcASSVvXpFUn3kttsbkJJR7G1hy3sO97qmldlXPQDhAVip63is8i3uUp2vjYkCPulBT7C1Un5H194mMoCWKofY+3rqIB3oXUXJFedk3Kp5x3v75J3kS5p3kv94ZPJFdzM5Y9fsZdMPnw5ZstsJ25KshvTs50lZH+gAAcz9ykOa8T2t-8h5JKc3AZS1PASGhn7kWUBpsvAu3h057hDJ8iYGR8lPgHl31FnNZvgt8KDm04SdtgC3bto8G9lXNxnIEczRoz0zGsXdoEjk4ojuN0FDjSIMgYIhcAS08cgSXcqvnkdyPogMLtl-UmyhINgbCxd6gReVqPrncKgfDFMgdkVRHgQDf1Pidv3tKNo+LUcmjjFsLaBJ9zLmfkRxJ0DehCjkMKmMdW+ir4W0PADtLhMcmPrO4UAqx8GvhAsvDF2dWviAkoRNH0RCJO5t+uolIsJACgeP68sKpIkxvuUIgjGKgELGWNXfnIDOHmoCcxO28dWF8DHjPYle3h18SKisd2XoCl5osMURqgsQ5+m0MgTliNY9hyMWxky5a-k-lnLjoJOhg7Jg7OiC-oD2p9VOS8GTiAYm3hqIMPJA0bHHhVvKI0ZZ7JFx3RjhdA-rj9aOPj9DPgCMifn8UPHvSC+boXtM-tZNBJtCNb7G1go5pMIpxhTMoLnT8AXhacupiLULLFCDoqog8BSDYDd+j7FF-m91SqDi8D9B1pUAdj9OQQnkQqjvVuDvS9Grt992IlkDN-k+dO1sSdXlma4OYvlt-dhzE4bkwdF7mr1ILolN1Dr61Qrs3lqOrkDSeoA9pjuU9zcryVDtqBsiOkR12Il9tG4pjFPNp7FrRnQ9vQQnVXTk45LZmDdpLjWtxVs0DqOm0CPpMXg0rraDrQerFwwTaD-TlGCHQV+cBzstserhBdoouLsBgWmCJBpmDEBg20z9uUV+gXgCoIkMC64mGDainmDIwbJtCwUKCnQd3dK7oqDxkiu8YAZmAZ7rf8yyiPF6NBYdx4mj1MvujB7-sR8bqqR8vXtN9kwW7sJdu0CNwSck9KN0Cbvr6DFYvuCuSqaDqSuM4QwSk9JsGk89Cu6CS7oStIjqlVmvrWDegQ2CqgfuCSirUCmBn4Z6nNd991imC+ypuCqwXsCrvjuD91gaD87EaCjQY8ANNmaCfjswUBPiICMAdMCRPpMDbLghCzerb16jkMdFgQ1MPkhX1sKolQNgdbcJemIZtgcB1RARhCFMG-RFDMp8LDJkYKIe+RNgfsDPaGf53ZomCwjIlQw+r4EWvrC4FgSSoS2iwYLgZYM7ntoCFjs8Zt7H8C7-s4lC+kCDFAXOCfgS8YsTtwkDkqUCEBqksdQZAULsupDzsppD6Sk31WquPMAZgf9PpMIlC3JYChWNP0UZFKCZeJCljfnI1TfuIYFoBpYYXszcktlb8wsJME8-oilVlPopzjnikvpv8du3BPMFLm8dwko2wjKmG5+xlxdKLlvMjBrRU1KoOICIah8hwTb8JkjPZGblaszxlH0CLps95Id0chBJlC5lESkMZCSk1hnE9UVvhdkhhTpihnSdShkhCk9vi1DpDAFydEUMPxktoElIlCaodl9Ufrx4wyBj8BIWD9iQWIZsoSbwKQQPZsLu+FaQSydSfpstavICMyZkJ1JoW6tOQV2NRgUbkaBnkQiwahdWLhhc7Zlb4vAZXBvUKNh1SG39MZhT82ZqTFDocuh+QW5xBQYrN+zhtDQ-l6c4LvXA1ahZD+0EK5+4v1VFCkhcabs5DebpTVboYGd4wVjNWRg9DMLqrUephFR+5HrRbKFaRYYI1NbbE68YPp59TPhqC9EHpcSwDr9uGgn07AXw1DfvqtZgeMU7LqqkxOjZdaoS5ccBMgpubs0cM9qlslGult2oXMDaPH-ki9grc6lv8t+uhC897tzt-foLciuDWCyFpgUw-gzQp9q6DS1kgc+AdtdunrftwWtzsCDiLDEPsbtn3tBcN7h3cIZsLCWYV78ArvblsdhYsdQrgVI-sDI+4jH83nrc9Qng95wnldEkxOn9uGJn9Z7sQ81WoC84Wlg9lWka12Yd88BZoQ9C-q7DdrovcoXj09Qnta04XqN9kfoLYW-rdAZnpfcfHqKCmxv8MTXlF9cXo-cYtqECvkAy0TOCS9x-mS9TARS9DrnMMtIR6C7QnqCEKKfAsRJUDJEIkDHSk4wvJPYDHjAN9uvLh9wgZ18nEmEkKyouCU-uACVwUJMWLh-tBNmUUvOoeC2CkrtqfoDp3vod91Cn6CDwRBCldlBDTwfhCO4QPDmSs7ESgXeDueg+DaRCXDNNjUCZ6nUDzyp+D24akDxUpt1xnIf1cIZL0gIXvDJHoaCTHtKtpXkWFjwbsAQwfMoJaHBDn9ihDhfOkcGEmJ8X4WQk0IR-CUKvsCA+mLxFnO0Nj4d5gZ4aLDWIQphiIegDqYgBCaIcsY6yOXdCIeBheBl4CzyPp8yISxhBvB8poMPFCjDKIlGITAF6IWsC0KqkYDDPhVZjnO8xIWWUI3B28pIbOCNhDRUhvpQjjjACD3Et5DAJKwjdBv5D9IemCQbMFCD8GCcwoShNg5HbBsnGhBQeJSckJJPgUzPiDc7HZVfJFMMUoaU85ltVcWjtO4djiwp3jClUmvsvCVIeH9c4foj3QQYjoIUTDaTBxcLZqlwqwb-URIa1VAPu8suqiZDtCGZDlAGCkIzlZCnISb8XIY197IUiD1+iiCB-rCleMu5DoxpW5LgeVCmodYRBoepoNaBidKofHAc3JZ8SYR1DooQUkYkbSc4kfSd6YQTC6odXR3SMjQ8oSP9-aBbpWoQYdmIXi8qYW18Ouj+YSQfPFdjsFxhoQW9VRrNIs4aRDFNKycyfrfd4jLGFgYQJA2kVNDkHjxluQVT8AfJ9J1oQDD3Tpjt3HmKCAge-9YHPtCxgLyCjoVZMloaUie0KiDczqqclYd-5LzviFI-BjFRTApUaCDDD6YHDDFnpfJP3sy1kYX-AP8AOCCkPpdX7hHQjLpW1I9rjDQtvjD7ego1zfp8J3gdTCkoRTCN+uhCPkTTDlliW9l0N8iYLEzDNQf5d5Yabt0Ht7DIXlzDSwaB8W7ljdnQWPtG-j7CZYYijZAXHdsUfItJYUEj6FKc02Dgfs0Edfti-pijHbtLcorlSjtrtrC6NraE9YX0sHmiDlo-nKDhwWLZ4-m2lBIdw0SAq3DFeM88AiK88BbrbD-nvbCOYdLDN7p7CrHgi897sC884Dg9y-rn9g4YqNxghQ9YXti0w-n8xQ4QS0L7jd0vYXnBu-sqDe-ulYE4bZck4fS1NnmnCUErs9J-lGRp-q5t54VY074c9ExngrFIIac9kLMZ0oEGvC3riL1jwRXD4ergZ54GYccPsz48PpExpIVECFwRN824Y0DANkd1R1A20mVoIcRks6id4mp9DvgLs4iv6CTQZBDb4eaC6PkEcvxmY06wo6V6wWUUrGr3DESovDtEdEdOIegkunidswIcL0b4a2iMoiGDgEWkcCdqx5yPHEVjHgzRq8gjtaDh2i3vp2Uk3mbdm0VfDAwY6U00QQlYIekMzTBClEIWCiGju+Vv4eUi-eqIl-4VwYVgfslkjKAjFYTIYoRJAj60bIjt4eRC4EfOQqIQM41CLRDtyNejf3ngiLXAQiyERf1m3rQjW3vQjuTCACP0ZECwQD28tAb+j+3iKhe2igiUYUe4sfsMppePEiAyCZYWMGP1v0a6lSQbUi7BjqxYoWJdn4Y9odBshiNEdicOEdpUxBvxVN5oJYJES2ZCMXINXjqjM+EaJB0Mf90j9mICFEYLIpESoMhPppV8MaIN2Kgh9xYQwjhqKFCazHRccEU3Y2oRUoXKuTDH8pId0TvkjhPJEj+lDicWmAUi9ket8xgb8cB5lJjUpED8n4cvFrIiD4oIVo9nGAXdjEQtVGoTSclBCUNCoTIik8FMDkkapiwkSZiGsAVCipEVC+IiVDGYTkixGMZjCLoUjF5sUiq-tMcXMYposQbYDsKIFi6yDiCbrKJc6MXxEwhm+iiQd1IIsjhi3jO70TZkBZGPE4M94ZBD52lnMssTlUGLLcDrpMxZSErXUwEdD9loNu8GOE4iGZLP1XEUFiN+msiyZG5DlUbRlvdnSDbaAyCOkbUMB2vFo5oXj92QfsV9fgMitJtslWgWtCewXtNnQbn81zulMv3ntCdbPMj5UDe1OzstCNkH9D9AeNMboSRNzEU2dLvCDDtoRH5tTmUZYeDUEuoApUECCLYHiF9Dasf4jRsWecSwYWdxQRcgt-KGD9kYZYeTLDCh-qciVQUjDfsLF9Mzpyj0tFz9tarHNXrJn9ZLuFCEdsecywgdlpzmpCjEbDjDEQWiXZpEx3sk2FMbn75Rfr9k+SFUN8ED5gJgPTYFflnh6bLy1w1NK5eWmr8tXsyibkQKhG5ukQIcj9VhUR3NywqNCMMRldxsSyir0HcirapjCasXH8Sbi8jo9m8jDVnjlPkRmIV0ULiU9vFs0oYkiGYT8jNhsCi6YaLi3pgLc34QXVZ-mzDpUeij4UVR1KUUiicUdGCfzoLCKUSoswEV6CWkXijyUXvtiUbDcH0RMjZoSrDkpmrCA-lbj+YXulzcXc0mURr8OfkJiSkcbDIHtyiHkbyjYgan94HlbDM3DbDfPkX87cZmUEWuHj9URrjZUZKj-WrHipYXC0a7kZpkQR7IX-v-9G1CEDNUUi8Qnpn1W-uHC9UdmA4HqbDy2g6J+sY7i+HpPDMsU-0QutzspJu7dUwR6iG0V1YPdodtfvA21ZaHDtk3r20sOgUiNvmNFO4Xu1udnpiZtiR0iuqAx05p6VgVrnCwuuBQ6OvTspchY9rqurjEcSaizanQMBeqh1HHvoNfAamNMuhe1itjl0Pnl48ottfc8NJJ1csqV1H3ieo32o5DcspniPAdnjx5OK5Guo8DPykkjPcfU8XOoU9wfl5jUnsWj0nnEVfHO+pcASTtcnuPiZ-lyiwfn09inkpCOzs7sy4TnN7SodtICau0NDgN1YCUU97+uNsu+qWjUCRgcaAU3i+yvk9f8Y08fiAM9KOlEsEomgNqgROsEdtX8Laii84KnM8KOqghDUebAVQQ29TUUntzUSvQU4dYQrUSZ8J-qqCZCJgU6djEs22iaC68lWiOpqri31OOQHUZfCAwaBDL4V51K4UGiT4Ej1Q0SY4rDoZRI0fM5ogS3DA8bGj4gauCSCbN1XbifF7Hn8ZZ0Yg4x0bXsrnk+ChClkDXwZvD3wWwQD0RcMdwvpjXCuWjVaN3C2NjWj1QToi9zkoS54SoTc0ZPD80YZjR0cM5u0VHdIlt+RfvI3iU8pATbOtxCTlI4TwiZHdJnDmjDwXmin+vfCRgSsi+NgfYJgQridnGujMkfb0sie84YIH+RJEnujREt4TirvUS5DCejrcVx9YjHeir0YQjYEbi570QMSn0aRYX0eNDeoYn8hISCDEMfZcFAXQj-0asdJIfMTP0YsTdLDMjy+u0MU3PpZoMbX083A30eajpC1UjJjEaLn1aMc0j4IVhivIeojEsSUpLjp3hyMRRdAoVe9rMSFCBEU5jNsRFDniQONGZpoMKqoJiHzMlCmMY0StBnVVsMRxjLKmYNiVkutpBq2ZwTnvjYQaDdAScJijqqskJcep9yvK5DbMZ5jJjjz0RitVJcTgpiCIokM5MaQEFMaUSaPvh1XzqY8fOuM4KTmgoXjKkjTMVVDzMbUTBcf3MmFEyT7MWZjHMRZisvtLjwUW5iLEB5i-aGeDxyiOZfMaSl-MUp4thh18DBiFi9iGFiz-Fpcr3B8DpLNUpYjCcSm4OBNmRKi4yROlia8ZnMjSeclcsfUibpL+UaQcVjhTA4i+iBVipTFVjLIdzjMtnVitfkpkCUZWcQkTyRekQtDpocyCusY155oe78+fh+kHzhcN4IiMjrsd+cZbtsjHQrtDJgHMiMplNgFsYqdKfpOklpqMi5LuMiYUY1sdsWGcwYdKccJjFhdQEdj5wCdioKm1DzsfedBkX4ifoeAsULmMitsd0i-zqVNnRrsjIYQcijLBKA3sX5wPsR592Wml8rkQ6cfwpdDV1PQQgcTNYBbqDihEQZDQzCm8N2uaEdBNPjciTDj4cRpDVyTBE4Pn0x85pGIu5JnUywNTZMceQ5scR2E8cfHQCcRU9ubNzYycX2Dm-g3MbZE3MhwS3N4rDbCGcS+FqQWNDNYR7i-sVOAOcTGFDLljCnkQb8X5kMtKYVZjzVlTdz8f8if4eBTfkeJjc9gCiItkCj2bhBh3LmyTwtszlmYVXjWMeI9ncWvj3SarDWDvjtuiZrdv0mWs0UcnjMHhbiiKc6cSKbz0DPuQsDcVRTDdtCjaKbzCKmjft8KfbjQ7rXcQfjhS1cVjtXcYyibySfdWUQsIB4vXJfcabCk-gHimpk880-i88M-sGT5UWX8I8YxSPYYni8KY1j+wSVkRUYqji-qnif8caI7EJ-ZI8SJTCQc1hC8bqjIfrxDS8QXiwyFPd0cn5c8CWckCCb940CcQTOOhLsW8TqU28e6DqnqEwu8ZGU4Ooo9+8f490nrN1-KS0CPtm7cMCaQTJ8UPMlyYoTvOkUDG2ubke2sf9q5vMJ5yXVY4uvHD6fmCInHt2AD8a49buqyCcHmfjrLhfiXZGFTr8YE9vZH9Z78f7DNgiZTZvO-i1Udp0wKd+S-YeQTfCEt02iZ6iAqZUVpttFTnwbeVJdvnjjRH-jDUPASl4XWj0isgTXKd50G8WY812mQTJqRQTmUfwUXKfpjCCULCPKb50hzgt1eqbt0qCfXYPFrQSw8m4TkCowSDrq5MWCZ702CaVTkvpwSjUMaid2ohAxPvwTh-sJ5hCT8QbUWISp-tW0c5v4SW0ZdsgiXXsvQdm88iQeDwIYETjQQOjSepTjpflMSeUd80g8abCQ8Ug9K8Vn8GGHpTTKX0NS-tn8k8ZxTUOupSXYZpSdYQJTVUWqZ1USexTKVqjaPPdTSvo9Sk8TIgXqeQY44Q-d1XJ9T1nh91GWu-d04Rpc2WjMJAafp1ZtmGVIaTdFHwYZFXCQMD8AfDsbnuw1l-nbIuXtYB1XhH4+XmTAK6ARZRoIyBICk58-jED4ZyYl8A4FK8jaaf8G9gq9l2idE9aSawb-hzJxIRpNycU4ChHO9N8QnxQ-bOeofARGILbIz8+0q1RPacvpXXnm9fkfOEdgcCS5SH2J5ElADxLOyjq0HACi0SG92DogDX9G68UAbNIDvj0DvGqmocAS+CUSm+Cbwah9iATecvJt2jx1mwDFdnzsSSuIDZzJlMyxqxTZ8A5tUrhAdTbtQCEaUgDI6TW9RZN0TnfpAsy3jwDgftCTaAVyAJAQPTDzNz8nuvxCJqRQjpiVkRdAVvYF5EwivWhoDfqowjZ6eoCg4Utph3uYC1YmO8FkcL5M4RYl-EBP0rAeS4jYcKixwccZsPgQZfRNPhdXvdiPaX3YTbJ-8zbOC4LhEWcA6U-SqDLoTFfBmdgQVTwTGsYSY0dhQvwZeCFqXYxkgafDGrh4tvSrnTjQe4TvUZ4SaUP1TF1tZEUqUfCuiVnTi4X0DRqVdTBgQrSsiV2imgW7sR0eQMUgdAzpacUd6CQgz7YoQChFhpiF0WUlb2ms40KRTdxgTUTRcR0T7qEsCmiU0ltSfsCUGTrjz0URCECZnSASY+jSjM+jckd0TgEUgizgUV8S0o9p5GX+UbgRSCXmqhwHgexDngZMZgiG8CBccBUYsc1gl6ZsdFjr8D16d8CAMbRVjGeG5y5CfTTITORIQWjIL3G4jvoR4j7fqv1d+r4jnSVdi0QbKTwbPKS-GTF1o0j7JsGBJYEfhUj1SVUiBoWwi6kfH1KQT2x3yczjFGT6lAyRCjfSV0icqayDWsb1jyfmTVUyf+NzoXuFEwifIMyeFC0LhX8cmX7S9seDCHSa9DlZO9D5QYbkkaXt4OaWURVQQOSYWJhSeYY3TS9nIcFCWfCQIa6iRnlOijwcUTWwSbgrQT4CFYdhS4UYwzHQWNjhKS6D1YW6DxaRrcPvufC1CcMzVCUUT20eMysKbxTQXBGCWJgWDLietjApiKCe7kmDvwSQzkUTSjswW7F2wTzF8wV2DTmesilzhczGzJbjGrj+DTwesy6wad04GXgz5aR6Ck4m2CJNh2DjmS8zMMWczaflvtZoc0yJSfPkL6Q7Txwcm5n-NOD8PgsTICkAyyxHECEicQzBdqeDyGd7dBmWPD4aRPC20cGD6eonSGPoUD6SkidbwbWiygfut-mch1AWXLTmwQQzhGUQz40TczCGcSyDtpDsL4VszoiZSz87CUSGGUcD0CsJ8zeqJ8N0ZVIZgVLiskb-CiEWIlA+oAj6vqqzBGbiiTgWoRMGeIyQ+r0TL0UBQZGRMc+iagjTWQxCpGWIwRif4YmbOMZCtLazMISQjw6WxSV7J8DzGf8DZIaJDPWeJDLGWvSgMfRVTGXJCYmahjc+ocllIXudVIdkN1ybGz1IaQz9jhe9+KpYiTjtaSwQfYyX5o4yZTEuj1GZdjayW-Fvaj4iH8Xmy3Gais4flpTAzs1jXidW5Q2TEN2MVcc+KhRjIoSRjq2TOA+MXyT5LsRiOgq2zK8J8cXkgazEWfIiEVBAJU9tAUModiSsobWyksXywuSdkAHMU7Q+SdKSBBjZiJPBVC0keIJqoVUTGQocCY6Gpih5iKYhDA0ylsWUjOqSBUmZHx4W6IYz0PHFjqkVWVcMUBozSQVjs6h+TG3i1ia8O0iY4Z0jOsUk4Sfj1iP2YtCnTguSFSmVF0Zg2SzTlVTXJnjMDAdNj4ybNjEySPTyvhdiayaWz5mTdiyKVtC8yU9CamXsiG1DBijkT+gTkZF82mV9iAiD9iDTl1TEcrKAMYQ8iAKRh8cYcBSzLkqz3kYhTXKJVSoKfKzAUbBTlEVNNoKWLjXLrTDs9qwzTfv+ylKfsyUUUH9oUTpco4bMyJUY8UjcYej+mZJzAJuRSSaUQS7rjxSh6brjTcRLDBKdxTeHjMya9gOypOcrDGKUSjqKRrClOVrDdORH93ccmkEWUezY-o5SKOY8CzYQ88+UcAIBUdaQhUV0zdKapSHYZRSyaQqi-OeKi4WnKiPJipTiaRWyDrpa1i2UWJ6-pvT6UVH9GadM8rKR392CQs8iOdrUeCdzTrPix0LUcS8BadajRCUvNxCUDSUqVSyiBn-EB8KtSC4RLFWWT6iYQH6jxmi9hNCc6g8DGiz+pg74DCVizAGdGjcWcuC40VGzPvqmpbogfCoDtUscgWbocicBC9wfDTYadfCFuVSzRyjSylMfhZOCjFEToiESM6cx8WWZQyIltQz86R4S6GYRCeWUNySCbYSnovyyoGSSzZuZOjtmTESxmfx8RSLwCDmdb1l0foy2GW9zUIUJzmTrqyeIVhCB+jhDUKmKTBDEATjcYgjOiaIydueDyj0bejjWd0yh7MIykEeayVVppykeSJhMEW0NsEYH8PwYVR8EdIynWYVQtGW8xCeSCpeIaa8p6e80-cTF1-6amItjovTfWVQiJIYCCViX+jqKrMSTCfpwSIfwzFIbNTmWQaS9EXGy4cfGzEEjck9ITLMeEZINReZ8I6TBtjOrF8NrujaTEZA4yUUhZDxxC4yS2TZDPEXZCoPB-jrIWo0y2Q1jKaQWpPSTximFFqS7FPcSvmuxVxBn+CrERyT+EU8dMvmDiKCmIjwIOIjK7CiTGMQ-luORJjx2auzwkTikp2QpDGSXuypPDySF2T9z7fmVCA+XZi52RHy3LJwyr2VxYb2dEybia6zGLFZQn2WqNIsVpjWkakz2Tukzv2f1tf2WyCROf0jBTtWTirhM8RsTCyNkR8ygfDGTy4DBzloAmTzocmS-pvkzc9i6SafvXy4WSyCpka4CHsVogcOQ1JoYV2Tjke9jMuecjSXtaQyOdcjNfjHBfyTV9WVOyjb5gxyjfkxz2SSxyTEekMl2XxyxMb7z4KbxzOObLjkKc79QUR9zhOX0jsacriHdoZzvfptTTOSY1tcTqyJOQZybcQPy3YfSEHcQjz4TFpz6MSVdrObLDlmU7ijOUzsOKVFy9qepz9Oa9zpmXALsyRVpgBWziK7reS+7kizBsibCUaf7i0aXJTg8QpTrYaJycaXwwKaYlyIJNHipUcfiZOaFyE8eTSqBTKjwWgZTkaUZTaabtJ6aXniz7ilzUXmlynqdHD2acwYYPtlz34blzJwS-dOcZ91fqWqDYDIfT9nkgTIiRtydad5S4jvVycGaXDa8a4UA0efo2ucGiOuVODw0dYdVidiy+uYcI8WeAlEiQmjJ1mIUnIol1xChXF00Sgl1mQGtwBgUSKWYtzxWdSz8gReDlqpISQDtFMuCr3CPFpE4tuZG9oeY+d7osoSRWYUSHubsyruYNz91o3c1pCI9QmJ5TsqrELpueliIietyXBW2igwe4KnudwZB6XczTeq-C5WZ1TihV-Co+fMD0edwyAeUH0gEcDztWd6CYEbEZ9WTjyIeeoYRsJRDSecjz4eQ3TEeX9zvMPjybWa+jJie+jWeVRVqEWYzA2eXB2Qg7yyeIzywYCBjAvlX0+Gem4NidzQDLHhz9ifBjJLEcSydBbztWGcS+2VXxdhT2z2Mgljw6fiTCklwiJeV2ybmO8djBjING2U8S7hQ8c15OcS+SUiS-Kr0kT4X8SJ3GCTriQRjOMVCTUGaRj22SpcK8W0KEod7iRMRFV0SWOylGWHyohsHyxPPikkRT1xXIiSS0RROy8TpKzj2YXEZaDOjRcmScDMQmzQ+TiKFMfOzE+VfzteTHy4hvlCE+Wr4aRb9ChhcKTZ2QAS+ug5zKheUoFSY5yvlIEyVUsEyAaJ4CmLuNUqhaMLYsTpw0+RcLuebPAdSb4MmPMqctqbIFssdnNssaaS4mSNDEmbnzkmfMQ7GY4iVeTP01eUmoNechytefb9y2cbyYPKbyAyX+ypoYT8MmbbjS+dkzy+bfzlkYUJhsVlY+znLy4wVmTjOeC9myXTNdsX344ya3y4Oe3zEOVWTBsaTEVsRtM6+e8z++TmTB+Y9CpTj+h+oAdiC5nug5iWWS2URTxDEEhzvGfmzSmUIi0LmI8Gfpac1aqPyoYbyoJ+QRyp+e59EYf2TLkZ0yhyZHMV1OxJnrP145SV0ypyZxdwceLdIcQY4yiZ6ijssLyxxVeClLluTkcaNkRfj9kDyQTQjye2FpoKeSCaBzZmSrcAOosTjPgNeTUBWZTg6XTCN9LeE6cT5zXydXVtRRcToWYsy+5q6SqOQZchVGvyZ7qTdG2Fuz5isasLfsyLWbgzclEY5dQKchCyYY79dUhfyPLuwN9+YriumXfzgTo9d+KZMjv+fNMX+fJzuMSbjXmbuLnPnHjZOb-yIJbqDFOYhLNkeO1n+Xpy5YR-zUeaCL5FpAKrRQ0ozOcxSiJX0Kf3p-z27vhKbOVeKUBfMIMDE6Sb5m801qTPTUaWwhbKbf1MaapcnOYTTcacFzYJRXoKBRpT6BWhKaBYFyIuaQKowb7Cmuk1SweJ-S06V7Tc8WzjyERZSw4alyWaSXj0aXZTVJrkzYBSOLDSSgS3KWpzG8SkLIZrVyRxblR28UNTBqc+C85Jt0+8bfTHRYO0quTtSchlvEnJX6VmJGR19HuwSoIjGzPdqlT1CulS20Yx0ZrGvjZLhR4sRM+cpLIVTT2ttABOsTTcussh8uui9-JTVSWsjfj6qbmFp6X0opwCpKQ6d-S38dE92qfz5eOVgL1qcdTkno0KlvuXDFSofCa4r5LmyipyjqXATRulDy+lFDTs5v2j3KQjSSCRUtOpTgTNqeBYVRTtTzJdALLJQdTCpd+YupcRKfKVGUNen-Ep8kCzUnLN0SSpZTuBSzS18WzTeyYIKZAfySCYV9S+aanDCuSISM4RFiLxYRKMjnYxfBVoUnYgEK-VtZLsJWKJwhfILshWDS5uaUUo+FXC-uDoSlQa6564bTzvgU7SUcDEDZKSAzd4d8ysDq9KrBaDSU8nK9-YPYKVeusznNlGUZaevDsgUdy8gZVM+uiPlS0fy0zos9KZCekCC2XzzI2R3DMhcO1vpdOip4egjTufEL2PNyIkhbk9+yvFVwEdkTd4uOim0VESohWKyTwbSV50VKyVcRUT3uVvz0KWxjFWb+LSYZujhjjwzsIfUKBGStzLWUQi9vmgDT0VzLceWIYUeZhKvhYayoRPrLSUdUL2QTuzhxZczzKfsYaeYYT2eaTpDsNYyoWEsSWebbKFibMLlham4tiZBi6pJsK9iael83KcLSqhmJcSasCjhX8Kvjo30zhVDKyQcIN62Q8SbeURjKMVRcwRe8SO2XxZk5YpdSMZElQSVCLBwf5Vfhcxjc5dUdwSQ2zTBnpUFOSCd-EmnKIRZvpK5ciSYRaiTFEbb90oYiKKRdJiURWDpSSctwiSbFIARd3LZlOSS8RZbLv-ISLdMTSS92hdsyRTlJ2RfVJqxbyTuRaRiRSQyKWSQvKXxYGKLZQST5MbswD2TkwjYUnyLqosNefjIReRcZkQmSKKkmZE1xRfNKU+VKKkEQcK53EcE7hppQ0sWELTJaqKP5VWENRYXBwuA0imcTqLdgZMp9RbaTDReZCnGXORTRYWKUOQEiXyKpzSUlWyvSQXz+Tp+yOsX0pipt8My+TfzsYYWlToWGSmaBGT4xcKDExflSGQVUyQxf3I2+fvSO+QWLrpumTIycWD0OXdjpkSX4MxTuSSySmMb8mdjqEDQrPLj3z6zkrMymUAKmFUPy2yfDIOya9jJ+T2Tp+WOSmxd9jwMbhdB-vuEkwjz9gcUQLexZ8TjaVLzr3jF0-BMdyY5EOKk3iFLxxWuTPdpuSYNNOLMxWNl0cfOLVaSzgccX8AfiGeS1xSr9rgqr9AcrXM7OYvzAdNTi+2LTjj5djTCmOt4XWP-LbpVrcy1teKl+ejC7xajk+RUYdecRvy8YVLLPufTcIKWxyeORxyd+T7yfxexyyhZkq3LvTl15T5clcZMylBXrjoyf5yGUYRSqJe0TqUfHd7oSFzKKZRKqrjhKbJSRKdOfjTDcVcywBXnKEwZ1cKlbrCCJaAKWKVmDdxTtcGBY7C99vrCq5IbDcxT7ib5URdDLjJSLYZw9+JZCLAKcpSiaXJLZNgTTnYUFzIueRKusTJLNlZJKKKS7jqaenjrhEX52BRpLk+fm1tJbtKByJBgz2L81y8XXKecRpzW8RliHpYu1BpbNLxqZLTlNqpDzsv5SrCfh0e8RPjMOm5Li+a3jHJZFT6Skdkx2vDK4qX48p8YFKgusFLVyfPi0qV30GOoRJsqcT9gZTY9SBUlKwMuSB6oLwLsQOlLxMN48spf50ZoblK6qTmEOgBV1YuX2kWqeVL9sHryOqX+Lv8cwKNRItKQeVVNvvBFSDMTBEEVY2UrJYdTKkYtLNZfeCZ8blUBpRZKVqZgSE-rVKBVfaj35VNKlqTSTYqV5SsCT1SBVadSoIudSnCutK5aZtKHbhd0uBawTHlelyu-odLOaUIKPqSILrHgITLUZdK-qcVyVSXaigacTK-BVXMoymUUKZQCr67BOiBZRWiYaX9KL2DVKuJTgKeJfpK+JQQLQ8UQLfOfsqyBfBJxJXQKYJdQLUWmFziBe2oTlapyFJVyqNkPFzaHnpsOBVd4maUW1rKRSqDUQ6q2mU6rVnonDeafcj+aWP8iuddK9nqVyxaegz3+XVy9ueyymweCAWwdGqlaRy8Vaav91aX35NaSzgJgIIgcnkWFsIj21NFUf9W0QbSouiiUraX9sr-h6x7afJ8ZIT5NhjCrY-RL0h7scrho6OGhqMMnRvaQPJ36eerw0MZQm9O-ggZd4rSpZuEwATDK06fO8MBecpaORnwE6Z4KweSojWNm4MprhHSXTLKqwibtzs6aoKcZTQyCAWnNwGPQCSAT8MyAbkSKAWpzK6YGtbqQkpi6VMkvJsFUW1qwDKAdhq87tuDv1WPSF0cW8BAR8lJAWLKz0VW843l3T1ktZIYqqtyWIZpKbZSqkwZUWJ56T18fWdMKh4PxrBvhEknZUIk32jLZt6RODDmZIxjAYwEZBUfcoYMAqS6GfTZlciyD1eGoH-tIjiDA+qCEDQZr1ZGRb1co571dMiL1dIKUfIZqT5Oai64V1yIgRMKVaDiyTBQNzzCW6DwGfYxIGcPCs6d+Qc6Y2CN4Ygy9FQJBGhaRDWCjkNghft9Qhd7cVBS4T4NYdyHogrKd4XEKz4T8ymZQKylRW05sGTFrzbv5raGcMDh5Z8kc2SULF5UYNZZTkqeVegiGieIlAeSrKtWWrLuhZDyqZYgSelTei8edayzDEZyJjsoz-oU0LJMbUZrgdHS8scC57gfC5ieYVodGS-K0XB+K1SVA8FhSX16eaoDZtSYyzefmJxNZYlQQdCdwQXaSXEY6Tc2WaKDeZTKCZZ4zWVd3yfGTqkRrKoqT5QKLrqkKKsGBfKAFe7kFeYpKeqf1D75Z3LhhI+ziwCErPhZ6ZusZgqfSQ6LoVVsisme+ysFesrK+dGK0yfvSimc7MSmfQq7oeEqMOa2TnoUKR-mrKCxKR9C1SgizpFXiCpBWLhgIhXy-+a+htQX0y+KTNzR4ZGqRmTsylufwDLQbmCnmZ2DJSchLB3gIqSxZtDX+T1rQtQfEABc-thKKk4yWfNyGZbET74XlESlWnEm4gzqm-mUq4dWBzymd1Ew7oKy6SYETudSzj7mfXFHmenEJdfaCmdb3yExb0qhjF8zvbilrldSvlPGplrsZdlrcZfFq9mYTqCrl9FxdZCzGdZeLdRizrOLqWKRxDMr0dbtrBJVoTfhLoKx4voLuuYYLPgk5qdjqYKUEuYK+Wa-ovNbuDydb9LKddELqdTyRgtYALOdS1LwtVrKV4WbqqGXnT8GSCzuWaAy4ZYSzUtddyFdaSyKdfdyhZfYTDevlqsRZUSptZ-DIsOujT2WbK1WQAjnyjVr90XVqOtQ18oNXNT6tR0KFDMeh1ZYMTOhXRDu9aqzWRTRhx9aH17WeOFh9VujJ1BTyRhfMqlhnbLJhb19FtTYz-WWJrN9TJD5tfsK3tQUwPjI1qxGbPDBeSYrjFUUC9haYi15qadNFRDgjIetqt3ptrQFc4iHSery2JbwrTtcqZEQU9qWBe4jzRYbzL0nAq1hggrltX+J0+bKLRNeby-IZ4kk5ncKoocuy3iU7zBEX2LviVnLo5RHTA+pHKYefnL80rCKQFN+KmbnYi25bHycSQ-LlfOSKyDWNwqRUyKklbZC6RYSTCUoyLlZIUrIOUKScYMvKCkWKSI7FyKD5cLwuoemRL2RKKnpFEzXtZAaoEeVgPtW2zzxd9rylN6SgyQDq0FfiiFDWkyCdVyCIddXzVoV6LYzj6KiGn6KffrmTWyaGL+XOGKqFZGKwLkqcv9UWLpdZmTGyZkzkxaDCsOQWSqxeIqx-N2T3utjqZBR0yoSK2L2cVEr7kf+TP9WRBHxXziybvXqyYa-MIjTBTD+dkr0lbkq49khSgFiCjgJYGdQJTiFilVCiiJf6LG+f0qsQvBKulfXKH+Z+SBYXkaf+YMqxOW0r+1Wjz2lQxKQBZUa6lbUq3+aMqyJemq4JRUabdY0saJcpi6JUgKOlZMrbOThonmgu937DGqjGVK0llc8r5KYKjFKQTrU1VsrfMTsq-WlmqIOVJLc1bQK9lQsbJdcWrKpXX9A4eWrfMQzSpnqfjFeTwLWaZIkvDVS1numajW1eIL21ds9O1ULScdT2rBWhOLdmZVyLns9EQ1RlqAtebrGudXN-UbYxWuU8h8yn7qwgXZqG4aRUj1c3DgGYVwC9XXc7YiNykYk21SdsjFJuduDo9WTq+deXrRWW4LhZctygNUnSz9cO1Rbm0lGWaES+9eUDV4XBqLdQhquWQMLmZQLzzuQCbLufnqS9elqhWZsz6ZaMyYhXOjnuYULGjaujZWcVqhTa-Cm9eVquGcQiqtXULNWZ3rCTbSzmtRIy9WT1KoDbqLdZT0Khif0Tp9UazNTRaz+9dfYsedRqKtXNRJ9djzcDdRDREqNqcdPqaxEjQQ0jMvqqeVJTd9V+iHZc0pxhUGzwDaZBVtfbLwzL5CJDXiTS5QnLrjknMU2W8LQTigaPiW6c8zCIiYzbxdMDTnL-iYqafMfPkCDf5J4RfdJUfmoiZRZIaVAZfIKphSb+eW-Lz9ZfqheQjiFquoqozeCZJefbzXTdiRbESoj7EemyDRZmzVeeAqMcJAqTtTYbOer-qS1Zrz9tTAr5jCAaosTaKtftQaelIfrTiTPL0RcyT0kZuzojZ6aqTu3KdaCwaEkXLKv8XZlN5Vwad5S1DB2cG0pSehCuNbfKe9RQaYHD-L8sZ9rZDeJU32f1l7RUyD3JeiVnRSDqfSeob3RborhkbXy3mUQq9dSQrKmZacTDWrSzDfNiLDY6dszlArADahyoyYwqm+Rv5sOe2SXse4bJFZ4aGxZzSSOXPz5FcxLIldr9olavzYlSEaTLgkrXkfQbteVZd3xURb7fjMsiDZLi1zQKSYjQBKMVEBKRTWnVMjazDH+XssGJdzCDZXzDoJQSqGlZUqYBXdKajdUaqjaMr8UVALOlQ-thlTIyIBcgL2dd2CxYQgKcjfITRJUVMhKShKIlXgaMBaMbJKdgLFlbgL+UdMavObMaAlTHitjRiiNjbJLC1VAK81fMbLLQcqkBecqvGbNAy1RDdEXjcrkXtaqHqbaq61Xy5+BX+EilH39hBS2rCVW6qCuR2qrpU8bFNaLS5BetzSTczsoJek9otX8bwQE1yvGi1zA0doKT4CGjCVbZrh-JCaieNCa2CDHLceklrC9Zx0SdojKr4cjLa4uBq0jo4LztozFuTVTq8hRfEu9Ssy-VajZ-BeTLHCunq5VcuSw1ZELXBbkL8TWyaSrd7cEhetJ2ZUiq+Ds0KugZiaMhdDS49RXq8TVXr6GaLL8ReUT2GcKa2DZoDStfEaJTS3rt0bV8o8LKbWia1bzTS1qRGSfrItTUqBhRqbR9fAj59cbLehabLbrSaa2tVPqJiSvrhvnTzg2YJr3TTMKlhb6aA2f9bhNYDbAFGBjByfaofZcoQ-ZePyA5QcSN3gyTtjtma8SdCZjhepUg5QuairfezURX6agRcGaAoQgauxA8LwzSYM4DYTbM5S2ykDfmIPhcRSm5VgaxeDgbJOYGbreZCSK5S0q2MaTanheXKTKjRSjYambclKlCMSb1qxzQUjQ5RcdsRaLaSaMST+5ZLb6RUPK1rSPL9um1KMomPjJ5UrqkbSHLZ5bQbWDfOa5hdMopbcubV5ZHztrebKmIVvKySduaikbua9+QeazUrql-FVGRT5Tdre1N2rVSe6zImS9q5DCeaSzjRx3UhNr9SUWbtqWqLjSZoKUcJnzoiBeaLSS+zuMSVjRTC-qWzUaK2zbKYvdZ2boFaEi3SVFz4FSObgdTeb-tXebAdTvjHzXnagyS+bAObtZPRfVZmdd1rBFeUrHDcGL8wC3zTDXHA5sbchqFVGKrpq1NYxS+Vixa7r9cUYapsftjfMIdirVBwrXemh81-jwqQJXwrvRecziFSXyB7dBzKxXBathe2MyLPDCe-o2KAInIrIbXGFFFQDjOxR65-GT2KzEZWb+xW4NBxS6wGNcMlRxaWaL9ROKzFfgxtyeTYvsnuSxfrYrjycuLHFauKlfkTiECluL3FTXN1fp4reVZeFo5g+SDDk+T5+imrTxcErLzbhSDYWfMAjeIKgjana4lfRyBiCBSytfLKD+VEayLZ+LxcULbGLafy6LY7MUjcQ6MjeBLRde9LxOWpbrORxaEEa0rBTYsyOpXZbglE0rKXkUb4BYJaRLTJaEJQgLujexZtrq0b5JeJaDdQI6RlbhKlLTmq+LagZBjUlz0BS6ItLV9bpKXpaPOQZbkwN5yw8ZQLs1eMqAuTpSTLbZa2jTG8DHTo7VjacqXauQ8aaWGFH1QZqZNK+rlLSHDrZURQdpTarUHihBeJXO9XlQ5T2JdnDPlZqraSdNLlqWNT7Jd8bfKcdkQVV6iYluCroCXggX-ughC7YfVT4inkyZX3C0gbFE6VQlS0VfNTZ8W8aYnT6VIuggkV8ejwYpSdU4pYJsi7U34SVcVScoEfjdHaGkTjbe1I4WKjL8TlL7ZnlKmVXJ1GqS5060rY7X6VZqg8PEE2qdY6qpfKyxjQtKxpYKrCZSo9PJX50WimUV0nX51OJaIaZVa0Lvru5r1bWpDgnbFSRpdKrJnRqr8CVqqtnTqqprQ15lnRM7-8RT0+pSarT4maq8ARarzvlarGnRHDaVRlzkLY2rjpS5izpW2qLpWFbPVV2rbUdhQJCd8qSZSOq5NkGrHCmE7PpVkLx4XDTJ0RoT0rSCbEemCaQZRCbeNY7SsrbPFOeQvFYZYbqkVeVaFaZVboEvkUw3uyaywa4NnCebqDubnqt4Unqzrd4KQXf6r0JvM6jFkEKuyGs6whbTL8ibC6FuUNaVrSdz4TQrrxrWzK3bhzKPdjrKBXWS747qGr+ZQNachUSLjEQ-CeBHMyG9X+VSheVryhY3rGLZKbW9Tui6vqsC5TYdqCgUmaeiceiVTTmbAFZKbkEV0LtTU9bdTUtLmje0KzbeMSrSSIbuNddV0XUzz99Y7LnTWsT9bXlBVtR7LwvoAD0LUaRtib3Ka+nDbCsYHKo5cHLjiROaeeeHKi5YmbDiZgbxbT5C-jpwjybdwiibd2zqbW2ya5Ze90DcTbqMb2yI5f2yTXQLaNFOja4ofVsWbeBwebQJiTXfiTwRVxibrcMaUzfTaslcQaGzaQb5bR3L-TW4l63LPKZbXW6khobbRBBSSR8jpjYiWran+vSS43WTptbSubnecVCEKUDaV2f26jbbObWSabaDgebatzaAxd5U6Q+DfOarho7bgsVdr0eC7bcQZFaiJh7bEnmIbvbQm65Rcljn5SyJX5XXdg7Z-KQ7e9hv5b3RzzTIbo7ZfK6KUAqleeKZX9ZVjjRc4zgjWkaZ7b85gDVnbQDTnaekUgr+bigqDSIk70FQ067Rc+a3ReXahsfgqPzc7qa7azq67YGKRzg3aOgv+bLbAdDzDW7YUybgqCmZ-Ze7Z8TZdYjrB7TUyD-HerpQdmLvZOWTvcZWTLDV3zrDenbCFb2DeHcIqUxRKCj0K4b4LXqcPDUGpLjdF9mxb4bUYW2KVwsorQ4Be66Ofz9WOsmy7eVRkmOngraAVDjlyUYq77cLz74cNkLFTuSrFXOKv0IeS2wpRhccd-aS5pL8f-J57ebO4rgHUMb9xYJzDxXvKJySeLnwmeLgPfdrDBqziEWRw1bxYEb7xbhaRwfhbMHYxzqLcqyYjXg7UvcxzEjVxy4jZlt13a+LM9gJzUKXu7Qdbp6BLUULSlXJamJf0a5OYUaObaTqSjUxE6jViietcbrLXWbiavRhLqHQ16uHYgLZWCI7tlWI7zOSSjHluitOvdod5HYg6O3Uo6QIuM6iKtxLHnvpb8BTMbCBXMbDHfU6LHeQKC-hJKNvUWrrLet7zHUWqmBd1T-9RUF2VbxakuYea7lTqiHle46OHi8r7KUZLyvctKAnZs768Sc6SCXqqaHZ8q7JX5TF2oFTnJcFTg3aFT6VYXCRVYrrPduKqfSpKrspairJXEFLizfSz8nYvjResvisqTorTlsFb4urCiCqQiSC0DU6YkGlLGnYViEhPtLEaiV1GVbJ0a4Sd7EnYe9QwkM6KpSM6T2eVq5vTaIBVQ1Ll9pM4LtmKrgVoirPvWc79VWqqxpb3rCzZWF+pT8qlVSE6VVTASDVfs75qa9668ZfD0Cac63pTL6hfZc6jVXJtVpWUdqXeoUtpclznnXqj9pRcb3nVlzPndNNvnXcbfnQ8bwrQvNhaWEygXb6q-CUy7OrX3Dg1aUq+pf1buTUMzDtgi6qSKz7PmiPd3OYxJPOZo6jLdgqQXsJK01aI7zLccrdvVZbY-VH7TLZC9jvX-rafQKB9jS5aspfXNjjZ49TjXtKTlQdLlPXlTArTcbgrd9TGuJIKWWggR7fY-YfVb2r6WUOdNfUXDfjdnr4GXFrctYrT2Xu5AV-lUNp1Y3bZ1fgh51TyAqlCzgk7MurqaKurTaRlSN1UU6t1eLMlXlng91UZl+-ZnASoNpr4cPfSzNYP4eEH9gBnQ47ZNbA4TNSwkyFXlyw+HBoIHBkz-PS6YP1Xoy24d+rVGXEy0HbACv6VM7xSUz0U6YpQ06SL7qZWfCYGcUch1TlrENcPTm7KhrE3uQDm6RXSXNgPDOASAH8NXXTCNU8wm6QA9SNdAGq6RRr31VRrr7VhKPYiPY6NVgH1rVxCp7Mxr6NZylpAQFaqjVd7V9e7KV6QtVvrc85aA2schNXPSV6d3aBTQrVR3jD8kHPfY3bWCZn7CprAcNYDPdQ+L3nppr6EM7ST1XfS1bEPy7fLv6agPv7DAV-9MxT-9z1Tv7aqPIH7HSi79vKDK7Zev7jBaHqXNfiyEgbXjv1J5r0hRQzYNVlrdfZyzYli1b5TRxrCTqsyDtQWbf-RYGs9ftyc9cCzaXdzLGTYXreygmzuPlK6QblLTqTVYHPAzYHvA6tb+TZpiwlaKayEuq6cHZq6-yuKacHTq7DrcsD9XS0T7BMnroEcab50By76vRdanKKaajTVa6utXoa3WX26dZDUhH-WeahtUKxNGbPrw+i8DUsZNr8HdNrqeTxq19d6yGecwGfrVjbqA0HrbGeB7gUpB77SdB6IFbB6-MfB6pwB4yHIUpLXGeBaAsVe7nyWp4Vg7ZQb3eFjeAyQadBEdSvbeLNB3Q4RpDVSDwvaEr2vSkzcPYoaC7b1KVOaobC+WXbQLbQqodbBiYdddDPzRJ6pHRUyyfqf78yWmLamRRg3ofza8Rl4rRBUait7RaIfDfaciBQbLidQtcevTdzY9XdzcTXy6EcYpjOjcRF2YvTqHdZLqqvSR6Kg3HhAYUh8NrfLqh6anqOCm16hbtZEy9YtbkQwq7hdZJE6dRrrsQ1rqnddXb8Q0bN2PbJaMAeWCNbfJbaHS-Scwerr7dchc2HRV6ddV+agYRmrhvclrI9XyHyXVE76wVS7wg2C689TjFadUKGv6JI6yjcKcTTjLr2KRhaNLTN61vSizjjDJra4WGidA1iy9A5DLsXcVbXNTKGi9WjLKCSPDsTTSHBZctaEcW-7jXZeCnAz1boNX-7B1X5rLdZ360hUYGLCf4Hi9XNb9Qbdzw1fK7GZfkKJuCq6StZLLMvdvyZWWKbtXQdaV+bwygearL7A49blTVdaM+f0LuZXdbB9Q9b9Tda6x9c27geSUHsA4bLTXWxCmgxxCCw-9yXWaqbzg846FlV0GeuT0GFtX0GLGS7LAMSDaAGX2GD9YcHGeFoiXA01qBebfb77fOGr9ZrbnxKfbfRUDZqzamzjIU2aQFYnawFdmzoHTHtbIXMGi2QsG+ze-NgPoh7RQ4icUPVXKqJD7b63Wt513hTbm2S8T83ZFxC3UnLnw-cLS3XlBabXzbZlVW62TEQ6MzVUHt5Y1wfbdEjpzdyTjbdSL2g0vLl3dBG6DamHpZRvKD3eyKeDYez95We7d3saYL2bRgqA9YNNSS+6pDZqK-5fA6HTcXbY5rebOTlMcyxRgqXRaV73lTgrQyVobgOTGCFGauHwOTj7SFX+aKFYBa27cBbbCq+b9eWeH3gwsyUJSpzJsUvbYLWIr5PeBl0KPvokLbHDiObIrSOehbovcvyRjjhanvdb9V6eEbYI5Ebqbtg71zSQ7R2abaHfvkqtinrbKHZCiWLY17k-ZzCtcfw6eHZV7tdfPbbbjI6BlfxahlYUHijb17FLbRG1jbI6WvbiGXI7kGyUeN6vIw0bgg7czmHaMq6UTH63cUxL7OefTMBdpaxhbpb41XgKMaUmqsaRH6NlUn6jHTH6jlQVH4-ZeHSaaY6dvYd6oBan7ezXFzM-cfcjjU868-bM8vLecbGQUpGzfRQHm1WX68uSFaxbVX7-qSVyorQh1xaRVzwBp5LO4RUtm-YlaAA8laWTalbEaaY6xA03Cf6UP4K-J67jjNaGYTf1yzCWGGz9YibBNlUVxnuNz2peGUnQw669cbzqn+kiH3QyiHjEV6GvBV+7HYpHdOPj-6Zw24HW-R4H2-TS6kGbgjZrfaGg7Zx0Lucm9QwxmjANtSGbo4Na6QyLLog0mG4g5FgEg8ZHqid9z+DeqbcrErLqtSdbsg-S6fI0bLCw0yzXA7jHGwxej7XZxa8gy1H1hYI6WIWjGObovqUcoQGrZTTHnXQTzbXU2HpLA6zrTazG2w41R7TZ9bHTTpaew0MHvXW6a3ZULGhw1YzfXT6bObZm6UbUO6ZYxCTnhSGbDPWGbq5RGb05dGb3eZrHOavGbfwwOyuRQBGR2embW5flUQ2ROG9juGzzXdrLemXOGSzfOHp5bpDyLkrH1w1CY2+vWaUfo9oBA6MGdw2-qJg+2apg1KSZg5nUezbsa9tSJH6sReHjHcEiRbVu6KBERHczRth4Izu615VZGN3ZyTII-HyEI7rb9I1xMb3t7Q0I8e6pCKe7s412GupHfLn3WbHYmXUGs+VHaSfZaTX2RNDLg2kylDcB0Ao1UNG4-cH8PY8HUGTXydDYFEXdWx7NoVJ6nDezAaPZQqgLQx7O+Ux607UsHbDbXaoLYvadkcvaZI6va7MApGlPab6Z+YLTQiS2L1Pf4asLXF6YldpGUlfqlCLUhHklWb9UlaRaz47ZCKLS3Li4yQ6LIyAt749ZHoQ9174rXZHCo4N7HI3V723UhLWQw3zBZno6go1yGwo00bWvR17mvSAmVdX-G8+aRK+HT-H+Q0w7ooz-sIo3I6koyCGG5SMbZvWlHY1RlHFveo7lvYZbVvcZazHVxHNvVKGGOAd6yE3t7E-SQLP44saaoyHHCUM5aGo5WrqfNWq8vmcbjfe1GEYY6rzfTzTy-edKhCR6rcdTX7njcNH1nfILYrWZ0JHjNGIlv8bbBQtH2mh7Dlo5i7QQ6i7crRtHW4FtHCrbaGw9Sr0I9ZYSZCdeDQNlVaSXRibzAzdys0Tibbo9DGCTUa7Ho8VdfCT51QXQGqWXVEs2Xd2aCY+9HmLly6bE1DH4wyNaAY2NbWZRKJJrfz6V3KDGHBXzKIhY1aE9c1aKjrDH6w0wySfd2BMJekb0wxULUY067dXUdbmiZOHatfmHKwwUHf4066qwxWGuY3rLnra2HBhe9azTfXG3XfN6Rw-0GOefQG+NWDabw42w2kxq9S+usLd7Vvhw3dLbdiVG64MeBgEMbWakMTUicbSxo0beW6ThbG6Bg+m72EXjaFYzcL15t4lk5SrHeMe+Gm2cW683QMGEzf8LK3V27dY2O6reQ27rFOzbSk6nHHeWTaGknj6-w8IGkoZJVYjT273Yz+J2RUsm45cO70409iHA8Es+FD8mlzZO6a9WY0Z3U-053RlEF3dYi1UonGN2bu6U49LHN3Uwbt3fCnk48-Ht2ahHfk+hGgvU8nMw4fKQajp7aUgMMdVEqTQmXX7kPB0G+oanzxDbLH9ktxd33XqSQPXGllRXNHf3T+60rd2pBtdXGgPbXGY7e2647cW5twwMQs2dCCMQQzlv9a6SCRkObtfGAbbRX9qrg9RH3WBxS7g8gqAOV3GkUZXaSrKJG0Oazih41R764KPG+I0mSBI4EshI2T42AyGhWPZWb2PfqnMOamLHsdx7j-VmLjsfx7ZlUJ6QLRWdRPTPHxPWJGpHa3HvgxWLpI4Ck3DQp7ELevGOo5vHHjdvG1PXvbzDgfaxyeupgvSDiVw-oa9RGBqATJfb5HErbiNclTLPXfbrPVJpn7Z9llsW-aMcQuLnPfYrJfvjjnFX-a60x1EdxZ8H1LcJcfFVHg-FRdqAlbA63RqcHPhQ40KcRgmfycg6-yfF6j4xfGT4-ziMUwV7L418jEU5TccvW8m8vSfy8lUV6ClbOmilVQ6sjQpbDDRd78jVUrmldcnvvbFHPg6w7I44SiuvcRSXrcJSA02JamKfunEE4enHXQAnsPeQn2jZFH0QwCmkE1LraUfAmKOYpaGaYo7xKZ9wA-a5zk-qYSlvdlGVvcmrjQ5VHqEzenio3QnSo6en+vbQmC1Yhn5JYwmmfe06pVHIHd4Ff71JTn7blYWTDfbWqZwJ46tJYZLmLdFbv3Yr7hmcr6Ik036cnVuCInf96iTn5Le8SFSoVb1KxnKCATipgkWoryUkMpO1dHnD7ywgY8MVSLywpYskcVVF10fZY8TlbFLe0RU6UmlU68fc48E5SVSifc1HUk806AxdVTQfR7IOnVT6EuY5bsraWMPspf6b1a1TGfRcrnVZ1SA-VNSRuhyLW8I4mBqTxnj4nxmHJf5TbIkJnBffyrhfSUnbJQqqJfTNLlVeuBznRCJ1VfL7DnYE7tVckLQs1961fX5mNfYxmaCaarYtebl9fbn6APO38C-Rt6i-RvH-LRvjS-XwTbjYISeGANGvVSLT6-a8bgaS76sEi9KsAUJblpX4m3QxGq49X77JUctGD-eaG9CZBl7NV6IdE1Y49E4YGzBQSyyrcYnmpTYKUZZvthLlGHvbpjKWikqHvo14Hfoz5Acg1pjnE8rRXE8y6-pR4m909hMiwx2HKQzK7Ykzy7BdY9ygk3tGz4cK6wk6K6VfRK7YeSfC5s4KzoXXTKzszybE9dXrFbQVrmGe+mcuQkaZZRwysI69aahSCTMYwa7TrUUnKk0giAs8Jayk-rLGHX9G4eaTHL00zH93S66Gkyo7JY+vq-raLG-0UG6kU10nA3R0m4nX0md4xBiyczDbhkzWL4bTsKFkxzyvk2GyyqnMmMbfTnAU-LG72bcTcbRzmgzYrGnw3smfibDM7k4+Gc3ZTaXwwcnTk+dbvhfZVDk0zbsjfeHU+PcnATjIzYSZxk23c5HoRfgau3aZHjY2olgU5ic445oCgUxO7fZX3Kzk3LaUUyCnvs9O6qSbHEMifO6yzRBH9c7Ei0Uyba10ypi0487n12WPyEU5OmUIw1D84zuai49fHfucDUHbR2mnbesHGqJsHlSVVnKUw+6uBvsHbQ9MmokW+7-bR+75SLojqM+ynQ7UkQI7fEyIqGRG+YxYCtw8rzvY1B7k7YVqEvdMHJU5hbM7WVHpjnKmKI1V587UqmRSvKn6I3h68o+DrO7ZqmiPb3H56rGC005xG8HuWL7sU3aALS3b4OSw9joXkyp461M6Fb6ndUyw6OPVJGCyU6m36bx7XU8eoBPfmkPU4JGCPaeGzVjqnILbUaF446El4yGnZIyrJFPatBi-e0zVPVCG40z1lnZjHMk092KU07fqwOffqiPnOSMfRXbFydk7ocRZ6Fw3GzC0yTZbPS-bS0+Nly0x-alxa562bIr8PPa4qUC4A6gciA7nOWDkacc3NjxS+TQvXA6e06N68yGjD94yg6R08KinxZngzIyRaZ037mgKYQ7KLSkGkY9l6z+ckb5ce7m2sRunbI5Zy2LdqGKJQUaJLUTGqYxiHvzeqc+CypaOjWTGKQ5UGz8zunyjW+mDZR0VtLtJbUE8FHXI-CGt01ZzVC9F7+lslH1NalGscwt7g-VpJQ-ajq1lWV78owhmqow3mljZH6rC7BmbC-t7SE6PmgE5Y6HLcdq78hwFrlQRnGk9d6OEzlnWo3pKsowZL0KD470HcZL-HdFm3vUr79qf8qPfSwCmM8CqWMyrb8nZHN4nf20uMwnd1udz7kTXQML6jD7MnZTpEqes7cneLTkfSjsMqfnCfFPiqv+a6rsfS4WBLs2MiqRl0NM3hSqVfKgaVZ38UVX6SDM5T7gnvzHTvT8hzvVVVhnTZnuozg77MxtSHo8BqwfdkXhqeH8+fQUXws2z7-M5bGUs0Y9gs9s6kVbs7ImZFnnKZNKYs8c64s1L7kVYlmVnZM7NfStKfcnQTPAw86mCXdSPLczTWo9wn2sWCG+E11HLMT1H1E-lz+oyInq-V1pvVY76xae1bQXfVmurehEoXS1nIY3C71CYtHQHWn7xjUYWwMwQmIM0QmoMyQmYMw0WX02JLtvSsaHC0hmN7vBnUM9YWCS2Q93CyeG6oxqjxC046ss+VT8-c8XC-Sb7I04Vn3qeMXsvpb6ys6P8bff86IrTdLv7mVzG-U1nlBYGHcGRyyVQ94HovcrSUJLYrV-TAhwnEP6JCnOLraRP78ELP70uGurr4WqX5o+f9raQRZbaWNB91c3IV3Bv6xKlv6h+YJBGYFSFjNZvm4eEmMLS3yArS1R9KNaAC7-V+r31bUGAPfUHHDt+r1s-LyXip-67ycgC3o6fqAw5YGls0CyIg56CWJQhy1zARrF6GXSSNVhq0AzhrrNnOEUNSXTF6ERqoaZhroBWRqFzh3Sb-QQGc0w2He6YIDXoKQHiywxjU3myYB7IV5yA0VnKA4Rnuk7PIxwz66Bw3xrGA8sS8c-29WA3fZVsRyHswXvShVDwHAXRWllNSMHZsEIHWJc-7EvQDKyytfTkvm5LnAcI4DU7S5Y-I6WxdRa8-Aao5pPTQxLS1+GbNRaG0XboG-XbonYTQBrcXU4moIqqKzA7zLvNeM1wy2KWcgbksUcL6XAFWSH9s-uNDsxa7jsz8aF1TSbrA+KXVsxdbfA3i7HQ5dmwY1Sb3A4AHgw6Oq+TQUKYg6RT4Y2q6KHZkmtXdknHs2TzahRqyIc9jGoczWGe9bDmhGSDnmY8MKCKxrLyg1ebQkWrwNEgNq1GXHTnYbkArTU3pxtRnmZjMDnDC80nBwzCm8zd6aWERLH2y36z+AxOWPxFtr39SaL-Y8VDA414jdeUwnp4-2aZSSSnk02sGlKx18Y8+SnRRU7cE89Smy4wcG6U4JRjgwkzCC5Tzm8815W81+ybg79rO86XbO416m-ZoUyXgxQw3g3iG57aIWWnWPnmFcjrsGmWhewv+HgQ-CX786haY00-nb+VqDrY-csH05dHDtq6HoS7y67EzTrBQ+CysQyKHSS8gnZ42R6EdVAnIEnPjPy75GEQzFXYw3FXAk2qHEq5tcjmSlWTmf-H+FaR6+7Rgssq31EeQ2DTpC0WtMQw8ykq0yGKq1CzoE2yHXK5KH8-tUqOTRD7oUzAmTdX+XFQ236Iy0BXAtbgHSq2XdyqzqHUq1+mT8wwrhHQaGvcVgnjQ8tGzQy0yjy5omTywTmsesNndo6NneWeBWHCXeWY9QVW5XUVWhdR4KHEzMWry28aMGWsWsGZ9GYK3SbVQz4HBXYNWjdRBXok+DGYw9dXzs7ybEkwhW4YwqyUw0ZGaLRDWUYxxW0c+kGcwx3rIc-dWiTVLm8YxAiXq9Dm5DAjmak2WHKY6jmck3WGGY4xrSw6OFmw88CbTUn0yiCZXfM4iWuK16zhYz+j6a0JWDk3xXWy-lZ9K+bHt7BGyfEy9no2fmnQC6Yqlw5fIKzRxGf85V802RtqM2SKnWzXuGYQRKmuzVegjwwiWjsxs5pKxw1pU0h7hzZ5Dzk81wjs1cLvpqu60Dbm7Bc48dhc0bWNFQLnEDRLma3cynVRJ7zG5d7ydc+EyPk78nGc5oiZ2b8m55aGnVzVDW0vYsm4Uz7n0UyHmWRXUnaKIHnrbcHm-a3UTsI-qRuocIaV9QRGcKpzXK456WeUycG+U3bWSw9ebKI+ZXUFS3GVDWh6OQdCHzU4R7WIxBaVq9V7oLcX4jU1PmIxRPGp7XB7a89VX2Q0fd6lRR63aRfng09Ccfazfnw03fmCszjrIQ6pQ-DeHHOGgfGtIxQWwjc+KOC2Ond+dgGMk1On501Rbo62mGl66wWHVuQ6SvV3mwdX9npWZFWQowAmvgzenavYIWD0xoX7025WgdXIXX0-Ua964zHQo7AnZC4472HeenuC0TH-IwN7FjUN6Bq2KGD6+oW+qyXx4o1-HEo3Q69C3imB7jgm6a3gnjCzopTCwq0BJb46hJfYWsS0WqnYcsbNjfQntjU4XMSz+ajvVY6xi22AWE94Wu7rSWZ8xTGuRuY78s8yXY1NS0BE71GK-W-c-naImAS3HnCuMC7Ro+4KPjUL1zHvEXMAdBW+gWXCNBUCbEXTMh2udKh0WQHr+s2XIDq-YcdozDLRrXzXhuYdHPvi1Fxs+ibzo8IXC4RDHCq8DXPs03g3y7+XZXdInnA9tziw9945E+9WO-XBWGTd9X5Q054Do6FVXo-ETIK1ibro7o2Pswkmvs0knia5BKvuUVqzI4Vqsk3DWckwjXlZVjG8ITjHz60UGGtd4mQy35GzWb0LEcxaa7Xfda9iATXMK1YZjlCMdfGzgGYmy2gia5WXyY48DRpo6ysa6DmeY6Qji87TX3XRp5ug4zX4VMzWvXeLHgbd2WPTf67sbVzmu5fHLWbXznuEaGaSbarHza6gbLa6Ii4drmAPea+Gfw7bWIvfbWakl7zh2WiSgI7rnr9RzWpk103U87zy4m9daOTZ3CQC7bGcq6s2x-Emz3MgM3peTYjzgSs3Ja8-rpa4kBRU9ViZyzXnFaz-rDtfMGencJHj82PXNaw3ns7dHHLcwbmK40zmtbV7Wdbb7W9rYkH2c8inQI-lIV3SM3OrIvX-c9IzD3fuyg85hHi4-hGNScnX1m8WHDK4XnjK+RHc7bnXFUxZWC61ZWnzTZXu8wRNmI0PSe41XbxQx8Gj6xNi6GquWpQLxG66-R7DHJPHqW96mFK0vnT8yvm7U0jru61u9e6-hzLNfWKaG94bH8yPXd42PXYvWQXD41PWCLROmQ6wQ7WOVfHV68hH6C8vWmC9DWH4yunLI3QX2DWqnX45unL64A3UGyfWBC+I6Nc--Wqq1fWEvJAmnI3DnP09pyr06JabCz-W703-WL6y623I5XdtC862j0662AG0SHFRoG34S3+nm05gnNLdgnOKzA3kSyH6NHWYW3ld7qMGxZa0M1-GiS0i1M24sacG3iXLWzYWMM4Q3YoPVGSG4kgyG4siXnV0W+BQ2rOow2W2SwzCOS+6rmG-8WA9Gw2M+Ac6STS9GhS0k7LG4I31BYCa-3aI2IWF6I1E9Y8cretH9qyTmFbueXJ+HY3pXWhFxs33CTEztS0ouYnNG3VbrE61m4w7dX7E4ATUawy7asx1awS277urey7MazTKFrbFW9G143dZaBWhXaEnJROEmrJQ9mkc09nLEy9moSx42mrcNbQa4mHkk+J9Ia+C3mC4DnYa+i2sw5pHEaxE3CqIY2ZC6TX8g5e20a8TGqk6THkm-k2KG2BitG8cCEO6RX2tdU3VVbgnBY2zycc70Gmm4sLmecOG2mwDbekyG7+k48RBkxsLqc4cjthWMnMbQznwIyLxJc4japm503LhQrnd+CLnbhWLmvw6nK1YxxURO9bWOmwzbBHLM2Sw+gLRMbLmK3SXLARasnLk7zajOarngRVcnbW+tXO3U7WjYy7W9cybnkRYC262cbmY46bnMRbLaLO-83UhqCmVmeCnVbRPKHc3ETcoV7mZza7mYI6q3vw7QITO97n55W7mjWwXtNzRHXvMTbaF63baCU+HnlK5drVK+DZ1K3dqzgw9rr5QMXJRcebDc0Zwn5enmmU3J39i2ymOU7nn-3Q8pAPRnXn2VnX-+R7GRK1woxK77GU7QxXnMerXLRYtXfm-nz24ya3m4zRGVU0XW+sZS2NDb3nZAVqmOBrPbYWQ63lfvXb7U6y3MWGPH+Iw3WO7UjNB80O84zXy3K6+JHV84vGuPawriyaPbDbJwqJ7fvmzU4fnQ4582eq6N2LWz+zz883zL8z3Xr82K214wPXJW3yXcdd59fscOT2xUtxD7VA75awTrRa8Pnz7cEMs03ubuQ+JmDmwWnJxeYrBfh9lhfq-aYCzYrV-p-aECzWnf7ZuL-7QgVG04y21q1Tj7ydgXHybgWYHfgXu05nW8uz0a+vTpYSC+PWFW5PWfOZQXSM7PXhioZGQO3q3Mlc7WfOzLjSHchgt67PXXRX12343lXNC7wWb6-wXPyySG-W763g2-63HW9SXX65IX0O3z3dO+d2F7YL2JCwoXee9w7Rewr2TOVL2CKSr2zWz62Ne2Q8I27+ndCwOnkzUaGgM1A33XV81Mo+BnM+qsrU20g3dlRm2SS0VGKowW28Gwn7s29q18S+hmCGyZnqi+uWDy-hnSG02XXHZ5a7vVMamHo97KM2tzs84qqQsycWEs+-G+Hr97mM-aUAfWxmIVQTh0i650VHvY9juqDTw1osWvjcJmsnfD70VYj7QpeUX+dpUWopR19SnV-mn29vjlM9x1VM80WXHrU63Hod72i7chOi3arui-ebei9mEjMyyqKS8pMtoPuXfEgz7OVXJXbMyz6LexFnJnRz6qQwDt6aNszefRKri+zU2F+--jgyzs2fvUFndqVsXhpYnWpi122Di9EXaM7EXQncsWs8IaqUszc61pelm9fZar3LcRmuE4yWeE5vb3iw23PiyVnBEz87hE623Bo4CX2G076XE3VnUnRC6IS3w2Ts19L3sz77iCXWglo0aXusztXesxfdp26N8irfoncCRYTl221nrBbXlpszVa0tfKH21ljKJq0+W8ZXdWD2wqafQyCW-Bae2oB54mla0h3OXde2f2-Em-219XLy4NWbs8+27sxEm32yk3EtZ+3dm9+2ga543uB1EGwa4B3VXWknEY0z20K8kH8U7h3ckxkHjrbhXIm-hXkO7IzYm9OH4mx-XEm2h3ca9jXqkzabCm1RXfC4MGSO+zWma9R3QbZR2BK+R2vWjO3NPisKK+ox2oMZG6ac9G6EbTmcjm5MnOc5cLZk8m6jk6m7eO8nmNm7JiemxcmozPAbJOyW6xO8M3IzWLWra0kOdYzM3ku-B2FOxZJuO-LnVO2XL1O027dB1p22bRp3jk-+Htc4Z2dg8Z3LO6Z2U66woLc9C2rOwkMbOykiva1O6wU7bnsEvbmoU47n3O-53PO0HWgu6z203YHXAu953NW+fH0c0i2wuzLZTe0D3nMVF2w8+drYu-ZQo81dZ61LHmHfaoMqU89qaU+XHGhx7WGUzl2dpL2mAhlEXc8znniu4u8mLDXHyu8T2hHXqLqu+Vixg9tqP9Y82A483XbkUbyWu8h75DT13P+5h60Fd132u+h71U3ZXBu-3m6Wy3Xeq2G33K8a2WyVNja612BW7Sam5u8J758-ZWWPelXaq-PGJu0K3181t3sGnx6d8+6nuFfN2F69JW-oa3Wn7EIrq6wAFhWz0RRW7WLxW1IrB61K2d7eTmFFfGnX8xPT32RHnd6793FQhYjlY0hq6+0Bya+GZ6r2yuTBa1Z7we0-bICyWmi5mWm4e1jj4Cw4rEC+eSXFdqA3FUA7ycV+TQcuA6ce5A68e3Mau0yekie9kOWq2N3-0zeL3sZpGr5tXn1+cl7N+WMP0vQz3F0xkqWC926V64z3-a-q25cYJzt6xS3d64oWYo2lW9U+xa1C6Am5Q+L27RyemEo2-W9Yxk2Je3dEnWwgm9e3L31ewiOA25mOz6+a2cxwmP9ewo8te1xTGJWA2TexF2RA8BnVHdb2US7b2co4g3wi3YXiS972s2673MG7m3sGyhmc2873tlcW2-e5I0vC0H2K2yH37lW47zRh46E1V46o+1wWqM+f2aM78r4swL7Iq9mWgVZfDO8axnTo+xngfZxmuTpz6HJVFSFixv24i-FSii0AWkCaUWUqVX2IpQtza+zUWkxd8XlLsSrW+8lKeoKlK2i8T7MpTW29Mz0WCMn0Xyut07Bi6xlhixJlRi8OOTpfb1Ji3VLuukv3QNVz75i1D78i3NK0u+cWd+0RWb7SYHFqUcW6M5x0di4+69i4uOCu8uPJfbqq1x2cWLndNTnQ-KrUs7c6n+3cXcNURnmo9W2++7W37802rf++yXSsy23uSyw3227sPO22AOtsxAPwXay7KJ0n2xfV774B-zqo1Wy90J5b2g-Ym2TC8m2EG+YXGI22P+xx2Pv632Ove4W3FqyX9He3H6Bxwwnfex4X8wMQ2xxysImo9ln6S1B4Xixh6uCW9S6Gy6ruvH1GfqX8XgBx23J+Bw2+1WE6W-f+Wwg8tnIy4QDJSxOrpS1OrL6QP75S9rThwHrTdDM2UVS-sAp-fK8Z-bK9LaQv7L-kv67aSv7op2v7y2CaWdXtIHdyxMEIuK0WjHGC5LXv4DzSzrMHEOSrRvtwCXS20G3S8gCf1VoloAdXn46a-64O-V5QNcecCywmQsJ1FWjFrAygwx9X5aLG90y3GXmsAmWZzi3T2ATAGaAVNPa6YwDM3rx9Cdq-EoA6ialp+3TU6ZgGC86UGadaHwyy8ugKy3TbkNTWWGkXWWBR1zTBLVQHmyxvY7B402HBywGnB603iOz2XjM1JrnRoo45TPJqD6U92lNSXmpa3hG1NRA2fOflPaEAuXo4UuXXaT8HEAuVOO+9jxR+c6mVA9Miyp4HhkZ1oHJ23-STy+WUzy-I24TbwPUGYY9cqreXXG6GWfNQBXlQ8+XgK0YBepwKXQpc9Xvy1bHj9iKXZacOqC6QlqP21dm-A7yGeB89nBq-23RS1zPqBwmGFlODWkgwoPUK2B2MwxhX321hWwczKatB7B2om-L2lTRjXWZ6YOCm2HX6wzNa1CJRWaa6QIrgSoy6K0-6Gu2S0mK+TWJjDDqXTKrWEaCsPFJ00nXpy0mJk3MTXZ9xXpO49O5tcJXS8xB7y8+MHK8-uGPmzasvE94iVaz+W1a6drz3UKPCuM7ayU0l2+SY9qSm5i34sdi2HZ9ynI7bynHhzaPs6w3GFU03Hrg1ydbg0COlcaXWzoc8GRySV2QZnSO+A4PHGR-gEamS9CAQ-UygQ8bysdZyOnu8PX8daFWkA+FW8m8WPoo1dGMoje2pB-y7NyxMzGQ8KGFq5VXuq-S2-Uxj36q6B6PywyyQ2zzroq+43JB7+2J561W1de1WZ5yxSta-PO4R2d28x8IO-HYu2DMcNXH67EHVdWCyyqxCzOq47qT5yN2++WN3bC95GFdb9X4x8POxqwCzxp9Y36TffOp5xqGTcFqGlewI76yXYaR85vjwG9OWRA3OXTQzjPdq1O2rQ4VP9A8hicB-fWfKUNXPQ6QOr5xsyEB+Szd2xdm6XToOj232q-Q5SaYNQI3RZ0AHgF-e2F23-Pr5wMPAIULOyBzo3t51wPd58Ltrc7La69cF22uLtbvR83qSK+oPoO6rOQEerPcx+jXLrds3zG-wNcO+UmtTeRWR9eWH0mzrO8Ox9bdB8DzmK4ovnh-DW6Y9TWCW4R3oG59P2m+7ObBw5rt9UTnsc89OZUsEP9a8fqFF5nO8CTbGBawqPAh3JGTmx-Uzm42bQZ8Km7m7LWxUx2aeW2HHGWRHPao2BbeW3vH68-8Pta0LoBO7HKmhysmih-EP+c68LBm9snxO0W6sl752ZO4-85DXIiXSNUPlm0Z3whi0OGhxnOfy0ZiJh73W4WxQl8vZ0mhaPUvr840v3cgi3aZqF3sUwXHFh7bbeOWeycI-HWwZ9YOk6+nOnF1HP881qL8WwR2T8eCPi6512+p6ZW-UjvWLCz3mjTXQdiPad3356WPxux3WEZyPG2W2iPp84sjFsTmmWavCC357rq9l6hLfzePnruyK3bu2yP7u0TBAqypG0LfR31I0OmV+c6PR04MsUvdMOb42+LaCx6OD+X6PdW4GPl08GPivVz2GI2m3nvVGPe24fX0x8fXPW9-HCx7IuLoyivExz+mbW1ivsO0QHn6x5Hd0zr3369E3z5832X69r276xGPmq-jFSewb2Cx1MrTGB7qEFy6OOJVv3uww8SGx0m3CE2H7iE5S2bLT2OzLZ73t7tJzXC+7Cux072dJ9sahxxZOiG2W3rJyh8D0v4X7J5Q2yE9Q3eEx86Pi9BPwgs23QrfxO22xPofJyvw-J-Syxo4zEJo6pCpo7ImOZyv35o3TFOU51mjS9T7TkXv48Z+guCZ0Nm52yvxmFyNPO4bQcBekdHGYuo3z6hYmLq243R55wPK9Z6HGZ-l3k3rztB4QdnXF1Mu7V6EHHy2LOrdVEmDEyLskVcDGkKH9X0ZS6Gt53EnY14q6uh+bnBF2CvpZzUhIVzHXxF2E3wc1kHtByjW6Bwk3CK2wOjBz3qca5WGTZVovMeQ7J6k92uJ9XrPcmw2G9By2h9F24ulF0YunlUvq5l4ZSiOx676m79ayO57OGay02d9YJXmm4sm7w4UPec2sm79euHBjtJ3wReINYzRM3luzbWWc7W7kO-rGyl4wWERSbHkbTUvUbVOGzGzOu1uR4v5R2AXzm8uGG+y7z-F8LWb9W7G-eVV3-Z17GZa0na5a+KmDw9rzla9Ev5KxEu68982El7Knrwwh6hh0HyzO9OyqDfUOAuw0vUh50vml9AbWlyC3YW8RuNnKRukR7nHw670vUW7MqFZ1ROjzRrKTzS6ESI+aTrR8UvyXKqmIR0XzlDWS2S7WobbKyB9oR5WDtUy5Wz570aJV9xHx86iOJQOiOYy5y3G6082xPctX4daij1u13WXDSvb-ZavH17XW2o07b7X3q92kHaQXh04q3qe9PWqC3T2aCyLi7N5-NylzWvoV+fzOe0Ivue+GPVe9ivQ2zJvER4FHPIww6L00QXnxySv5C7SvZe2r3iK+628V9KHJLcoX7cl-XtjV63OHdRKIFx-PgG7pPQG02nMe9Lmze8Zc6xxMa1HXyvUSwKv0S0KuqEwZOXe0vlhV6ZPex2Ku7YbpnJV5HlzJ6P2nLUqvyx7eTK20XiSM45PfLUs8WS65OgrQw2hE+VmvJ5VmhJ75Oos922k1zImLG-avfUY6uv5SO21-qChx2z1nf6foTpGyfAE2CHqsFyNnw9WNnw-gQOkZcS62yhGvKZ9GHt22POd53GuZF0ijNs3CVQS5AOJJ2vOEQamu2ZwkWk19y6SFzdWyF4LPgk4+3ynQIPRqWK6HYoPO5F7VaYk3APft7e3pB2jd+F1WvgO6IuNXcjH5ZyE3Mm+jHsK+3qYO9IuKFyOvMjMNO3W0zGVFyay+1+YPym9ovh1wKmmy2zWGmx7OLFzR3bFytrfXbI3MgNDaQqwx2OdxxhYbb4PRkyJhxkxQp43bhuQ+czmwh3Lm-dkvL917rXFc0J31k+kP9k2eudky8KRO1smuk-kOKV8mbFOxruix0bmec703G3Q8nNO0LnubcUOjd5UO8UwbGlm0+vgI67WPOzhvjh3hjbO1UuMRW0Pzc87vLbepjEdz6GnO9STji5s6b50Lul3RRvM42C2UdxC2bkwUN7dxnGk46MOgV54jZh+5j5h5yK0W2CvY5+sPI8-F2gmYnPxE-e6ImY+6k8+7W8N9l3dSecO819nnCuyHbbh3+rDp19qrB0-qYfs2boN7uHQl5JXGuz8OEPfEu55-LzMN3RHyW0XO289bMhN0S2RN312K52GTxpAQqNN3qHyPR5WRFQpvJQRy2z3liPuW37NLU9eupN7svKV3cvA0w8vNu8PbMxewrdu+PaKyZSOV91XzkNyd2F58vnJPY3P0Rrpvl4-pv5I4Zv3l9vbVI18vqx9XOPu4mmXrBnvhR6mnRR+mnm7oD25mcF1PFwLXwC+tli09D3oC9YrHPRWm7FSeS3PUgXCcSj3605TR0e6ivo2y8xW01kwcC0SmEV7MGCe1aPc5xcPm9t8uLN78ul3nMaae0EWXNywWMvfHvyLU5ubd45vCvTCvV0x5v4Vw72IiyWOh50tW6HRFGgtzRT0t7cukxyA2Ux5W60xx-OPW4ZOUt5fOkVyNXOwy0bYt7-W+D1FvFD-6nMt8luBjegn4S1yLIG-G2-pPgmSt02PIM7lHd67VvZV6KvpVyZPrD5C98292O6tz7D5V21vLpP5h6p1l0s-VD9g+9YON83SWKGwwwZx8EXb+t47R03ssJpaROMou97jixRPVfVJOPpSn2ki2n2dx5JnYnezvQnso8ErT-1-gDI8byp21XNtI8S+5eOy+ylmQC1irwpdJminbJnV8fJmynYpmV9pU6W+8rm1M9byKp7t7u+xVSNW1iXlhkVLKNEP3+izf28WHVPokF+OontP3MM-9m5+yf24Jz8QEJ204AHYomSdoyUCjwPCij1yvb+6sXtZ3RONi4f2PvQROZj8ROY+0uPojzEWhpUsWNjw5mlupcWWitr6AjrcXRnvcXiamqvAjzpncjc9SjN4NvrjX-2RtwAOxt0AOJtxSnQB8CXnfSe2Xt3tn4j-wfPfbK7vfXJPT4EgOat1DP0YKgP3V5Yc+s3laqeLtvMFzUjsFxGPoovgO4aYQPhysQPSXRwvCFwtmonVY2fo9NXsQPGuaswwOnpeJOITyzOPt9DuYXbDvx52wvAg4o2+B432aRC+3fOhfPNZzzLLt74mOB9wvy1xKzvd8zbfs+kmaNztagcxB3G19mHwm1IunKHSfDF2Umid4AKrXb2vKd6TufN3GO1B5YPjZyxvuV3U3ew-TvrFzoC3B7pG7FzuuKO9Khud73Oud5TmMRQ5YV4-zvUccw7vF1EOQh1x2sh2QeriTLuuebUuBOzpUJO5+GpO5C3kDSkP1Y18T5BmruabYGeLp4s3C5crOJd7ru7TzWys3Urm7ssbuza6bu8z9w8Ld+yvEWYp2We7267d9huYaJl2rhSO6zcyp2B5UJ4vdz42im6AdZaH7u+h+Sc2F-hu7O4Rv2l1RvHZ0unI9wbaCN8MPJh4hGmD2796oXMOGN5HXU99OeeRZsOwl0bQE59dYdh0Cfoxql2b++Mvb2Tj0U80fq086XubDBcPWUxs7rh5clq91QwZl9xv69+OXIN1P13h+JWYPV8OpKx3vB0xHHu95E1e9zh7C54Xyll+3mVl78NR9+GPx9yxHpmrCPrlxKHt90y23JtByF90eh66ypuqR7k26fVJlrUxxHbU3furfEPa-IL0Yj99mk9u6fuEEKpvvh882dlzcvKVwGnJIxt2H91fmV48-vv3HchX9xCHpWy6fO55p6387-uP82oqADwSGxR87GJR0+OWI9KODFcAXwD4LXIDwL8djkL9vT4zY4D1TZ4e5qPq004qlfl569R956DR3ofMCyaPfFfge455pOiD82w3ybMuP49MrzNxT3LN1T2bYbQfgj-Qf164weAx1l716xCvZZ3OmN60793Nw5eO69H3uleZfnD5rjT6-ivot0ofKQ+3Wwt7fXYx0-XkVzqeIE51u1ORFvde6Ff-U0luzLRw6FDwIfb50hWr09of0r6pact-AucygYXnZ9yureyYfVJ-yuU22EW8Lcg32x1VvOx4ifnC+73HC3pPxV-5vsSyqVyS+82weOBPmt6yvlvpw9Q+08Xw+2Rm7oGEe-L9Xirh6cfL++ce0JzAOsnJuPhmduOUi6o31iUo8B8So9wfTkW+SnkXVx5CeWKgFLSj3RPyj7uOpM2clcVcU6yhNtjeo-UWWryZVWj2e1sZ9+OtM7+P2J-+OB+4BOBj8BOV9cZSrlVZmJjyW39+bBP2ffdugHnMXhCrtfIlqhPzx2YvqJ45nd+5kWyZwu09j7Efti4ce5ffl3kCXH2j+xce4b9v2aJxdHrnVvidfQ8fJYo87X+6xOjfR-3Xi85OjpbquvnbxPDV2-veS9sHgT-SfQT89umT4ELJJ1CevtzJOOT8QvG8QifnOfICE29DLGx4mrzDy2Par8ZOSo4FeHIw1vRUU1uAt1Kumr7g3ZN51f7La7kZ+5ZOOt5AvzwtqiXj2xPvLZi9Pj7Q3vjzxP-+1b7AB0avvJ5NuzV0zOchgFORZ5zOGF59Xwpz37J1X36kT+JBYp9NBzbs9GtS23AHMFqXB8BqXzaaXYz-kSgL-uKJ9S6q88pyaHW4DWoip0QYzS6VPx+w6WlqKAcUZ1VPty53We6mAgk8DnfGp6-6+wp+riZw-7zZ1XH-1fO2ep2DfG8-6Xo7hgGgy9qeN56NPZo-QvYKwJEVp7GWEA-GWjbpAHUAztP0A73eAqmtP66VmWEizmXR8cmXyNYNO8BLWXx1zRq8AwP1zp48m6AVdPa3gUp626yW3+Q9PA3bQHyKozvhNZ2XXZSfe3pxV0fp+lM-p3Jr96WcIgZ-SOHz4EvVNYAWIZ9o7lozDOQXjpr078PG7whP2S3daXqpzuW-73uWs75P3Vox6uttxiesPmtrto85rjq4dvjA8aSKZ-9WqTdTPgp5NW6ZzSeGZw3eQtTlW3tymuDB3v3CF67en+6FOeZyKekH+GGBZ0wuggyNPAp+NWvo1g-xZ-BWAO+OuUk6J0WGYE3ZT-WvBcWkGVT82uCk4a7aB-8mcOyTu27zFe0cyaf9T0bPTF78O+tWbOrLFnO291bPI5xnGWw6xXUXOxWlT4P8YAn2w4Av-kxHMEQv9ztzCtw6ffZzxW2yy4Oltd7O6d37OX7wHPm9z7Hg5993Q51cuvy683jwz1fFg7EvkTiikZU-LzidOnveL3F3kKeMJEu7nvahxi2n3XpW319cRcW40iAgjxuLg-+eOu8XOynqXOFl712wL0d2CmVXP3uztzML8PnymXBeoOXRe-g1yLVvIrnDHwvyAq13OVPdyPY033PmAZcO4QwkfBq1wuy1x6HFXSLrp55qHnmS-O755vuqL35uHdiL2HtwQ+1mSWvo1xKeen-SH1QwfOBn5rqlh6-PdDfCOxnxfOJnywu8F-dHRDxaDZq9Ci0Q4SvxZZFej57qGYF6WL0G4iuGHz-PYr+3fGHwAuu7xNP6Z3bqH53NWn57POuq8M-KLzBfNnwb02V8VeP70aXtq6ieMWRGisWSnfsT1WVcT4YmIw5u2Zn8Kzun3dHp4Xg+U9VM-TGyEKDF99dHn2yzAF9SfKHw+2fq7KGAd5GuBmYDXkX-FX-25LO5B8mGtrXT2gm+hWMd4rPKteqycd2qf+DGi+jTxI+u15ruUO3jWQ3VIWzZQaeTnyTXpH2Ouimzq7p12mvKu8qf513HDTT0uvzFyuvLT2uv+wzY+t9Vuv7Txq+99Wq-xw47vRdwvIea4YOlGz+vQeyLzfTyKOBL2uG0wY-rn7zc2m98EuYN63u3z+3uKL2Odg45MfL92HO4l2hvvzw9rfz9meIDQa-uc7eHYDRkvRc1GeMh5EPz1x+GBc0meaMSmeN7yLYrd83KreBUvqK+OeHd-E-6U1Obo97p8Rh1MPnL2vWWl1HuazwW-Jz1nGfL90usU-m+cUye7Fz8W+DGXZZQKuj8E66VfS4xl2Rd2HREn3XvFX33vhNwBeMn8svCWy3mwx+suqWxfvu49oaoL+s-pN4yv3jwcueI9N3jU8pvl956mxN2pufU9PvLn-3bCR5x76Lzd3GL7fm3lw0-cdD3O-XLK2HRz2SnR9QeAlXZfFB1CuGD16Pj+T6PXL5Wem3+fHzIwa2n49W-aNzk+J33SuwEzivbl0qj0V8Fe4t0IX9n-8+d91a2Ze8FuEtwxSEr9AKkr+SuNZ-8-n02g3b06luJHSFu+jcyvJvRZfpvYBmCt-P2yr8pOJb6Yepb2iWLDxO+rDw1fdJ0re8aYLDHDzKuGP3KvWtz4+9jVSWDb2T2jb48Wa1e-28s0yXtV7veht18XXVYw2JBeNuAXQDTqsyNHyuVw3xo58beG5+n2ZxmvZo0I2h286uVE66uUF+gPTnHbKoXzaHfV3aR-Vw6CvKuBQkTVDfjo-i6VQ1NyyX9GHEQzGv5nzQPzwQ9Xdm1Ime29QvRfQrqyH7SagF59W6Hzyf7GyylHG8gVnG2Qz6HxZ-N57M-KX8VXvG7IOOH0B36X0Iuajoqe095B2MYyrOW12rP8d3y-J1+nSsX1+vqY-Dmkm1ouRX9IeMO4OuoMEdPxFzI+1F5aabZ2U3Gv4rKyhLzHXXUYeVX2LGrHyLGL727PRzwG77F8zvg3zm+M3WG-cz3Lvj18BuY38ruQzZeu3edrHIh0p35k-ev+bY+u749E-rm43ugl0f0W9w83LZ-C31a4hvdb03X3XybOvz98+fz6cQAn8fP5eef1F3RthOO1s3iH9i+pr2a-JL4c2QNzyZfF07HbX4r1XY5c2M3+eHy30XvDX7CmQ97Hui3+HvQO6W+xz-2eJz0RvF2fKeqd-Ru6330uaxxcunZ7ue05-ueBWIeeN0L2+i851+O8-3uh34PumyZSqy5+BLwLzS33zQPmXTuxGSnw3PLu3T5EL3R7x4yhfz95obvXx4++4zVWB4xFf-3wXeYLYe+nl8e-+66e-Hu40-39zyPct1iSrL1QevS-e+bN7T20v-ZvSfWweGC5t+lz2z3H46ssuD2sujL1FGsr+vO1n7Bf6HdFe1TdlfwrwSPqVxWPUP6mOpLUHdDeyFfND2b-rf0+m0r0FfJD-5eeC7ocf0yyviC6JSyz4YeO3yBnJjWNfkXM2ONJ4QfwuXYf2PzYf1b273NbzQmmPyJKzn11edb16-XIPrf7f11vbJwEeTb21Hab69T6bz-29V3MQDV78WAT7J+ho-J-JEzFae2y7eFtwom5Xk6u4S0XpZS+jB1t2gPNt+ietE0gg4H4TOEHwo3Ad8S+jEyu3Js0QPqraSexB5wv6rZlF4v3u27A22uxHznDGXWCfub69KWT69+Sv8n3xT8v+n+kfCXG9Q+WZcDuqRAKfOZRDuUO1DvocQLeBdZyeK1w52mz1w+cF9xOlB3LPgm7o+519l+cK7l+8dzX-Cr9JH09-Fl8zBxMHcncUcy0XRPd8OxJ-G-sfZ1sfKxcEAPSgW098SWQA52V1rwhtOX8w3WdPavoPT303L09ITm+-Qrxu3xmTAM9b1wq7IUxIhzB-UN8YDUm-C2sz7QV3U2tHhThJDpdADwTPTZNsl3V3JN89YxOTHgD3d313OIdKkgqHUocTd1YA-jFzdzW-KocDO2c3Ks86hwR-bN9JlwDNcd0s32r6N3dX-w93HuUSaErXH3cehxJOZQ4ezzc7T2t8329rQc9kfxHPQnNyNxMA0FsGAKaXCwDEWyT3ec9wuyjrT98pPlWHYY5j7UxBFc85wBz3O91483z3RPNDhzifJQCw5RL3BUVP3SUbCvdLzxyxWURON2z5JpEUnxeHR89RK2fPOrsq81WFbXxLl1shZrt-XwP6QEdsn2BHecdlU2H3Md9QL0A-Wn9u40n3bZdr935bQQ8cLwj8dn8lN3Ibc5dAbHX3Jb8d3znjLTdBWwPfSp8SR3yyMkdiL0E9M-cN3ysNae0Pz0W7fuMbUwZHVn9OAmZHUrFWRzXtZi8N7TeLZSMWb2CrGVtn8xlcBNNBHAIPHg86ixL9eXcM0zW1MS8r7WS-MA9f1ykvRUcNCGgPeS82tEUvfcllLxc9LUcke0l+dA8ScQbTHz1DRwwLY0dcDyEkI8VdgNbHYy8glUJ7Ug88P0NvOJd5W2svP5clWzdHRJU-32Pjeetcmy6XHSM3L2oLNm42CxDHOFcjfzj-d-9huw6fbMcYPzA-OQ8MVzd-cBNf51N-VFdxDyy3X39evVFfIU8MP1kPZMd4PzQ-LFdP61UPb1t1D0NPc38MPzyvH38JvR0vQF8J7TD-eAD6xwqvOBs1JxlBWP89gMsLeq97r2q3Lv9KtzlA7ZVWPwT-JUCzJ26vUCcx+yLvQPsEr0ajPw9hr0E-XSV7L0lvOccKMwXHY48ojxxvfY95rzU-ae8lrw7xRNFUj1SLda8QfQAnGFU8+2l2XNF1+2h9Tft++y4lUTMEfQ+-YV4F8QqLSKU8VX-zcx0FMxJvQXZWjWqdFotnr0LVTo8uQF77U29ej2A6LMI83GH7ECd0-TAfKi4p+0A6U79K-wqkEG9F+wbvH0FFtzUhCCFvQJhvGrl8bxWLTCdeX0CzcX1Ub3wnX0CzT02PS50z+0tAzYtrQNhvdsCrjxOpe-sSb3uPZbMmJ1TLA0DOE1yzKhsRPy-7HVcK-0Zva29OS25gWv9Wb1HLYScQT3AHLf9A1Ve3BjM6Jwf-AvsuTUQHf6UfdVBQFE8y-HBfAwU2eWM-eB8DA0QfXNdTqwJPH6UiTzMTc7cEXycJOTZM13dvSIMvCS5fDbMfBQ6tNxNdsx5vQh9PHz3-GV9rx0P-d7NbtxAg4U8iXzIHfgdL-0EHV9sb-07RAhcWF1ezH7dH-2ggqU82zx+zVJNuHwZfXh9VB1--bHdKjiRrPCsgAOKTRsDWQOMHNJsyd31PftcLBwlfe88RQOG-PV9rHw3XHpMRvy9NVndbTy8HbADAmH4gqnMfBxY7WnM2OzZzIPcnvzrPUIcMz2U7Hjs91zrPcM9HiQSHKN9FdxjPW5Mizym-b-MmAITfMt1xdzkgoQs+AIoAp4dGlgNrcN9hAJKHPyMyhwBOfM9SzxTfDb903y2-EH9VAL9PfWtGDRd3HndGzxlPZs8UhkB+aU8fCTHlWd0XO36HIwC+zw8gqCMofynPVwDaRRUAhQCY9y87KKCYf0--BwC2RScAhYdMf2Igr6pwn0MvSfh1z22HDStKAKBGbSsDh10rVyDal3lFI8ZM8zO5E49K93VFWICa71r3Yn9Mc3tfHb8y82cfCvNYN1XPM791Ny+bQJE7v2u-Nrs0n343QC8h91J-Qd8TWweDKEcetXDJaoDT5y33QkDtN2b5RoDTlxmeFoDczEXzDoCMqy6A+oCtTn33fC8R7TdNHMU8UwO7MOgNU26g7d8Rnz+fBd8MxxmApkcxfxZHZ5dFgM-oFi8z3wfzJp9Od04vJRVuLy7FTwC+L0A3ackT1xrNU-gRLzp-Uz1xL3M9T78we0fta4DlRxgPVUdYe3gPOAsngNUvH+1kC00vdGCa5m0vKsd9DywLfS9cewBA2W9Z4EtHJJ9cJjznWiVroPtHOvNIQKV-R5E6Pwffdy9tW0RArH97AMZg1ECtf345Dg9DW3hAnJlJrzS3MECOryw-CD81D0fTO1tuQIpgqkCdDwyvbZ8yQPufKR9-U0ZAiQ9mQIs5D+sVCwLHUkCQP34PDWCeQMD-Qj8Br2I-KYNLUDI-QP1zYQj7Urdqr3+XRUDU-zgzWw95b3sPePF0-2j9QcdOP01Ay5VRx11AthM6wJYnOydXj0nUKP9rvVCLcI8uwOxvHsC0b3ozXtsNxzmld7ZHQNWvFyUOM274RJ0SVghvE8cUJ32vHzY0wPm9AMDy+yDAio9zr0KdNH1gYIjA2ot3JzuvK2Ck9EevFKUGpxevb2DtM1edC8ccwO+sF9ofrw7fP683YIa6azMoJ2BvI2CBwPqlMsCjxyjgyG8RqSL7PsClX3hvFIhEb0PHagldjyCdXsDawP7A0-tptxOPK0DQ4LxvOeDZjyJvL7cH+1JvUcDHj2Ynfw9yG2L-Prdzb3Y1S28m2yZvGv87b0BPTSthYP4iY9sub23A5k9w4P5vGE9ZJwp1DrN7OTFvYw9YG1DaCUCtHRTVS2CBYOtg5P8nDztgoF42r0a3Rd9M-21vOppCwPUgPP9IEPBA7rcdJQZLYT9CgLL-b-s97yLA8CAz4M8nFcC7fSifdm8FP0FLFv8NP2YfKgds1wUnCwEvb0inH28k727ZeUtkj0elcmBg70hCMO8JXmn9ddUMpxKKbdVF-XjvWBBDSy9EREpU71VsM9UzNT6dI-0b3jrgUA56uhmrPQx870OXGCEUfCfVXDNJEJ0QaRCsezancu9XS0rvd0tq7zTrWu8-V3rvfL8nbn6ncW4F70LIEACGq0WdMadnn0C-SadiA2mnfu9Zp0HvFAMkyxHvFMtq6UunPu8J70QDVp8bGBnvV6UoDl2nCnZr-VDsIsse6RLePuk0pHXvXgDPELRJJe863lunLicZYIPvVncj7xoRHV8JNVZrVJDvpyW7G+9Kp3+ne+9qXDZvALIWoNKxU+k371D-SGdaEOhnRwFJAx2EEqdQH3M1VlpJ+RfVRQNX6WAfEX8bHX01fp1NAwkbTrk9q0hfchA9txxPA7d7wJlKC89C1DfA9B8Hy0oHLNcgp3xlUR8VcioXC9ttjygrN6t8XxWzHB9Id3M-YHtWFyMA7k95-1IfBbdAK25nGGMkv2LLTh9q111-Ol90dx--UJtBHxy-YR9ka0WQqiDVkNa-RKgGv10XHvU5H0XXT88aK361ZR96Ky6nRit1HyeBW2dHBhana5D9dH0fKPBan3fsYx9NKFMfSMhzHwyQ4f9JIL6-br9bB24gob8LH0QAmOBPYyfPQOcPhwkrV19MgOO-QtlQUPg3e34kfh+bUA1gn3ttNYdQnw2HLPdBRV8Ax+9gfxmPQvd2N2mXUiMzL2ag4C9OC3ZpPGpMfVQ9AoDy5zyfJ4MTH0KfSMhin3YA0p9FoNF-Sp8jYWqfc-xyCzqfCjlWLwuRd6CNgJafDactwQbDOkCknS6fKCCeF1RDPp8wFw0PCkD8-ytQud95oIpgti4PlUmfJ6tIxwYfY1COT2wg63UgPxKrDqsvnyGfHK9LoIZbSkCrf0sQvZDfmX6fUBcln3AXQZ8cQ183Rn9JgKwvIAVl5xZTHspaHxt-ZNCFQyefN29u7yC-AUM2q0fnZKtfUJjQ+1tbUNGfa6DuPEFAtqENNRBffT9+-wwHQZCiQhM-ImcLyxC-Qhc7nw40Q5CdnzdQrCDTUPujDU8GXl9DFZDWT1erIKdPwOzQ78DMKzgg1tCSX2C-DtDXUIpfE1DJTzOQ9h8LkJS-AJtCIPwgrkD4W2x-THcKmzZfMiDcd3VPX8DQAJEHLWch0IYg8r9IALogzdDlD0JrZiCbTWlfNmcDZ25jO00qmzgAjY90AJdNdFD7B36-L2d1IPmFXFDNX16-EgCQ3zIAl79P13Ag79cbx0hgi19iAL1OX78AoRm-JIDHHyg3J199vx21Q78KEnJQz18gb3fPc78FHy73K78A3x1rWIc9azDPA9cDd2zdYTtVIOYArm1xAPjPDZNKLl0g6ZtjILJg2ddoywntVN9Xk39HcDdqzxcgmgDQMLCgz3cYW1D3WwCSNxZgj3MrAPLfUwCYMTYA4c833xSgzg1k93FJFwCkoP9rIZc46yENUZdOUKCAsqC7NiJ-PlDY7QLnaysB9xJbGiNC6zFQmn8JUOnfcutZUOtfWBdU-1ovWMljl0U3FaD27W5-Abst3z8fX59A0NxXboC18z+DOT0JfzrFDkdpf3Pfdi9L302Ai79Ff1vfZX8hV3pgtEDhcU1-dX8WDx1-aKDmD3YPNzd2C0N-cd9jf1xA+VRoP3tQy38k0LmbWWCfnyPrCWD8ryVgqQ9nfyQ-Xj8Hf2DQ239yQOJ3VK92QJw-LM9DULNMJnZeQIcjbLcl52rHAw8Sr1YgpEtKP0qvM2D1J3t7QED4-1tgxP9NcQdg+yNQELmwrBsXD2dgnMCrJ3dgty02AmNvam8UENL-VpkxPxPg06VsEMr9GT9VwLk-IEsas0U-YWVuGxMWVT91xxCDOhc1BSRWbT9O-woFZaM3V3PAqRsYHwcBBtCbwP23O8DcB32jKz8VGzG5Oz8NGyj1WdCYv05NIW8DwI9Q-dt3P0PbJ6M7HnFEHz9CYz8-Y5DaZ1YfWxsSZyvnBxsgcKcbSMMIcN2Qohc4TyWtFF8l0JpfZL95BwIgtL9GXxUHZjcMOwkXVU8AAMPQoxCaIM7XN5CvkI1lPU93kJJjK9COsKfQjBFsm3pjSV8W9U+QjtdVWQfQ6ACqazvcft8afWVfC08ev1aTex8skIAw3V8FINIAnLQQzwjPW3khLwKXWN9TmwW-cZsfam9nHXcCV3W-GQDWDw5Q0pD47VubPb8XH06g1R8jv3GAmSsQxCQ3cJcr9yiwv19CMLyAxH5bv1pQqLEHvyAwoIcDz2iHSc0jX2ognHD+awuA4xV7YwA3cXl5d0QwjnlZeWfXeQDwoNrPDXCjz2MAqTCbANkwg7CXLzh-Rc1s8Mo3cwD5MJrfAPM0oJT3JjdmX1XgrlDMuw43BqDbz1BA2XC24yGgxZdh33kKUd8zKxywnED+u02Xen9Z335-Ouc+8HlQvzCdkWWg5C913wPzM6DPMJQ3OaDS0L-TCSNmW0m7YfkLLECwp-cT3xeg0LC3oNl-Zp95f0o5R0clgWhA6zdlWz0jbmD6e0gpNLC1Wy4wvh8tWxRA-X8ubihQpi1zQL9-bI1t02tQ6AVhDyd-BB0HDXfw+Q9pYOawj38b0KfTBWDqQKqwl-CCv1Vg5D8-8MdQ939RYLKw9McxlVVvcLc98KjbPfCBsOUdcP9RQK-gy9R4G0lAibDCYK0nfSc1QJ0PRbCRVwcPMBDlbwgQ-q8gGxWwvo8k2jppZVd+Pzf7KcDNVxnAlYD9sM-xU+DFwL4nNYCLNWKQqbcE11s-E6JiEIewh1dFEw7-ZRNkBzHbGtC1o09XQwVBEOhfHHpYXyO3I7ITtyJdCWlXwPBwxz8rE0smJf8F0Nc-OHDnMw8-Umd-wO2zV31mB1yrIOMz0NlHfcD49XLXE-8ovxbQnZ8EIP5PJCDBTxQg0-9i13v-Z+D3UJ7QnCDzkLwgt-85T3EwhU9wO0y-OV8--3ZfZnDOX1ZwlK8d0KK-CLU3v3feYV9ucM5w9Rd8a2gAsXDDML8PZXClcN4g96dt11RQtnd3By9lVSwhIPdPCLBPT3r6OnMIhyDwxxcQ8P9PNDF+ANqI6Tt+MM1wkjDZd1Ew9gCGMNNmPXC5v0yXVXcuAOTPFjDEgNyHDQZ9INW-byCOiME7eEllc20uayDDdzmImJDLdwcgv5F3k1TwoTCAWxAw9ojNAMHlIZNrOwEAqFtNiPs7fyDHqxVtLs8DANJFf9dg92sA4vCGYIkwst8XIOkwjJFQx1nPRwD0f0Y3PFN6cNmqbwDSUJ+IllDrtTZQ-gjKzh3PS49cf2lFMb9zYzCAyqDA7URwiZDaoJEbLlN9MLvPZvCznAdfXb9kZHtwl18MMM6XJrs-h1yA91hA33IcCzChUP0zZDMxoJH3DuMx9yswzVMqgIZ-WkcNn0Kw0fCnMJXfdltOf0nww7tp8P7GNoDjcO8wxecg0OZIq7s9oIegAi8duyIvE-chgNIvVC8LlxpHaBdOgJi3QUjFUMexNfCo3SYvZ6DlgLpvFC0Pl3WAji9P92lQ76Cj7Ri6Scl+LyNmf7t3BhAPQDtzgPNfLxdz3jzmWGDbgMRYe4CnPUQPL+1tR1rTNA8PSIwPT4CBQMaKXGC20wMvP-c6P2Jgvt9uLWD-CECD8MvmO984sNV-Og9H8NP5Jy9VMPzw1mCP30TIkt9WYPvwl34sQO7w6UCTfy1g69DGsKrrKAiSQMg-Pl8OsL7TZbo1YJLI9D98yJyHeWDWsMyvPMj+cP1DV38qyIJAmsjbRz2XRAitb2l7SsdCr36wlKMMCKGwuNUxQO-gqq9xsJqvWcs5bxQbYgik-wVA5q9S4MMnFUDpsJnIlP1aCPTAhRDL1RaQ4VDWEw2w8P8JwICLUa9Zx3IzAODeYI+lBX0ZrxXHBPteb0tQiODxqX7g0FVonTWvVyV44KRvMfIUnW3-TkpvyDwuIrwZ2kDAqDDK+0++FH0a+3DAuTMNvSjAyJYm+0w-DxRy4M-HSuDEwJ-HFMDWaXJ9AJ5vrzvxX69SDDEQq9VekPGPAsCc-0bbf2sSwMudeY8nCnfI++CWgX-9OK0+VQwnQm9x4LKeL7cp4NizVsDbsNXgo49G-1j7EOCmKOv7MEi14KudDeDhwJuLbeDybyePL2Ci-22w6cDUEL2w5Z4Gbwt9I7CmGwvguv8QB3XAjm9NwLvg9xNgIN3AiCDvt38TGEthmTfgqQj54DPAyRtLQ3kIoZDFCOv6UZCAcIdDR8CKrVMTM7c7BS0I0U8FdQpPQKcqT02QhZD4cPbXAKDN-1UooCCd-0xfRIj9-2knHwju0PsIgnC+ZxCTC-9XCNB3e7MPCMcIwnD27wwg7Si-txBrRL9l0MCIq5DL8NXQ7-9wiLUHJtdHkL2OER8PKPX-B+t4iNoox9DyYxFfSLd+X3AAvnCqv2FPYoM70PkfEeCXZx-Qzdc6iOtPJnctXxZ3VXDQQCdPN08dUNdPOjsrO3wAkZNqiPEgloirFzaIzPCk3VkgyYiAhzTdaXdpiO1wuN98l2SHTSCuiLswnojzMiGIxN8RiNTPWzxVKmaIqYi0l0PXM3cliObdBYizqNsgqQCViItw1LCeMI2IrQCwI0Ug2KC08L+TQIjdiJbPK3NcIJtzKQk7c0uIiH1Y8JuIovCRMNzwzgin30sAx4i4oIrfJH97iJC7Wt9y33rfQuNG31TI5t93AIi8FVIAmQBI690gSLXAsUV9h1qlWvCM8NOJaEiIUNhIyICaoOiAk0l6oL0QxqCDMJp3TcNkMMJQ9qCg5wdwv4jMMOdwjWs+oP9wjDd8gNbwgn528NGggVCeYMswrkjABRmg+ki5SK2gwsj93wQvZzDF93ZIvFQyLxQmDaCA0P5I3zCdoMbtPC8RSIOgpmsjoLLPE6CTeDFot18eoL5Im-c6yMVI2YD7oPmAx6CDNyWAo+Du53Cwszd97X5HQHF381+gn7sTSPiyRPCajxKdKUdxJBlHea05R2tIh+1bSJseG4DdyQRgpS8NR2RglcV3PU5sVAsebDQLDxU-PSdLbHs8YLNHAmDJyKJg4g8SYLfSb-C9YLlbCMjdfkebV0dx01PwuMid+QTI198Acw8vNmDksIywjEDYV2ywsoDcsK9Q0rD-UJy3IQ8GsNrIwAiCyLW7Fsjr4IAIuAigCIQIkAjJYJpAvmDEPwBWQeiOQNgIsXt56M7I7rD0JX5A7GDnOQHIuNtMCKK3XldRsLMPGj8Zb2zowgj2rxVvbsiCQUzVYBCZsPtgm2DpyIXIn3sNQJzApaZy2xsnfUDJxzD7acd7vTlaCa9n8KmvdiiWwKv7ZvFbQMBVSODInUCnbvEnyLjgydgE4L7guFVIfWrA1ODYfVL7TOCyj0xVM69GyjzgzKkC4NAoni0XxxLggBCy4Lb7dTMEwI6PBCiL8J-NdODrXwbg9aYm4KGPZql-rw5VXCigb3QhQijCb2mLBHCzniTg+FU4GKvIg69QUO7gmalrCJKLA-tp4OXgtsDmqPrAlhig4JMDJeDOKIAYz2C+GNonTSjN4JHAjaUd4PHA1+iRrw1XHo82CM1IucCMEIXA348bb3+PeSjTsPr-c7CRowZPZOxwT3Uox+DqCVsI1QlocPhPLv0t6OGw5ZVcCN-g6DMU-zwY4kDSCIVvBbDr6NlA2+inYPvougi1sLqwgv9Kb29gg+CabycnNBDdGPE-H48Xxyk-e41eCOaQvwCCEP7Q-ycFrwzQvF8bEIJfJxjKEO7JOkgop2qQ7WB6EI+wcmA-8VVLE-5S7BYiVhDD-nYQzUtOEPn9R-AeEJVePhDE70-vcQNj1ThnM5BOkNqpWVwcMwszAYBQDi-vA59ZEOUDGqddy1kDdQNlEOGY1A5S72dLQNQK7wvLKu9AUItnYFDfbEMQyiDk6WbvMxCM7AjwnZ8KKN81XJjNkIlHTe8vEIzeeuk5p38Qo7YFrVgDMe903lf4JgE9UPLpYe9AkNHvfacNEMOnfWcXIhOnfANvmOXvOAMSAzCQjZJEkM+dOK9dgw9ZHqjf8zyI6FiRNQeIniC4WN7LLelfp3yQu+9hyz0IM7CxyxBndEjX7xADStCqkM6YoRDT1Q7kKZi1Awv9CRCjNVzQ+mAOkPkQ05FBmMpY6zVIHzRPOtCTKKUqX7CRkP+wvLCV4nhIsk1d9Gi-InCjmJpnEKcVQxfLAxsj0PfLDF8UcN5rYWd0cJFY05Cc10so-mcmqyLXBRjaF3WQk5iKH3Jwx+EpZzR3eIM4aOEXDL9H8IEfKDsmcKeQiiCXkP1PCxDQPR1dLIiCv061U2cBf11FcIZOkRqDXRCSu1iwjRkRtWa-HHQtH2QBQKipj1SDAuQYUI7AOFCQIgRQlkQkUJPkFFDOIN3XWFjUUKljAvCZTljY5hFhg2SAmrtUgNcfODd3H0PDClC3cLGAvDDSYD9w9Dcgn2XPbGjVgzCfF4YIn1xorFj1iJifImjtiOzYZEim8Kaogd9KSPSfCn8f8Kp-EkiS6xpIhskHKyjY5yszaNqArujNaN+DR1NlUMpUVVCrN1HrVaNPsW1I0zdTyOJWWEMIqwXoudDnPzmfMnDQWQjQ-NCfUPOfEtjO6JqA1bs+yKzHJ1CB0KawonCu0JhwvwjPUO83Y58CsMCfQ9i58KughfCe6PAiNtC00I7IsZj9513Yw+dqJX6g-ujh2OPY4Ai32IkeD9i+6PTQ3F8fUROQzHCQF1zI2ND72OjQlkMxYIZI+d82QKKvIUDCWOrQvpC9BWMoq8CumI5YmF8LKLywsZxwOKHheKiuYhHnJF99CK3Y1f9LWJWZZZCvEzAgz7d+Gw1YrNCXny2Q2-8dkIefMjiT0KofLwjLq1LXGjiqX1SoinCV0Kpw3EDkQNCI25CcqJIg5Wd--3NY1td6OLSIloUDmJlgkndUiPFw9IjBXzqouRcGqLGJFmMecO8wSXDKa2MXGXDW2Llw2pt5qlXXdqiP0LRQyGjEWITY0jthd0bYsPCn5GNfEh90IKjwkOiTFSBom-V48Om-cUcwPXTYt4ciUJfPSYN2aNxIzmiTvzwo86CvMNQ3bmiD2KIwpJdyMLhoAn9E+CWo5SCBiM-DJjCIqH6IyN943x2ovSDZqNZzG6iyz04w+uinIL3jUH9nv0Ewp6jhMMigqt9K6MG-PzsniJzwoc888LTI2jcelw+Ihc8q8LuQoTBBDXQoHqFtMNKgqajCfziAh4cc+VYw54cc61KA8n9TMJHfUVD+aPCPCoC+8xswvEdBfwR1S2iFvHHwpfclaOlIhWtTaKPYzTcBWzHY5w0AsL03VUiN8I1I2JjAcQXYvHUIsN5Ha98xBUjIz1i6YJjI40DMqJlxaujPLhR-B34UyJro1HdfRwzIy-kW6KpIrzdkr0Xoi39u6OKw+TtP2IZXV9jZ6LawglddOLLQ8ejKsLJXZWCICMS3esj-8NjQssiKmmXoiZVesKwPNAiN6IkpLr9yr2wImv4f4PD9Sw9-4JPorD8fGJAQ6SV-GO0nS+jGBTXIqY5YEJ4-a1C9QM2wgT9JwOQQ8SjdsIEFdBD4mKtvAxilwK2eFJixEzSYpSjCENClS1dMomtXURi+b1Y4kdDNP0HbZrkXsIL+N7CZCKgfAf8jPwI4kf9bwLH-cKjTXyBwlfYQ10yiMNczowcotB8o12o43wjF0MMI0Hk2GM8-Jv9Zt38ojPVh0KYfVyitWMVYkjjLh2ZNRRNC1yxwsk9O0PnQ13iDCLYfMTj0qOR3IHiI9y--Jl8BuLAA3dC29X3Qjl91gQlYm1jhX2tY3uiM+Mw7G10jOIFfLDs0eMK-Gr8avkBY21jGqLL4smt2Yzn1Uzj5XxMXX5DLOJaozFCbF3YgjFCFcKxQrqj-0Kc4goi6ANc4jLiTqIowiN8JeR9olriyMUTlA3CtY0W-XkiZ+JW-UrjaQPNwtM9r8JTwwVMeqjag1DCsSIO-DZiyUOi4vNjCwPIvY7jPcMS4gkjLmhu-Y-oAOM5MQPCOO2kgj9divwgwxv8gwJ84jclYMJ8XfT1TmyC4y18MFC34zN9oaPG4xN083xBoxriw92T42H8yNyhot6jniLnNcHjcMzzjCvDlMJRoqAToa3rYnTCQBPUwZtjpuMSAubiu8JMw-OszMJKAwgSIePKAvtjpoP7wyTcgONO4uoDboNu8PbjFaK6yEYCRPQLY8-joLx8wsQ8FUKtoy7jH92u4yX9N8NE-YzceSx1Ip7iUCI0jQ-CoyMsPeLD2YKZgg1iAeJqHZrjXL1B41I0-MRR-TzdAP283QnjZ92oI5XtP8Oqwguii4KQIqK84eNlfDuj8+OJXPQSz0zAI+LdwBVx45HiGyIJ4grD-I2J4xpUCrz6w-Q8KePN7KniKP1cYunjBVwZ4+civGPlA8+i2PxXIq+igEPCEwJj1QOz-EtteeIYI9bCfC0F45giReNYIiSjxeLiYzriq-1ko6T9cEL4IvGjHb0EIhCJhCKyYqDiaTTb-JqVh2y0FJF01t0N4lljDP3rQ0ZjK8lM-F-0nCNufOz8p-xwiKbNZ-wu3J3jyX2u3Fz9aOPIXbZi2rU5vRgcrGL8o6ViTX3EHSCDY+LujBwj2F3H-eCC+T1pEK-9xXViopYTtCK-bOYSQqLj46l8dWNpfZCsZZx4fDdDDUP35E1jIiOz46Ijc+NiIkWC+OJhzNTjh6IeEmqiNF3oghviB9QyIpiCDOLIrN9DPYLs4xNjDhVxzVqiuIIH4xziU2NcHWjssAN3wnAD+qKzcEai+dzGogXd2O0mo2rixdxK4u9d5INaIxajx+KEAjajTSJ0gori8+FyXFajBiIKXFfjMRMMg73lTcM5AsyD6AMhkHTtWQMuo4s8D6PU49jCFmwOo63d7qK0rECNjiJM4HESOhxMA0d0NAMFEqTCdAKPbX3d-qK7hEKC-OLR-cASEoKa477jxh0h-BUTIBL+4kIjUf0LIJTDeDTQE9UT5WRCfD2jmUOygmaxInwV4-GjioMJorATauNJo14EqoOJNSmic8yr3GmiPWPTrIysUSIs4yFwmaJSAsLi0gJDnAA14uIv42BU7+MJIvmjjMIW44gTigIpI+biJoNE3UYDBuzpIgfCJgKdYhNDdBLk3ZhUmBNm7Ln9WBOxHBskeSLWxTaD8R22ghgT7916Ag-c2FTFIhmBBgL3zYYCp8Kmgs-iLoNoEmfd4r1loip9lSKu43wc1SMI5V6Cgq0XY9VC3uy4vW6dxySZQylsrXwJEo4DqKhOA7NNDFWgwm0iPNggLSHsUcUjop0iEDwR7Z4C1L1eAz0j3gK9IrGCT2N0vX4DAvQbfQMjcsMCVVUgQQLwE-mC2HEsvamCYsNpg48TZBIbo6dMHNwfEnVsFBPWKTmDf32UE3y9v6Kno0MjOeJJ461tWyLiIkejAOPKwvHiYCLZEiDiSsNv3IsipYPAkxsjK+MgIsJjEr1A48mCdBODOHWCfSP1g0ujOV3+ErAiVJ3FAsci8CInIjlE6rw54iISJURZ4v8T1jUok8iSU8W54ihjyWPMzRljBnUYIkuM94KrbYvEvuN3o0I95xxsjEidg4L-oua9h4I14vxD7QIclB8iwGNjg-ccXyIng3wlk7G7aJHChmUEzdI9Drz0eY69NKNOvNI8CnSXxDBj-eywYshNwKO19GMDEpXfHUlVD8U77ahMkwKadWuC-QLoIyhiyujQo5uCAngGYmZihmKZY+hjNOgVXTBC2ui7gqYtiKPB2XjNveP8pLzMw8l8kteCyqPWLasJpGP-osLNuKNYon+jF4I4omKTE+yoo0eDBwLonJRiBKJUYoSjd4P3I9Vcr7nSEsXi-LQtvcGiUlGr-HBDjGLwQs0SihOUo0SctwLUovyjIS12Eg8CHGL0opq8us3qEi8DA9Xw49lizeL+wi3iTqzwHY7dCT1O3DQj7KPOrRyjBq2cohtpA+KmrdyijCM94kwjvKImEj8iKZWmEzziA1wkHI-8MokWEg5DLeN5PSKi1hLcI6-8J108ItVig6LsY2kMEvxkHNKja9ST4vUTa6M2tGTjjWKy-UiDnuXIgpTiiqOAAp4SIWOUXTTiCdx1NWqjMiPr4v4T2wIBE5zjeK3yI7FDk2JBE11A+INwAjICMjyGo4SCERNEgvwcaiKxE1ESn+KaIvajBdwc484VISO+TQQCHw3xE+LITa1y42fiCbQK41ajMh1xk5YjORPTPaU1MzzbIukT8bRsgks9RAMLPOjDa5WIk54SY2yHZBmTN+Nt3R6i9iOeo4mix+NFEp4jhROOoyWToaKVdIhJdAL+o3ocAaKnla4iE4xVEwt9EoPQEiGik2Itterjw+VBojrjSpK64+Gjy8N645wDdRJAlbdDnhiPlHKD+RXLYjYMa2NMYvYcLRPS7NjdsZNOHE89jPjPPSI9eWMdEsO0m8B5QrjcW2Pb4z0TcWKcfPfiOoOxIw-incMLYz88CML9Q5LjeN2p-Uki3QPzHTvDVl2zIybDJ3x5-azDILxoEk7imxOjHYsSdoXlopC99uJYE2sTN337GVWjGxN3fIX80xJEVbWiiyVJHbfMqxPnyQ2jhhGNoo-i45KTEofCK0luxc7iHUxH5dsS0ZM7EiVthBJkVFJiXu3I5fsSvoMHE92ijSJPtf6C0DWn4vSTajwALMGDTgJXQq0iZxJQY6GCi5AXEmcUYe2XEpGCq0zjolA8LyV1HTGD0C1To-lj9xJvCXFNDRKFXYMimoNfw-tNI20kEt7jbxJxAgFd3R0-ExmDfuKtkjUTFBNkApUTaLVUEg1jNBLbo7QSXBLfw+BDtewME+9c4FLQmMCTeD3uE-ECgJJkPNBSbn3gkmrCZ6MrIoejnBIvEssckJJQ-FAjjey8E-QtByPfQvCSRsIIksbCiJItg4ISmeMAQuciNbxCE5UCKCOY-ZD9XDy4-MCc6GKQkgXi9yPUYw0DAiy4khhSQiw5krQSF4O7AwSS-lS4ou7CgGLvIkBj0+1QYyijAgRkkuiisi2HaHa9B4LPHRRTWnREzQOiD-2DomjoQwOr7MMCrrwVk4wT18QwQtFcHrwIYto8iGK77Ehi0lTIY5CipOiAnRySaGN6vQRSRi3bgryTO4IxvIije4J0UpCcB4NPHH0DhJI748RiEb2GnPqUGKLwnGKTCJ16eTG9+JKkYpKShJMMUsRiOwJYYm48jFgupJ0pspJupNRibvSnHAqStGIyE4qTj4ONknITuCOZvNi9L4OZTDhsLGNJlVaTIXSyYxKid2x+leF1O-xjYz+D8JNHIxhT3GIxLTxjWFPRXGiSYhPq3dniiCOmU5bDgmPXI+gi2BVYkxBDbvU0YshjtGLu4qSj5wJkohpTz4Ll41hsHb2vgxPJMmMAY03U2OPIfOaT8mPxQiKdQ4BlLX29kYDk+VpJ51VqCaBBVSxVLCoBUp3j5RpiLaS4QrKc47zaYh05XsKNLSRBiWKkDERCZAyfxdRBggW0QPoFb73EQ2ljf-keELPFbrGrAUA5QX2ABSqwzVFdZCAF3WLuHH+SDEJ9LPPiCChMQzwZPmM7pCKT7y2KaUhC5kJsbIgFmNTADWuwIAxcQ3Ms573zLexDVp0uYnxCXmMTLNlS3EPnvClTCywBYkXC1Qz+Yte8wkOTfZuxzp1BYjgiPRJc5Q+8HFw6o0+9h+O6ooojkWPPsVFjByy4DVlQRy1rYpYJrcKFTPFiSlwNg0cESmK01CQMemKf+c9VoVLJQWFSP-knnH2kIXDpYs2RUVPQcV-Ez-VQXOQiepMxU7AdiOLJjZG8kgT6EgTiYNQplTB8yEJDDOjivpJHyS7CYfEL48CJ-Pxg48hDI+OWEqdDBdnXBQGCPpAFwu-81kK142lSvwNefC3gfqIEXe6TgFNLw-xtsqJekiIi3pMwqHPinMw94zyj7WPZwgRitONGJN4jYANbU04FHWP7k5IjeMOqDWPp93AagyLiDpRKbDmMWKztnbdFviP6PaRkDHzVQ+FDrzilQzT1o2KNg8GSlVNXU6GTlVNHDY+lXhyPyTNi2aJxI6Ode5Jdwpsh82Li42fDkUlv4nmjS2OWDB2S3H0z3Y0S1KydkxSiHqMwEsbjuUJUfRvDzxObw4kiVuN2w7cjsGO7Y39TRaLrElWiCnyXUodjC5Prk7bih5Jk9TNI8UxVQh1w51KvfUzMalMdo7VCXT0h43xDJ91XYzBTo+I3Y7aT9G2pY958jnzmiJDjVn3gIzgT1aNA-FCSLsItXKMtIJIkeK9i7CP2EuDiQ+O3Yy1DGyODEhldUOLtQ19izBJUeH8EM1JTZEOQuLV-Y4jSiJUQ4lZ9dWMg0+UjeHX409J5BNIk3TNTB8FE00MtRCIC-PJj2NLY0hKs92P-Yq9Sn2Mo082ivf3J46hS-4PNUluQjHCMo48t60N9Uo6sBpLP-B0MKwSG7YTSdQSmQ53jDwPmEkTjxWLuEjnUCHzSidaSkiIHVEhDZpIVY1ViQ+MarFoEExMM9FTSwqMmkhf98NOE466SEd2LUpHdUvzPw2nC0kxvw5oZXpPk4qIjFOLy-UYSVOLNdDnDO1ORzPnCqqMK-Sr9gZJ+EjtSAZLtZJvjmgxb48nkFX3lUj+Cu+MsXL9CXp1hk1NiN1PXUnvjgMMJkoFt3OJ+khKjvOL3kmDDHvx+-H-i-Fz-4iDcvRIzYn0Ss2K6gmfCPcJTXKJdT+NwwjgTO9y9wxOSfcODPaYiUl3M7YmTOiLBowvByZKJEvLiSRN2TGmTlvxpEjBS8t1KXO6jHILkAypc+RIiRD2SwBLa4u4jThOaHN7SIoNVE0mSrPkek7riEaJcgpGj+l0i7QZdY61i9Ybj23xx-WJ9dMISfSbic5y-U+VS+NzbwztiqXmFo6BSe8LW48TdFmgLk59iuBJh4mDSZkRmxNkjMxI5I06CQNJNohsSZNOlogejSdNEVBi918MEE27jJKKnkppSd8I+g6scYvWLornFsJKS9cuiZ62fE+QSEsO1-Z7TwFPBXSBTXiPIEmBSoeJtQknSYJIAkohTuXwR48mCkeMIUueiIJOAkovjsFMcE-Hji0M1g36SVDwN0uCTiFKME+iVldNXo3cSK0O9xYUDaFO3okcicCICE8rcghI4UiZTvGNmU4+iqCJMEkx0ohNVA+ZTVyMWUnniM-T54hBTLxIN9Km9et2iY-rczkS+POpSuaHKk47D8hNSY9lCzGIyYujSqizXY9T91NMqE4RtqhJdXcRtLNP6QtBc2WNs01oTYGG44yjjsNOUOAXoe4TsYMQo-4m5KNzTyXwS0zzSktOQZElT7Ci8-E4o41JG0mvTsmOg4jHDk1NJfQaTiTSBjbJ5YtP6Epz8rqwI0u9tktICIu6S0tIAUitS0+Nk4+5DTWKEfAqjnkOjUq1iB9OPQjDtKqIq-RiDKd2r4nJtRVONPEGTStOfQ5LBX0P5Qx3ToWMBE+ONe+Os41V8VcKH4jdTsBJgEs456RKNk4MxZtNm-K7S-F0Nw13l8xJNwo6iqRNuojfjKuJe07b8ykNtwzEio5IP4xGSOaKPUnXlXcI202nSAxPwwnbSi0N5o33DL1KS4+-jVEVNjUfjX3TAwl-iWOMs-PNNo8P3kr-i7FOKondJxayBghekANzA3HkS+1Leo7-SX9K1EjWTK3zVEstTgdL13I4j9ZJdzTWTFRNRomYdLB2RbSnQMfxUw7WSG11G4rt9yDOIjBvDeUPdE0OSf1LDEjtjFuI7w5bidDP43SaDq5PFo6gS8QMHwxkjUCJ24xgSy5I5-SnSDuPcwvflZSIufWTTj0x4Eu6C+BJZ0gQTgsMUjSeSh6ydo2eSrxP50mjlTVKF0oN9YyKl0+MiX3wek4Hj33yUEyIzXNybozg9uYJx0nMjtNIvYo3SFoNh4oNt7tI402NDNdOt0rHjDBPsE2rDf8Ow-JwTMjPbI+HjjNLN09BTFdLyMyozXBIwktei7dI2rHwTnGOHImnjJtDcY+ni6P0Z433TT6M+ZXEsL6Nok6iTvdPAQ-ZcI9KYJGLk3Dz1vcPTrBIQQwv994LEowqSYmI50kqSgdIk-dyckmOt9Q5TBJy3PAQiSJ17xY+ICASqKZ1F+4Ob0mxiLlLzU3zUtP114yQj2pKNLXv8wX0+wwf8akKeMQjilCP9UwxNl2yTRcZoU0VLsXhcOym2Ezp9F-2zRRLSV-xGE5Tij22JlY8EAiR+levTgiUHQ5ji2TzezDvTYiV2khoFU1OcIp9sUiQ+9dIllDgCDLEyQTPsbLaSITP+3G6SE+OX0tdCacKIgqdTqqMz4vV1NBxuE+tShVX30krS6tLK0t4TuWIqo0-SPhM1E2viAgKdNJ-SIZI4g7rTIRN604nMoRI8Hb2U4RLwAyoiCAKRE24CqvV9PHgzKDXREpmSDIMl3BaiXqK1wrLjqZLJEtajuZLyXQ0zaZImI1fioDMFkikTCoNMgpSDtOxEAqyCxALVzEEUsFP5kx7SYDMB4prFMST1k0WTY43Fky3lftLEM13deaCxFT6jfII4wcUSvKPOIqUSSRUBotWS5RK+0w2SS8OEM8IzC8MTMiATAdO5VFPiFMOQE82T0oIUMmIyg2Oi7RlDn5MvdW9SthymMLYNChKaxUEi5GPBI2lNBtJOHG0TWg3Jor3iogP9kmICkSOR0srtUdNDktEjWoIjku3DkDPQwmOS0DK20+OS8DOQ4nvdQxLJ-XQyIxKAvDOSQLzl03HTKBNIhZzS2I3jQ5n9UxPuXdMTbDKaAs5dGPVX3XMS+yzjFAsStuKLElsSdN1LE-aDD9wrE-WiuFSlIxwzqR2dwnjT58KZ2fFFHMKFI62jnsSCw9kdfDNnA+7jp5Pn5WditgNdoz7tzR2xpUcT4snHE8AyWJRMUsU8zFLoM2bYD5KRxI+TLFVnFKmxEYMeA8+TkDx1HN4CQQlJxb0iWjN9IvS9-SPxgu2Ts5JPE5GoSD17MgK8wyKLom98pBPe4u8TPuMffJMidIyAUtI1-uNvjSXSpDOBXRujN6yywlIzuD2zk9uiwr0i9GWiyjKFg7XS+ZON0xozlORwUr+dqyKbIweTCjMd-Eb1p6IXMshToCLqMvBTLdPw-NSyKFI-k9ejTNMp4jozxb38EwiTRlIq3FhSBjOZ48YzKCMmMhYzCSwcsnhSyFL4Ul2DpJNf+F-EHVKEUj2CwZLykn2CnlT9g3GZpFPl0rG9MlPkU+BimpM7hZI8Vryc7Z0DnyMgY18jfDlAJedpwCWJFUR5M+w+vf0D4LMSPWgy0IjvHKo984PXkv2iwKPqPaMCEpV3xFo8nFKevQn0q4ICPGuC-xx3UNp1B+0zAwY8NjzrSW1SYmDRUj1SAlMBvDuCmGLCk0G8fNMalM+Jh8U02CAkXwSB9OszwpISU+iiopKyUhRTpfVyU+RjxpVNBSKzhGJkY04tVrKmLApT6J0f7DTTn+wpvFITo9KE-UXi1jMyEuVSszKl4xJjRty5LPYyTV2OU7XTE8lhMzXJ7GMrRYo5YNn2sy6SuhL6Uh4y5yI6knDj-dTw4qiowVLMopcEuWLxPJdtw-j+MrxoATLsJfBcBWIefaaThWJYfUfTvNMK0mEy-CThMlqTPrIiWbcp41JSzX6yAkwxM6fSxkPP-Bo88TNDggkzpRKJM-6MSTJxwskz0TIpMxfTbpJLUlfSEjOUHTLTMoPiIxnDt9P3kQpMsbM5M09CUTMvQ7kyhXxIrKrTvhPbUnRcH9NwktiDbOKlMyUyoZKMcBGTPBwRkj4gFTNGoxYY8ZIE1EOU0RIXkO7Slqyl3XUzMuLn4lXccuIu0ymS+myowwrjyRONs2SytdzyHSAyFLTtM8odLII-rZkSLIMkAtfjpAI9M+IyX1KAE7gyBRNEM30zWhxDM9ocw7K+ouqRIzLOIyUTlZOlEwwDZRL4M24ikzIUE9yC-tPigiQzBDK4sjUSYAMUwlASdRP64jfSxVF+Ig9S8oMrMzc8r4MROWsya8KtEj2TmzN0ZO0SmTQdEhEiP1GvPaYRP1ISAliDblJC43dTFtP3U0cyouPQMnIDvcJDEwaDDDIx0vQyhaMXMwVDe2O7kqyIJaMTEuNDkxK3M6DSS5IaAvczXMNNTanSTDMbOWuT6dMLEs7jN7N2g4kcyxO27Q6C3U2OgmsTOSJp0nuTxzL7kywz3zPcMpudvzNw5VnSfDIjTPwyuR250gajPoO2A5MIKLIII4uCDgMC43XDtFX0kkz1JxPI0kND3+PG06S87SLQsuz0MLP3JLCyY6Jwst0j1L0Toq8kiLNt0kiyH5PbTI8Tf5Nfk+misz1QIig9osKYswlTKLPvEs-CNf2JhehyUsN4sxQyTZLnrdnsKMAYtWXSYxJ57BXS8yKsMmMd5NNK-BjSNdIUs2ozcFJN09XS2MJA48RylLLbIlSy4E1kc+DjKjLQk79NDeyD-ZD4Q-yBfTeihyIss02C96LK3Wj9jxP6Mpyy-dP11YYzohM4UvNtuFIz-ZyyySziEqCd0Lw3qJ+iVVwCs0RTheMPIkI9TQJPI78SzyOmvaKTslNkYnPS7QOAY5IsErPAYryyEnRSs2FVRVVyLaG9orOKPXKzwYKSpRCyc4LQYnSTs9OvUQuDQt1Acu6cvGLjA9vt6rPgo169EKLJ9IrwKfVQohql0KL8U1uD+rIYYwazqpWGs0sDRrOgY2Jyobw16GsCgnN2suay1OMSUxayorJOLVJTsCU7A2RSBJK2s5KTryN4YvayhwIgoreCSlOjg7aV3HIPIjZTNby1XACydlL0YvZTpeJ4IrnSTGOfUmqTzGJxs96yJsxX2JE0mpK0onpSxCn+skW8BlJ5XZ3TaeKss3ozjHNss0xzBjKjxCxzA9KscmZSA9OXIoPS97g8s1bC4ELsc8JjTrMiYlYyqlKKkgbcNjJusrgjtnMaUrVCFKNNXE5TIeljUq4z-5xyY9jjbEKYGT29CmIzQYpixA0igZ5TymIWPHI8J-Ruwb5T7aF+UqO9MpxaY7KdeEOBU-XjQVI+wcFT6kMhU3ctH6VUlaUAOzzaQxFS5EI-pTOROXIPCZ8F3bDLvZqcdH1anTul2pxjpO4Fl3nfVPtC+1mbvEgcv6SpU6ZCvGlHQjjizmJjLce9uVIHvFlSidjeYu5jlp05Ui5inmPWnRb5p7yHvVxD3mPcQlu9JXMlUgdlSy3+Y+JD9qK1cmexnXNlUjZymDK5lFJCkWLXUxVSVbN9cq+9ckIMBBFShy24DTFjnZJKQnFiBzKYIKcttHM2rJlyWXOXLPpifkBKlf1ig6SI03wEJmJAfFltmREDpUF8PsNBsgRDmXIhsrozup3aE-B8ojy-UVB8Q1KpnGZD81OzQsVifwJ80ytzz2NYHDky0cOC0jZCg+LC06GzQ0PJs86SPoxuM7tzrlIlnQ4TKcJuQ-ViftJEXVhy0aLk46U0FOJ30i1i99P5MlVz+TILs6ndqyMq0n5DQZKw3NnBaKzWYodScSJHUyXC-WM7pANjis3XNO1wZ1NhQpDTTXAXUxFDpUOXUrr8++O74pWzFbLsfD9zo3IQMx18hzNZo6OTUDJHsx+zj1IJkDuDNtLp06RAaUOIM91h6UOLMjwCl5K8A8szsQQ3PAqCTIO-0MZd6zKOHRsyHxFwEnuzv1PR0gWjMdNsU7QzZzKMM2MS2BP7YsDSlFVh1Fbs6BNHY0+ytaK49SdjzbVnUmdjkNM9U1DSZf0+XASDwrJeYnUEDULqtdvS9hOGE1jSxLMzchoyUOK401CSpaOPstej1YPRfZ1D6V2+8JjTScK808Tz0jNE8h9ipPJJ7V8yX2IUsoRzB2l443DT6jPeosTzJ5wk8ijSpjJM83TzidIZAmjSFNOnQqRzsjy7czVjR3J00n9iPnwLQ-dir+Ok8lwyGdJawjDiCWOBfL0QC3Ks0gZC2WLdXFJhK9JIYavTRq37c1vTZ9KE4lmyUqMxs6EyozMY49tyW1Ki1OVj0bMjUlNT9pLIHIzzYILQg9di59PJMlLy2bKpMjmyaTPS0ukzq8IZwvKjF3MFswqiFpMbUrdytgQP00eiXhM+EwV8KtNogiWzK+NrDa-SRbOM4n1iGgkp3W0079MC0olc2JNyIpAC5vOX4hby2DP1fbDzwfzzNDzjpvMiLeBykLM-4ybTjm2m0v79NwTtfb9ybcN-cpAz-3JQMgwYEaCwwrx9KUJzY7Xkx7N20iez9tNxE0jDlAL1Mi2yVIPtso0z9TLtsm7Sb13NMykTSyPX4q0zPTMROb0zZDOqXEIDc32BbNOyMzNO0mFydZJ-0tMy5ZPa45MzYjJzMhMzoaPB0jKD6TIeyDTDYdK0wjt89zwhI6HyDK27Mt0SQ5N3cttjoxOGgwWjKfxp8sgSeHNyfRezAFS2XSWi-PNk8+jzLzKWg7eyJ8IcM7MSjzJW0n181aKM0gUimdMeXB6DfzNeXIQT1nM50hFzuPN3wyhzrxOoc-RDaHNYs18SQVyfEphyvxW5EwszoBLvwn98Df2Es7EC0jLM83XSv2KyMwRycjJ10tdj+HLEcrXSUeNdMuSy5YJkcx3yKjJQ4hCSHBPd8w3TPfJIU6R1gXOQknQtjLNaM2NszLN0cwZT6FOGUgxzzYORZD3S7LLYUsITPnM90+SUlyJvor5yFlIccrySEhJWUpITfD1Bc0SiY9J2wy6zOPLAcj-9DsP2UiqTHrM0uJFyXrJRcrPTzjOU-HhtZ4OM83PTLlIrA9v9ltxqEsRt54HewsLyy9J6kyLy-VKhssulVISDXQIkQcKMTMHCJpJn0-KskvOE8tTyu9Jbc3ZCIhRMbALSL3JhVRNSR9Ly8sfSHNMBjZRt8cOD4wniqOI80hfzO9PdKF-8piIyoviyYoLOErLS3APncvdD3pIPQmIjhbKbUjWUibPMEjTiL0PPQqAD9TXP04XDqtNlszdy2cIlwsbzNvLFfTfTmtLb46nzYlM3Ugb9lvLFM9rThIU-ckUylVLVM+QT8zXAw6gza9MQsj-jezxl5L2iADIgchgzk8OFk7fiysQHslmjiUNfPA9TrvOP47DCwPOwM89TttMv48ezr+MIMlGRH2Ie1B-i-0N-01QyEWIJk9JctIJgXFgyaMKGbdaiEfL7wEP5F+KNw2CzNc307AOywFKDs5yDgBMNsiH84fIB0qQLmfWzM5HzWuNR877T6vNSk1jcbBjrwoOT4gOSfXuyDDNI86ez5zLh8bHSRLJAcjZcfmNpbQnTDNJHYjHtrDKZ+PnyK5LocQ7iqULrJTnzzzJPsnnylSJHk-gSOxJu4h2iuPLEE52iGLNe4kujEFwwdYXTbN1F0ziz1BJAUniy1iJv89LCkjUEszEDEBLI83hyWQNpE+BTA-I-w+zzhHIt8xHiHfMMsgzze1IsEvXTOyIx4vkCijPAIrdzEJKksyejcP30s8NsCP0wkgDNQjNuc6nihlJd0x5zAhL6Ml5yHFNCEj5zfnIz88giplPmC-5z6JN1EUJj+eP8s5gkheOWcypTNlOqUqFzalM2MhJjJP3us5cDKpIKE-VSDnLYo56MfeJEI9vz89OewgGyQVOkI4GzwTXC8wfysBzs04mcK3KJwiwUCXTzhWyixpJryBLydCOyaefT4dyX8t-zSQ1MIsScyKKmE5EzsAtRMzCDr2NCoo-zEiRcIo6ToqKEHTYS9pLi0pmzmpOY0kTzKTPHc8TjJ3IRjDOy6vPT47rypTSf82tSWTNYYtrzQAsJ3TrzLBL+kn-zV3L5MorSPkOG8hmiX3Lf0xXD5vNVsj-SIRMI+PqjkZM53WESxQs8gkSDOyTEg5ESJIMQCtZsyfK5rI2zXbPE5U2z-TL0CznllqOu000ygDLjPSM9vvLNMjESbTOCYdQYnWEds-Iz3bPZk1kSnbNTMy7T9QvVzM3D-bNB8wOzODJFkmOyofIaItyDXqKzs96jQzNlkuAS47KhC1I8LiKTsq4jVTLaXGTD-9MR89iyRDM9zeUSc7MzM0Z0UzI3crHy3qJx8gsyhDP2tODyMaOuqLGiH1IS7J9Ta-MrZOuzunIbY1bycoR4uFLFm7NbM0L9pr3bsq89nRIJU7OcezLw8j0T+zJ-cjEj7mxHMwDzD1OA8rmigxP00pOTUnynswjyZ7Ju2OeyRaMhHfeytMXXMius6PM8CpnSMxIxHLMSq5LjEuw08xJ9mUDkoNIvMpd8993Psm8zyxKvs8kcb7MfMwXyp33YEiDz3AuA4sejX7JLEtsSIgrHkqILNUNn5WILAjJdok0dwLKzokiSE5kdjAKEYLKM9K8dZR32bBByrgMPk2S8oewdIl9hT5OwspA8sHI3Epxp8LOTo3z0FHTTog8VH5MPE4cTLD1IczQy6LM0c8MjGLO-ktXynArnrfElxdPVbUFdV9IRA2AyubJUEo3yH8Noir8S+JI0s38TRjL4tJBTaQJQUisi6gpt820KFHKsEsxybBLaCuwTm3U6CqzzyFPqCja0XfMs86i83BOATXnTKFJMs9+8dHMf0zozRgoeckZSnnN-kkxzpgsavdhTxlIT81q9FgpT8oJis-NmMgpA03PPcjNy8-PHHF+jylLfooI8P6Mj7M0DmIquCuRTxnMCcnayRJMWvUJyUjxjgmays+0yPTa9gCSqEpyJGSl6cfyKEGJKPJBiTrxQYrSSgKKsU32jrrzqPBvtDpKqso9pTJIJ9MY9iGJKc0hjVnM8U2qlKnIKlJyTlJQFc0qU1JQ8ku7yYwsFxZhjHM3pCsthGpQL0sKLTugIBcJzYPz2dBsCO3KbApJSYj22soZzZfRGciKzvlQGcuI8pVV2LC4sZnLuPLKTzVVUYxZz7Io0YnYLVnK2U9YyDguqi+pS4XIOU3ZyqpPT09JjHAzaUsF1YQsazc5ySbJ0o3309eMoTczSIZUPLAz8SynrQofzPgubQ7EyOhMn-NQiAQvXbTQiZ-Nrcxq5UbPDUulTGF2bcyEKlpNvglaTDorWk+EKqDMRCpKi4d3JDXty0QtWErER1hPB3U6S4qMZs9CDmbLP8yEzROOJCxPjObJyC0qEKQtLs4vj+bPyo5rzd9Na8r1zsQtU4rqLGQsBkiWy+vJ7XCnd13LtY+6dady-czrSGd2QCxwcA3KKI+GS5TMA88oipQtRkmUL0ZPGozGT2YsR0mHyn5AtCy8V1QoECuMKczzZko9dtIPO0vojgDK+8-7yIDLpkuyCgSWtMtDyP03xkqGUIz0dC53z5YoLdcTtjYtyMjKCKuLB8ytkIfM+TUOz4wqlkryCChx8gtdkIzMv8qMyE7P0AsMK4zIjC-gzYaJ+0sMy3Yv+0xMLtAt4JA3zTZLnPPMzK8K+IowKnqnLs4eyOHOdSHGiUPKTnSOxSwuMCsGQG7I1Cx+VSzi9kvwY2zLbsqmiA5NC4D9SNDKp8+WyLIp3U9TRauyW0x3CxzKvC1gLBwug8jgLk5J7YkaCJwusC8aCigpZ8++yl7JhHNwKS0L08p-kGPOo9HwLmBL8Cp8y0L2uQDgJbMIHLBuSdzKbk4UiW5P6AtuSJSOrEs8K1woo84Xy+fyfstDiX7K8C3C85gJ-Mz+y-zO-suXz-DPQ08QSAHLAsn-cfoIQ8v6CAuO0gteSwbGyc0S8A6OScoOiQIp281EMbPWQcqAt4YJgijBy4IpeAhOiMYNwcncTPBL3E9OiyLMzo4BzD6KBA08SaLLbC1i1vgKCMwiLEgo5XMIyyIrkE9IL9zUyC5hzsgtncr983xMywgoKTfKzkkiLzfLt8-IyygsEinsiOIqg-f3z2ouJA2CTdLMkckRzpHNvCpRyNPPEsqCSWsJ4S6hLjPPt8rQt+guIsrCTaxxXUuhTLLM0iiYLnnPj815z7LJ+c9PyTIusc4yLDIsMnAFy6CMfo1ZSJx3misRTPHJt7HiSXItNbIaKzJUYoiZyeGN4o5RT7JXvIqJ1JJICi0nMNr1asgaltr2QnLhjRoqiipJzt5OQYiTMirIuvGTNMGI3kgDTcnKSQhxSCnMIYopycourgt69UwIKihlUiouZVbMDtEr6vNnxIJyCUoayQlJYY-yS3EsiUlODuGLGioictjyy8-KzmwI8i5azYpNms+KSWPF-o8pKEnLikiaKMpP4oy6kZopykspStsKL8i6y49O4JfhM3Jw6yHYzbb2r82v0a7Kd85W19osAgxxiH4OOi4Ki8bNfg-pSpEqd0stz-5B6MuRLtIqmCokCZgouihRLdIrUS1yzbHPoSgvQVgoDheYyDksj0tZSKlLePV5y1nPYIz1zshKT03ITkmK2i84LI3MOMpXjnbzKErfz5WNg4nFzJFSKYmhCCXMH9F5SqikqyFsAJ-QXgClyzaXqY6lz-lNpcwFTr-g6YplyrouVsK1S4WHuxTGcBXIanUA4zwLzvbNyU3KSCEY8yVRWgLFKFmIOnJZitEJWYnRDD3NpoyLisVNFYbvTOWgAivZjEgE-8lR4hWN+igtTC6XGSeANvEN1cjDVLXP5U61zBVKY1BxCeUtSUfudsy35S2e8BVI5Ur-0Dp2dc505HXIlUkVSXXOlUkFi2NSuNb9S2tNfcnQE0kKmFdVTVVMH44UKlARyQ12BpNR5csNzdVIjc-Zz5Rgb3TsLjVIdrNoybLKJYy1TZO2tUjGcCUvMk3O8lAx3JdGdapw8PUY84KMUVEGzrNLZYlE8ovKbQuu9vgtyDQNTqwhrcwdzsvLDLWZD3bybciEK0vLOIjLyXmzFs3NSA+JHc0LT8vPH0xzTU0InQkrzIcPKE9lKx0MLU+WSXuXIcjLTqcNq8u-zebKJixry8tKXcz6TyYu+k6mKTYoZMgUzL9JJ3HdzK4r3c-tSpXJUfYdTGgwa0zR8J1OWYvGKQlAQ02AI73M+4CNizOEHY8dBbnO1SlAKBQrQC7mKjUrVww1Sd+MHM87yaAoi4ugLw6AYC27zT1J3i2yEoPJ88jDhYPPRoqlI8woDeSuz2hFQ8mbiSqmUM92Sc4rcwXDzLAvw8lOSBNxLnUgTM5NbolczWfLTTAdin3Ig0onSqNKV00ILeBInY2ZVZ0tY8my92PO+LFaK0NL-sjDSZFKw0-VDVNMS8uL9yvMI08zzeEvU81Rzj7k40oIKpgPIPXiKFPLbcvhLGNJj4jGLWbKIyoRLv2OWfZkNYHJAkqDKxfNxXSSKBqSK8izyDNMP9PNDPPN00qBchwoks0XyPAtvC3jKYVX4yqoz5txc8zFzNNPc88TSEBUk09jLpNK4yqTKP53d1LRzMOOC84eJOpNeMk3ikUp9XCNKDEKjSwfTdnyJZZGyrMpU8q6TMYtS8ldyfQwzS8k0EQv94zNCrlLzS3fyKbMLSlVj80tn80vUGMuRCljSiQuVdI4SYaxq8qiLDWLCIqtTcqIeQprzUMRa8htSKYuRij-zmQqaC+qjXhMpjemKucMZizkLWtRq0uWyRvKcoEziJvOlwjr8B0szi+ALf0PFivrShQvFMvFCFQoG0pULBbItjTtKvOIr7fAKhaz28uDCDvIQwwAykMPDklDC-3MPSv2MaUvoC9AyYuJww5gLVtKbiwc1tPL-0YjDXvNuEfjtUuJJksOKQHC2ooKEfvM+87LjviQpk3WLX0tNCh1LFApdC5QK3Qte0oMz3tM-S+QTIfIHPKML0fN0CwQL9ArgEtHyoFJkM7USMIxLsuLLWZGGXTTCysFfUlQyKwqGhCny8W1wiqrK-z1HCiSj-1JXWScLUjNEsvHSqBI242jyi5MksufddywnzWj19zNWgw8yLwrPUubKLDP3i1BTD4uqZd+zEwru7F-duxIe4meS+xPQShIKBdKSC55ET8JF0nXzHxKSwtnKXxPIizy9AJW8vaLKEcqoS2BTmEo2SxWCQIN98w-TpIsEy7fcKsNaC9SzkFPwU-QyugtsEn8TRIu98niLT2Oh4gTLOMoy3Zoz8HIkSrBLhgr8E-RzqP0Mc1kSeHB0ikXLGPz2Sx2DdkuUSgJilgq54kPTrXzWCqzzhFKrVLYL8pMuSiplrkp0Y66zkwq2M-pKTgtl4p5K09OBI5Fy0GQb8rhsWojV45ijW-Puwu4LSJwL0nT99KNBNF4KNEwH8sGyA4GGQojiR-LzXA6MbeLWvVE0JuXDXYEKgsqE8kLLCQoBitNLC4qRwzblwYoCo1-jB2k+S3Lz6VJnQgrzI8PzXeaMI+J8y+NKy8rK85LzCMov804ia0tlPNiy2HPS-WLKpdMuEmtTd0Xy0wADq8ppi4rSSkva8hmKIAN-8oGT--KFwj5xBTPq-bkKV8rAC8dKKa3KyszjKsuyI3kLvhHf0+Njt0s-Qg2Kasrao7ESzbJWymYjNsqDkMQKKZP1wkAyF+LkC8QKIkmli13zDQ3dM87LLcKq43dLKAprivdSAPKu8k9KpspP42LiL0oe8-Ej2ArnYI+Er0qQKqmkVWTIMkHLNm3ay5fK6wu28nziU7L6yolUDPRIC3rKGqiB-EArRzT4w9QLgaPTMrQLowv9y57LTYvh-N7LDAsKCujdU7MRo+QzLZLzs-UTCMxJ8hszWspKkb9LSYPwEozCbArHCuwKGfKhyiQrVuNXM0wylNJA5IfM5UJZ-WDLduPHi+wzK5LvsmcLY5OA8mzzoMpg-RfD4L1bE8IKvDMiCtnTogrCwq+K4gpe46jlUHSZywBSsHUYiwBTojKzCpgr2HJtijILy1OoimXSsyOAys3yhct6Ch3L-xOF7c3S1dM4S23VxYMUs5Rz-8poS8IruEp98sIq-fM0s2eztLPKM8XKpcq1yiTKtD11yqBLQ-Py3Z1xDcpNgkKyEHmss93SDIsUSxPzZgpUSjRLU-Jscm3KOPydy1YKgXNOSkFzOBVSEhydY9MsKvJz8KLKkh5LdjJDy+XidosV4tyLE1wDWObdWUtb-RPKHgpFvJ4KdBTTy7QMQ0p6ksNLh-Ps03zLSrWGkp8DRpPei8aSyego4uLyk12cFAjKF9NTS5zLsbJUokGKGpMazdfzG8qCo07MB8q51WGLEBnRChGLjpI2EtLKcQsCy2YSLnJu3G9ix3PCyidzjhLrS6LKJ8uekqfKctIXcltLSYuXc9tLXkNwKrtLKtP+k9-ztOIr4oAKODRAC6LcfXM-0-rSutM5iuelUAKYDHmLpTNKIqG0+Yq1s4-dERN1slETxYowCugM-8rvnWWKsCpiHJ-LtQstsg7LrbI-y9WLdQoB840K9YvEfdkSC5UKXHTV-Qom-RWKrqLCsgr9vbNmI66i-bOgMoAq9fPB8v5sQ7MfygMLfQrRDEUrHYrlkoMKgYq9izKzDi0D3ZrLd2U0C0OKGCp0CiOK7Qp9Mj0KHspeIvwr0SrTC30KMwp4KrwqxFzvS5OKK2KNEqtjSU1Ti-BDtzwJot2TTAtuy3214CDOHU89y9yLijsyO7KbCmvdu7J-S9sKCUO9E6gLwuPGy49LusE5ox7z8DOnMyezZCr-UskjNey7i9tie4ooE0DK2KTnCueK26w3stQqbDNZIk5d+fK0Kvez1wu5Ik8ye7U24yjK7fwxy0B8WFQvs1uTSyWvsg2jb7PrK7eL6xJwMoeLbPPR4u8Kj4vJygQy+6y-sh7sf7PQyxXyedPqfAcS3aJ4vUsyJ3ygswvAAIotIs4CQe3G0r785xKgPe0ilxIc9aOjFxVjo3Cz3SMQizcTtxTwcvIqCHJgSvA9yLOIctIyqLI1SZBLYytQSu+SosJV8oiLQjPiVWEDT4xBKhhzLkvwS7wqPCtdC-XzkoPTI+iLMyPYKgD9ePJYiz8r5sJCKsXKkiolyrIrLfKiKwRKqqP4ihUjEivYSlRyvfPD2aIriMoiK0yCusNyKsnjAvPt0wbDVIr0ckoq7e2Ik83L1kvNxdRLKiqMi63LkKtRaLRKllPRSzw86nRccwa8HvX0Sjxz36ONy7xyJSoCK0ZzNrIsSzyKUpJvIkJyVFLCcsFUInMhVLRSE1JyPB7A8jxalSWJCjxWslqzjFM-i0xTNJP8S9BjMnLXLKByfzUMkmkR0opUzGqyPxw2UbKLXFNyi9xT8ovKclCj2rOoYzqzwkA9S9o98wM8k8yLvJPieJpzQlJaczAFFjzleZY8w8myWXuF+ovV9Gij5rMng-py6ksGcrJK6oskY4aKUqs8S4nzpnKaS2ZzlGNaS0pS5oo6S86zVjO6Slyc7kqwQyvyU9LOC0PLqzLr86yJxkp2zSZLrGOmS+4rH-1ak86KWNEeU0zKOPNrQxoTQ0o+C6Lzy3Kei0tLfgpOc58C7KKBCx3ivovmzCa5y0o44+aSUspVyJqrzCJ3A33jerRsImZKCQoVdTEyGbILSxq4XirduIQowd0eiD4riTNxCtGL8QtU88-y+FxS01-9r-OIShg0CYt+yqAKZ8syDOfKWcMBihEqOvI6y23yj9KRK-fKUSs0MGWy7Sp+Y12T5cL5C-vj33LhYgkquy0aylADiSpW4DWyySt53NGTCAL1soESDbI+0lUKtYomomfjaSqtCpWLRAsJE1WL9QpNMq2yHbNVCp0KYDPpKzIqLSuuFcUqbQo4S2-LW3RdMy2KH1ye0ohKvTKVK30LCap9C67Ks3HUAmWTo7PDMhrBtSrPY3UqLGljM1WS-YuNKqcqX8tn7dwr6z39iswCPsuYg+7K7oG4Kn7LwSpzC+9LW5kQ8gsLs929K6qSazL9K0Q1ywqEKpsy84vCAluyg7XDKhsL6NIEgcwKpuJQS2AKw5Jjc5mjI5Iu8nsKoCtTK0ezECqe81uKRwuzKtYzYcv9JBwLTfMRy+Qrcg2XsweKict40uhLF4sxy5cK13wF8reKcxLsNQ+ytMpvCjWjR4ou4x1M+gK3zHsqTwr7KzeLtCobK8DzhyoTqt8yXfwl84+KP7O8Ms+LZyovi3+yFyv-svUjlyq-C+BKfwr09Ygrf+NIKkCjgkqGRLeSpxIkvH+LfOLAi1CyIIsXE+z1MLNPKytMQEvXEsBKk6NXqzA87R2wPMB1CHIDIrCKgyNzokMikKqm9eIK7CvnS6MiWctSCznKxdLkEmiLp0r1-GCqweIoS-wrRLMCK1iK-nJXo1CqCKtiK4RLaEpJy-CqJHPiKuIqv6uovFoKesO6C9rCiKoIU9XLMV05A0jK4o0oqjeqTNOUi8Py6Ksj8mRKY-PHI5hTtkstykgjOKqWwhYLcGrII5YKmipbg+n1dErsikqqjQKcisvFeJNMSjJTMqtkqipL5KvXgmxK-vT8itqLHEqRk10DPrxhVXJLk4I8SlX004MRqX8is4P-IwqzAKNDAh8ch6rKskJKOslwYz3SIkucUqJLnKpiS0pzC-XiSrDNEkq6dapyzvX8UiCdAlMCq4JScqp4onJKOGNgYva8CkrSqseDEqpjS8xLklM8iuKqkswkY6Sr6GrsaxhrJnNTnHij9rMyklpL7nVmiqPSwXM6SsqruiqSQ-Ri7rL+PB6zBiqOUg4zLgr2i8YTGT1BizpTzlMbRdqrZkvazeZLfBOKKo8i7oEYqzBqKip2SnBq7crIkt+q2eMKauZTgiu4qo5LWBQb+N5yzKXOShyKvcoxeH3LtlIT0w4LbrOOC8JrTgqGSn0rXksz05mc0XKH0tGyI1PpUn5LgsL+S7l5HlMJc0f0kiQqeNdoJ-VDvCFL0pz+U5pjY7xtpIFSUMqlsO5TGhOYbKtCvRGqaycZN-QaQ3NyOQBkWDsIqYGbCHRwZHDqpHxKKor3nLctcUrpY45q9bFayOVxpHFfpPKVrmusit9UvmLJSyFCKUranD0sXROIiqvStmIXyxUrqXmq2efYSdXUQylSWUpGjanpnCgJ05qV-CgZUkVKdXKcQ7wjk10BJblK0Ws3McVKn4MxanA85UuunHfLrQXFU-ullUqlU6t4ZVPVSyelWtKhY-VKrTzs4+FjmCpxQhlrJNWDc-EJQ3J1Uid5hioNU9jCt3Gya5qcrVABa5sL64sYMmt4fmuQYCor4FXBKG9wtan9UX9wc1AQ8EYyQSMrS16DMtEVa3U5lWssc2uy+WNskp4RwPBdUf9wVWrNqzjidTiNa7Vrk-JLC7FzodKB4Wy9ixmPefvyMzmnmfrKDTLUgzBjkJDveA-YH3mvzGil1jB+xBVK0HA7QRCttcow7f94WEDXszLKFf0zq20KHQh-Ui1g2cg23WQjoHxdamx4LYpM8ihz8-MGCwXSkF2TvWpCUUt01aZFHmrtsQVhzmpgccNB3mqnEm5qZEJpYvlyH6XEcU5q9UDLajjcK2quaqtrPmtQyr1ToHzeMnv97OMOrYarn0Fi8yViXDiyOLO4FemDU3vKJ-w8zPvSc8gfKM1r5XO-WQ545rkha9p9jL3hK2QFool2aBZpJ6lPqAdyeTJW6DO49blmucdqj-PWZBSTjjMZePZpK0olqzXKYsqiy5wq19LpwuOL9sBK+QT92jjtawr5NzPx8rcJTjXfaieNugglratTctOuEwHKgBNdYgdTfXhr3SLjUZxtLK15wXJx4kYxT3MnS8lLb6uOnYTwUeSjmXPh1jBGS+ArccjIISlw6KwDee55sRkgceU4ouTuXQtyITWHSnCFJEkK-LWSlaraah4tpBTHqkVDO2puiukhFXE-XR4cZhIY62FzAosYYCAIvqCgCE8Qb3NDY0+rnXAtBAYhH-BeM8zhbXGDY0Tr8CxEDJNqjeJvaAQJvXGG8WYhxBNXSqGq33KvyhGqd0r4C1lrr8r7apxLoRPFCwSDNbLRq4WKMaupK6RB4yq4UdMqpzIGgl7zjtNDPd7zzbKpkv7zuSqV3NWKBssHqzWLAfJNChoLVTJoK-zi-wu4RSZLVbn7cfZNY3i3CTToNamo69Zj+YpTkTVqLWvzVIpqmsVlazH50vDvcANQPXiPSej98aM44zick00NanX5CutVaglrVJNRVMrq+UAq601rIWMlap9wdWutas1qiwotEUTR6upga9rrmWiPsaVqEOI2eCCpROigqDpquuqRXIHKP0rlirLsbaphIoLq-HKSJZu4AItjuC7oM9Vtq2sKO8oW6xVzFupQ8dTCYdNDwyiArsvDsz0L8f326gMyg4sD5bOyFatNK8OKMBIZQ+DzMaMfShOL5BI3KuqxRhiygz0riKk2qJ+KOdTe6suykPJs8LJJbuNfHD6odPiTig6oWrA88F7qFUiXufoYjap41HYZbUlK8EHqDhlPlK4V-qkcskLVfuptkwlMDBFtOVox0eoS+THqYev+IuHqPXTeGAnq5DRWqAgSgMvDEkEdSWysSgjy5CuLKhiTS9IzONTqTZi7AEbxyOUky3OrqNNJys+ylUIQyqdjENLY8taCoPidalNqzZiZ-FQqF4t33TysmPLhBLLlcRg7nfwKlrjO6UVpd2s7hPn1nvgoylMTmxL3C+Xr182ACXDi0XVm6i0ZVesrdGTzggtN0+uqjett8CXr0Tw3zQhAWOq5bfHLnSox8kcqDCrLQkM4l8KJHQXq+phN6zRNUKjoNZWjlh3zsq3rWyu2uI0Zfep6A+DKA+uDSzRNOOuK-bjqinwt6lIyI+r167a5Dpk1mZfD+-Ht61nru2oT8bihuZjCZUPqgGr3ixOr7chzjSj1c+u1OY3qE+v38CgIy+qXskkoM+vXs7a4hzk-MsILCAnz6wPrG+oG8enzXetzkmBq2+pl6+RZVzhj6-zC4+vR8AvrHeoMoUDJXIiFcRDLb3NF6vHLh+obJckrweDKoWfrJzhbKzPqBWzKfHPq-eun6mTqITXACN8BP0mE65fqxOtX6ofqPML4i0fq7MNtTIwrynyvMk-qYRhaYSwJopTX6+-rQDVb63Xr2+pXzGi9J+pMKnvqJgA-6vgJVAgH6ztjm+vpq-QruMu4EzD8u+uWmcJ5hpjOnNQJELjT6-djtwtcM0CSuyLl6ofkIBpqqcstl0miQMXqUqxwG-zy8Buj64wqwnjc5ah4+QSLzWAaxMLAq+AbtMsQG7Pr-zgMBZIJsbHIGtkrEzyl6zcyx+q03P7xSdMqCFuEjsTL8eoIZUKwG-bKBBvnCtHK1uysS5AbcshGCKbT+6uYG7ojSarLK+kcMFkqSg3rCBshCAGx2Qk0Gzai7jnBqe45BBsjap-qhFUP6rgb3aSMG9bIZQininNMlQiVyH4JoICPVHQb651uxF-qj+tbORwbjQgnE2QbRcxRCMIbROz36wAbeHWAG2gbKHkJCd1qjaL7itIcVYu8G4fCgBSQGkAbGDDXCY0ITBpCGrzrKatSGgeSzcXwGlQbtZnFa5wbzwvX6kmrFKjVCWoatwuUKmwaSwQ0U5OrQH3LNPBoXBo9FISrKBq58kDjzKsbklOr+5Hrw-d5bUVMGjVoj7Ot6usjRBvzqpGSJ1HlfJRxowhz7PfCkUINIr7ts2KFXdRq6pkMzYJ4ULPnAgGCjjh76BWZHJDys74rHat-desIkHJnq4+SKglgi10ikgFDvXysfmoXCU7JOAGHCfYFJcIEAScI1aWnCEEJb-U4MRcIXhscrVrBIEG2CPDUw6QHCdtoARqRQ4EbnBBvklOjUIvvkh8q-gKfkh+KLR33qt+T+ezQSoNKbkvl818LexNcixq4EdiLuLPSjylBCl1DW3PhakVoymjh6b1CPPJI0+atvPLQKyIq2Bt56i38ZMtHlEdrcNnCuZK42VhWZCkbF2h3a5ZoaRtUyrM91MufnDMq4Bsf6+eL0OTZG8do2KAoHexgBM3D+ag4YIIwqoGk+RvV6qkbWXiFGndiRMr-YsTKW4t88gM4dwpi3GUaPciXayAZjnhv-JsiD2qaaTO59bhPalTKdRrpGz58GRqDqw0buhomG4zTTRqrODg4crkiuDIyrMvPax1Eumm3a29jw0NVGw0br0qZGyUbyyu-Tb0a+rntG8vZ5pyU8yYrXUQPhIMa7yi6aLTSWMrefKNCpNIiynnqFwoQIyGI0KsiaF4pkuhwZN7Zqnn4OZDppnwtQ0irbmrzGjTKCxrrk3AaECOiyCj4mVlHaxMbt4mA-BDjzUMjQiMadPMWyro0Yxt0G+G5TRr56QkbI4OvBEkaiBjrGwcaGxpratjKxRqc60Nqa6uHiy4JGEp6Cqk0LBXGeDMasEi8KbMa72NI0-MbASrPMyPqr0zlykSKHQ2na4+It2rna39QBxrE0psbVxo4y7IrxhsvGgeiHUM-qmSKhxpGjLsbORtqubkawxvrG2Bqw-nIyo0a2xt8w0+Z9cuYUrasjMqLcnQVn9JaE8zKzP2xwjdrMjiAmsdqSBlLyqdqm-xna1vJHxrc-WEqsrhwmobZkxvryv3izGnVGmHpemmpGnvL92qwmyxouRuzuU9qCWTvGy9rQxv+KmxSXYqCIsfLb8Ok4ytTdaoENR3pSvj-a2WxOEi-ano432qDUBCoKYu7eWYq3quA65-y61KyMd7EahgNIE6Ypuoksl1jahjdYqlLAWrFaybz8esCa+aiciLZiw0qOYrXSmYlDOphkvEqEAt1k-mqPvM86+XcUhswNTkq-Ov+-Kmq8atlKwWTGasn4hPDBsrGI80LqatpEomqmaqlAlmSpSoZEh0zqJXptAKafbPOox-Yu3RHGk7L5m0FKplSLJlMqRjEspsnvHKaA7Pdcmlqy-OSQhgzaSpcXLNLAcI2s4uLFrP-4leSxlAbMTMpfTyOy0Yi3khl4CMZqjj1mH7RGRJ9PeAzTvK7CkJdLvIDeSbL+wsc698bnvINMYtioxvRWf3lqCpVK0Wrg4su6gOLn2rB644Y-RLLM0nqNPC6mnoqN2qx6vzx-upIA-hQiAte64nr44oOm7FSXkyh6rmRTpp5yksyaeURqK6aTUhum1aaJhmKoBHqpEQ+GQGpnptR6sawzhgx6lPU9pth6j7qOvjx60153hk9SL6bQep+morxwZqR6-YYZzO7i2wK6esyfFSSW8Ohy8VDmeu40scafBorKgwbMcrr6xXq5TgeJeH5Rhq-81saqBvF86YbKNF9OPIb5HOxmtIbVLMrKiOpORkHSUmbhxoAG4Qar0w4pUobmZrFGaOo7+s0y68Kixp1y-nqsLiYG2maR+o5mxoaaNnHKt8ZXRnfK0QqlkRjqyTypZqlGrPrZZuBg1M4HiTomaB9ueorqwcqV-PvG2dqaekRao0pUy3pmoobtrmr6vFLeiwgyG9oSMglm5WLEhwSGoWbFBv9TTvrMhrsQCKb4ZjGhNmaPZkzU2udn7PKWDWbWaprlFmYOhpopC2aAshiuOwbkRwMBNADabXDmyobf+uNrZ2b6hul66WaugL8G+washonVIgrgeoFm7ANO2W4uHbLIhs5mpQaPzM9m0gwdZnENI6aTPD9m6QLdsyi6uGJA5uJy4HIMhtiG6ubvK2e69obk5oW7dNNe4Wbm0yiFBuNGpQafes7msMJGGhTbWRrWDBviz8K74sNIh7rP83nEy4b0LJPkk8q-sgl+Tmxb5JXmP0wr8VJieyTb8SqcnYa9GPrMTsxj9Egc4eqiqhd0N9KN+GOG0kyCrL3K3+K2ql9s7I0rNXuIKGcieuW6g8qZL2QxOS9jyvnqzeavho89HealFx+AxEaDxORo58rKLMUi8nsfyswS-5c6HKAqrXyOcuQW3XyWHMgqpHzDfPfE43yj8xF8l+N1DRfqw+rCGtZ2UIrfxuHa8xo5xtCOECaUxsiKgoyhFOBWa8aozMAmlibgJrYmvsb5LLrq3UDGFsqChVzfRrquSiaAxr-GstDvfzv2YSKErnBazg5-RsaCq6ghWnXKZl56Jq1G3K8Gox4WycbIehYW5ppWJodGoRaKFtomhRalmgYm0ZVaNijBfTY1FswBXW5JmjvWXsadFpXnORamXh6aAxalFtGVbw97bjYS-+rkipomkMbiJs1G5FrRlTtBXfY3FrkcmBquItNiFRbdDzk8zVokFofahEC8ErXdAhL0Fu5qy8Lq6p8K++q1BKHKlgLhfyXY+RyQloaKxe5b7XjG2EoIWtpeX1ZUyxyWm69+eNUW6jKosQTG49qkxvAOWhbBGKh6K9rTZrp6bW52Dk9yAXZOJqaWksscAoyKNv11VjYzMQpiByDKZUz+xoVy+wLuFpf7aBrbYsSuG5YKJvqWjha-wK4m7xaWXl8WgRLNUUqWjXLNpOWWk2aBRsMWpzz+0L0WhxbjwUFG5Rb6aU2W6ZbrPLQRGypXFl8OZ64QHnuPNpbiTSEKOBkBlt3HIZbqrSDKcqjQdlOSElyXKIc6IalcikBuOkaUiow4Yxa9Nn82Xhb9YsAa4Rb-IxcW+jYPBKDQ3VYNfO5y2Jaw+rAq0BTgCrwW3eL2HN8K-0SMlvnswhak3iOW-Zpd2oaWkQs+eo2W4sjVdNlTGpa5ltnKaRa6MtEc3+rJlsCWmIq-S1mWqxaGVvquclaCRQv2Yo5znilWFNKEitZWsBqeapuWopbcrgnWEkprlrsW5pa9lqcWtG4meg6W3QiulopKPK5Omh2qP5aZpIBWqOCgVso2K25VcuIq85aplvk8wiqdmmNmhFqFVrWWp9M5IqFWKFapIv-GxpaSVtp6MVoo+rCWtlbwtN1KeZoVlsUWm1bqgvJgrDYzuReWmKk5aR7xD5aYyhh2Z5b63Ivqceo5NlbKE0FgVok0irScDg9WhDYNHN0uPTKgvLM0g3iFitxnbtq7ZXKcbPKvjNzym3N0TWEKQH04aRJPCdr5MoE0tcFRHlRc1w49WrWzelKDnn4Wo54V2pw0tdrKpp9DF1aWlrdWxiaA1OYmzRa2Fu0Wwdaz2vB3C9ruluImnibq0uim0fLyQobSvHyZJs4TCSaOEnxcJn9v2u4FNdaGbxQmQDr4sq30kmKkssIjW7L4OyxK4zqUJswCpbzdZPqyh-LAyu9mkQKXeXcmvULJAuu6rbKA5utslqaVUpeTRKakwuSSF+KY2213MKbb2tZktTsWRKim8KanTPtMz2yBHQSmw2tYppg29rDUpvEy-hKFAtExPKbS6QKm-yaMyzFS8NrCpuJahJC-cshyu7LQuqDeDLKe9I5KB2rrhxfXB2N4MJ70JcwuzAYMr9aaKTDGYgaH6sk5cwQODJZk7abq9B6m8bq+pqNU1DgxpujOFAqppsZGmabFK02m90r71OBmmxIeNvBY6NLAZpJ62Tb7polmOjbSQyU2s6apNo2Dem1HprOqb6anuvIY8VqyvDO1e7qPXXemkujCeoBmgzbzppSC8OAKeuy8KGanutBmuOFYZqNSRzaUesM28nq-pqs2xTacvGp6pcy5zORm2Kh8BsZ6jGakhvXGivra6oF7PGaOyoJmrICiZq+aEmbHZus8qOaTal3C9src3KtOIVr1BuUuPWaBypjagni0ttbqPCqqZpXwhnxrTjtgFzbG1QZcgrahfIf61WbYxq5mkOb6NBpmiOaWJg9Gr8acitFm+C4MBo33fWbCtpUc4rabUuuuHrb9xj5msgaf+sFmz3qEBuovTga45ocGvOja6gbmilaNxtHK-yNrZoeajuYzxJQSlbboVpm29gbqLw9mieblsV7qbNJaJnTOXWb1UIzq+raV-N9Wxxbpuns-CMpChujm8fqWtqLYxxDBklfqKbb6w2J1K1aNevKaLXrGyh16qCaKZt8w2OagxWXwjDbMy2+2wubp4oHmpagvMm5mVubK+uW6bOaFttzmsWYLSvDmdrbDjlE2Y44Udui2wwJK5pO2soasdraG+uaUtpd5fYbkskOGwsa3ZrwG7maq5snm0OYwAl7muBbgjPsKrBL-yrs2iIzUOs9HPKL3cPwW30dPCvSWwnKUlpwWhiKYlwJWqcLaGsQqvCK2IoOWB1aN-0oWwgZqFvYWmxaPxspmhhb0itLG2xaORtYW8ibX+kWW2FaD4qpWz1bMJR9G9XaLRs7Wq0ayls7iipbddvIWh7U6Vq5W+CYFls122Radlv+2nxbmJyaMk1aLds7Gr3YR1qN2xvJPdrVGrxbdloB2-Zan03BWw40LlrNWpZbVdqbW0dbcJpN23RbI9p921Za-dtTWgPaxVuCWi1aiJqj233brNg22j1b89tva8Can0zGikxaLlozW8EDs2skSjJr6Bqj8sYLZErd0yYKsGtYqghrfGJKa-SKTWtUSxoqzIv4U5hMWipqat3L2Ew9yoKz3r3rVErrpKPobMJrDGIiahXztorDy7XSrdq0WupbIAw99SHo+1utWrvJ34Ppa+iqsmuj-aW8INoQSqbCaivYqr3TSmp906-a6irYq-JrM-OgQuAqc-NcAVToaug-2uroEuRMWn8aj6ImMlhLNkrb2kfb2t2TaT-bwDu-2yA7MwH2NL-bYDpq6eFahjQenQKzi-z52yRTjEp8c-Ea+VuT26mz1ulqeDhqFKvPGDp5QaSdiM0idKtIU-jquGqgYwgoIhTewDpz9rx8zfVqM4Pvm5rMhGIYa0LMKlmM9KyqynWJxML8v+lo2BRq6rKcqyyS3FO6PDxT3Kq8UzRrIvJgQycA4DqgOiA7PWhwogKqQDt46pHzpYMTyDRbF2gu2Ezp8DqJvHliWinGeQkVRrgh9bQ6XQIPHbRSJVsMWGJYsREI6aq1srIMqxBjmDuwnR+bgwOxVAJLqjyCS6RqDJO4OpwpOOgYO6iIBDorgrw9oksas2JKkKPEOwqLPKp8U7yqwTFkO2I75DtG+GpB9GuUO3oq0yLUO9Rbg9s0OqJ1ErJ32rIsBdnGeKKrpROHRWp4IGKic2STQNldDTzpPQM3Ap0pvyIsOYRrfEoIfUyqMnMfHN+LNb1ilHg6kVT8Os+wAjtgooI7lGpCO1Rq8sw2Gr69IjqqckqKqujkOyY6v9sUOqqLGCvXNWqK+qTCUoxrVnV6csZxSDu-IIjp5HnSiEKqnGrFpDQ77Si0O9RSdjrqiiHodFMO6JFV-YB16AgEvyP8awvzSqohckvz9go1S1pq+OvaapfbOmsia-YycOulgjfbU9vmW7fa1P132zPbKRuz2iaoU8uRdPNau2uN4rFki1tLc9SKYvIwm3zSDdpD2nsbjds+iydqgYr326PbFVtOK0iaiDj+O7lbBFsy8ntbvouWuB5bLnnp2AG4nip1uQ9rLFsG2NE7x1sI2Mk7PjSvhK55wHgOEgEqSQqBKyTj-uNrS2ta1ouy0lt9cvnb+HdbIKk-ateyt1rgqUU7T5sbOfdbH-Kz41Sa6QrKy+UKFH3+QpR81eGlc6QTdEhPyk1AomJVO3JTb1o3S7EqGsocm2rLwbRlMsojLOuY7azqlTKIAsgqJYoKTMXlwuol5SLry2Gi6qjJWNoYG2CrOprb6DGx2apNsgTa90pGyg9Kkyvq7ROKRpsbitdr1tLgK0CqUzIHChbKUNuDqq9BUCrdG9ArGurlaVYqPOSm+SzLsq2ROu0balusW5gY7oBLSw2b+VoiWQVaQNkLUub5moWX86pbOVvpO93bm6Qu+EzhYWpxfCs60NjAeKk74lku+T4r1iuYWjI6j2vpWsPaizp4YM6T+TsaWoo5yzuZOoVaqzpe+d2Lh8rpmypEaKPg6mby71qm60DbhAr-WpdxDgnMGk4IBg08mt1r2Sp8mwLq+SvJInqgjIJPO47L9tpeyrULnTL42jNqYpokA5KaxYtmsy2qvQvKg4881urm6kyUe0S26v87v5s2w1bqzeqvO+brxrW26v87ZprUC+abNSrgE6WS+JvO6uPki1KX0qkxYSiyGZ1DbTDyGZUT5auWm-FbxdrRmrHzwOs1q24rA2Kvcu7rcwoNqlSttNq6GJ071NtJnTTbbprM2hGo1NtdajTabNqouyYYN+L02uYZ6Lpem14YivC4utGo2LpU2+HqgvER69zaTNoNE1TagJAc2iS6yLv1qsoRqtohqGS7ketM28i6ThgsONzaHhkhm70ySPMRmyQrgtpFKZobdLoLK4utjDMrqg+yhpg+SQnbNxtuKW3rBeoS2tmoyOpV63Hb712G256Y2yuF-F1TXpv62ura3esgmzrb9+ugkpma+0kjqW7y+BuwGhoa1Zua2sbaiDwm29n4+5pbGz8bAru62sQaFZvzon7akQI0Ety6VZndWmK6rCPshCc4lZsxm90bIrqa25xb3tsQS0CAdto-KvbbHVtXsntT0tqvTTba7S09OiJ4nVlqu5DMXtsau0ZVjttf6wu8xAC1mr5odZvRPfLbEhp0KiUbGtvHG7a4J+tJ21jJzJjv9Dq7TnzW2r3qkeIh2mvrwpnmus9KtjAtYL1rFrvv5KLabLqYidHbIdo2uotgrmKz+SDKu5Ii29NCn4i321lSpUuO2Lq6Stormiq7M6mrO6sKA7Xium7a-LtANV3aGzu72PbYy5szmoAamdtmukK73xi1q1q09rr8bA671toUskobmdsXSabq-bSKu666+px-WDtbiloNQ7K6gzhEGmga+rpVGRPxqJrh2nNMarRxuwkNDCt0k2Lbc3JTOPuptZsu2ka6FQFAuBK7zxvp20ea3DKmG4K6-UBw2mjyWbp3kzad0DgFSw1y9p1Ry9m68Bt6u-wbuBtautAaz9nCuvTTQdp6GoND9Bsy2qHbNroHvLwaqdqK2ya6cZvaVNa6bZr9QNW6xUo1uly6IrozmqK7JPWOu9a7Wzh5uujgEbDlu-UaArqiGyYaSdoJuzeoZp1xa+6J7bvaw8m6DDSDuDubXbuWxeAFPboyu1waGQH5EQzdrLrhuv27x5oDut+z-epn6vvq-6UsugfpSmxdML27MFtjC+q6g5vamIy6eZvBuugMfWpgxdO63CvNK5kbhZuaCqm6VbuOmC0qW2tgMIu6Q7r4yADblrtm2uzzObupuqHaH1t6AJObvrqqGp9a05sjula6X7OUGxG6fkEfOrsIvroG227bU5uowge6W7rHK5W7PLr1eNQb9vI0GzW6osXJmUW7oJs7Ik7o8rpruxObfZrXuy2tbjnkGp66RtsUcy279bscycnavuoOOaG7O+ldOu4B3Ttnuw7aMPw5lUnSHZjUIeTb06snun67V5MWoSwN5Apzq8u7qLxtmMraP7s4c6VCcdr5uxu7-7owfQB7XZrFuhAjA5nfuqebxsJnm2D5O6vnklcr74qXmx+LnTsOA-HaDhsAi9STZR1OG1UVzhvDoo8q8WGXq8fyvgHQuOh6GwUgSqir+sL9Ix8q4EugWkiLXyqhqNK6isX9-L8qnJrQjdphqdDwe2i7j12PuiwbwalTa+D5-TsbI+29ompZkxSKQ4gEu5gztBrDo6R77ztke5pTTzpKopFbedK-khBaYQN52iRSM7vHy4CqnDM5orIK4KSF2nFbv30l2707+cscCi-alxu-qzhaYttdy3J1JxqULV+r3I0D80xaqltpW+s6-7kGuLtanVtW2uzy89uVyiTFJFr9Gnlb09si2kRby9sie4xCMbuXarG7cMok02EFfjtD2gG6yDkKKedZRlsqM+T5Y2ooqgPbpjL120lSUnpt2tJ6yRtLOlQ4BVunOys7OOP8jOPbJdT8erZb4FT+uoJ7LRoE8pN5JzoyWIw7yTtMWHxZEnvEWncbZRz6eu5ajFkGe2wMrZpGephaxnqDoiZ601AaerxYkDHtyGvaIVqd29xbhFqr2hAidi1r2rZ6glsr2grCg1vV2Fjik1rUylNaScuwavJbIVuD8r8lgthRW3BLXCt4KuM7LHqP5ax7+LLyCry8hLIceqOrBcr4cn+q3Ht8ejx7-Hp2e+3au2JBew572VrLGwJ6aXilW3la6rv8jEBrSFtGe5J7zRruuwG7w9uZW41bzdor2xu84XslWxlaDlsHads7-tk7O6lYUEzxepJ6gYv2Ouk6-7h5Gs+EyXr9uNk6uzqvTFp7bnuhepia8zsHOt3anaphWkNCfbhZOunZkVjlWYZ6InrRe7JamToGe4V7G9neueG4JXvme8Br-fKsS8jq69t1g9Kau-yiW-nbcHRee3Dqr8Jvq3n8vno5gshLm6Mfq5cypKpKCkG5kA31cq1zhbuCQ7nzHduks0ZKCXuiegRaPdpkW+zZc0xuYzA4LnPuYzK4VmTpejF7CztG2DG5wwVBWyF7Wirk2GqNtPk6e+F7iXrIqi9AbXq2nA1y-XqNcp8oZriHOnJ6oWpc+PFrlNklSgJD7XuYnS24yqwjerHTWVrKe53aKnuDewk6PXqZWra8VnvJe1l7KXsUc6l7JXrBayp7MXtyegNaG3plemc7h9gDuWkpM3r5e-+4sXoA2NXr7ltlegd7rnguekUarnu2iNNbouXKezCrj-LhWKZ6p3rWuFt6M3sZWAc76XtZWHO4J3vXe-t7N3rFehbZDVt0HJnYOXoCWyt7tnrgGjGVG3pZeyk6t3ur1WzZpXsne497-rmfe5Hoirg6C+3IEDvxqJd6q3pXeqe983vuuwt603pFupq65nuV2pa7QnrmSb16C3tuYiD6HXp7WdG5sMteYu17kPuLegp6xYKKelmqP5w2e+Paplvr2s+jIlqeetIK9XtjOj3qUQNF2quqZdtse017kjL+eyhKnHpzG8c6wnqZItt7txvRe9tbUnoReuJ6tdrzqnXbA9sVuAk7Gzp72AT7MKtOex7Ya3vE+sd7Q3qzzB8jFNJm2RtaVdLnWUt6SjJ-uc3ab3qOe117O3v+OiT7sXtz7cD6zblgDBbk5MrZAxV6YPqaiJ7ZfKKfBKsa4nM+2Gp6UbIfe0B5m3tPel96wrjB2dz6h0QPBNQ5x3rl2Y+IFdnZUwO820ULTH97WQJKe7T7APtveoxsMPqFurD7Slrfeo97GnpPeijZcrrbepV6pXoBrJD7TPuIJIjo5Muk+oO0lPvrWlT7iRupWxa5AvsJdX168vqGlAr7S7hBWzT6KsH-ejLIdPphe+J7dno-nfxaxFqy+gvb6ljQ+s7kSvvTUhtbyvudenpgIvoRKpnZCPtaeu56FItx45Fbz6rV-Xx96PrMeyHSMVvee3L0jXuItdED8grNe5j6n6oBe9D6y9gM+216EvoOGe96+3tS+z96PPvoE4T61Ppdejp7CXqkW2J6jPvCpVz7Xrh8+mbNuBKs+gpa3Xsxu-j7XvrbO976KTtFe9L7Stru+ml6+vvKBGsb39ljM4Z5DFnCjLj7rPphu9j7C4UUOWsaAaPh+q-Z0JJ++sF673vFSyHpcRHi+h674ZVG2zL7kfvMMuD6RoBQOXkRifpM+lCDc9vJ+3779Ptreps7JPrtXGH6AtTh+tlMEfoVepH7mftk+7N7V2qp+gal0fth+tdsefux+jvroPoF+3j6qnoB+z175t05+oKdufvoOZtbOyP2ezZ7SeJ1y6irHUqCE1RNEJqWKqipYTsbQ0f8vgtGqmjKg3rl+tPb0TtR+0pKlnssOyVZGnqWqtkz8Tuye0d7u3qIfdzLD3qiWaZ6RXq42cDVUIMRO1tyrfut2m37GTuhxB36frgSOIZ6OTt4mt2yF1unco1iRJr+y9NBZJs0IDo5TsQAGyU62jjkm73oBjisRafKVJtpCz6qsPKtqnkLzLP06m-L9bPVfC9b+Kw+nU0778qxkwMqv7t2GtA0H7pygBtCUuJDPQ7Snd1c61kquSvCGywayatfW+jDVHtu04DaCXsMxTu6ENtfmhP6uZLvOuKbtTMZo4bKsFGE27AMVRtGympr4FV4CzC0auOguyTCniJvapE7ozMTsmWqi0tvyoi6lprVqgIKEZpMu-S6igPg2QDLAtsLKtuikcv8u0q6prvRyxe79wvsu2U5HLuJm-ytoHqrGT-6dbpCC9u7j+tFqHLaV7ry267af7t7urW6Fbs9GkVauboF6x1NKtrS8ASwattRu8a6WQrZure6QHteuolA2tuABjrbQAYZmnH7SdIgWCM4Ixjvusm7tbooBjL6yttpu87a0zifwRm7atrGu8y6VZqQBrran03m2k66AhuRu4MqcAe4Bjla-vr4+hN6gHoZ2hAjmrofpGpB2zlP1O+6pOKzutubQlt3ujAz0sEKu4u6rqp9e1ukOAXTei8bkrqfTGa7Y7vtmHzhmIC6JZm6e7pTmwfT9zkjuMC7-zuo8U+73Lq6AvW6Hmptu1pIdAYYfBvT-4j93esFhWU-OIG7zbrcMnfc87sUYQC4H3GAuAYBrAfgB2wGdnp9u+w1nchduyW7FtoQuHy6uAYNmobaGActmkG6iAa2CcWbI20zswWqyr2Eez2j6psYA59asRp3mGR6CeLke7467toZ+4yylHuOmxubxHsXQPc7+CT6YdNrNHsRc56ydn1ejfTyZLlaB5JIqga6B7qal-vaw+oHvzp0e7BTlfM528TqPuMW+1A6THsEm0iLKPriW9b7CEqsepJaVvp2+n57yEv2+i17n6sBe1x7bLtFWshbYvure636Tvs9+lx6xYPoWp178Xse+iQH5fqkBgV74nqK+iRaWfrk+u4Hc3uaWcN6mvomW4T62vtxArJ7UTt+BnN6Rfp4a4H7QaU++wP6xIqhekT7h3v+uj36oQbt+1xLYQdZOp96bvqVWsiaIQaF+kJ6mlh9+p36OzvhBzDYcPuEWvD6AGqXoxd7i1SIWpl6sQf9+pvYZZtx+9p6LdJJB+vYPvpxBsH76GVfep64UvrJBnkGvvsKuc96-I0Z+it6Yvt0+vSzvHtXAbr7UXt6+4567dgG+9XZKQfpq6kHy+rLQ6b7OXpOskj7xn2SCi0rUVo2B2bLhdriMi7LPnu2+gSyDgb2+6JbZdqJW3REn4gbuJwHdmPZ+nF7zgYh+j+qrgfRugzFKjqZiVW4xek9uRF7962F2Gk7bRt5e1EHDbj1clN7MPtq+lD71PrmrMt7iPLVe01bAJJmWxqtfQaSFXw7J1oB8IMGYQcu+oUHQfpFB8J6mfrx+uL6I7iTXRwGluucB10He3vfeq76KXtxB1D7QwaoWzfaQ3qZMLOkzPvq+4b6yvuV4hr7k1vGWh3b3HpTBmla4vPsBisHnQaOA3MH9ru96mX65vuByXX6w-PaMiPy7nKWStPFXdKMctZKu9v6NR-abnvwa2-aADt3Bohrh9s8sg0ZBKtuO5YyzJt2CyFz49OhcuY7Xju2MoPKKsz6B+R719rjeol7WATKE5l63PuFB6LF9Dza0kYLW9o0i9BqmFLj8vJrDwYoknvbWeLGM-cHHLKf24PTjwYfo5O7Izha+oj8kDqWcz3LfYJP2-2DJKpOB5ylKwbaeMXoiDomeJQkyhJAhd9R0nDDUuR4FnNMO9SqJHmcJTJ53QQIBRdV4GXIpIzb6jp2PZKq2DtSq6xS51pPo2S4U1haiOV4dix6OxyrA0v6O8hsmrJn26rq05Po0SQ7jM2z8qwiZKRluhI6AOiUOk8Hy-JgnY47FjrCquST9Dv+M07pNHhpJHR4Gks6i9dqjUPXDKp5MjsCnOHZljvSUmPt8Iai6L-oiIeGREiGTIfyU+jK6npsJUZ5rOkVKSZ4ljI4ky8Glor2Cm8HVorvBivyNoqr8z46nrJfBl17wQYLO1n6AHk-BpkG5XsHesdVm9tAzQCHujPXBs3KzVK3BtSlIIaokgh4CocV2tM68CmkO5ZTqmtU5CfbVVyn2vU6ukuCa3pLht0X2mXinwb2c4sLMrzihrN60Qf5aHI7N2stWkE6-VoP23nSpS3uU-Fzm5EJcllIBXjYoIV4wugP+MV5JeQjvKFK-jGjvbhC6XLWa-hCaO2Zai66DmrZcxpDbXhWQe14t1H4nJ47aWpAXJ1TTNRkDfaHMEEOhsiBjoZCh547AyztcsVzcVNf9EVqoOoPUwDVvqutaplKEiOJu-wDhUq5U01zzroxa2b4a6RNc--gzXOD+XNMQYyFU0JCKWodciJDTp3ICeGHtYqpatVKtPRKmt1tz1qr+mFijTuM6raG0AP9c9lrTUq1UzgMEDPDc7pqAwhfeR7iIOoXed6HE4vwcVd4UKCDPH8R7OqaQWLq27AwBusg3oe0SYezj3GzULVr0urKaxE4supYYHLqFWoFhtLqxusbze8g+LjQyp7o8uo1qaWH4FX8+wosZ6Vq6grqTHJVh2c7oAeNalrqZYZtaoU6jGAzGFX8j3hQmOfa6ytuvTGGAYIwNDCQOCuf3XBxC7vgcPWN-WtzKrtL8EHORENrBPrDaimoAPgoKvyMMvm0ucD4KHAssJbI5ytOhk+bGi3wIkDbYFtBh0yySE2dS6oHFireC437h5s+M8yjS1u6HPCadSpIm5arGPnI2r17zqv2qvfzvbki-LYTLqu9Bef5OPirS9gMHzsT+9dCgiPv80PN04bhoOT4mnCM+TUhJbKkWWz5Zqoeo0DFKuFjen1RGiC98gNJXPi3jUzd4zp8rSqqxXBU+AkxhnCNhN4ynPnIpDuGU2GpyoCzjsO2SpL5+OqC+CkdMviXhzADZxDXhkPKXu2lh-eGOCQLfWiQnaMnh6H9L3KgqrTBX2tXWvP6P2qkmiU6V1pFOp+H-2tJiOU7lJshKkDrW0tFs736tDK1SnTri9JhqhNi3V0JhyWMpDs4eTM6Q-WzOi36HnyEq+BHUYsrhpJ0kEdW+VtaZnVosbBGCOgB+awhWzsHaRvETvkF2YhHSEeHB-mIezouqkuGy8oe+YcpaEfoRp748EdHOlGKK4chwu2J-vh++ThGOEceuoAYTiPuq7AbE8wRvFc7YPo9qu1KhNsDq8UaXdpv4rgK0puXMW1rOkRG40DELTrh0oukwRtP2-LqrakS6o9y+YZS6yWHyuq1h0A1RYfWvNoIyiEVhpVqhYbv27WHiuvVa0rqH3ClhgxH17vV++w7Lxw1hq2plYdANWWHPzCVhhxHZU08RrlN8oLTizrqfEZ2enrq66D66gfbb2vDCdhJb2hG69473EZlisqbSNrrIDbyN-Je9LrKn5tCgwgKKgbSHf+JE4EFAYIaxYaAUfnBElsrZauGx4Y94VkxDYxIe92qNzvfO9zqWSt+8tyaJHsYwjkr8uK86lEIqMSzKvS6YcrdhyXt8ytp80y7yPMG22cKuhvIB3IHbvogBlEdBhtZ+EYbMHsAclRUOHqce5R7EQgTiPJGTfsjh20N-5rnqtBz7aFQ0YBb6bDl+OALmbFZsUBKr5I0vWEaUIqPq2wrsLSPw+1rlgeMe3YG8LvPw1yrVgZIS7YGPnpLuu+GJdsY+rmCjgeZ8rDLsePIcpOqqodBe9kGaQcly3noQ-g8uqN62nqN7EPys1poqmhSFbJcY8Srt3Bj-aOHe6v-22CHwIYmVHcHi-jT8+3LB9uf2sqHX9rD0xIS-LN3I93KOipWcjq8mmvlhzGGFlmT0uSiumtNql6yJLnDgquGblLs6zZqJ4jGhx0IN-iNBWmwLGl3+PRh9-gWhhpjI72WhmlyVmr1LdaGEUsbhCBHtXjTvQ5rl8NdU5-FerN8s5cas3J9SyZjGkO6s+OtuMBzxBEbvmo0R8VztEP+a-FT6Yd7Cz6HQWrTBysHqwdlS1u8C4YUysNT1XKxcs1qwYe1coGHMNqjBwW6SfsS+jxDqy3BhgyR8pvQ+vlT-UdjB3eCmp3lShGHaNSVSmNHUYeBY5VKPXJaaoBGj9pxhgmHj70b+zeQDUvBEjNGNVMXmM1KuWvJhy1LKYZtS0ArykIZUuLr1anMRrRHqUpxI-mHXEalaiJHG8yMR3toTEdy61Lr9EZecqxGKHvpRszQu0bq64JGr5ScR6SGXEbsR7tGFEt7RuDxzEfiR3xHDYfxYxFGc1sTcl1Kil0LaqFS--nVR91TNUaEy2tr7muRU9wEYVJ8s7wFmWK6k7bcqeC6cYtaM4bWKpVivKL9kuNKMQc38vyiFqvdRl37pnQY48r6bit6WstK3UeUygLK+zu-nUr6otOU01zTe3L+ZHLyhmv+i1D6Fzsg2s4SBJq-fPk7zhOtkqkLiYsSyj2tkstd+grL5FxJOkrK3rSKyjErLYu3c7tSrAtVO-dyAUI1OkdLj3LHSqwYx1LRR20SzUZT+5cGbJq3UnErrJpAR9dLFvMsmquL+7PAKwezICuGm6Ar+wumypgKH7O3fSS7cHsrY22STRNCRmYHGzAm6gMqdJpdqlHS3auI234bzVF1hqOlDJtFa6DrdEabR5rqrWtbR1EMbhlMRwdHNYZ7RjxG1Wq3wjVq9EaHR8zHHEaq6m6p1YYnR2zGp0Ysxs1quYb1hgzHp0dyxAJGcdSCRuzGUOJkxuz4W3n66wp7BuqFw6OguGF+LVzGEkcQVduLB+pka-C7ukfC23AHAD3Ay8DSyziMBp27FwrK2yPwW5zMLZ3B253TVT6DW6vnKt8LfHOXYgecenpy+-vLGMoq85jKTxvpG+W7ppo4+su6ZAYQasxbV5380msH0nnsy2xNbqt3R4Ua2yNFGwtC1xu9h5u6X7qiKzx7nbkLuEDGs1Oc+3D7nxt1GlcbRsfGmrGacgde2nTlpsYi01MFotPaBdJ7O3PU0pNSd-KmZZx7WMtfG1bHptomxlkbX7sQaypCDMpPgULyd+oGqtnlL0bhOzKGRqvbynZ9lPuAxlzSrRpLOh58+sdJspjKgtUwRt5LCXX70v6rS0ubyyDGc0OLS4P6fgqAxubGRNL3a1d6ocJJwhzKQcbuq5C7UtPvanV7a10fRlI653J-hmkLZ8v-h+fKzitwxxDsocfw+gGq2Qqwx8viQaom85mLF8rZjGjHm+OPy1vjzOLTRoe4uMaxq2v6cYcvWyBHN0tYxh07lQuG0mnHRtMo2qtyapqae1v6ZTstrVJIASG20H4IHTgoChO1Eyt9Eu9TlvqeR4TGglLo+p5H1-tybJvMCaodihWKwNsfWm2Hk+iQgUORbonfytpGgpv86uyahSpYxYHznQsB6oWSrm1UC5UqW-sGHOgqTSqey80qVauwum-7bSqQE+0qSgaczYuzY4spC4r5W31wjUDqMPIR0jAKhhqMmmMrFZt-S+LGiPIjq+HLHHsxRgbF4gbZ8md946thuwe6R4tQBxu1U6uaAhu71oKo84plLroO2m7GsKrsux7F8sfUnQrG-K2cu0gHcLtNBhB6CAeLB3LHJfJto6Xyqcq3wnsSaYffC4+qbka1Oliz7kfgx416r6tF0w17XkYXx3i6uHLDx1-6e8IZBvh6uKvYiin7qsdlBvpGlcvbejmqIGsVy8SKdLK9B7jSz8dSK4-HFQauWlV67VtJXNBNxEsb2g3KFkpRRhir0UaYq3KGwIe72mCG3LPfwglGMuqJR+CGX9viEslHc-IpR5IT2irOslgiHjvKq8v9NnIX2t46WoZOw1fb6qpde05TyvtuC4dzGHp14pRMlJoui3NaS9MTugtaYTtN4szKzfseir7GA1zH8r6yZCV7hNrNLjIcxnNT3NIcYm6rHMqryynGKaKeiGdqv0cz1dvzjsdbyyV0czrgc3g6kOhhi-9GMTsIXIHHSF3qxofL+Eb4mx6qV8dv8xuHG0pQx5tK-4ehKttK84fZMsyHY2v68nLKT9Pyym-TBcLM42rTkSrbUsGqSWvncl9CIAu9c1mKRcbARuv7c0aM6wXH6-tFKpkq-TA8622yCHp2pTv6XZs1Cg86p+OCm53HmNvpk+yCuap2BmZbMzUwK8v61vMOwFJHiLp-OnaoqNsdEmja48Pwe49cO-tCSIIneDO+SLjbFSoCXVf6Eyu9qsbKwzt7CiM7klpA8tfp9cZNBmx6jcdJuwN8r-rFxtrLPtIMC9OzA4tVKyPH4BN9zc17w8c4KsHTtapjxwmL67LfUswKy4uDk2izVMbC2sOrekZug-pGmfM3xs3z3-oUKobsXAZyu7-7+ho7KqvGDzJJuo7jIztLxue7Hgaru2PrTCqPfU+KZfPZ0q6yRBOe7YCz1mvjk+BbGcu52g0GcEoo+wXbPkawW6iLaPvRWt579gd5y357bQYFy1j7t8ffk4F6o3oqCsxapwZR+04nygsvx6UHacYhRqNqxyuwq04HNQcs+v+rESfNWoIqmVygavUG0BQFKvX63RA-xtSKPseWS7KHz9vzxy-bCUdqKvSKk-LmC0AnIhP72-WG4IaPB8AnHHMgJyqHyOo2Cpjq4CbSEhAmGofn2vpL3LAGSoxiWUd5amJqakqDvE4z3BROKRUbT4m+s9Nc89OmK+4yiCe6qy6LnjMo6lOHpCN6kqgnzePN+2gmxqs6EuGy6YgRsxf8bMqj4udDt2xiPTgmscdpPMHH+0LespmIPrPBpatEqJs2qi6TtqrtJnaTUcbhi4HccDuIJWmyijvYm7wiUmp2qgbHMgGP+-hzEMfnxtQmZ3NUJvDqIStJxj6ryca+q21H-qqyy6nGDCaRJvTjsst68kwm--OZxvfLGywsm5wm9OuzRuGS3Cfsm5jH4mF5iyULMMslYAWL4RO1sykqQakxqgon6iJO6xoiZqM1Muajl-vVw9c6Z-rfW1-LlqBtx20A7cdaR3zr+mzCJ5fi6arwBokmZc3nJ8bGWWsNixf7ENqZEqDaPbLn+5SyQfI9x5fHiid5EyPHnJsDMo7rgzN3WxozigbPJ+c6lCfjsvQC9SoD3AgLYfITCq7rA8a+RhmrIwptK9gqeuK4Kz4iyz3pM3i7vwurQJ9KqVBfS5OcM4qORzDzggLqR0ICZurJo2TGb7XPIsh7ESPDtKYmLAozxuMrq4uwS7sLPhxTKxfoA6su-VM6lsq6R+-6ekZkhqldANPRm4DTUsZC237GNzOsGkIGcsYrxseLqypcw2srJ4u7x7oJNwufupvG4SZ2JrLbm5J49F1MS6vbkq4hO5OzYYq78Kb0KxIH7MJB2FvGLifF-K4nR8fDhqwqMMuviuZHb4p2Anur3rGWR++7gDzOYxw7tlrwC0CKNkYjo7ZH37RuGxHsaHtR7JCKLka+A-h7oWtQpSBbVhuW0nhwcIori8EnMRqnxietbkZTVbV6nqstB9nLGHLQWiXSSkfd65WrSEqSM35HgSbzxtrwwSYxG3JbWgu4+1HjmEply0BrIftPxgcHzTjvx-fGvHqNWyBq0iuRBwFGFHtES-EmNXvwit-G5lUr+lcH4TpmM4CGyis72v-HtweKh4proIZZJgzG2ScdyhCG7JP1RoQ1DUb6s13LeSbgC9iSetzONFYHgDvQOnCHDvroa2xreossSjSikqVisrcdo4PYavgmSjoyLMo7UrKYzEfFXpUgJRtFmhrYh4otjKriipo7UfUruiyqr5q4O1KKGj0go2MDMovjApRrhDpcq0Q63KosOCpzRjuKi3xTH8U3Ro9GNUZPRyqLz0sMa+HSRrK+htBGh8VUhHanJ1j2p1SqWKOKSnDHSkp6is48Kkoca6ij0quca2amkafqSqpLGksUY5pLilMKq6iG6moWihprj1UQJiXjp4de6CKGaqolJtfasCch6Z0npCS6ExEyIaS6U9GLUmuuc48CMrQhO0gmG+u9U1OG9SaxdAdrNmLEJoxs0xuBWU0m9Sgu5AXZLSf2KwV6fot-Rtyjc4cwx84qts1xskZlZCQYJgQmwyZh3OrH2Ij2q0QcjSaJw-gdAyaGlYMmAVtDJvq1vScxxhQnscfZs3HGp3IbhhMmviaUM+U6mTPyTNMnX-IzJwwnm1PhpoGraYuMJ8WyvhOLJ-DG6v1m8vnHOybvy0ESTTtrJ55x6ybM6gaiJQvjplsmKSvRq206OyfVM7GrfcZxky86WYYKXE8mGkb2y0Ia90FBoTzIc4F2y1ybwHO8m7OVlydQ2jS0gNt8m+C7+-vXJncnNyYX+6DaW6a7SzmqlAqxWutjg7L5qs3HYBLVKuC75-tPJq0qbyZxxxWTOzxjMo50DSpr+2grOifh8kcmVDszu4PGXyZwugYnL-VzM38m+uNGJ16q-uvYu5bTgKae600TJSbNqiGrr2QmJrOnPZK-O7R60kfbM5CnOUofgNCnXao-KmpG2YaoC8onQzvSAv2qpKaOJxHJJzLWx5Aq7-oGRh-6zQMjEyOqWPupJnOTC8dA9OOrKftUB1Hb3QcmRuWjWKYVozQqOKZsB-ubs6r7xsHbvvvkp+7wi6uEpse1OjhIvfMVD7t0Kv+m2scQe-XT8Gdk9UeThYvHkkLCVKe3w9urdSKXKrB7u6sWRqBndKYGYJu6XKb7w0erAGY0kjJH9yqTh5S4zKdQciyngEtdI05Hr5IgS0BaiP389JymMIqgW3erjxPcpmYnPKYcpp4mFgdv6mQTyPsvqtFbMgO4s95HNvsTJg168Vo3pwZHiguKp0oLy8ePx5KnO6YhexLHBYOeB3MnCcfpA1EmsSfa+lcmPGaaB3F6oGsT28F7H8fga6jSFwYKKkkn0ocj-LCHoKFj8qpC8oaLIvFH8aWAJ4WG6SdiEjkmFIc6Qs8G0IZEq7YL2HlRR8a8aGvtBmancJzmpuSr3GoKUpanlrxWplSqpJLUq5KzNqZiciH0efXMa7KrEnMRLGKLhGb8S8RrLFMkaniHa4Yo6k6pwkvupwpyhDtQbKyTJIbiS8I6Eko+ppJLtGqGLXRraGnSSgxrMktsh0KrQacTg3RT3EtaZgRrLGo6ENdzGlsRp2a9kab2Z5J4Mqoxp45msadhp5LM8qqminxrwLDHA4qraoeERk+i6UduJ1NGwob6K6qrmUaihmvz+gcyvV6yjnJdJk5zmacRKNqqdafZp2EsAbKKKlva0GpNyuJntHQSZtIqkmZY-eord8bcLbqmllJdy3x6hqZEoi8H7jqvBx477odOhz5n9V36KwZLfmeGSlpSnbwhx-pqf0aTSitKwp2GhnlGxmrVpCZrB-TinOyI9aRMaZhCloY+kRaHyXKWa02kAVNWa+FKi9KhNFE99mtNLFVHwpksi+2cO2sGx7VHfaX5chxByooVZwlqTUeXoBjG671WYijGgUOtRkFqeCZ4+gMsQkNooAhG0fvSiY5ilMtOYoFjUWu9R3lKr2z0BxacPmIBh4NHIplDR3lT5p22nQVKZUseh4VSE0eQ7RVLyWoDZvybXXJY1KKoiNrPy6qmY6Y7LP1zskK3S-NGTUolQUmGBQwtSnlraaZHeE7zBNtjc4gNq0fNanX460aMmnTHjtFMxtxHh0Ye1NtHFHg7RiWG9Mcg8LzG3Mb7R95mLbzMRwWG50fl5VWH2mYNa5zGzMZix+dH3MY0xixGJjO8xubgTVJzak8CHASTc+GcVWdGPNVmC3JxSnVGc3Kh2uVmA+iexsgnoTsMFeWgr0chsm9HuXvvRmta0caiWaxDrWZsDYVaW1trOpPbXMo9fHMmHnxhxv6K4ccVnSdDvscc8+HGrSehxiDG72fHQxQmJ6av80tTXnuo+oSb19L3pptKEsqhK49aYSr0J1dzzWf5KvmyWcZ+q75DiMdRIyitC2e0xqjHvWMPy8FD6MYcJoKqIKdBQw066suvWzUK8Oe5RnjHsKcGm32qBMf9qoTHYCpmy0THYl3Exh9LDauEuwEiTatPpw8n0zsCAy+nFMefp5THX6dUxzRCvJg8xzTG9WaS6zwddMe7ZstmAsfl5Stng3WrZ6+hS2ebR-WHh2Z-m33LbkpbZ+xHJOZHRhzHDqZsxntnQsb7Z9M7vEY05lLsqzqCx7oB-Md7ZkJGWOei+cJHFOYG6jP66Y0ixx8GjOd0m8QrksfmJ8imd9zmJ6cKxAdXDdLHqPIbx67HgHqt8wfHm5xR1dvGHhvK4oAG55NKxmIK8Rrl2qGGk1n48g7HQTPLyiMmuCYax8Ma-GbKiFrHrzuOJybHM2rBRi9nBSxhJ8yHUuZ9JwfKtUZ8ZqT7TxubG1m7yZsVunjLSwcg4uTLOvsVZqrmGVxGx10bJEd8Zqhn+8bHK7bGU0P8yxX7UxqOx7fyRCYy5sCatPMTOkq6zbrKugLz+yPjhp1LsOJ5p14KM8t1JivS0JraEhBHAxufZ8jiUEdLSuQnkqIq5h0nz2dzO2jK3MohijzKMXK8y2Di28oOqsCt4XzAxxF9T-Iryxfyv2btph6rf2fCpoPHEMabhpMmgOt-hxU7S-tuE0GnvafSyyXGMSaMJgsnA6Z04tErBidsJnJNlToZxrHd2wxSJq2VsYcrJnrTRcaI5m9aCOYjp8qbn+Iby3paWLi+VCMqNizqm77qXeX7cROBRoFSSfMT1ccQMnCmSULwp0dAbvOjOmjmKGZqJ6+HGmSIphMZu-oO0lDEjtK8Jzc7FapUeiBAJyauSM0R7cenJ0ImncbnJyf6+Ir3JnWLfiYCeyC6fcfXOp3M16dDx2kzXYou6mGjteasZn8nhib-JkWxl1rR+BPG8WKMat87uycznEQr0rq0Mrzn-0pIEqMTliesZ3uKaKc4mFHKssfLmx16ziZQZg2wZuxXCqnTMgeGRznmZdt653BnpcqIB5nTLiabq64nuivHx2nKQLO-K3RnkMpoPAxmQqYoi7XzM+c9xpfHLGb+RlYncIdsZmOH7GYvxir6HvvcZ1rmo+bRJkQ8sqfLewqm3GZxJoEHBwfhJrl62Pqr57WD1HPKppx1KqYd05FGySbhZud4cmtAhltHOqdxRlqnymqKhgAn9kpqanY1SUYqhn-aK1UpRyfbqUcWi2lHloqbZ0KGzSvvBwPLRutahjAmLgvDyrrGlPytXFT8W-O8igZqstXuCtUnOadqEjFA+-Oex26KN2Ys0036DSZoJ+7mreLr0ifyUTROjMKUQfGzh2QngsrS5+0ncH1O58QmgpORwj0n-QyHcnNLXPO8yu7nqEbbMyfTw+NHRrjjbMoOKw7noYtRDaMnLQvrhnXn1CbN51VktCaB5j2mQea9p9xnKtKg51c6yvzXy9kLTCapxg00h11Dp8V8Q6fBqlvUkebMJyrV7CdSRxwmyyeNOismY2ZZrVAL+Beb+jXnCeb+hos00iZlxsnnC1Ip2ynm9hpBwCggk8hdjAqoiidiJubTSiYW0zXG64omywTG-6c0B0Dz6ido5+j6micjsFonkl0F5vv7hedOowKacicUF1KhlBanJ8mqSCqrp07KBZP3JlXmOVrV5-umcao0CrXnHssXW0emxauv+gIWAKb2DbOKuObt53h6o2YgZogSDLuBB+ZcgNO85rIHZwrMMpQrZua-+iZG-ebHwjQqg+e-u3y6EAYaJ4TkZKewvELnJyoWAu2j1SIT5mnKHiciw-DDniZCMsdnmcoAqlVsc+aMZrdD4ltCpmInvuffJhj6oqY-EmKn-ntBJ9EnTdtL51vmxvoyKhcnE3ty55vHAmdTBzMnoQcgCt3y5hZHB-H7EwZzxhvmMqYfx3EnyDrL57X6wmYW5pBqlwZQamqnySbXB8YKO9vkSpqn8oen5xKnmSYZJq-ax+Yqa4hqqmsX5w41cWZGppBDOiuL8smmshMT0qqqqaZ+ZlfbnkutStlHQ+OuC8Yq6Wf8-a-nCCdv5nvzMrUN+nUnkJo256gnI0u25g4rxqq6EyarAQtRlGaqZCej4wYTN2Le5s9nQeZoy1aqmB3WqrWnLafDJ8rnHiukJr1bfztmcjEKTqpioouGDadYR2p6ToqO5k4r3uaq8+2myQqT+yfKdXqL+wHmS-tIF1kz30eR57MnfadZx3nC6YsLJjfLg6eAC0OmMecEFuNi8YYzRuGrz70x5iUy1bL5ilGqGyflMlOmbTqpK-U78eaSR1egFedeZRkqEidoA83GReaXpsXnxycR2rmhe+h865wWB6tcFif6G6bdx2mqrRcvJ9bKTtKfOmUqvbK3J60KqScV593HleYgqtjn3QuCFtonUlx6J68mhasjsw4iYLrVKnAXo0sCgiFNgoOTs+MyhiYXp+gq3ye+Jj8nVatCFjfGOCqNK7emLZJ1q4UW5LrdK9ab452Pp0znwKfNqi+ngcttFgTCm7M+u2+nEKfrC2XGS4vcPKIXu5j7M9+neMe0Foeyqib0FrnnTBYrcYBnXedAZnxzwGdzxoYWoGd7wlwK6KZHmvrmBHNyxvYnccoOJ3MxuKasGhq7nrtCB2hnUfEIZwi9KxPXijuT+ypD5qe7jBbwuiPmGuYru3e6Y+cUpuPnlKZi51SnWGfUp9hn5ke09bSn5bB4Z1LgtyoMpoyqELO-iggqp6tbUKh7JGdgLSym1xNRg1A8rytQl27B16oOFnGDSLLYeoFh+GaaFr8tgQJ4ekcWFdob265GfKZnx3+T-KfMZwmF2hbsArYGElu6Fqj6IqYBJ+i0+csGFyBm4qZGF+mqdxc2Fz0HsSc1BjvnZhd4l+-G+Ipvx6QrZ+YRJ9rnUJLElz05hJdyphbHRhYXervmBgsXJiJm4-hhZjKHB+bRRs-aMUeYqpFmyjJRZ5D8Umbv2p4WzlUxZ0PS83K-patrBqeX5-4TkDs4kqhqpFJyhgFnhbn8cpayrmbjylhrU+3is2pmdDvCsDanzDrfIryUbygii1am1YY6Zwym+pRMqnpn7x0uvJKL4-raOiqymRdsq5o8mHBgo0SG+jqeplRrPiYGMozb3qYDlLMD5mdYyZdnyvn8q2Y7t+YIorSHdun8k2Z092m8lUKXfJdOZ-hiZRZYOspKuIZ2dJqXb0fm6xKSRot2ZtZn3IduZ64t7mYYJQmn-IdGp+AnCWd+FyNmSLp350UmnOdT0oYqM2bSOxqq4mssYjpToBySa1gIaRZOcjmngTXhF7mmk4fzW9dnXsZf5luHVweBMj-mJ-2sowl03ovmjXEXbfoPZ+WmGWcWqpWnJRZVpp7dLirs+sGKmOMARr0ntpf6xsmzUQueK+GLjqtGeZCC2Rd5nDkWEqLZp4AWbad62D2KR6ZUJ52nx8t+5jQmGvJA57QmwOd0J5WmGBYOZzgX8yaw7XLLgaurDKUWe0pIxg068eYzpgXGdRZFCsET3CZplxGrRQqTp8QTE6ZWFckrxSLbJ3VJ06ZI23wW8zRrpxwgbRZgpiW0C6Yrpp2aS6ZYiG5RpeY9FmbS5edvyiIntYpeTeWWRROsFifikppDFyUqwxcWI9WXdyajFxWXPBdhe7wXjyYHplgqh6edikemELs8xGuGvYa920-7vYvP+obmGc0-JhAT60qCFxab9efLF78nQdOx8kYn-yZWm0+V8wqY5lOLfMdZR76GhTJKgjsWhZcdO7sWM83W6zrL76YHF-l61DNpo9PH7ebfprCmedq3+rXG1hp1x3vH5srLcabmMOCJIx3mO4tklxIWqKeSF0Pmi8dyaFeznxeQBhBq3xb3FtzDOKbOhXEdN7sj5ym63xcEp51MrxfvM-bs7xauuj3nKOcoZkoXpgOYpguqFKal8pSn7aJfC8eGJ8bpyj8LqcU4ZtRmcQJAlm18jvOEvVo7rMJgc0A9dyonq0RnxgaVHf+KVRySCNUd0HLPKzBzZGfOR+Rm4RquR41GAvRUZvCWHCsqut8qltuIlnfHb5ZT5jBKXicQWjPnbQeeRl6nqJbZ7fWWWBv+Jq0HAScOB9iWDvuGFq16M2uBRuD8+JaklrhKPgd8ZvimJJbb5nCqZJfr5nKnpsZK5iddEQchJySWzscWF2EmovrKplSWFArUlpzkNJeiZrxztJf3oqkm9JeuFxJmJ+aZJvxjbhfRZ0qHbCnKhnRKbIufor617JZIzcamgIcmp5yW1Dtcl2pL2pb6l1mnEi2WpxyVVqb3HepnSjsCl6OCYGJaZ+JyLGvCl4jROmZSc6KXwul6ZuKWPDuSiyN7jNqMdESH+OjEhrKWBjpylq5LhjqO0OSGR+2SOkcdSGoBp0-jVmeBp5pyNmdac5pnHPtDWsOD+pfiU1Y6kqpRvLKr0b38VpbpzmdKZzGmNFfcVm5ncafyq6aLfGraSp5nV+ZJp8+GLYeQJkUnCXnml2qrFpcwJgFn6adWl9pSEmo2lpRTYB3ZPDqq4Tzak0W900dOFrSXBWp0ln-H3nn0lsvnDJbIU4yWDwf0pSprw2jH2qqGPhYEVglmgoevBnpLhSaah1AmdnOBFuqrD+Yaq1ecFqZxfW9mOUqpIEZr2R1ZZ1bdbvA5ZgO94TMDmMFL-PnFRtKcOEKFZ+V4RWdlRsVndP0bhZ4ypWeKnXaHc3KaQoYrn1W3IoB862tEQ7pDxEIUDEVzFmNNRl6HdWYDsbRGDWeJUsAWpEbJU4IYfobxlhNKMHwVp0KdNXNADTwGGRbp+3L626TjBpuxsWvtZ3DbPWadZvMtQvp+h6JCTXSDZqJD7XMTR0elk0eKmnabSpr4F-GHdUo31QNy6ZZrJ9jGVVKDckmG8kO1UktH02byVneliOfm09mHc2c5hgdnkOatR0TmS2Z05iTmLOciaaTnAFFk58Y1a2c8xxknWusbZ0vyB0YFVhTn62fsx16MhGvk5-TGpVYNh-tmmurrZ9VWlOYzMI4WlueLcydnemJdUzCityMBGB5X90b01H9AlELckliSUNP6qp-mTpZWjfUn+pMNJy6WlpL3ZgAXDmMtZwZq72dPZk7nSRazFxTyoBZoXNTShCbG5qDGH2aHa0WmLPrHOg9n5lcZZvLUYMZA22MnAhadpv9mizIPWq4SSBZ0JgrTyBfBRvMnpRd+l-GXdZ1YFhHnSqP7SmIW9-rIx9U7vlfrR4eyT3PACwVrMOZ4F7Dm2xc74tUWseZcJjwnqycjp9UW+7PZVj+nM5Z0Flnn10DZ52SsYzoNxn196OYouyTGceukxqzm8lce+8+mTApPWyIWwctfluuMq1a5StRH4utrRnmHOp2S6-lWJVctanVXDEaMx8WG5OflVtVWr9t1V66KTofGYVVXtVdvVtzHlVZ-Ip9XJVZfV+zGDOdnR8tnOTD8R1Cng5ae7czm9Ocs5oDXrOZCxltG8yKiRobr5hqixzychVYLIgLb57JLllxnHebMulIWozT85+vHMsfwB9uXOPrKFv4M28clAjvHLdyi5jT1mGcT52oXdUPNctp8iQYPZzAWn-wWfQ59+wZdG5rHxNtaxkeWqMsK5s7nL2Z7e3rGgBdpF8ELGxsQVyIrOufY13nnONY2x7q63DIG5+LyescaWY59GsbY1-Uacubqu2uW+Aekyprn32N255BWNKsUym7mMbJIy5TWvPIk17rmV3q41uBNwmZI-fX7lucOlqE7WWKdV+6KhaYulxAXCvN011zXe4ZS52rHXucjJwtF-lbYpGZWNqugFhNLRua+SozWX2fRFwV7Y1ZYRr4r4tJ812GXjuajJhGWR8rgxtNXk-rrFgHmUyeZM4HmJRff9fQmWpcIxqHnCZYVFgby4ec3p5gXEeabVtHmlheA5rnHT8or+pjGaVZYx7tWGZYM6zjHyydEF7wnQBPDwiHnRwf48pCnZccyJkWsRge3O8waNemdRY7yB1c0F0LiJxf4x2EEsgIQ3ajmRMbD5w3GJEbGxiaa86eNloQKbBctx6e7klEvqH4J9YHLpvwnK6fXl487eSpAu6gWKFcAKjwWYxfUFrgyfBavpjonWCq6JhuGLZZoNNgrDea9l9MKfZdN559rJTrbfInz4dOt5tLjTuqTltPHy4s0ZxrWVxeJbKQrsqcop0OqK5YfF-uKvebw1l8WYMuQZnIXUGfLkieLZ8yYjX+7HxdzlwLn2sbwZwjWHwrMKp8KLCpnl6NM4ubqFzvcGha52n+W58c18xLDgqb-ljb6F0wCp3IKTXv6F3BbIFeOB6an5dvflkhaUKscZzKmdhcATAhX0FYQ-ZvmEdfGFxvmPFvyprSzsFe016-GQmeUl1-HVJZs1yJnqqYAhupXT9voV3SXf8dH5nFH9HXYVvBr7heqK2kn79tMijJnAqrf2t4XWnr6V9CHp9tTAjfnZVZCarZzmofGV3EbJlZeSqUn7pU4bK7Cm-Juw8-mCDuuM2AXHsN16GYq4RdHbXvzERbW55CbnNc254FqRaZuu+gmCbLic2z8p-JLyvEWsucGeQTXraaS1-zXA1bsBrz8feKpF9Vi8CePZtzz6Rb7c3HDz9kP8p7masfn83zX0ud5F7GLqTIdp-AX01Z6FtTDkyYVOsUXc1YpxvE7SZZBVqwnUm3lFmHnUSs3yiwnissn1rkKy1d7SqrX0OZa-UmWTJoXXd2qFVPDpqmXIZM61jrWRBdNxg-7RvwdFsf7YzGGAQyEnBdH+xu7Zybll-mWyZpu1gHroxfNB2MWQut5lpInnUeitKQW-ZJ-dYbWwutEesWWdfCmoU9crFzICr3HbUv6m3fjh1cnFn+nWedPS9nmVtYbimcX1taEZ4imjyeTF9PCxBazw-3HXycCFj7WV5UXp4sXM7tTCgsXftZN5ie0whaXOiIXutZwEjdWD6u314uWEsbhypYmaev+Rt-7lZtR1jYnggbm5pimsdZZIgPnV32rxg8X7vN+hSzWMtp-+w3rPDNj58wqZyql-SjWahbUjPR6flxvEoFqoGb-kuEC2heNB4xnOha5y6+r8+YF19g2t8a4l+J6eJYcZ-fHkuZKp7iK5JehJhTXNXqCu1XWeNbWFuXWnRRWFmSyOQeIWsb0xEr1y3vnaKv754-baFfqVo3XGldIk1Jnbdatyi3XRdbaph4WbddMljFn7dccV0tsTkvH2l3XcmYwh5qyfLSFJ3ZSUCYfBvfn0CZBF9qGxFfBF2vLFBU2l+ln5E1VJ2EW9pfj1hEXITvY6zFln+edVwWnU9YRO9PWdNZeikaT1CJ2K6aqHpa3bXQiWojBCoEzQBbL1s7nyRcmE64qQ1d8-b4quRawFzf6g-raNiR4jqtGpFkWsQohl-jj8RaMpmY2mNe1Yzk6cYrxx7nX8YqXWgHXgeWIF4fWsZbzVo1nZRewx4tXcZcBqq43GcZJlktWyZc1SmpXO1csfAQXmtbrJ3tWmWrjp5RGKc0NFlClWydTp00X8aqsmhMWThw1M7A0tTLVCnUz71sDF5-LHRZWR3IJDtbw6KWWb9Z1wr0WeSr7Ji0zfRatMh-WSe1qR1WXpSqmpwjGx7p5kqcXH9YAK5-W9Zfu1gl7DZcwN8E2rBfTF3onh6dS112W9eatlo01uXPHlf3dXO0IKvJEQ8Y9ll2WCDcpFL7WC+crFgU3qxfzMp0qmJdIuvWqGxe1xpsXbNrPlYUUy0d1aldWs4s452g3DhWjl3LsrtciLeOWZBcL0wOTuOdbC3jnt1e4xwdXxxc-prOXD6anVxonUDZE2+cW2Dbp87PHN8Rd5l023eaLKtG63Ak3FzYncbu2Jloastsbl3ez7xcJ1qM0jxa3F-DXUFYIG-Gbl4qEpnuXeyofMshmTbuO7YnW8ud4ps3bydYnl4fGp5aqFmnWTNznl5PnJwQAlwUcuGZ0p0bX31rAlwRmd5fSRveXn5pXmv+bIIoAWnZGHgOkZqynkJfXFAB0NxW3EhRnC6LQi++WiHOXll8qNGZUxrRn4Rs-lhnLGhaflmJanCvxxqujtDY6F+iWuhY+RjNWg8cip3b6mPsMNwvmhdfaCqw2kGb2F+76PfPQqgvW930cNy5bRJbr5lg3zzaCZ5w3lddvxw82thZlBzw2aCM11nw3tdaGC0kmAjaMSofnv8dya03X-8fap9VW4jbVvIC3HhbN1syWEjfUh+GXrVbsdVpCDjWd12yW3HLSNt3WlvpNA48iSTbXFiJWjnTKZtxqrEsqZsSS7EtAYoKk1qcicgKXwIlmdSdoriqsQ1GbtOeqR46numb0V2KXAktKsoxXIwKSloySUpf8OkZnIkrGZvBsJmdCOspy3qY8qgqWOrM9g3p1nlawo+C2ZjsBptxW3IbqimqXHSiotuz6aLaMu0aVTIcK16GGjmcvIjqWwld26bC3Di1wtjyXqsrWs6xKzqTxpu50Hmb8aommDEppR15mPdYfV4lXQmrGV+Fy-ddyVqZW6aZWli4r4mquK931Npe6UsedOqseCxlyvREMox-mZwUaNlPXURYsyqLWY1c6E16KJfsUTe6W9iv25onCnpYbcl6X3eJxls4ixjfWllgdM0puNnYSfiqGE3aq-SeBlw6TXisxC8GXs1IBxuwGYZaE1oY2FEO-Z5QmvudlN3oXUZcIF6r5D1rQx6dkMMbel3GWqBdmBunHaBfH1jkKnjdINklrVRc+Ns0656aQCt43aZejp6a32kyRqgpEDReZlwE3jRbxcNOnbOtmtxULI5fFxvmX-RZV1QWWbebIwlybTtaAN2MwUTa6Yk7XiaqA3O-Wb1vxNzU80Npdsn0W2TZFl8MWMUdjask2egcr5pXmaTdf1h7W4xbdl-OmkxbHplMWLyYeBq8nwbdpsZNWT-qlqyFM8xblq-wWvyeFNsG34xb6J4OtxTaN572WKDbahACn-Zce65U2T6aWlizGNTc7fSbrtTdzilG6b6f1Nu+n0icdqzuy+1BTl6IWYdbZVmbWh1ZDO203jJuqJkwXHTY3+ouW-0tQ1vpVWDZf+r02ODckplaFq5ZLxhBmiduJpcIHyFRx1uwy8hcthgeWfObAy1uXveeBuxnTszYIZrsrV4pEpm8WxKf7liSmfTaHlmomNNeMBlAH+Da-M6Q2PxdkN5ur5De-FlhnyseLN-7FNKaAc8s3gJcrN0cm+GZ+qN80azctI3eXussXDZTnKHqPluGCT5ajots3z5aXqzs25GdBwDCXWRpYe7CWkRswitcr1GbRGshz9ze0ZhX9GdcWB2fGWhYrojnWUFvZ1+c2RdtpNtq2Sxb6Fzc3oqfLtnLYKsey+w-HwjYnoy4H+JZPNwSWYzfgVkSXK+cwV683HzZPx7YWXDZFtm835hefNkiXDkrfNu8q4Jr75sGTpEoKZw3XTcoYVk3XWSYgtn54tkqYVtpW0Wct1rqmoLYfo1JKUjaQtg07+lcoahe3sIdEV8CTEubcl3qW-FekVqpmHQLkVxqWFFYoOsw7wIl4azhidmdvtuuCIpYgl0pLdFYsU5i33DtYthKWfHvQesJKiQLMVwlK6nXEhxZFJmbCO4S2JDtmZrRrxjoWZ2py9GoGsjJLGnM6lvLXvQ1Je0xq1FboO6JX5LasawJWbGsiVy5nuIZiV3Y6SmZwtqJW2meId9KS4lbuZ-GnElaKq88GAoYGV9fngoeGV7I3MlbtwbJWaaaXVy+2Cle8ttaXilciccFnylchZ3Sj0mr11o3Kv8YaV-83V7cAtmI2QCbSZ75ywLdiNte3OFcCWcqHsWZhR1I2KGoFJyaWsjYyV0ZXcjbiR-fmCjf+Z5aWgtdwJqPXDNZ38pZWZbDxc-5LxofWV4f17aCG6SdowUq+U3ZWflMlRzdVhWdhS0Vnl-XFZnbdcYZvpV1LUUu39bDNXJOYk7FLvUuVZ1QM4nYpY15WQ-CanR4bPlcpS4TmflYMGG1HLjY7eiC7YYbNZr-XnPLBV56X3UchVpFWIYeBhvlKwPrhVgwHIPprkGp2Q0Z5U2jW-EMQ+mr74VajR0VyQ2aJjHFXCEixVsriw2epajGGnLd+kqa2L8tWJTNH0kLJV742iYd5qfstgZ13pblqTAVY5jgMs2aDOyctOVfrpQTnaYd-VXmGj1YxsD9XT1a-V2VMRVf46sVWu2YHZttnNOZlVxy3rMZPVwdn-pqVVyCQApWedu53jOc1VjRGFVbPV79WGFDcFnXXnnMThgRw10d-va5XGJJG8aS2zoaEp31KyWNSdpiT0nfs1+o2IX0aNlYqHorRFw2mg1c9V-PX41Z9Vl9Hc9X9V4Y381aK5vpqq9bDVmvXHHfG5qNWEcZ44jzXivPQFwV6E1cyt+Piu9eq8nvWXZb71qu2XaZJxofWycZH19MnCnaK1n2nCrb9pyRll9Yq-StW2bdIxodKD1djpBtXqMcG6WjHm1daDbVmDjfbV808lraEFjUW2ter+wjnKZdERqA390qZ52gLwzunF+j69cYMa+02H-Pe6qTHhzbtIECnz5TVNoG35MbXVqm2v0voN9EaWYqY1PNn9nZ5Vo52+VZOd69Xn1Zt1mVqL1awBztGQ3c-VsN2G2eouftGnnfE5v53znfbZ1AXtOc+dv9XigJ+dwznENf-VkznF1dVBEDWoNYJ4lsXBg1A19UHwsYc58e08jdzd-5JXOdIpnMqPOayfJIWF7LNtzYI68deDXDX6ubrlylbdbaQvMLmSNYi5lN9yNZRdxy2qNdDdAFGOndr0g-H2CYxxgGWQBdzG0TXFNZq5t8arsYzNoLnCsM6xqVi7De0bIvX53bhl87Gl3Y4+8TXVNY41mYXLbeyx3R6nDbits6thubE1pbHnRtM1093JNfPd8Q2TRrV1ltoGXeIVvtt32YWV0CbFxsEl7gKeubfdlQ9rNb-K8dnHjFXZ3mnyCfRdoaqWjc+x91W01Me53o3nuY4J4vWeRZJF0l3eNeK5yY3UcNlYgzWjrJ7c+vW4Xwv+vji2Cbb0hLWGrewFlLX51rS1wUWwSsy1rNX3qpy18UX6oo7S69nIedXy8rTStaDppmKSybg5g-L2cca0znHoAu5x7fXgEemd6GqPjck93TrwicNdozELRbpSvrXwBZ-1nCchtfzF-Oa5GqANgdw2GFEYKbX2bc9qsomYDfm1w4mueatdxI2xdvTN-+m2Apfd9uplstc63v67iV8Ju62rcZMAXEB+NGT+NE3jTJcF87Xq6aOtju3-rcFKg8nXXb7po2WP9Yjxhk3Mbbj3P+XobYxt97LuHIq1sg2HSr+1yg3jjfN5kZdE8ffShTGPXdPNZOWodbHNmV3Edbc51OTuGqVqWHWoFbXFtYnY6uLx+BmL3Z95vg3shYEN2ZEhDf2J5QHnDN4Bq22hPptt7vq6GcfChhnnwqPhiZWk+ceJvO3U+d8p9PmWdaNB6xWeXdMe0xmudcAV-8UDDfrtpiL4uZvGkXXe9vcEtu2j3YaC+t66FtqCmw2P3aQV+4GTzeRekir2+b7tjYXR7dWFjr7nGdfN7w3p7d8NpFG57cWS2qmKSYuFjcGXyotylR3rdbUdlu2fYXaV7FHOlZeF7pXkjd6Vo+2+SYCazh37Le4diqr-hZnhn3XXLdnl9y2A9aP5vzST+dV4s-n9Koj19FyGuUqNiQj1SeXuEgnR3eTa46X+aYxdlzWFtFitjPXlGwLyyfz7eOfBL1XSvLb1xLWMPYDVrD3wBZm3SEWKXZgFzzLCPbr1wdbR-M7ylAWtObjVwTzKPfQ94TXbab5Fz7ncYo1diTikMah0rLX+XdTJwV3PaeFdhYXu0on18V2uTIDp9fKytbn1rnHLCe19wrLlRbYF8RcOBYYFzfWWtJ5xmbUD9bBNnHmDXd31hmrttbXJwunhOwHITsRraTp253GQicdxzE2Ausu11qan9Z-ReUqMFrf1xJHwveSRsp23+NOSBm3jSX-13LatPeqG5WRPfdOjFQWbkjUFuk2NBcM9rQWbTZHV813zbctd5bWjBdW1qz3uefhOM927PfpNmG3GTcSJiL2a-ai9m+GFveoAp2X+iextn7Xkvbxt73EqDc9tGg3Oxfe1L13s7cxK+t2QGbIp0r28JXK9wXXWPqq91IXFCvopk8Wz7uLkseWjlyVtnHKm5cwZ58yj1Lq97W2zxb7d0bAVSIdt+PmCzdEEunXnuKpgsb2KJZfKqiXkZbWB-+XKIpLthiXVzf71lemNzetBrc3lvfXTTA6FnvW9qCG98dsNwH6OPq7t8D9FdY7ti72LuwO9692eubAD8kjvGaIV082qXrIVrXXg-ab2uR3MmsCNxe2EWbM05pXW+daVoAnt7aiNyC2SUYgJhfmELbyWwx3nmcChrh2hldh9l47woYR9zaKJleR90EWsCfEViEXxRHsd3n2YRfx9uPXVldMORPW+ad1J8n34PcHaul2duY6NrYqujbulosH1jdPNvSJ+jahi7Y2srf6tnK3ClYOi3y3z2x+ly7nqRYhZln209WpO8VYljaEKFY3qrdRxj74ArZKtvzWkLo+5n9nZfeb9yLLhJsY912m8k0A8wr82PbhKzS2weeJlipM6BaLJvj3JXZeN3nG7fd2t79C9XdPLQ-X8Yd+Nkkr-jfWt9mXrxc5ljFRuZYU9yP3LRbetu5kTrbB1tbLzrZc9-bWMcA893lEvPcaRs7WeEUOyp62qgr07eumc6Y+opun26efO0MW26e3J2oPcTaiJ7umFSpC973GntaHJgWrIvdZN2j32TcQuzk2fmO5NoKDeTZlEjT3JTdwN9emQSti9t2XG-fo6m-3pDI1qr7LcU19l2PHlNvtdjO3coObFgt2UffVNsOXLRK1N-v3pqN1Nsvcs8zj9mQWmbd-laYmCvZ9dyA3s2a9q4z2hpoW1vEjCKfM1pM7kNdl24W3LvaK9ht3qKfVtksq-TZ4NzIXfeckN+fdchbTq1W3TbcHlimxNVPaA9HWe3er588X0xX1t4uriGaz+0hnWDLVtzDXkDfD5kD2LaMRDp7FG6sP9r8XsRsvitSmbCtAs+eatKa9t1eZ5Bfb+-SnA7Z3Kus3ussQc8O3V5pQc9ebAFudI1cSUYPjors2bKY+Aph6OsZTt7eqnyoddzh7RzfNNhKmJzfqFi-3mLMol3+WP-Y4sxc26JdAVlc2zGfmD1fGlvbl9wUkjDcte4vnYFbGF6XWJheXe6oz+NfIqllaIA4vN3u2rzYfNNw2K+ab5+82W+aNDkAO7zYntvEnLQ4JJvcUPzcF06hXit24k383FHZH55R3mqciNjb2p+c0d372QLZa3YH3+mM2sBljkXeyZvRKjHcMS9C3CmZMS4pmLQLGcyRWv7dKVnyKlKrYap+27Ds0UhpnlFYCk9zMIBaUkvUoujucR7xKXesaW-+3XDrMqlo7LKsSl66nKrOQGaqy0pdqswI7oHcsViSHBLbUa6ZmNGqQd6BHiA+mYtJ3sKNHEZZmLPbkt7Gn1mYzJvno3MxvKNgPKw5PiasPIKZ6cv6q+nOCV7MODjz0ts5n0afIdnS2pFYYd-p5JoqGllh2rLaSV9h3xpeMdwZWiWZ4dsx2A8rmlvI2FpaiahoG6jMBZ0R2ilfUDkpXgnNsYq2m-rKhZgn3RAxQHfgOYPadVoQPorfQmhY3P3fEDmyjErerWxn3S0vStkLTbue4JsfX3pe-6HyiWqrhCzQOiechiy5yn-31pyGW3NcIXQwPNcl8+k6SaraZduL76rYl9xq2rA+l9mwP9jbsDgnGFfb4KpX23aZcDhoVHSfsNrU9o-f4j0qi7jYE9rwPNF1Bq+HnL9KmdrMRL8t1d+a3GZapVvtXHTz1FgE21rbZlqzqtrZBNl87gg+Dw063312zpwP27TsHJnL3CTbxE0XmkTbgIdz28tE896-XvPc9F3z2jQuxNoHydZb9F1IPYMec9yKavrYoFn63agYLVq2LViMYl367earC9uE3def6DnoP3I5FN7QCaPclq+8npapnpp8m-BYmDg3mpg66Dhv34vYrFnG3yDZ3plYOxiaBm9YOURo9KgqPWUO2D5gODYfJtgQqy-v2ttrLjg9DK04PpBYfpuYIlMbNNjCnRxfTlt4nTXaPSgv3f6ZQNl4ONtbeDkf2FxbH9rD0wRxbdjDXK5dgZgeLavdxDhr2QQ4GG1f2d7MxHZuW0yU1tuEPNNa69xr3bbcLq5EOiGYpKtEPJSJTN5aPpdqfFmaPrbc2jnr39-foZiRU5Ddl8kkO26tdtkb3ARux7JeWNg7SM1eWqzX99+KXeIfE3beWg7aZDkym1HqnFCO2oIoA6DeauQ5UvC+SdRyvlxO3byuYerCWRQ-YesUOnHq4eq7hN1f5TIFH4UYIiqc2mdcMew0Hnnum9zYHVQ70NvPnUlvVqjiWnKX1DkRKISbQV40OgPtNDvTWagotDq733Db8j3CqHDYHtnu2HQ4vetXLLQ9vNm72Ndfu9uGOlIvuxlSL-DdQas+3YmYwaoMOOqe0dihMNSewDyEmAfcAJ8SKeKoslnhXoCaza+ACT7fEUxyWRFeXtlyXijazD1xrjLex98J04rJqZx8i6mZft2iHhVXwdnxXRqXodxg7g3G0V+sOTqZil4qzzqcflzFYD5fAdkyT7KrMk9o8YHZmeOB2hLf3m4cPRLa8q8S3aGLQdpZmkjugtoGnTw-gnJY7XBgiUvhrP7ZXg7pyVjq3Dhaydw+Njyh3E466ln86JFbzjx2PrmYGlph2Lw8stkaXHJWSV-knvhfqh9JXJeNmlrJXXw5yV98PqWY3AuqScI4azPy3cw62lnQPXSbSa6FmvzfFjhR3gjaUdmWPvvY3tgC3kmfwDsMP4jaIDzkmSA5QhvWCbLdEqtfnofeoDpAmm47oDly2GA7ct9uOIvXNXPpqOA+u5vn3vMucd3v1xmvM0yZq51UVLKmxlSxGSE9I6mMFZvZWqXKlRmFKZUZHAelz8Jm7-KsD82uid9dGM721AiB9HVLhd3VGabszvPMCBzeFUrJ3VazxUrTHeVYDeAp3MI++B4p3HUZhawSOLWcTSjK2qndtZwGHanZ9R+p3TvojRnp3Uy09Rx5jCE5h2sNGvWdTeyNHUy2jRgjbwkLjR4NmmE8papNGipvGdkJrJnacJtlrWtfkjxSbFrZk9nVKk2eWdp+9U2bWdhTUNnczZ6bWc-Y5V312uVa1Vy0XEE8DdrYkxOdudzN3TSkVdYzGo3Yzd5zms3Yed4lnH1ejds53Y3bedgWgPnaTdm9WzE-05mdHW2c0TofcmWYqQ+NyE4ZXR7pjAE4hd5fD7S2gTsBO0ZwgTrxOoE8Uue9WSfcc1-mnnjPDS6COtuexdpZbcXZQ96lSj2epd2P7Xyz4jrA6+Na9+rQPq9Ycd8+P0I8i16JOMRa-dtAXX2cFY393E1Z2NkB33I6Rltc32rZeqxjG+bNONgV3zjdH1iDnx9cGt2rWUMdg5kV2KKwQ59sKkOfldmVztCCVdgp4VXej-FtWatY0h-h9eE9cJxlr5PcJKqZOHHw5t602Hg-I5p4OEDYnVjnnsQ+PzGdXpNo2mwOX+hFLd8gL+Cqgp2v2e30H9iHKLTaxa3dWa0cFhgN3D1aDd9bI1OcnR8t2K2Yjd652iKj0T2t3DLsMTx8P96CsT0N3fvasRt9W6jtOdl53fNtsTktRf1f0Tz5O881Kj6hgi3ds5lRzS3YHUYt2wsfs5+V9HOZrdp5OXObixlt3Pg6rSWIWp-cq9zg3fOY7dpysu3aSuy9365fxD4jWp4f1jEd3gk-nY9eH6O0w0vjz0QYY1vd3gcYPdxd24A5Pd726C5ejG6TXTxagSvmPAte3dgAPd3bK5hiOzUIZDSbmyNLXd2W3DrspN+0OxA+Q9u93l3elTgD2puYNG9maOvYpTiu65NesyhSXmXZKT1l3tRu29uq6eU8XOrVP+U51T+r2kHruxlxODVcMyuo2HVYitp1Xwk9gRrF3EPafZ29320NStwHH2U-kJkvWcHZczIGK0k9AgsV2yBxZd19GyrdOrFVOEBa81+LXmfao95-84bZjJvAWuXYy17UPKH1ZfZX2WPdV9sgX1fc8DqmKOPZO94rXS+NGt+gXF9ZN9mwmV9b5si32q06VnSpssOfjWaSOyVBs46T2ZI-5C8IOe1atPAnnKDIIjh0HY-YajqmiE-ZgBpP2qedtAb9hOxG9sfT3LTYWT0jnnX0eD0z2i-cYCkv2Nk7L92cWPVHMF+E3HPbtF0-Xdta3O99aBWs8yZwAZiAKDt32-fYcj70XKg6lUjkS7tcBtrP3HtZCj7A26uMi9jKP8Baij1FMA8bJj032qxeN5nKP-tdWD7GwhuPB1t12sW0ODibj1DKuDyUObg49NsW3FxfDq8AOy5aR11t2oQ6ltxFr0haEGnf3Zo-4p3PqQzaWjjf2kQPa9x27bU42juaO4tobqinKXl2JDlTmcRtnl4b36dZ0Zr+XpzdeJ5oWjHrjJnnXF8cvq4L3n-dm9sBXWJaBJxUPCVpo1vc27Gepj1xmtvZ5M3BXyyNKNXmOx7etD9YWkM45j+SXcFfopAqnmY6VT4JnJdfwG7u2jLKNHBFHiSfUlkePalYlj0oqtIs+9liqQw4jDsI2ow-hZFhX1HeJRrhX5+f0dw+2YCapRuuO7Ldylhy2jE6ct73W948ihxgPD4+yHY+OpdhD10-nm-Kx95hrI9c4DvH2u-PCdkb5nU5CTl7Gwk7g9yJO09ap9ijb88uDXQvLf+Z7xf-m8XbF9pNPJU97QlJPupZKNtN3Wk+FLAj3hCcjVsj3o1ep9sPi5Xm7y+NONjYO5gNPuRcl9mC3bybZNypPeM9v9jq20vaIFjGWc1caToV3UE4bTx4TlPamF4vjj9Jn1pnH+TIAC7fLa06JijpONfdcD+tPjfcbT7gWxk5mOSZOe0+x5mZP4atCDoXGLBfS4s7rqg9Flkmq5KksmdJIbrY8mh3Gig6nmT9bSg6Ejqk2Q-fvTnumVAvaovtOcCo8DxoHVPYTlnOYKeeyJ7SDrs+SySdO7s-tO8A2rcK2dsAqF07Qw3Cnuo-gNmArV0+tdooWECr6jtA2+eYwNmv2fs5e1tUr307RthaaOTcJz9v2zZKlNmOLco6A58YmI5b0jpHSoM-Qp1OXZiaFt5g3bQ9Ft4TPqSMlt53I0hfn97O6DzfIz4M2wQ+ENtr2XzNOjsjPcM8gB1fCro4QtG6ObidlV8d2P90-klQ3VfPA9tjO8Y4+Jl5GNQ8Cp4mPuM61DtiOCFpEztb3xzZ3tsXWLDcNT0w39vY0z482uvOO9m3PgGrO9+Knf3oCZuTPrvagDgWPEA-fN5AP38aiZv0O0DoDD8ePpY+At2WP+q3ljze28A9wDlWOuldLVHpWeSfB9548KA6h9rzOYfe3jimmCXn4d1uPBHY8tg2PWUzGK9gOPkqmKu4yqjZW3P+PHNRW59PKBA+Qm91PMXZitvJPotfitzo3bpaSt6QPyPau3eQOiI9hwqNTxs+DC4GKfLa+ljQPiTojTvELiraJFqCESI5kDvtzNuomtN4qkYpojopPoZeuq4rP-COsDlq3bA61z6Pkak8cDvl3uI9zDIWz2femzqkKtffuNgmXy06eN6WylRZrT8mXqsod9iOmfjYWdwUKlEaiDgZMrTulCzSP2yZ2t-nGVvIgznrWpYv89nK90g7e8uWMVZbMjxE3O+mPTlvTTaHPTy7P7rdllx63f8-3zwDbXrZvTqOyR+Itx4k3mar8jlt0a5V+t1mPAvZ+FXPnKCurVqC7Qo76Dy2WIo5TVtKOMbczFpPaEbdzF8MKyptb9rG2YvYoLmYPSc+3NiU3LSvjFx0raxazT1S75LsbF4lMD6Z8AmFObHbJtvYP-Svddr-OKDOvp4C6fZOqmo03P5QuD0rtKfOh12DPYc41xvP3YDYo5nqO+bcxzp02SKdH9xt3x-YopxnzPTfgqkDK23bkmHhF-TYpugjXl-am7QQ2KdJVtjBm4gf7myM3rC99u6w3uvbgypbxLxbvMpM2+5fLqgoWYGb7C4eWBU8X98H6vC48MinWZDap12XPqhcZTuX855sXlheavY9HTd6P1jpo8bcr+bv+jieqWQ-EZuCWOQ9bN8GPzyvgilCWtxPKLm8rBQ8wl6BL0IqHN16PKLIlD1qO3Q8JJ8-3mM5xj4-Ci7dZyrQ2CY7+J-9nwKofTmb3b-df98BWbQaEzu0HDc5Vy5ou-vaSps3PpM7PN5TP--dVT17OaGbtD63P+Y8UzmAPVi8mFt3PtM6fx5Aj7nq8p70OUA+XB-XXTM+H5+Jmw85aV+zPpi6t16ePgw8FhVWPrX28ToJOyGv4V13WUDoeR4RWJKovtz8PWA-ci3cObQL7jrKp8w58ly2O-Jez7LI8cXw9Aixo1+3Tj9Xix0drD1y1d5LKLd2O3DpKs1+KWw46vayraRC4t7o6eLcUavi3U-wEtwY6qG1sVv2R7FeSS3irAk8EsMqXZLawd-cOk450hgEz8+0p1fhrj+wZL7qVs46CVr9QAnJOZjkv1rNJ5o8PyJxPDucPy45Sc7xrLw+rjzLMxpa+FzzOrku8z75PU87EZsUnl9oPjr46O49qkj6Xe89wjo6LpFeHz2E85kuCt4gmwI8SzlTrks91JqvOKfbAdWCO61vgjm6XEI96E5CO0rfmq8FX+facyrvOgYtyt8R3LCN+hz0n2B31L44q9A+I98q2bqaio4wP3CLWNlvOELK2NjvO4-u+juuG6PcdpzNO7A5FF7LX3afzT4NPjCNEj4tO-s4wLstOh9Tmzx43LfdWzrGG9s+Oz0UzX9OETzqihE87T-HNIg+Rq2UyATdiDioWbOrNFvfWpIOe13GqkC7bL532T9f4C1AvzI9ALsEaT05A6SAuLrZJqv22E5rgLlEmKuJezmYXTI42y4MXMLe+tzWXPI95kv63dZaC94BWCCmr9+MXQbeJz8KOzZfet9G2Zg6oLs7maC5GDpG36C7LF1G3Uo7Cjy2XWC7GLia3xg9xtgDPUvaAzhi61Lv4LzYPibf2T920xC4tqvv3qo7DZWqPvZLDK4dP5C8TliIhTk48pwr3ipXajtXOubfz9ik3tC7W13QuBbedN+DPho9BHZ-6Oc-d5v4OQtqmjzDOGKd4NsniG5aFz1r3yGd851aPu3fWjsnW7C-K2i8Wdo8TN0urkzYxDyEOCK4tdk6Owi9cBiIvzo+8LqXO+veujx23bo9oz0kPfxfJDzn4PbYWRpGPuGZ9twsI-bZpGMutfo8ZD-AroMLyLoGO2Q4ASqO2gEtjtmRnrKehj-Uc+zfosgc3lGbqLwqOX5Kzts5OpQ4-lmUO2i4Lt+UPJvfxjzXOqk+rtznXuMJ4LoMcfkYGFp8vYqYpj4XXjc4IDwLdZi53dpF7Lc4WLw73nrbND5YvXxdgD872bQ-dNuKvHc5ztyx0p7aFj-IrgXaoV4zPTi7Hjpe3jdaaVy4ucA+uL2zP-dOszkyXg85oImMPUHecVjWPbIreLlC2Pi91j74v9Y6KN888ZKpLjkUv-w9Ek3yLQS4cS0i3FFfItiR537bMa9RXS45ysn+2fEtiixi2AHY9jvob-bdY6-YDiVeGZ-2OsoosV8ZmRDvv9sQ6EHYiOiOOojqjjmpyaq7qctSHEnQTj0UuFLeTjlRW2nP0U6JSclJMtjalD89al7S3hS-ZLqh20abMSoUv4+zGru6vPGvPDjJwElavDth2147yZmySOJxsRkZXnw5bjyx38jf91sqPbHehC+qS+87-DzyWylbRMipXDS5uc7Kv5HZiZszPVkoszhWO0FYjz8oKlY5n5-Bsqq8pLclH1grjzvFmOHYml+8OppduSuH3KafoDgLO1S+ihj8Obn2wJk+P88+qziNWPb2ZZqhDRobcd-lH-b3nVMO6VaCFeUFKn46JQF+OT-jfjwJ25-WCdr+O6EB-jjaGIne9XRcsPE5lZ9KY+KoDSoI6LVYXZy+7nav9SqB23HlNZ97OcVPgT16HLUdUT4OwUE+aTkDV7UZo8YFXKs5-dnBO0I4eiap3GVOhVhvXw0fp+pp2EVYuTu1mqE5RVqd2pVu9Zot6GE76dthPY0dXvVhPt73YTglXOE-rLBXHnWLLLgRPMkI7TttOaAzvzylWlnfKTzZ3VnaZV9Z2M2dZVudO5E9QIDmG9ne5VvpPL-a70Y9Xfk5jd-5Pz1e0Ty9XxVYbr0xOm64BduWHN+auNB5OXMcxTrN3AU8sTjRPIU8cTn9X7E9HrgWYnE8XRwzO1ktBd5FLNa6uVrxPfKqIY-WvknfdS42vPUvAj0n2bT14RM6XXveFpjLPq2liTlK2oZasytlLXS+wfN9H8tY-R8l3cPZlYyNPjU+jToGXY09I9kCtarYOKqNO-0axi3Y3u9YFFpMuhRZ4L1Mvc0-TL0bO1fY9L7Mul8tzLzj3R138D2R9uk77M3pPra9uToBFBk9-xYZPGZFGTq2MLhLTr7V3+1ft9w7PtRfTrkzr4K5I5jOWkK80LlZOUc7PSrAyidd2KLZPvy-tkwQvQsWELmKHH05LjSqPoKbpzo4MYK5UL0smq0cUT3525wBrruUPWuEbR9uuQU+TnS52nEteTsDwJG6+dvN3rEasx2xGR64+TxxOh670ed5OB66hT8FOJ67UbqeudBFLduFPFVcCx1huwkcg1+FPcPsrdtFPq3ahr-Ruq5HeDkTlcU7ELdnPxi85ziwuKghJTgUEyU+kB6hne3YYrvLGB3ZpTorGFQUwe522Fc5484w2jvtZTwrP8MoeKzrPD3e5Tld3LscSu3xvtxcUe+TOg1fO56YWJYkY12MvRPJM10TLeU6tT0caeK62Jtbt9U5a5k56H3dY1p93im7U14MHG8Y3d073Km4KT-F2ea-C1k7HjNcy5wD3ZEfU1sXPt7vtT-TLl0ZC87evQk93rqXl967OFzzXC4-c1n1OqPjnzuzL2s9mN1F8AtZtlsNPu1sHz71WOm5by2rP369ED-JP5m9yTs+uMBeWbxQO2Xd-rjl3-69715Mu185w51wP6k5V9sBuC04gbzpOmQqmzlEnESvpx0-OxreLL-j23m6a-NfXOY3XcirL79POTq-P5PazR4huTs6Oz6FuKy5ay4CuITd61ktOVPaHT3-X4-bGDkxWKMTjACHPbs8rAWdONmrIbjqOyOcRzlCvkc6o51HOLPZtdjHOE5NeDoBn+eafy3dPumw+t7IOj7s8yLkANCXZbn-LYz3RNnz3ig+ez6cva6b07dwWX9c+zy7LQvYZNvHPnyeSjoU27y5ILz7W3tc9l8nP-05rF3enak6+wEDPs7DAziZdEW5w83hvrg-4buDOUNdZzpTOTC6wrlLHOK9iCGr3iK4X93iushYFzvDOKK-3FkXOt-YGbhEO9-YhhISuZc5EruXOx3cUNxXPf030e7+XcY-eJwxnlQ5AVvovMVtaDvrO3kf4zsh1BM88rg3ObGYCrmyugq9JXcXWNfc7t8KuFdafNhTPh7bZzq3Pti+A+hKvNi5dzlmOldamLnTPgA5t0h72ji+9z1APYWbOLv83A8-AtqePQ85nj1FnCa8hJx4vmitB92PO3M5X5jzON46TzrePyacZrtPOD8LQJt8P1S6Pjmlm84Ub88LOw9cizsy2cfYqE2LPIyu78mo2Es7Lz5OGk9ccHSZu+pM5YndmG9cz16z9beLUbeh689biTwTi4m91p1n2SXcLTxoHOfcgF-COJBdC18NXOm5pdurODm4595AWms7Td0X3UPbndjlOg04GDurnubOBKpgujjY-Lh5vhs7ON9DGyYvtrga2sE+g5mbORI4BbqfXePdJlxbPfhPGtksuKBb0XarXyqJFF7bPiO4Arqziqy9sm-DmnfeFxo-XL-pd9286L0+PXfJHnQC6cFjvuW40guyOZZc+j+Xm3I45q3AuZc23L+rw4idfXSQuP88-1j5vMs7RbtT2jTdHTzT3rYbQNdjulO7exzFvoc4ILgz2xEeDOzqPkyqRzsdXVk8wMydX0c4tFfm3jcZaJ+2Lkg5fL17WiDfwNk8uSc7FNtguso879t8v8bZWm8IWDg91bh9l9W5gzw1v8U6C2x-6Ehe+Dgwvfg6xDyaO5-ajNjHXguYCb-DPVwpcLzf3pKbKbgM2dbYCbofGT4s-F6eXBvb91hjOz-cnNk+q9GaWBzouL6u6LlyuY29XxoTulS7vqux72NrYLswu9Q5TbjGPxM-gVjNvLzcl1wA7Rcs5jgSXoA7kprYuTQ+klktu8ysLbnrudPNu9q3SPQ+750iWvc6qpk4usa-QDo0wA84uLjtvmFdDD3-2h9y7b2fme2+OSimubJYHbmqGUlZBrtR9G46VLplG8hLbjmdvgs9kU3PPShLKN6EX127DtU5X5ip3bo6Xxm82hh-V3sZxdG0uHPLtL-4KHS43bArPM0Tbz34q3eM7zpDuVA+-DtQPEa-yti7mB0+0DqR3dA6kJgX2Qy+jAyq3wy+oj0wPCI4B70LLKvPZd-kWUK3o9hwOgG8H17fOPpIuN15u1s9+qlFv4C6zJkviCy719rDu8O-+bklXz8trL2T3qO9hqnOuiSqZlv42n89Rq607X865l9-PzRYs7l3Hi5W0jzUL9y5QLs-WDQpVxzluvOjHL1lvGAMnL34luy5GdnWK5y6Re4cndKkmB1umWAObpxoOXI-K4gKOn-eXVnHO9y4Y71on1SuQLw-6tSpijzCaQwunp-UrEo-npqzuixZs7g8uHy-s73yvFg6Ls77K1W83z-endk8Ybx12tg-A1oR3HEYqjo5Ofs9ArguK6wsNN5CnFC-uHHjmmi+I2jsLjXa07klvmed07zDBng9pb-qP6W7binFOTW9Lb5DPivdQzy1uMsgBDtuWIu9sLyIuqyocLmsrfAvx1kMlwzdXDNwvAQ7ABpLvq+-vCnwvmK78L1iuAi8OjwjOZSNFzhLubC9O9zuXKM6nKynL0u7Hx-1vEi40pykPPbdkris3skb+7P86si+nE+s2JtLEZzSumzdnq+CX1Rz0rjs3eQ-5DtCXKi+MriqnTK-pyZymILMsrky8wvWsr+rvDi9aL7GOHK6v9hUPE2+ffHoudDeXNnXOc+bXxtiWPe-JjtYudi+btkqv9BJCrsVOwq6ZjiKvIA6Fb23OKe4HxstvNM9dD8UGeY4G7umPeu92L0Jnk7aoU-VXCisxrtAOfzboVvKuQjanIrR222+XufGu0-2Kriqus-z3tugida5NroAF+281j99DtY5TDqj9mq-yr1qvfZParoy2iHaBLpI9ZFYkkki3n7acSyg7onLkJXI8INDe2KfIYqoBWzRWmDt-tpsCGw8qPNEvPY-mr8qy2w+SljsOMopWrh6nCS4Fg4kvrFe9yskvZIZHD+SGHdc5CJGcoktpL1xX6S9er7SHPFfCqrgpIqt1W2QeTtnWPM6uSHa5Lsh3aHYod3S2HB-0tw8O-B+PDnMOy45OO36uilKrj0KpAa5lL9ZTh2-lL5POx29oDr5nAReO7zPOdg88tx7dsI8+lnUve466r5JqB452l4COeA5Lz3qq2OpdTho26y73rw9uc8uPbn4zNioQj2klujeSt31OTm7lpl0vKne-r90vge+7zr0vfw4h7q9noG9HB+iP93b1pmNODA5Bl5Y2wZYjL2fPZabojhfOxh-vbpq3l88Rl1q3CY8jbgbOYO5ONuDuGk4Q78Dnsrc2zybPye8+b-MvvA4rT3wON9fw7o09W0+nkLtOCG-vzuT3Hh+Ddda21I8ssIWLee4SD-nv2y72t7hvHTshNxm1oTbSD2E3Og6yDyjCmkel7vxwuW9l78EfHs+BsEoPBW-pjhAvxiMMjjUr7RYPT2f7de6172jCde+1lmmr9e+iJw3ugo93LkG3Te4bPA4jlZeZNyL2zy4oWi8vuzzoL+06ze8fL9-vL-oYL6L2AB9-TyzunO9VbqnP1W-2m5huK7KD7quywKfTizV2Kbey9sTvqbZEB2m3ZC8FLwHPGwq7MhnOX6cT78Fvf2vnT8hvtO8qJuA29O4Ip7Pusc5L4QW2s8fHC0uXAu6Gji1uQu5LKoivec7UB+W2R7u8ChaP2KYb7gvGsGZor8lPSM-orjvuJyuvMnWjbzOPC0SnTSBNtk6EUdfXTnFbt-cYps6OHW8lz3r3Kdf696nWMu-oz6jWlhv1IheTVyosr--dl+60GxSvODtBglSvsi7UrpCyNK4h7LSvj5eUmU+WF6pdIw-vL5ITtoyub5cUZi-uDuHMriTHO0ysr2CuH+9zt-fD7K7y7wu32M9Z1oKmQKo2H5iXH-fVD1yuX-ZYl+NuIFY5HglPOJZgVqmP+c+dDyTOu4d2980PPC+gHq0PWY867sr3EB6AH4tuNi-671cfhU53H5u2q29YSxFahQ5wHkWPkGrFjkzPcq8wDjxiFu+RZ6gf8Ubnj5budHej86C2nHJDGRMPyGoTz0+2Siq-or-2i456lkJWwh+RrvMPbEtUUp0CYabEH1+2hq7tj9pzfFYzjmsOJq7rDhi3GjtRLpsOpGrYt2xT+IYgd-EvBDrWr-i2Nq+z5no9TB56YCkuipbZVRZm0krjjk6vZw-CHxweFw68VvRSolM6cryKNw6zjsyHtw55L9yX8468HoIf3q5CH56vEJ-YnnGnxS4stxidrLbiHi5K9u9n2sGveHfMd3fmoa+nbtmuNS8Oc0HuJkp7jxJqBB8WHtrNdpYoQk4Wcq+xr84vEWcKr6XXVu6oHpbvCoYXjpzPiA5czsH3tu-vqZMO5S+9yhUuaA4FOgEXma+ppylmXXfyViPKua6u7p+vv68vj729r44BSkWvjwVmlcf0pa-ma-x3KXPlr5fFlmt1Lb+O5Ufiz2B8hcaVR4RDSWNAfZ4uKhBLvBFTxmINrulicp+LvHRAgAUydj5XLa6+VwFw8neQTw1mSe5eBx2uALrNr-ZjJO-TXCp3cE+pPT2ug67adh1n5rTRVkL7-XtdZr1Hg69xamhP+p+lSjFWSnZABfp2+X0Gdx7JhndDZ1VLCVa4ThTaYr1uHw4wvp2mT+NnFI6ZagtHr7xDctFj4sABnB+8S69BfZPu7g93ISuuBOerr5BuFXeOd+5PgU4Ub91hpG5mG29wa2fkbhxODG-jdnuuFYcenz6egRi05lVWTE8kb0Ufs3YhT+xvZoWnr0dmZzd4Dv7hmhO2h6Vml6+TOakuNy0bG86GT-TtLFGedQL6qpLPHVeAxLcEt2fOlyn3a8-12k+u2h7i1o5C3a9zSmepiXdL1vfORU+DV19u-S-fbql3sk4i12l33u5xfGLXy4Ypn7Zuwtd2b+9mpfax7mX3WI7ubrKjAOb5H9GXurdA5-YfsZeUDo4f9By2b0nurWTgb1dzpXdULwgvwOpuTu6eaOrQ5oT2J0ohQ9V2Uy-k6yvgV+rT5hdKH3MjYiDKV0uMzuFu42aCDx32HZ9Ibq034c-345ZPl091x4v20c7oby9KxNts9leoy2IFHxOKnXdVNkOX2G+1bvH8Mg9t5rzuVR7gr0Ea-XZunlROUG7KI9ROlE47rsI3w3ZbryN33p9Ub7Rux6++nz3WVG7TnkGfQ3jTdoGetG+RTsFOvEfBnvOevp58x4UfAkeGyf6eujURTmzmTG6pB6xvmtPRTuxva54cbwaPTC+wrgDKjW7cb-CuLR+tfbDXO3fTmrDPwx8pTj1uMoOv6xTrL-BKxu6OysdP95NuEudcl4X7ZA9i-F3i724SbrlO2PotTyWaSm6k1m1PsM6Fjg8e527h7pcfCEbOb-JvTscPn5JuuuZz77VOSM-PnxrmYB7A4tpvqm-VTl8bv3ey5yv3Gm5J1vxv7c9abo5voq+wT-mfYcc-Zyrmkm6ax5926W9fnsZHNsea2sD38Jf2l0FAoPdW5ivP9251BQmeD65mbhkWDU6dL-1OJU6WH-efMy8Wks9iNm8UhpWe32Z2b6BfZBbjVkj2HZdEJ+YfIOLybv4qLm-zrhMv+JvS1wBvjZ64j5wOd876tm+uWk5Q767W0O++b243K04Vn0tXOR+gAjbOj84qbUjvL8+GpyFu5nf2zmsus6-uHnSOuyajnj87+07fbz-m5R8grnzpgc8ANkmrbs8UqJEJ6ecDOuHONR7T7s12yW51HiluaG8M7n2eaW4AZvQuXOqALgAvhZYuz8cu+7v7CEcvNnBhH2wXn4oetwjnVe8kX4VvbtdFb6Nuje6fTyVvFPY4Llgv3e5ZHgR6by+dlsnOo4opz1ATuC8EX0Sbz2Qy9y3mQdaArv4fyQRjnpnPVR6Sxn4OSvaw9czCxo6GR4MfQu4wz60fEGdtHsG6t7IdH+vvRAbHnriurPbDH0ivxc6DN2vrx+4qFxhn-zJXn2LmizcejvnTOx-Nns+qCu7Qth-2+x4GXb-v8C9-7vXOxZ+yRXUOi+bq7lKuTc829hBWpM9CroBeO5aSr2XXHQ-l1+cfB7fHtlAfnc7QHq-GMB6PHvYvTBLnBx-u3s+OLgyfpu8IHoI3iB4njoPPyB4Kr+8fw88fH-Gl1u9eF0gPXLQcnzYLdu4yNs28Du-Hb5UuBHe8nsOe4a7eNFXjo8sx9he7TY-KN24yCCe4D6o3YZ7LKB-m12ae73Bewg+aNtLPWjaPr9xdreOyzun3L24d469vZ3YUD++eMI96H6Pu2A7rypmeQtcOxj9uBZ5gX-ZvOZ5-ov9uJ1jLh3s7Ws8vYu+euF7jL2uG008TLm5uBF92XlVkurezV+DvercQ7w4flF99LgVe5F6p784efm9kXvVecO6N9vVfny8UXojupcJ1O5tOftWjZvBuu1czru4epPaeHp2fVyeOT5lvAl7l7nJHnQBuziHOlKlut2EfIl5gL6JfER8VTt0zqTa3Lyu3iR+z9zTv7g4obkz3b-prRRA2106A8-QXN05N5aRG39SA9s-pSDNE7jzvKwt+zuhf-s+k7+Uf9MQsXli7DgP9X8HPegCDX0gKABIOT9oPn05MjzXmZW9vLqDv5W8IN53uEvfYL1omuC597-Huk8dB1-xfyfKVHhPual7jnupegu4aXwTdh55BJwlOuc7LyHnPwu-hDyLvPR56X2vu2Kb6X7wHLPdDHt1vLl7nng-3Yi59b+Ivj4cTH+YHFl-G9lX8nK41zgBW1V9otMruUV4q77yv+dcnH-ZfdzaNz1Nv54-Tb8Aeli-nL7Nu7l-a70AO+u83H55f27eQHlWDUB-3HzJuK25-9kbvzzc9DymDvl-rbqbuCB9TDjAOpY-m7+4vFu7KrjpXZ4-Mn6qMo8+4-TbucWaprz4X4h9SVt51lG-Bro4KLHanbk7uVJ9nb4oSFBVRmldvL+aStQvPiV+LznqqtSYd6ylf8SoJn17u7QxJn5rn684kDxvOkI9+7gGtCRcGNu7c1m5EnLUuxHYGHn0uHq6uqgMv4m+vnthexN-AiCiO-QdMeFHuLaa2q-6WQO+WHpiPhZ5Yjzl25W+5dgce5TaY94v69h+1Xg4f5Z71X9TflZ7yyka2TV8uHunvVZ-E9142nV-eNuSPAt4Wt4QWIg5WtzYlLTu57l-OtPFbL0E29F69X7AqAR8ATxIPTs-B1m87f1sHLtwaTZhVCM9PbI8KD0NeeO-v1iNejvelzCoPUR4t7-dOiTcxHvEeESp8jjR6Ny7lKj7PEl7jX5Jfcc7JHr2syC94Xz9PvqOatu8mlZLtlhKPMkelbwsXv0+6J13uFW+s7vtfHO8jxwdfeR9977HqYu1kro+nfy7MbhCmDegjn0nyi167FuCnbRNjlugn+xbMX51cTTeHFrdXp1-On7Z2jPaTXpdOU14ztbxeMK-0Ls0f3OaMLzD90NZaXpvvYGfL7rW2Z5-8bzdfFbe3XtBmnC6dH5wL4dpb7ivv116Elv7fGPIPCn0ejwr1o-wv0Q-6XiaOQi4ttw9evGePX6XOw0ziL4-37iaUN-8XpK8Al6kP2LgzHswbqzdzH9fuQ7dDosO38i+Bjls2pGYP7pCWj+9sp7s2k7YWg+zlWHrTt1Rn6i-FDlse+G7Ezr5e7K+f7rsfHK5WXoRWSu+1zrjPf++fXlIe+M++ekYv3-cyXz-3VvcmLhDeSofkLJru825fNnJzgN--Xm+edvbxD7rv0B6G7sDemjwg3s1OLl-gDygGPc9rbibvZ7Ypll73pm6vz4yesA9MngmuIV87b93feFJI3pIIsZ9AT2qu+FZEUhquHJdMz-8fld7Kzo2O+B6+r02PgS-An5SqwS-6r62OSw-AiaEvV+y9AuEvY8qQnrRXIpa+3FQfc4OaOzCeeF4qZbEv4pR0Huyquw4cq8xXMpfWr56nNq9epsOO2rN2rsY6vqaLmX3fAHwBvepzMHbGdKqWe4KZLpvWWS9hL0avQlcCHxhh3N64nlxrI96H3guOBS-PI3kuTY6mcn6vBpb+r4aWYh9GliJi7jtprqgOHw7cn0ln1os8noEXWa7+ZthvMV57zlTfwe4qZ4mzAI90nkoeSV7KHsK2KV-NL57vqV-7a4QPD6903r+fPu9XbZoepA6VcxZuDitQj6mf2Z8w9x9usm-6Hs-e5jZdr6E9TN8DTukX4e8A2fTfEYrOquYe-U7qtnSfoD4oXsDuuTvsD65uM09VXkceJk6EXjQdQG9ln4nvuV8gb-GNhh7tzwtWjV9UXC4fFRb8DhReAg9t9ujuEt9vzhNnQg+KIyvpH88GomIONI9i37a2ey6SDzsuf8747gM7qANN7+DaQC+y3ni5ct8+yYNeIl4nLqJebzqVlxafFZZiXkRGFy6DFjXuNybq31cvwNq8jnAvNy7wLnjOkl+BtvXmxe8t72C6jy96DnrfY7Ot7+G24o8Rthkfvs7ZHpv3H14DrbJe2-Yc7jv3Zt5S9lzuPy8ApnuqVt6DnlU3btR8n7WGw++Tx60Tdt5bM9ber7Zj7hOW4+9dE8HLWx5872ROE16u3zUfv6a0L8lvM15M75onMK+Nbt03C+9NHgefzR+R3wivpbemj4fuPC7nHsZfjDSdb9f3Yu-h27Bmmm9J191vku-jN7uWe+-9Hxlh++6aPwfvXW+qPpIH+7cjH84nBK5jH4Suj-fjH2nW5l8YzxrRSzf6yICWaQ5BzhQ+w14upzw7oHI-iyauIYI37-eXcqUPl4sfI7dLH6O3ii4vlgyucHJhjqovsB5qLwc2d6u535GPGi6nXtsfpQ4Z12UOaHM4e6-28D6GL0u3+x96Lwce1Q-m9tw+vK751qXbFd8yWxu2ofq13tXfX0w139cfUqYdz65fuY9KM2DfXc8PHm5fXDa3Hotv1dcwHtKuzx+Fjh1O8B59znei-c6IH28exlLBXq4vLJ+hP0qvVHZszmgeoEMXjzJn1Y8pruFer87YHsSq-x6KZiYvw994Huh3Oq9Ans2OhB-sSkQeiw9W4cQfGmeGrgh2EJ8BLoxSHDqUH-ftUnPUUhKK+ma+jgZnl4aGZ3Ce9B9GZgieiS6In1BaSJ6HDhvfo3UKllB2BFJjj6ieMHZWZ+wep97cD3t7U44-twfeQJ++rjifNLbH3i5nQh73D4femnmCHwy2+T6dPkSfYlbEn+JXl9+upVfeC-PxZjffN4633lPOUV6O7x5LAs9O7-ktO4+U3n8OwD9mV0xStjaCtjGuiT-ucrKH3vZ+LrFHlY6Krqk-WqfDD2k-yq6B98yXncpjzhvNqoccnn8e7w833+muPmYql1Ie99-SH9FfpE+P3s5S+44JXgA+nHf5r3FzImD5R5vlAUsvhRhCUpylrphCFmv2V6FLEp53VHKcDS3lR+eAFCPcT8F2ta4MBG5WbVYSd7TE04czc9GfbSytVxRC4LaECKRCSUs1Zi2uo5wQT3J361d+VuVzSs-62RqeUPGan5lKJF6fRqme4BaO5LqeCE56n9FriE+jBs76yE8DR85jhp9-P0afUVa6d-QGgkN6d50sZp+rIuaev+rgv-EfRnfRh5OvUsodXprXKO8vvA7Ptp+0X11fNp+Jh5NmGVbJhm3CKYbDn0uvCW5dnyKArp-Ux4uftZ-6TgZNU56Ebv5OM5+br++EdE5zn4uenp50bsOiE3aLn5i-G69Yv8xOSEmHrri-m57qiMGe9G97nyGfFlfBnC8fXE8NV1dGf7w3P-EItz5PP81X9z-ATxdn1zlNVusUYXeCTs0u8Z4mbllJ8F8d360v6V9eNMmeFm-YX-TX2p-dr+ZDXpbEXyhccPf5X0NWefbPjmrPBZ9FXiy+Pu7jTnTf2h9Fpr+vFadnWxVfcBeVXnA+GPeHXhzfRRac3hSFRF9wd5DvWp8jXynurV8rDdWfUj4u-NU60kxEb94+KB5qwJDrDZ6w5nBuPNhDYxee3nkXSvkFrZ9igW2eQt8Awl1eNp460uWX5PbHF12fhzNJb7UfM+-07k9TaG9L9mx6UzsQX2nBb0oWGedXlt8SsIUfn0rTi5tesvYkL7beB-YnXlqOnj4yvxFXLk-zZ3dwcr7UN4nfg3YrnyxupOZeTt6er1e2v9uf7nYLnx53+L5zd6S+JL40bmrqPp8nrgGfx6-U5iGeJL8MbtbePeCbn26+W55evlXo25-+dqxvUU67n2xu0Ccev1RJHG6ojY0e0Nb-S8aPWl7SxrxuroR8bnBnK+7MN-iuoi6ACIXqWPLNnm9ekx+n7hIuYRMndjee6Nbt2oDuOV-lXgpuem81ThpuREeGXoEOhU7g37D2764gHgalOF8B701O4F5U1+pvAF4pvtHe+NMirrmfv556bwpu9RrZv-2eOb6GP2SmhjNRP9-e-L5yb0X7Ap+Cvx0bzd5ERo+fK9r6bi3fKb7b7+bnzx4JPyYKEJtNLhoSjL8f39Wvn99pXhD2yI+9TyW+9uYCvjhe5V6Zv5JPFN4b9Om+B84yTyl2sk88vkVfGXbFXwuFuZ+lX7ef0caJv62+wsp4XpVe+F9x7iWeFt80J3Yenm+IPppPdV7IPgBHHb+837j3Cy+GJc-PJI+tXoFvxvJBbu1fW1ZbT3BusL8cm8TvKy6Z7xq-ceZo73ZJBe6wCuO+ETXLXo7fK18bXkneCRPEeibXS8+C4qi-iW8XT92fbt-DnNZOkDYzX3qO9R58Xn8Q0t8yDjyP5D77u65hrrYbXl9auO8O8-luLtacj2I+qywJHloOw-baD6ri5pqEPx3uCc4yX-XOCapcPuYOvj4WDyV2B198P7v20vc1bqA1Nt8EK2a+m2OqX1m2NZ9cbpxuC+667+++-K44rgZerW7R12ivOvd+3pG+a++a9xwvwQ+cLoIvzHsGPs+eft-aPqHfx2JzN1LuiQ6n7hQ3sb8XKwNvlc9-K9BfZzcBXNZes+f1PsYuo2+Xv8XfOM7-7hNvt74btgCem7ahP0s-gq8WLvXfIB5XHnNv7l813pE+tPsN3l5fjd93H9OTMT8G7pkbhu4Ms0bvyFdQ3ybvfl4w3jgfST+w3kyeKT+LP-DfAfcI3z3f3LO930fa+29rP8gOEV6khpFe5J6fD+jfFJ8Y3jIfYa+EdvyfQs4XbjH2Is7xXqLPV26v5m7uUKbu71PKHu4c1h-eqV4NvuRsjb5ED92+-HKyz7-nFJPp9-LO2V4o9orPyF8Yj20-7RPKzrTmID-jy1meXb6YX2LWAMaQFg-yIv1R71vXb2-b1hd2LN8ub7HuThIAbyK+il6cDwg+eI7zDEY3KD819iA+BcIeN41eZF583hgXzV4X1w1fUr4m8pReY762zqbys74wvk4W7Z62nj1ea7sIbgXmzs9F7iQ-z9YqES-XZyTkPvbXRm0UPz1flD8tM5oPQ-bCpkw+GebO8zI+A+8eRsv3zPfjj6lvjO-Qr0zuc18qxPNfCA-f19e+JO5OHqTu5C8aj0J-E2WrXsR7un5AN9iuI6bU7uAyW15SXwXumR63voE-ncdufxVvvteVb18ueR8AzvKPvq9HX1bLo5-mv5QuDW+H97FPy5ad5pbii+-qXkvu374yyVdf3C+GP1BsFbcrxho-QzcxD8o-Bl4PXkW-ShY6P8oXbaKmX8+KZl5-Fh6O5j47HoXell-0Zu9ew28-7pc2iY62X9B-Py84c--uwT7wr3G-v1+eP45e--e5vmKvkScwqoAOTx9zbuE+WH4n9th+jd44fk3fjC513nBXzl-UP0hXuH6QD3h+7d4hbh3eDddm7wFeW27IHqzPyz4I3j3eSz8n56yfdHeczms-FqzrP+Feh2+o3+1VkV5l33ff-M68nhM-mN7O71jeTG1Pj3H3uN7iz8x+L0bGb6x+hN6c8Uy+3u58vnm+P9+n-Yk9HS5k33cE5N8DLnx+F2qD10A+8h-7zgq2K76KtmMue0LHzx9mGH3gP6fPED+if6HvUa7ifzlOEn4DvsK+g75SfvHu0n63z4Reie6jv1zfqn+OHig-4B8199DuPN7EjvU1k78S9ya2c78LvjjGHh9Z7tg-iG44P5smWZYs66LePh74PrSPzJu+z1Jfhn4HJtc6TI-V7g0KrreXACe-9zoezwrer06xNqE3+yb17-cm1D+nBjQ+ETa0PjunSTd0PtWXly8a3xe+xn8Cjus6SR7MPjrehRKsPyKPbO-6Dmkf9dttlh8m+Tcxbx5+pt-e1m9+3e6ef3Jf3iPyX6PH5t6iv4a+lt-uPkhgQ59CPjFfRC-Y5nStac4MX-SPpC-gp3sXemXiPyCvEj5bCv5-vO4Bf24PLt9z9pZP2r+yP1xfcj+Wf-I-Ht9KP57eRo9wrkefvTbQz53Ivt7Wjr+-MdZ-v+0eAd9x19Bngd+gZ1wumyoumVvvGAfAB+j+vR+2jw8LL7Ph33vvEd73XxZ-AgtAfkZfYq4x3r1usd7PXnHeL30krks2Cd7LNxfvvbbrv6Cz6Q-J38erKd+QswGOix537q4bAErBjlcSIY4vK5HsT++1AQiyrj7Z34UOIFofl6-vsIt53-5+S+f0zrGPcu+Jf-Luex6m94rvBi9jbgE+PK8Ifuuidl-3v6-lVxenHymOgXtqPiTPTl8XHkl7AN6gHmh+QN5yftmODd4Ffph+hX75fkV+aY5dD9Yu3l6wH6z+Nb+Gby8fnvc-xoyfm25w3yePVX5+9uk+nx6I3otsZH4iByS2zVYn8L8f6q6cnxyKQ965P9eeEpP+Ljqv-T6MfwU-qmcft+PfRB84amCfB8VcKZS2dS9Ut2o6jrxdj1Ce8nXQn-Pf+meHeIveOLZsq0vfUpbS6bsPejt7D6vfspeK7kwfDT5GOxvfPqeiO3LJdL-FbfS-29+Or30w6J8zjjxXGJ93Pib+1qshvCiju9+alpWe3T4+r3G94S-n36pKeT-H3v0-hJ7+-0SfGlolL6IfQz5rjm8PZS4SHlyekh7+Fs1-7ku+Zjs+rX8P39mvdPq-DruPch80npGuL+fMDyQcsz9KHnqq79+g9nev9b8qhj1Oa869T56Lrpa+7r-em85-3my-YJ9UeS+uck9Bx22-NS5yH7Uucf8GH97dK35uu0YezN6DL2A-Jh4qt0GXybxMD4ze-paKH7x-qPdTT3N-es58-56roO4+fqg-UMZln5ze5Z6cvxK+dn6RHynvZs5p72HmJI8bfqSPm350Xt1eWe-Z7naflbJUj14fGy54PnnuB37fzgQ-S762f4RuSt77nsQ++y5216rfJD4zlMe+Z3+O1+7OZecvTme+-PZEPyMXXI6V7kWrxe4xHpcv0C4xJ+rfNe87pgTuKz1jX09-je9JH73-XstNlikeY-4sPjMW7D9bcukeVZLfr-Hnd78kM+l-SxcFNzteP15N-tJe9ebm395-qc-yjka+gP6CP-3vo8z-LvPcIP-Dlym3JR8oNSPvFRR5XiCvY+6jKm898vbQ--e97F-UL7D-0+5cXzq-dR-u3lZ+iP-Nbkj+cK4XXl++gx4+3y0fKj5tbvnOul7MB0uTel7x1pHeob-Hn10e0m+jNoDe6j7GPhnxfC79Ho22Ax8CLsM3Chc8XsQ20X9HliB-x5fGPmIvYx+x36Y+hZssu6Y3w4ZikXez+65V5K4qPSzHt-1TeSmn8dj7af1Dtlv3PT+NSItkZ79zPlovVfSu8dtDK5aXjP7j3zese14RGx4Mc3x7Lf3Ags9-cjl51jyf7m5-DG+JL9Rd6fF1wflfhWiWEbd-j4-92pfvg-CceVf9F15hf0OXvzvO4W79VYT4dd3hPjXzL-C+bdTW6ivzZfue7Dcepu8UT7lty0zrl-XE+1RcMq6fmxzPkTPYamzu87x64bwfHpq-VhWfe01X4SPweLvV-Twsh1ctu4sDzslu8XYPenJ90w7cn0Anj1-CfefX8ON4x71Yar1XEU+qM1-JaLDSB+lszPJKbJdgf50Wzm-mL6XPe6TkzqZzVyUrthPDU+fsdy94BxxcUn2HWB2A4chjpHfzsVuYPBxW748Z4pGANjjpafGcO1p8+J497ycHohOY8cDp9CHZR7xB-hpbT7+OcduJ43209PjafAy2F-YPT4yn3u-oGfMH+4k8jrKPM2h-lRvGSemRtTX7uT3h9ha-ffeSPsgs5Jn05-o9KU-ekb9cf7R70F-qdFI8CaUMG26aSybboGHcr+wK9Kv53Fwq-hq-cR+RZ9u24GALmMmRvAx2FG92T6w-0aaq5PGM+iP8PJ5dAJR-gfvKlmLG9aNL+T17PkFfIj2KBERoanOBHPnT4Mc+GwAKmJs+gHwL47E2kEgwBWbVMQ-jvOfVpiJytwTppT3hnhcrZVGSM98ZhQu006poGEZiPLkCp7r1xkDGCA3hAEID5mJvK1JShVPK8+Vtck546z1qnn8rbJ+AKsnz7N53DeIE-TAEdl9+z7ABgeYgwCHFqRFBrmKQX2dZja5UkB0O0Q654306dg07bp2-tcYL5EtXjrjHXMlquKsUYbK9zRhstPNC+ai9cOaLO3qvg58Ai+eF8Gr4zCj2nhy1AcsJF80HDMqyzzhRfZ2e6o8Duq7O2unnRfda+YrVxG65z0rnrtfLOesjcJWoCX3TnpYjON23ddC56-7kOvj9fVN2gM931bAz24vvnPXRuD18Lr5dYihnkC7VXOd-NHjCAgIyniSxFwECLsXJIThyu-r4nWDq-id1zhwgL39JOHAy+ut9XU74zzzkJ6-UTe1P9K3JWX35Yr-vI1OH59a9ZX10cvglfdNKLl8Hb5Q90yTrz7EJ+cuMwn6zNyQ9mX-bZCtEdIOJXALdLpj3RJ+Is9rN5dr1s3n8feze6T9JFx0hTDfrEvI-SeT9imzXDxgbpkYdK+6H9w4xZXwMmjefItmqHNEOo2rzPcvKzbBuyGMyJ4KdRIAUp1S2eS6Uqr7qQBqvrnfGa2+d8Qg6NP2t-jR3Fq+ji82744fyobm4vNNe3s9er6+zyIMuTfVcAQ187XZt-zTHkqbYI+JNsQ+6q83I7qurcDOV99IM55e2gzrHPO++y18E55qgNungxfBjsTF9zr7agOFVntfeVqB18br5A303xEo3ZhmibstQE7X005ldfLJ05oCU3bHX3tAY8nICB3ztnr7B90Ldm9fCCBKt9W54WNyOvp8DTueIVBu56A30dAYpYfuea-8515Dz187jubaf2RKcwMow3wA9DxTZpuwKM4X6QPx76vBpYXqc6Vb+rLzzErvdHNeezKdQ64k80sNoALMheQv9GI5Ka1JvrKnVJu8N8Id4FczXHmS7MLU4r9cFyM3wx7hNzDVOMkDwO5X-wRvkMDT+ecEczb4Mx0DWjU3S568C9Bb4DX1KbuJ-Km+Wmt9IG2l0MgXAPcsBMt9rgEPz35vitjZ+e+o9X3af-zJRGgvGGeZQ8sF7l5wgjlGA7mQMYDlCKv11YXomApn+ynkrb7qQPZ-tiAhme2Tc+f6lrxvZk5AysBxzcTb7PRXsgW7fSKBxn1xIFoH0kgXe-FBWqatg75PtW2Hn-CcO+eadnm6ULwZCuW-RWeMb9DV4G-x8DnQfK4e9Pci071aX1nkflDO+9WswW7Trx31s0-OgMrT9nBxzJ2HfmXfZImxPMBtaHb3bsnJ3b-i-dUniQ6ezmgKnMZu+SoDEK7TP0VNmmbGx68z8Tq6ifz1zH3fB7evi9Y-6VLyJkn4vTQ+U790sB5B1kPsH-aWW098ns6z32XfjibVd+HGEDe7Dj3DnhK3dreNz8K-652XoAXnTd6Bh6db4YliytXkffLv2Qt8icaCnWKXv9lQnymXsreYVL2g-vTnN8BjOdb75LXxKPlRA4F+5+MzW4Mvwlth43FdeH983R7vz2-vqMff3mf986+6n-xE-kZ3MT+b88wH5HrwxfnbbSeWaXd8zaAAJP9rMfbLugu8qAG11w+Pm-3AL+LhVyX4qh0jbu5XP7mFjNSY59rxq7gcvUTOzn9Iv6Nd113rF-Kh+smczd5nL3pvkNbe3OQgDuAGEY3wVll-Hl+8G9Aq5eG2t3ulXAzOi4NSPzKAIIXk7vMr+Ij8NAEGSykfuCvLQBDmcwCaMn0sHsvHHcirJ9486KP3d1vD-aaWv0C2z5HAPjPicAsI+2j9j+ZhZ30fku3Qx+HG8+z74EyewjfzG-ePVVyV6k-0E3l8baMBIm9QoFDcmcfmDSZleaJor26n115nkz7WJ+sPcFN5xQIo2s+3Ple2YDjF74eygXh+zA5+Xt8T25C+3-biL7QsB3t9icK+3xigULPasBVm9sD42b1ubsF-ZuGRb8Mn4iLx1XmW-DDu5B8koHdgP9ptDzQ3+s+sz9Jb5Vw7n83Pze41sqn7dwNv0nxCOlqgQdmD5rgNxKhuAsUBIoCi74dP2z-ox3KAuVuMPfYJQFSpOEvfp+8vdBn573Q9-mUHKNe5tcAbZitx5qiUTcuuiydrt7t31ENqisDaBRV8s+7L-0I-sNUP2eFkDKq4YFULXgdAobS63k3z5pIwBztXfcxetd9aQ5st23gfWvOHY6fsskaZ+wmfi9Ak3ub0CPD6MFywftMHOzun78vD4vP2yjm8-d8uqv9595fPzc6jDAyHW74DFr59gNogUjNfzu4ktjLqzr3Bfsi-d++3Btwd50Vzo-njA7HWjH9lbYAPxY-uuLIjOQ-crIFq31AkmP3TF+I+NYH7hNxn7kr5ZQ2lB5VDaugI4snObKv+d-tiJ5YPx5gb2PXnWtdsfK4cAK3-uw-Lo0nD8yH5-rwofhLAi3eXL8mQK0P15fiIAxXs0sD4q4ZfygotW3AxBasCf153e01gXifRQBPod8B6NtxvHsI-F3eoj8zJ6mwPEisTXXgBdEkya6yPw2Aa5nEwB9Z8HYEl-mjPskPDoBTNc3YEDFVR-qcAm1+RxkhCKlG0uAQXnIleTr9-gEYoH43uFbKoeQUCSG6oTXsfq-vOMBiONfX7dCRn-D93Dx+redSRpab0zgfTPG2WEb8ef5qbwJASjXJEKGcC5jbMLwR7kyLJHuMw8jN4t63Tfo0g5NOS+dmI4r51Fni3A9fOKv8W-4pX0ebhVAyO+Y2dSD5TwOuNnVAtzeNb9WoE6+yN-g2-dgujB9Ogzll3tnlb-ZeBIXx8Z4c9y4PqzLd4eQJsTRbO-3i3gvA-ReY68DrYw4GPgVFYEEeE794TYD-QGIlZHSrANkcR-pT3y8mou-AP2c994P4GoQvOhVvNMW6I9ff7bvyxHjofeoOn1t1y4GHya3gkvHB+sCCrn6vQOILjYfYSCwtVG6YTb1xFPL-LJuJf8fYqy1WvLjX-HJeXa8EUHWlVxQXX-fteSwdMIp-v0Lfn73YqORAC51aAf2NqlhAzIe5UdHwGamyg-hcgmqO0R8awqxHz+Lui3c4O4-8u7KT-w-AQjAxUB18DWr4+1T3AR7PDdOeR8zBYFHw+Do-fVh+oL8qEGQ3x3-rRTKwunH9xkbAhwlzlMjE-+zH8z-6KoMjojCHJfiOkD5IE3-1jNhRnGHeK8UUQ57R13zLeLF-+SL9z-4ov2KFl5A-XqPH8ycpUwNzNjTArsSWN8L1547w1QsmPbB6i80qUGQWUgASsjMneWx8UJ6QSxEZlTvJABBx99P5rzVgPEZ-M+Scdsmd7XlQs-gKHXAB43cvmq3H1FDkB-Nymjn8p-4Ghxc-t5TSns1ACPP7q5zJft5-OzevQt5EHc5TYAaMXFRBoX9-K7CwLzQaLAixB-ADQN4tdzSpu-VRL+Vb9kv7LC1S-pBvHL+6J8R7bSAKQHv2gytu7y8hey9kRt3jK-Pw2xX8B+bTALm7kbAxYBeG9dAErANn5l4gjhW0Ycqz7W1ERdtC7e5WrxdA95tf3yZhYAjA6Ye9rAER7yB-jUAvH+gg9Bv7CD0rWiN-YsOSitwIhLhzIOopJBUm3mZaLZAz3otn4At2OTFtZq7Nh0upq2Hb7qaUUNv7cWy1PrxbHU+hg89T5l2zr3i4leIBJ385mamn1tmnGHeJ2CYdrv7lSxu6pVLbB2vj8cXxPoIPGvxmByUb6C1LYdRQSqqQ7a8snENev7lAMyAd6fASevp9-B78n2dPqD-UxS4P8JJ7XhyBrukbJR+bzNTQHyTwhrunnJSeTG80f6qTydJqoHDSe4JYJHZ6l0zPpUrLqqhPsTS6WP1RdpeBLJBl60Ik5v809TulA40mhSDsRYtDzxAWWAt+2nQ8Op6y3yhMsAfJPaNSCRMF1IP-gU4dTTee89tN5pQPCfisJMX+0w8Jf6zDzTfiZvGX+EkC5f7dZ16Dor-ctB1dsth44INg7tLPTGWkyDwG7TINrfjmXXuBpacuPbT60HgfNnZqB48Dal69QPngTfnG3+2yDKKi71z2QQ2XKLeTZdeD5EzDi3iL3AXubv9uYbXIOBvrcggf+vZc-9JdPzc9ojtUlAZdMLoG8t3sjmH-RyOt0DnI7IXxV7gVgtXu9yDcR4HvwwLkn-bQ+-HdDD6Cd3T-g+Atre8CD4UHvv3iGKmLSkeBf9eiYFQJtlhig+2Ws9MzkEN-36DsyPdmBGW9voGDlxUBv9AklBqjMyUFuHwYbqtAn8ut4Du-7-Qw4buH3KI+NNsZC7gVy5QQiRZD+dNEyAEkILSPin3RNeK0Ds5bYrWyAhKgucWq-9Cj5g30HQajA8j+6MDKP6YwPzklUfbhBXH97W7qoPxgeTpQmBWqDiYGbYhaPsAvdJu8X8wcGgDXv-t33R-+JDMDo7sV23-m--Y8BCe5Ob5Zm0pgdEXe22p68pj4eoKG9pevOfuyRcqQ4qf2WPpYvaAuRW8MS7-oK3liGgjyBf9tw0E6f2p3tv3FABzZtzKYIS3bNozvKse2ADkIr2UxePhqzDNBiMcs0Ez3EePvDAngBwuDRvbXrxZgcjHT4+n0CfuLht2o3LobKl+ciCxx4c9gIfvc-DCkxD9IT5TF1AHkJFFtBSX8NEGgOxVgZYg1tBRiCn74mIOSrpN9GDeCX8VM4qQJIVqVTKV+nucp0FPe3t3iV-GbukscQIazANbbvMA9tuxsDPEHPjysnq+PCam+9sqJ4BILqrvughs+7A9-Q4YWwLPhj-TlBvJ9aMF2AIItj1XC2OfVc70FinzG-nafXIBI1d8gF0YIRLshPJEuwdskfSLf0CAX+gjY+eKcsfQlTWWruEA1auVe9CJ4171kQdBghYmGYE4MHIO2b3mafFIBFp8O95Wny73phgkxqHgC046On2B-h41F0+xQDuS6A-1TwRRg+ie-E8aHY0YOqATEpQoBYpd6gHBn0lLivvKH+rGDULaHwXaATvvJH+aQ93YE9AMTPrIKNSeWP9uf7GYPwthfvKA+vSlr976TyvHoZPb3BONdLhabg1d3kolZYBJNcPeweIPKClCvEH2-iD7J6BIMNfpD7SM+I7dQkEI-3CQRO3RiyGj9Oz6k20-DvX5C4BBQ9ON5dDz0wTcAllmrjtQp7uOzKYk8A7mQArx3KB+OxqYizgGWuJtI5a58swVrocrEJ2xyswnbOvzSnmdPT0BEKksp7XK16prDpfqmuYAMgT5Tz3RoVPA9GQQJj0axIHhUhk7UVycCdUQFVTzj6DVPW2udU8gsENT3QTn6zIacpmDXa6uoxQIc5A-lqXtd3boUgOcQiQnP2u0F9yE6xIUoTmBfW26Y08qQHoq0GnjIQxe80ddsVaIwydcmYQnkBHCcmE4po1vBqpjCT2Lb9aVY4X1zrmFvRNmdKsiL4HT0ZVqRfUtG5F8zp7bgOVAQonKuuP4D0QF-gLDdABAmue6EDOTAvT2c6HqAvuuunMoiEGJxOvj5nGCBYl93r6XX3edpo3cCB5EDkMySXwdAYkQni+sl8Mpqz1wszvPXKJ2658QQGbn2YIfapf6maM8tL6G10T3m6pYNqA1NlOoRgMyQcZfPc+Lqsj25uqxUwQp5BMB5t9U4H0LwUIbpgpQhuJ1JCE0ZVRctz7Fmezt9ea6u31LAY4-PjKSOM-sYo4yl-u5fYfSn7c9m7JazRQVDbdNOTcDcD5K4PVXgvqPzBI2cAsEvN3GIXmXUV2cyCaoHyLwvzmlfBBuNSMkG6hEPlwQVXa2cad86MZquyKvlOAjvBU+B0b7PEKRgBVfEaYi4CBQDLgKcIS1rYUBOyDV4FKH2avghXQBST2C7TYkwIO1IeAqluCJDOAq5r2VvtMAC8BFKCrwFNjxk2pSgoOWDc9PYEZ-17-vsHZlB3z801ynb3RjgKg+OegjcEurqgOLZltfbIhBRC70i6gP2vm3XWCBhEDFG5fJwqqvEQwVWORCN7hWgKBTjaA8S+ToD7r5oQLggRhA6FOdKD2WjGNwtAXANfCBH6I+SHTgxg1hFjAG+7qpcIE6WBBvnnWeIWC1cfsGcAKjSDP7LDWTECa5zHiwP-nhSdiBP-9MRhcQLRvjf1JZefEDmmriV3xflYAskoK7ECb4xP13npm-UDuJkC53pmQMtTmeAlH6qt8QcG7iUvnnbfULOjL08MrukKaQcxrYTKj7sim6+kPZvtODAMhqqDQJJgLyc0puLYTSokDIkZekOGxk-PMzWL89rU5kwIk-qAvcQBEsQfsbI43S4BmQhh8FYD4BbdNxlTmeNTA+NH9dU6EAx8gaxnN0Bf3B-IG7txwXu6-JXYIUDvjIEslTIWWQ0VG+7NYm4RkN6QemAkNO1C9P0b31x46pTPQuBf7sX640PkhvGmQ6LSSB8Lb7J72igZXlaDGbmCKk7rDwbAdUnEZBks8xkHlQKIPpr-Eg+0d8ZkEVv1CwTk-L5uXm8in5NQN83gwfSp+Nq8mtLtfm6gZ+Az3B8WCfh7rgNqvu1rJq+Jd9EqgjQLkIVfbQBB+z8CwGHPxmgUnMJXGoSREUDM3UmfgNNXcB8-8Or6rIi6voYLI8BIY9XsEEf0lQQy3Bz2lgsnPYstxDXsn7WQw4ssm759Px+gQpXQ+BU5cI-6Hv1Gfs1vaFBrW9TD6IXSlbklHUbeeBtxt5Uj3Sjnc-IZBM54L84AwOc7iffUqBZ99JDQX3yqjj-AnUQFJD575SoIfvkUfa3BiMC0YHmF3+wfzka1uHS85bZmkLtHsf-FhBa-tEX6v3xoQahXIZeuOCEcG3-yn6lA-QkOROCaM72kIEgQzAiQSSD8DHodF08-s5XB9enFDCYTGH08waOPONuWuD2AHLYNkobV3BtBs49vEEnL2NwV2g03B19YbcGIn0eXgw-XtB8t8EyGSAMy-lF-TtBwA9SH6T20FjnYg7WBlCtfHS+h2JPm+Pf3OSr8-cEqvxuFp-g3yhZZ8qv4Vn0hXmsAxVccj99X4KPyNfq0A5R+tG8uMFqPxfDrxgzR+hRsvYFo+yCAdNGJJBwcCi86bt1JXscYcOB2C9AoEdEJ+wrUPEta9Q888qMrzs+kwTOGkLBMH0Zsp1ygR1nUN+D58DTYykx7vFOQjaS9C9ZyGlJ3nIRPpQvKlmCOZ7ZQIE1rNQlZuZSd4y6B3w8wbuQrzBG+d-35twObAblrLDBp+cOwG6nmkXhNnY-ORZcnqG0xkN9mU-S1eXYCwsFDZy6gfavMUe1+dPyGLwO-Ifq7KEhNHdB77ehTBHiPfPYag803TotzXy3kx3Bd+dWDr05-IOV7nenKFB4z86KGwUOgNrfA0VBHd9MvJIkIWfiiQu7eNnsP4HySFE2qeA+MhCGxNn4vp25rIBQzeeVd8QKFTQKxbuzMGGhj904aGqdybXhAbfsBa98aaEjbyd7mNvN9+KKDRTZoIKJQTNvBk2Tf9sEGjII3Dnggpluc19YYHKj2IQdP-QF+KGdnG7SUN1IaoggnWWOCq5Z0IO+3oWQjdeTqD-t4EwJ3XkTAmvG98C114MIIpgd--YeSv-9CcH--1k-nTA3HeAbcOdpy4NEbur5Ul+RXd7KEHEKfXv1gil+3MDNcG0v21wQ5QvZedECsLYmGxQVnArZtB4sCpb4Sv30oTFQqOhEC9UO4rF3CoXAHbtBdqcFYHeUIi-i7ieQB1x97EE-L0fwX8vTDeir8yT42WUoHlUVBYBcwClgHLoK-wXV-XxBoB0ACHMD2jwe5nEAhjZ8oz7Nn3sIehg12BDG9fdYn4Otfn0Ai0CU60nURxOXOMv5SS4y9r8126Ovw3bqlPNJBrr89b42PzUQrO2F-ehC8J86Yiwlpl5DWwU0tMhyF-dzviLaTRfOY5Csy4292BpGrTQeOoLM-dr1IMKHjD3ZNOCb96s56b1xMjRmNIkMw8jIiOYOl-hfQ3ehIV9rZaI8SKgfm-EO+l1C6k5HkMyfrvnAzB31D3m66-2SvlQfBqBtB99fYrIM3lGsg4UyH5Cr1rPD1-Ie2-W3+nPduD7qR0d-llg-g+pyDcsG80OEPtH-Id+479isGbvweQUXTa0ARFDjbpzvxD-nCPA0QArdKKEQoLxNi1g3RBk79sC6J-z3fmgXCMWVFCHoGEjyegTCg1e+RBdQR7drwjdEig82WI2DUUFbkIPoTNgobe-JsFsEfv1ffh+nERhwtDZGHPPzyXiq3aU2hS8dsH1i3B6ntgphunf8KzITX0JIfOjCI+MtCcKHFryH-hEBGvKl2DogLXYJZtm-LWpeF28HF6t3wRzghQ3D+i-9RppvYK3ThJQ0G+8OsMT5yoKe3sjrHVBsQRqP6f30bIfrQphBTXsIcHG0KhwabQi1M7H8rUwqoJQXu33A2h0O9vR5moN2jhzLfaOG8U+j5APzi7qEXYHBSZCIx6I4Lf6kZQqjOT0F3UFwP09QU7QijWCx8hxLi4OpwUc-UHOGn8mcG1m3zHua+QseUaDOcG790KLvTvDABlY88LJJoJ7NuhLWGOSVDHoZmVzuPteAzO2JADqrr8oOlwbZXV4+LtDcr7qG0VwUr-CXejADVcGbLycoWdQlyhcu8BM7uUJ1wUQ-E9BJD8DcH0nwYSvHQoyBBJsjUG6Z20QdHQtpOkn9k6GmIKtwbKgodB249sT5yAMSoQoA5KhmVdUqGOIKmAc4g33BC6CK6FLoMKoeq-IyWIeDqT60DytgYkbUb+H9AaiFMD3kfhRvMtoZgDBFZ0ALqpnrHLgel9tk8Ez4OXwbdXEYBMitr0HCn1vQaKfVwBkJcPJTg0zZTBlZeKOUBIDqYfoN8ASzg6aujYclv6qnxW-hi8YveSmZzEGOKQr3owPTTM+39PaGHf22rjMzTvBo4cl45qo1+ptujWohR1c0MEzSwwwfyXW6hhcIQCTbU0msnqVfam739OS6cTxKARiwoSev38J8F2Qzcimeg2fBF6CAz5r4MYwQ0A3X0TQCd8F1QyCavvg1s+ZLNkf7H4JmPkwHJqh8BCvLaq02OckzTXbMYLMxMGX7zGAUNKECOubVM4Ak-z6oWT-OehqWclMFU-16IfS7Sf8q9DbIhS010IjLTZA+f+8dMH2Xy-bmz7QBhFC0GaYBamYJq6w0+hdNCAI634NmNlfQn9uotNjaZ30NXiL59R+hqxDoy4esLmoa5gvrePWcdyFf9zjOt5gqWh3aV1f7+YJPIaW-bX+r1D9V5uX1vIRFgxqBkDD6D63ENngUwfIaB4JDksHVlzcIewfesuq1t7f5oMJi3hgwwd+Y78utaEMJkgl8gum26fQisEvgIlkkdArd+EnZCKF+UFLphx3M2Kl0D3kFI0KXfoCPFd+TWDVD4MMPUPkww3yOLDDQUFayw6wQJLVP+cIoBi6Y0LgQVn-YbBQtD9iJCMOPLl+w1s81bCc4YDb0ffqMHZG2Ha9CUHSIJQQYtgjihXtCNzTeH3FocffIGB4ydicZYkJpQTiQnZOeJC9k6fX1bFoYwqGBLKCQK5soJ7FquwhD+ZwcrsE8oOZtnygxWhDPcK0aM8ycXl1HBf+SFCl-4k0LzIdjnEOqxfdVaEPMPVoXWgrShtqDaEGgEhltomQ+JhaqCDKHMIKNoYDvNhB2qCtaEa2yL8NC-UW+R+NEmEcQORwfx-bsqqIdLUHG22tQdxw-xhOlDUX65MME4T2gq2hsGlPW4TH29bsTgsphpOCvUFzySqYYvJNDhEAC1P7EBTpwVk5TEu63E4AHARVZwYgAn2O4EVo0Hsh1jQZyHYz+JRdL5YXHxrHpcjCgB6aCRmGZoLGYSQ5HNBUzCRYHtjwWXkS-ItB3Y8S0Ee0Nr3h5Q-ouF8DdmGBf35gRWLQWBX68Vd7qwJfHurvE5hDkDOX7nMIsQbFQ2AeHL89f4ID2CoTOPCgWysC46Fiv1lgRu-SV+SG8xu58fhnttOg98h35tC6E+4IaplcLNxBbu9zYE3FzYVnlQ9dBEm06B5LKWZPsYAxuhrA8EWFjUyRYW97ahqlgCuv7SkxsAeeglfB9gCr0EP2xvQRn2FwBEJdgoruAPtPgXg6U+K+CfAHZ72oJP4A7SSleCC97xl0GZg32evBW392WFb1wasv2HEkumq5SJ7fEKPUCafbvBlE9zT6UYGnDvHHO7+9GD5w7q+02ZodwqU+Dsci8Gr4ICVj4PUjBucdbAFz4NqAdQ7TMOKeDMWFdOSB4QawsX0TGDGgGSTzX3hGfFuhYBC26Fb8w7oVawo-BUSCPYFgfwdYdkPKemQU502GTJTdYf5bUYBd+CZHbDxz1gWZfXDmagDyT5B4LEflXQ-KhK3cf8GrANrobn+Mqhv+0tgGzcNAIYkPUduEBCD8GHAK7oYj7W1hvQCz8G9NVDIVCLFKBF8dBz6-JQwIWyzG+OjwCK6B-LWJxGS5L4B-LMJUZkEISnorXJKeytcUp40EO+woqjbFAmU9vQGtDRKlkEgblyHBC7mpcEIfpI7w5hAzvCBCHvKy1Ztk7C1GTxDXaEv+ixAVUghlKJrMYE6yEKSvqmNIkBn58Pa74JzdZqQCGFWvtdGnZaEOAvmGzOkB4F9hIFJ8OZASnw21y-rMrCG9egQvlANJC+Kf8dCHhszBUCtPSG2qddSVbuEJcIXwncdhnb9JQH0qy8ITKA9RAcoD6UEKgLVHkKg6i+KoDaL4GgIOdh1ODEBKc9667skNlIc8nFkhoEC2SFpEPVIZXcKCBzttUiF98NtAVPXBCB46MR+HIQIlIahA-uuTJC654jsxdASg-bqhebUjVZupUIGh7w5+kAYCkVLu8LKium5dshj3c3X5RwIIsD2QzOGbmoZO5vYGmoeBjFMBiScZno23yzgVfPEzBkfDnPLrUJNTiL-a5k4C9v25JgMCvqrwtn+dcCc34Bi3CvnsQ1J+6jCCD7XUNY9q2AuWBYDD7qGi4RagQR3eDmij4SK5KLj0mlpNfvhmp1A+F5X1eIe1AjDmHxDW1bFXz0fDOAoJUc4CVoLQ6lJTtVfRnu5v9me5tvzgYbR3YdhahcaOHwUOcXohQ-v41DcCaGbQKJoZNNCmhiHDLSi7YOewQIXHRhyHkpSH2sIGwcdgyI+kxMxKHfIPqfjurb8BffD6L7PEM2vg9PIUh6RD5JAxEM1qLccTi+C-DhSGQQK5ISnnHkhybsbE6WgOX4U5jVfh1giUIHVzykvlvwu6+kpCCSEyChlIWvwnrm8pCViSKkJR+sqQqt2nRwMU4uCNssGR-SShX2Dtd4zr18YdQgnjh7btF1L+czhvq0fEBeITCCmFbRxRvlaQ0q+s4Cl55hN1xfi7bQSBjL9SogukJndp4-dOBo5DjxrSQLrIf6cAsh1kC8T7BkPOAcpAxrhcRw1IEbkJE1izfOpucZCxBH7-xtHpGvLE+BkCSwGW72Zvo-PH0hx88-SFA4OqETwgmyBikDDm6ZQP-nkE-GYhGxCvL6JNyGEazfDoRpND+m4OoNWrM2Q+CadmtwwFnoy+wstbE6ID-CRqFhQLmwcTPVchHkNxfay-xKzhz-cHGwv9o345gKdvnmA2YhxcCqEbWYOLAeFA3ahsbDBXrNCOJFl1nADh25DV85B0NJCiVAnzBOw9jiFarzivp3A9th9UD0BFS2QWQVgIzzed5Cx4EPkPXcpPA4LBbX5UeZkd2JIcuuJeBI7D9hE6u27Thsg3tOI79RoGjUL2fhWvUChNF06mFWLwbKLmAZPwxwF414PYIyPrRwnTu9HD+BEHgK7vumvFHeOhcdoEr-z2gQCg6GBAS8t2HEMLtsrbjSXmGsA94GkUKgAeRQxXuKNCVD6O1iXvhjQokh9FDyDQIIJxQZ4fZBBzBdUEGKMK-fqlBaOKBS8h17koI1bvHjUpeggZDk6KCNPWs1HVD+UXCqOGkIIQzgsTANMb293G7yUIgKIpQ82htH8UhHCcLCYbByf++wucqK493xxDhsI7j+oTC0hE20OpgTA-WmBJODMu5k4KVzmIglXOe-CNDaAVWpfiswuTClL91mF1sL9oa5QgOhOzCgRHWzSyWvrg1XemiCCuGXMITobogkrh3L8LcEm4OFftemUrhjuDGhH+M3Uzo8w3oRzD8XmG2ILeYe1wj3Bcr8vcH-Lyw3r8w1xBXPD3EGDcMNwZ1dfnha3cSqFJG3robCwu2B1Ndbw71x3NYSo-HeOndD1H7d0Pl4afgl40twjrwR6PxxXgY-W1cCmUVSYT0Nu7qkg6uEM9DIwEDUPhnopg11W7-NQ2Hl6xp9kyvH-moOFk4HkzwTTmJAy4RLmDrhHf8Ntft5+Fahzac5hFPCIWEXMQwpO3r9xV6RP1ZNPXrYchL3NIyFHUNCvjAIvN+Kq94BG5iOKbOMg48hkIiXN7QiLc3rCI1kKN5CO2Fn5wWziPAi1e1xDnjaPkLeIXU-RCRmd8ds7Z32r4USI2vhnAjCRG4iMXYRuwqQutNC-+Ex+3JEUAgpmh6Rd6ChKCxYiFAgi5sGQs9shGuwunlh-HGhTjD9wH6C0fgZQI5+BTHDmcF43FRIWs-dEh9jkB747p2MYd6vYURBW8rs72C3rXtxI+Ghm8DV5KHwK7pse-IkeyojDupwoJwYRvfXomS2D0uGi91WwSAXKgRkMD3O4iUL1br8-ZI+fO8laFhCM8YdqQ25eUQjiP5+MMk4bv-HWhDZD3R6MINSEWz+BF+BGd+j5ioO04eMIwMhvCD8Q4nrztoSZwoRB8D8O6qxiKocsg-XyBizDnKGy7wwflBglLh2D8lREZiOYATS-cwmOYiYOFgSj1wUqDFruRzDEFKFcIq4W6DJr0jD8+0EzlyioTWIisRZXDnmEDoK+Dg7ghrhAG9JYFZ0NeYTnQ95hSgDJgE0Kx7EUXQlxB6gDF0GaAJG4Sy-PnhQ4iqpEKSPBYUkAm2BLX9YCbN0LnEYKTC1hxPDzX6y8P3jj3Q-jBZwD+6HxIPY3m1Qgj2XAcUkGPGWeCjJgyoeaLtqh6HCJjgb2Qh8CjQ97S70-2k3qUgkEK840Q36VIOTYfe-IzBZ7Z0IhTENjfhWw3NhEw9KbKI93F-lRHd4qK5DBiGciyBkec3BVe79CNdKf0LgkQW-BAR0V80y7-0PivuOQ88htUCHhHx3x7YRAw2nuyIiB2E2+3WQXRIy3+4W8O37A0Kf3qZ1FBhByCdiSzsPAyNlg-Bh9EiHJF1+3ywbQw46267DWZF7p37LhL3It0Yojp0478RIoVlvQS89nClD7rv08ZrOXK9hG78b2ENb06wawwmrej7CAva9YLT-q+woyR77Dz37rwLN7l1vQO++KDx6arD27zhIw+3uw28mKH80JYoYLQtihcXtoOFLMNDrIffTbBEOlMrqK+1dKpowyQR+2DpBFCF1kESIXUPujKDxR4zX25kTtvM7BcH8iOFxHxI4ZYwsjhlwc4YE2MPO3gEQ5aBLIitR7OMIY4a4wjCh72C8+5Av3Y4VIAzjhgA9McHBFyVQfmYGThI+ElwqhSJi7lkw0HeMTCMgZyQItoZDveThFpCmK5KcINtipw3eGmTDX-45yLtQTjgoMR7McQxEXR0M4X--SY+plD+0YRNxEQfjvefuMlcamHaCJpwXsNBphZkhDKZsI1EahkjVphMMFad7c4P37t0wvnBvTDzP79MNP7rWPfs2d8tQuFi4PC4SObSLhlHCfKEy4MJfszA4gRCzC2YGWSKVDpzApgB65s5vb+fyvkd8jEE+9j1qu6BwTDocVww0O5uD-KFNSMEAVcvWvmZiCUXooVTaka8vDqRiVcGpERUP9IYFQ3YWXUjPl7tj3QIqLHGdBXXDBH4Ar2LoeUVfrhH+CeeGjcJpPoCwvQBXu9BeHco1VZlfwp3WZAc4WFDXjF4TrHDr+S3ChIHasJR4eqw9bh6eCQS6Z4OcAc0NQlh+3DiWFNRUFLD5KMKWnbNFB7bHx0Vt+gmauag8ggHZjyxLmt-HEuwGC8S6gYIJLuBgpniRg8Dv6NNXe4dOpflhFg8IWGK8kIUVZFTFSiR00gEA8IyAfPgrIBj38qaAcKL6alwoxqW-JdR96qsPdPnQo8PWUPDwlY+nyqAVYotHh+rCIh6L7yiHsxg2IeuPCaa748Il4eAQ52By9MSeHtnxtYYWbO1hXsiOa4iOwvwYMA2pB1+C9wKwyMJ-qHAy6KfrCAoEBsK7IZQTGlewbCYI5ASI9vhJvJoePQkSkEpwOfETs+f-eMfCum5jELPISf9X6RFhFwD5ZsIaQTXAhYSIMjrsxTDyMDh0gyGRT9D-S5xvz9vlWA6AROxDYBF1gObgTBw4BuhPcX-JnENKUYsg2O+uMju2G6+17YYTIjthFT8SZGwMJokWwIimRm4CkGGYAVpkb2-DLB6DDGZGYMJywYDQ85BZJCYP7JbzXRqlvJSR7T8Mt6dPwNCgLI10W3vsZ+K++yoYVfrG6BZ7C7oEXsKC9hLI+BmRDD2sEJ-xO9l1gnd+mbdn2GEGha3urI2FBQ2D+GF6yIhtm39LpRAjDoo7bEPPLg4fWguvsVsUEo23A4blIyDhMjDe16ZRzg4TX7CWhfh8cEEBHy4Zh3-DDhjsksOGijxw4fZIwURUcsCOExyw5QYbHZ-hFa8rGEUcKlwa5I6jhUz845FZH1Ekb3fF+BmFDU5Eq0JlQRnImQqxfcFUG+SIqPoDgroRnS8VKHdL0NoeEwsThfojUzbMemk4XEwmTWMUi554b5lFIqjg9JhVqCm5E2oM04TkfVHe7ciUv76cMYrt3I22hvcjBEG5CIHkQg-CzhSn9Fj5E71-CuPI3SRax9Ui4B22c4V-FVzh2kJdP5tMKrKKgAzphPOCGd48h35wQFwnABW8iTK47yMv7nZ-b8K2aCJmFESzO3sy-YLhTMDp8bnyLLoolw5MRKuDUxGZiL8-rzAxyhQX9SpFJt2oUUy-cgBv69ixHFkLbAbVIs5hsdCLmEFqNQEVlzNTOKMCxAG2QPS-vcwnlR5uDgFEtiPioe6HFrhPD84l5DSPQ3k4g0r+MwC-mH+4NyoZgomaRoFsB1Fptw3QeNwtWOB9tACHTcNMAUHvRFhTVcE8EtVzRYVSotVhn1dIeEbcJxYVtwvFhO3CWFF7cJgwbguSU+9sch4JYsMcxiXg2lUZeCAKI-oKEUVXgrCekQicJ5hAIe4REAx6me38rFbyKK8SnZJLYakcd2wIkNSkyLYPGM6gPCnFEMTxB4UxPbZmY+C9WE2KP2ZtY1WHhpQDgJ4I8PR4W9XRfB9iiV1F2APUthjw0pKWPDjWE48PDPp4o9aRJjtNpESsKXEfVQmAh0SD9GEY-zCUSmfMHuQwDRMEM8NQPkzws6KLPDhpG+5wyoUI-PsRE0j-mFTSOHUXmouzOc0jKz5jqOrPsLwpfm04jKN7ST0RXhxg06+dG9GOrLiLl4UEohXh64ileEHxDHoYS7VAhwU9qEKYEOFrmCAPWkHJwEGgTcm2Vu8A9oEnwCdNFBOwoIUrXXdUuU4p6HugKzykpfHaGjBDl66b1w0zMSlF3hSrNnVJ2lhXroT6OzR3vDkQG+8Mqnjk7OtWw4CGYYSEOGUUFHQFWJ5wpp4tTxAYVHw+tyCbDlqFDT10Ie6zIhOjrNDCEDT0MBi07FQhn219CEQXyZAVBfF1mJhDpp758IGdhYQ+NGOWimg5LTyTrmCxSvhnYZ1p4rwIlAZsg+Z2lMiVwGxsw8IWIneucLfDjp5FIRZVv4QmEhNF9tJYaCLpIQ2jCIhzgjxSHREJAgUYIsCB9gjO65VzzDtnxfM0BjJD+tGD10yIddfEbRQl8xtFC+EAgdNowoheqt5L6Opy-gAAnCohVmjkzjOaOyimvXRzRaKU9tGBpV2EcZld2UpyQURZpKKiTvkgnF21KjJkKBv1DUuFo4kBSSceh7+aKybjQvTthUxtH64MLyLgaBQkuBLC9ThHzEL2oXMrCARgB8-hEGyPcwbWw32hytUG2EHkLV-khIjGRUIiMwEwiMAofk-PDGKIjx9a9gIZUVQVOV2v4CtBEgoVHUnPqccBk6ln2oLzyyEeVfecBlV8MsZMCMdXrVogkRCyitF718KpkULjGORsJDmVEzPwJynM-L2eyJD3-6orH6vsxwwsYN6lgj4By3xUV3-QlRU187JGkkPwQTw3JyRaMdxKFxuUvPnura5O3WidEbD8Kn4X4ItqIcrUhtGT8JMEXoIswRyRDFS6WCOsTqNomwRs2jEIFTaI5IUkQjfhCRCVtF2gLrUO4I4DWOECNdHyqB8EaLGZ3R59BiIExI3AYGRAkIRNyDlaFscO5UVLrLyRSMD+VEtyPUcI+5anRLEC2j6eiONQQJTBXqGQiaBFhsQJfnJ-AIyEJ9rXpVYwrIW1nA6hcMiSb61kNq5vWQoJhgUj8v5TCIoWh9omahr4i8oFSp0WfH-PAYRZGVEAZRSLyYR-PEvRN7sZhG16JcgRUI-PRVQjkF7yqMmEXUI3y+-Qj2m4ACOfrnLfNoRsZCRhGU0LGEd3owVOdqcthE7NSdTldI3Gep4j9b6XaMvEcpgt4Rpt8B9Ef12+EeuQ34RD7d6p4TEKzAfcI-OB32ih9HdD38vteI6YR-Qj5jbA6Nvntnozlem5D-hHkF26UZqI-chod8pZ6ar1ivpWFTGR+9D0RE9wKuIdjInryJWtE77iRygYebae9CT5CRPYvkL+oeTbAGh8DC+oGzJ0Z0SzI0lRlyCyNrMSPe-AzQikR7EjA0FDlxxbr0APFuhf0Z-7cCMcYbwIhOR7IixJHc6MJobzo7aB7KiU5GKSJ7+spInYiPq98KGj3yhHpCPB2ak981JG04I+QeETF5RPyCVZEvsLS4SvfbmhfDC215+42YoZMHPFB8jDmDQi0NrQXbIr3uywdm-5w6JfaiaIgHKZS9uKJGMJOUZ67WXRDBtmc5Gjy8YSMfXlRYL9Q9ECM3aXu6I4JhVfdq5Er+3UoYtHYuRzcjgH7xdx04T3o0Zesejxl78ILzNqUwxKR5TDZ+4pSPztsLvV-u7tDE1E3yNWYWmI6XekBD01GZcLgqm-ImrhZwNeeFaILLUdcwotRe3sS1G1iJLEacwqKuSdDquHhfwwLnVw0tRNaj1EHu51dwZOg9tRDiDWeEKvx64eZnGBalmd+1E4KJXQRZPaaRI6ixuGLSMBcnxo94WovCZ1GJ528UYTwh6G0vDOgE7SJZrntImJBfdDZNHztyjynwTP2Bu4iRuYJ5QPEWY-I8Rf3BeqGJKMjgbHTWuIRwieiHr6IO3vHA0bk94jc9asrzyUTKvUheFejK2HviJD4Z+IyvW34is76-iI8vs8Iv7RrwiiwFxywlXs3rMCRhN9287E339vsdQhX+UOiuYEw6IuoUaIsO+4IjP9GgYW-0VQvAAxn2i8PbzIMeofVA35uHbDSn4EY1-0dWnFO+4BjiJHkSLR0SovWp+SJj-qEaLz1SvMo4u+8BjjlHpb09XplvP3+N0w2O7EmMhzhQwo9hM5M7VFHwI5kcrIyFB58D-lHyCKxoSa7dnRWjCLQbuMgoMUIIqgxA5p85YnzzJoas-e0k6z8F47U0NEMUYvZmeJi9Btaydw5obZw-2ayncUkgqdzqmjAgt9hgKiP2GmSPVkuqIpBBEHCtRFQcJkMSlwjbB8hjSUGKGLf0Z8-XDheyiCEGitWsYZGoqkhwejPsH6GILbjJQ37BclDS+7oZ2AxvnI1QqeqiscqB83E4dDg7HBH-9HDHT6OcMeaQ62h0Y8e5HGcL7kT9PPF+a88r15xcL+IaEaAIxGuC2da-HwKkXfIocegJ8EJHAnyUQe+vWQxFXsuAEZ0JiMVgosAeqRiiuGMx2oftWo5vRP8iAFEIn2iMRiTHIxKRj4jGQKIKMa2o6V+xRi86GIKNHjt2o+dB-YjJpEmwK40ZI-bsx+gD8FGlUMnEeVQtoxB6CqqEiaJSIY1DbjBk7cVxFSaLXERImbr+F3cEkFIEMDgdHrFK0PG8uqFlD3SQffvWehySiPjJDUOvRqsY24xNP8npF0-xyUR9FXYxVcCnBQNWk+kUcY76R8UDylGUizOMeRIp+CObDiI51KMOqg0oyiOhm9mlFlsMBkS+Y+-Rnet64EDINrAS-oggWg2cNV7Me2QkV-opHRWMjYTGzILGUdhI+ERFxDERF9sOiwRjohwhAW86dH4NxYPolgpnRmFjlI4rKP2QWsoh3+DMjYMRbKOZkTSVEd+vBiLBjGR0IYZO-It0UvdWDEv82FkYSYj6O3BjeO54MMK0Zew6kx3EtZZHJ-13fvewtcubIjC1EOyOeTDGvNWRDJiNZEMUIvflJhHWRub8QVGw2zEYfYfIDh5LDHyYmyLMkW+na2RmUj+s6amJRUQLQpVuyjDXn6qMMNEajIgD+d01rOFSCNF0bow0Cmk19-y7YiMAriSovDh1tVA5F7b0pUW1XCkRCo9UKbKCODkaoIsuu6R8hJFwkJ5tq3IpZ+vIjX4GscLBfunI6KhTojR57aUMsLnnIuVRfpjcYHBSJrrEXI4PmGqiBVG6oMLRuXIpIR8ODizFeiNDEYpw2HeAn9Gmy9y2E-lEwnOWkUip9HhFw7kUlY5G+YYjXUERiI8MSao4RBZqjKmEWqOqYfvI7OSHEjg0FTyPlPkPnKCW6lcYJaGUAKLt5woouvnCzj7x22Z3mj2QZh7YilGbBqMIAbOrZse4ai5dHfIJkzjFwoNuLGdmda0AI4zgwApNR5Xd-xShGJ6MXg-DNRNsiuKGfr2gVlkYh4GEdCKxHfyPK4bMI+YuMCi8jHsv3-npWogLuD1jSzFon3ofirrJsRaiDWsZQKID8iWY5Dem9UMoKyv3UXvK-OdBWVDe1E5UIBYeXQvtRwLDav6aJXHEVQEawe+2i90Fax3IUXHgkk+aYdj0EZhxoUcuon7+9CjGMz323Ekpuoo46NEMk97prgiqt4UGQe1Kw9KqGP1O4b1YszBF3DlT4GK2AdjdwplhYiiS970DE7DveoxvBu39m8FcsOS4a8zRRRInVlFGJAJzAgwPJ7hMls7B6D4KlYf5JSQeWlVpB75Hj+2LFVbB25ijp8GWKMQ0TBo-9RC+DkeF42Jngo4osDRZ4cXFFpZmx4SxgqSe9TVRzF7ALCQYdYqAhYgpCNHk8K7Ps1Q5aSl+C-pGUaO0nuZg6R2tGjvWEQe0BlCeI9ohy+ig2Gr6JDYWsY1TBtP9P96nmN2Kk+IvYxVmVClGpgMgEUmw-fRIB8hMHNVUiUbv+S8hCw8PbFNILzYQsQmFUyb8qrYOYJ-MdMbWGR-5ioBFvGJgkadQxMxe5DQLGlQJ+oR-oiO+rbCpkFvaL7gVA3dOxpw9wsETKIJkcsg-th8JjB2GkyOZ0fC3IGheFjdRZJYPxEVWTVLBU7D0sHEWP7fnOwk5B2yieZZ5YJSDhxYmE2Xv9P2H7QOALmVgxixDFj2DFkmJqwdx3NixxW9uLFdoN+QSuw3OmBDC4-5AoNq3vxY7XuNQdL7E-KP4MX8o2ihAKjeGHq8zuQfeXUbBpWjTDbIqK4EEX-GjKRsjVLFSMJffqiouRhf7CGuJAOKUYd+-FRhlOcDTE-0MW3mZY-1BuJDsSHMc09kUfvcD+CgiNDF4mOEBg4MFyxK1il1FAII8sSdvG++Uci3yGCoL8sbNrDQuya8zaFcmIx1ALo3kxH2DpUFSUI44YYY+VB7290rG8cP1EC6Y7cyLhj6j6aoKB3hJwsPR0cdQwgcOOhRnlYruRXsFlVGCfx6Pi8IdVRGnDWHFacPtQb6YqqxuqjLDEGcIJDsUwyoWjVj+IGrzwsoUkXZ6OYADQ1Gqf1AQQfAykxwQDNj49WL4UU6o3Y+EaD3OHT1U84dpXY4+ulcV5E+qKhjn6owXBbajHKZzWNGYeZYiLhS1idDF5cPP7pQA2NR8zD41GhtyS4a3g3KRlaD9DYRGKsZtlw86xisDG0GxGPzUY9Y-XeVzDncG5WPq4bWY10hdajFiaZGLiccU9e3BJZi+9H5GJxPv1I4vRudC0N78Py7Uc-gjnhJdD38Fl0MDwZ2Y4PB8Ni76KboK-Uc45VGxM3D2jG-j2xrqHvHGx3X8dWGo8LYnv1-BwB3ksmFH4sN24UFFXdR4N4R8F5AOO4Ueo+mx5jj5v4olwvURhPZb+mJRrHEV-nu4Wddbb+GUs+bG6nxbwZg-NvB5FMPuE-WC+4Wd-aqu36jUMF0lxlsV6fOY8F1cmmbMT3ySgUAzVhRQD-9FaWzIwfDwjVhyGi4NG62I1sfjYo9RzziUNFNgTQ0WTedxRmGjZxHOT12AU7AhmuBwDejESaN2kauI3uhivDYmrqTxTsVfg9M+dxVnMGesOFvFyjFsx1482zEQ2I7Maxorsx9RiONHYKJhsVDY6R+-ZiJxFQExZPkAQiH26+8vFFw-0l4b4o4GBMvC4XH9GIRcftI2JBG4jz957iKFXowvaeu++RbgG8oyFrqOfbAhrgwZmpIxDmajcAGc+78cDNE6lgXPirXRmB0LV5WYPYyE3ulPW3hXoCVyxeJz9sPvDezRB594XbZT33lIWAYUgoAwakDjYAt0NUgLPA04Bt9QYB0L4UICfEBvTlCfrlxDtiJuIidYhkMV3D9zDtcXlost4dtdSlELwG8lJFpSF0mhQ6bJbSwXrg046CuttAhRAdGK+DOVPDzRwhCvNHVT1vPvk7PzRXcDG8zXYFeiMFo18+aBjC4gL3zT4d7XOacMMMotFkgORVhnwhkBirDc+Fww2L4ZbFe1xJA1uQGLT15AcVollx2OiGn5UyNmdpiYmvhI9ie2oZ12rtA1otIaTWjCkI8uFOnuefSlSg7iCkQij3KWiq4hMg0EAqEIZdHeOvG1Enk-6R2N5+2GVwFIiKqSU4lZg6V-zNwWpjTrRtJC8dHnyLHkTvMP6eeujTfCDaPBqMYI5bRlujVtH0p25Ice46fhJqoLE5ZEPm0UaAruuTgj8iG26O34ToIcvEDsgsSSr8mm4JjiVHIhQAx3FR9we3OyjOhx4QibTE14Ofvlxw7ORcqcBOFOGMSsSI4gSuFW1bna7r2VcffDMSaww10+Zmw0bOO0AjZGFNViHr2wy9ao-sJ2GnSiO7auw3IpraFD2G8vkEZEEm1QqHhtIuAuAj0jF5y0q1oYA3dwEHxQ4bi9RqoYA-K2GZmhb2GKSwwLI89HDxm2JtSYV+CkeuOnVz2EQ07YaHAgdhve8KdQ50xaPHMeLH0LO8aAxBCRPYZyp0K-Ax4-Bw2lxA4ZGcmDhk7gSD4ZPhRPHOtTzCKzoPix8TjzBKuOVPgb5Ax5SXb8BN638KWMQpgyn+6Si396pV0O2K-wyOwxwAbYjo+z0fr54k-mSgc0JGInHOAKFnXsoP4gOwEl3mqOuGtAdsmVlNqEyfUhvGSwqVeNxiq4FmkzoGBFo4X+u3Vt1ofw0kmhutaSarRxxJpZeNWnlGaXIagBYCOqAoSI6oTNAAGSW1kwanaPrhNR1VBu8ZJg+pbuNZcbC4r2CzvVd9g1eLRdEn1AKiKfVbv45G00UoJ1LWgA5AydG0CKwSpJ1aMQpFhjPE2uDBYNe5U2eNpD4uFOclaIXsI9nqPFxOerggItwDMqSugi6AtHCqgiCEYDOIfhW5jBsjzIAwXKKgJvEDCB-gBnePhsAwgJ4wVnizXCoaB+sBA6VaAmgjdnFR6Hu8aaOR7xxG8tYgEAM3gHxQQsA1nATiGT8GVQn+QZSGMhAF4Yx4l54JHALOEMw17cAtqDT+lJAUZA1CBKqYv2Fg1iw0CHxFiRJuFbENDASU2TRgqPiMrH7TyABCE3Hug4PiHsQWJBUmJLQLRR6apEfHCuKHEqJ7aFxDHZ1OqrePhAXxQFx2uq4LKoAPnnoWGIIbwDPjMfEpIB2cZbQa1oOtgPIA2+jM4LfQbxua0B9gCNoFFcHeAJ+g45YBa6ovEz9m14Anx+BokcpbEOPPj0hf0BBCihz4V-hV8ZuRPS+u6Cgkq8+NwgPz4vOaaDhxMCKtVF8W1APOwToRVfFP0HGCIr4lM0yvi+-wo+B3QRpfW5SsvjP4ZYZl9AUi7MMBNR4DfGrL2YTAL45LwNjgzfGw3zF8Zb45n41vjd+p1NDt8QpwB3xOeCoWG8EOGDG74zls31MUVJbo2aITujC6mvvixd7qQAD8a8oIPx2ahzfFmgAl8d0hG3xruRo-EukFj8Ry5WdmifjNfEYIXgruoo+VmmKkefGV71J4Eb4r28dVB8-Ei+JD8Rb4yBAVvjq4Cl+Kj8Z3jelEHCD8QjGri5cXs1Knxx0pWfHgPjb3vr4lvxfPjMWi5+I78ab4gvx3fii-Hv-Aj8VZMcvxHsipoLT+J8Thr4jXhLPj-7wz+PZ8YYwLPxdACc-HG+MulML4n+ghfjZwC9+PD8f34yPxeBRt-EsN2nwkjYrGcNg8CmKH+K18VYPT-xKNi5-FQOwX8eG0JfxJvjgiBd+IA9D344vxsFtAPDJCRNAaJovcAKGB0pQdTUEgiqQq2wzPjf-H8QEOnqaIVYC-zNVv6hYTVZAv1Va2t7pG2DPeOa8REgxFgWDcMoKpqiJ8SWQNHxJ-Ck4Dw+IQQDe4lPOSPjjlC0BM38EfSXKIoH9YErWYFgqEDrc9YPliNmpJ+P9sSfACfx6BCeLxl1RMov4gODksFgRR6Oj19NnnXeMuxj4TmrTQDOanrYWu6P6BK2ob0GLRj4QtvhZUcO+FJPnURpkzaFguvDOTj8YncoFo4I4+jJx82Tnw00CWImeu6WqjeMgP5zSwSojNQRNJD91b7uPmYYe4tNqd7iNdH2xC10ee44bR6ujfdEikIN0be43QR97ipfqvqJudiEEj9xrgjrdG8kNCCfrokTumdMVTGJ+wU7pbWXImT90QI6nKPXgTcoxGh10DOoQqGPBgWoYjTuTIid3j+6PCsYHovVadojmFLiZwDMSo4qp83ECkMoY3w9hGk4xoJ+qjjYLZpEq8YigZLa0qii7FaczxwW6Ygma8fV-WFWUmwcYEEUx0Ty9lHFdBNL8PZ4ku08WASHrtBID-Hwg+O6p-Ug+oNfBD6tMErbQ+N1UgaFMLAGgndCOBpzguvFpVB68bzdCgUXRRo+ajBKOCeMEk4J9+Ri+r0iNL6jsE5s4iqj6+p3BMtUZKOSVEW41rgkK9TGCQsY5T+4NgS5YrBKDiL8Eu3q-wSOyHQPg3zEQEnAJ34AWgm-ENiwiCEzpYawST+qTePRPOf1agIV-V4QlzeKjInfdTrCJOUL7p0sTz6uANJCGXICvglIhIyyCkDHOa+VjephjAFJCUM7XHqg-UKQkvLA0BvSE+aefW1YQ4F-HbmjHdfYJlDwW9rKQziuub1Jq87c09gnUhNNGBlDZSGB9VmQkJdCIBjwNfbA9tJ25pyAyLaswYJrgkg1n-DSDQuCeFIgjxJ910OTD3TFUaLMQmY00CC5rShLLyKYDXkJKoxtghXKI1JuQsdwGRZxAho3ZAqGpcEn+4hIS7QnlDXgeu88HO6VISMdpxDUeCEETWHIXaR-brmhLDCNkNG7IxXi5yI53R5CWKE4MJ5Q1n-FOhNtCKKE70JmwR5cYsf1O9kEAzoJWOVU8ZQZFmRsKEgMJSoSN0b08CFwnBrE4KXpjImj-9QUcXa3SYaEt0ownqFUxYM81R+A9gTnbD6OA+anbqL7xbCB+gneoK7qno4pY+PgSC5qf5Q7EHA9KdInXVhrE-IEQlpL8O4aPYRyYSXJygSACNdbONq8PhqP4Al+BS4H4a-HMnhpDIQYEUCNEMJNjxZwgrhLmYoVOdcJthBoRpshFZ3pu7Gz+tRdPHHwOIc-j44712kX1MY4sBK1IklIxsmUTczGiN4mcoud0esRieQbOhezCi8UHA+KO3Gt3rEMpRaBAl483O8UDPwnhLG-CSuY0x4dVYMnFl0HcHlcdUCRPUiVdqgRJBSh+BMQiuTwSwTejWC8YS6ULxwESvdo5AnyOtNsAgEyAsA65NkOgiZhEvOE2ES5i4SrVsiBr0NLxO1CdfqkRPPGIviM1qF31prTNSgswWWaS96FP0YIk02LQGDivF6YHY0bFiARLU5IMDKvqZudhKA83jF6CJEn4J4wQWInvrHk3oZiJnYtK51mQpeMiWLREtTeYjk-9qJGIZeHhE3w4LQJCImffGIiR3LWCaj3sRm6K2D9sTdI-GeTnjq84ueJu0QE9TxodzoO2YRQK+EaLTFSJNETntF3CK5Xk3Y+78jES3dhheNR0bufSdYyET5RoKJjQifoHSrYQkToBSJeOLhvkohh8rkTfVYcpRaJm-DX9qBXjhhovwz0NDn9fLxf19CvGrhjDCXDIEQJFkTdmo1+J-8R64KQJbPIzp6yBO8GPIEtDxRuRCJx4+K7kDuE8Eap0sJE5F1ykTsO46VAsRBjAnWwNMCXVKE8iFgS1AlNtWVMn5netUDYTG4KKr0ZRg8-BjuBQTVj5iyOdsnxIM5RGJt97HlB0QLnKI+KauU0zlHMMJ2eglNAtxWG0Pcbp8NS0T2XShB0QiIrEBqjqCWUfWIR-s1Jy6KRPyBmSbbu6WoTSRIdIxTlLqEr0JggNNz41zXLjHXNYmY-oitBrZBPZoXoNUG6R-9wGjdzTkFrfdL6JpO9WaGBExhflWsIgGzzUmGhs7Up2kPIinBC-dR5HWqIuGrY4kse5Uwyx5ALTpsDNkILhWDgewkc4PdUVzgtABuyMpsjqXlTQVbKZ2hUZi41FRpA1oYh4kFG5fMnmFtrQiidzsKSJUsChwZFU3CiT41RyJ+TDx9oJ7RpvqWEnyJguw1nozBKRBtl-Egy0UQmIk6CFlWr4cOqSYUodVrvqFCiWo5EsGSTiknBtOAciagLa0apU9QTxyxOi8b+E1kGysT-wlMxK5iRrE6WJyz1IvEoRIrAorEq9MK8d4DgyRMpJIFElle-y0FYk3TTL2myDcMJ6gMDYmA2MpiLTEoKRvMSGYnNiJa3BKtMxMRs18ij+UnGqrL1ZMGHMSYPBkROvBBREgN60cTqDrztArcYRNAwoHESuFoggylBhAojIYWETy4iqZwCiSTsIKJi2ZUIkuxOrMfq-PmJdpBTYlIRMdifLElkuGwx-doGxNsKKbEpz6V8IJcjmPBnqHEUDYYsuwfQzV5FuWB5qBgYUPoO0ScRNKepnEstCNsS4riwKJ6Ec+gH2JMejI4lHmwDiWN6ELxucThHH0xKjid6EGOJ6TlmIkq5GbieUdDJ0a7R24mQRMdQaLE1WB3kSg4nEuhDiRIUMOJdn484kReNlieBE4uJOnwvgbjVHXie+oZOJRs0i9oZXn+Bju9CWiuCMpzp7Nk10a29SUGxapK4mvSkLiZSeNlMVsS4GpuxLjCSHUBuJXISe8jRfVD2K1wxswZTjthGQkMd8YZfJfRjg4rIlWl3HzoPDUA4tBw5XizOkB2qpCdx+55iD2b0Eh0qm1mXFUnoo9qQBeOR0U1ideJ2kkmnrheK1iebE4KJ4CSXYktIKZ6MzE6IJLWdkvF6lDciUUopiGLRwH4bvwyyialEnLxr8M8vHp-QLCeV8ADqhw08om1+PPRqCgcQJ+USuxSlRK6+LUhMwJJLY+ol1hPRiX4o7aRmRsRolUMTGiQP8M+x-sjGDE5LnJMbLzGaJ5Z4sJDmQSlESsjaABUf8VomwbTWiQ4kxWRHyi4BpbRNUIehqA-YPiSUtEzJCMjo-xBex5BU+JGhCM3-lqQ8hBShQ3JFccMpiWfIoJxNMSYPGeIAa7rWfUFGhsTdIhqxPlYUME5IxZcSZdbcJONiTkk5E+R8TKxE8BUFiXHE1asUCT+YllJIlib5EnCJQNIq4lJwLASc7EnT49cSLgalJOuBjwkkQ474TnXEOxKaSU7E2uJNKwqkni3yNiSw7bmJaRj+0KNJOLys0kwZJ-ETZwZ1NGASX0k6ZJAySYvF8-XaSXfWfyM2oMAlqnjxmsXW3Ph++dCBH7x4JQUeNIznhEbjBxEkuPy4Zxoi5JoeDR1FNGJCYnq-EXhAmjtgHGvw+PLhol2B-ijIkEUsyI0RTwm58Abic4lJ5EhpL0kguJ1cTdYl6YgmAZ2o75h+LjUFGNU3QUXU4vK+sKSOKq9mLwUS046FecR0pjrxHS9aNZOdjRSYNJlIopP-wZG0DFJaKSP9plqiJSYSkt1oY8SaSxJh1jwRyfbpxnX9s1GLtXi8UmWUKoMDELBQTGPSeJN-N7Y35BxnhMPg3KNuoiZxCxM+ejpOAOmKLkQ9RoUkYgm8KNDQQjTd5xa3DrFEmOKupoBgjo6JBJ1w7kmy3LLzYiyST6iXuHGDwUUXEA8kuCQDKS4WS3RSYak0lJ9wgtFH94PSAaXhH46LxQukmYymQKCykyfevZ8Pzi6rRCktKJBrMbTgUuisKMmcUk6XDoqR5rDq4mnc6DN-NSS1LDlB4CKLpYVdw1ZxiK92jo+HUmuPwdPCePYd1Un82OfUdyw7VJvLDw47GnzEtp+oj9oZKSjUkYpKlsb+olmClqTMATqxOF9nakl6ugJ1Q+K-eBtSZUfJ0oYqp0S7QTxtjio8dzo7ERfQap72qOlPkANJhlUFnFfoNpYaoPFZxDLCqqGRpNPiFmDQjBbLCH1EGD1kUZBgl5Jsp8jC7HOMbgntXDNJMR0s0nGpNP8XKEs1JOijrnE2nwQnDc4kExD9dcFwZF2ciGwCN7+mGCf7hZJPNuJWkyR4qslS0mUYI2NjTEcVUoVRbPq7XmTsNDTU1hLzMCeGmO0XER8kvoxlr8HbFwEN+SYwkyWJ4cEgUnaxLviZbE-zasxiyyin+LRCYsY5a22CTF6FnCIv0bC9eyJ2SSPPG-UWBSf0kmuJqyT9MGJ2NlTH+kupJAMjyHJcJPYONakgDulcDSMoZeKlOilEsU6aUTW+iiJOSieIksFRRXiFEkE92LfoMo3hiGDcBQFM+M5eHbKVRJSiTqAl2yklZhVEywgVUSTaFRRCJAplYoQG-ISrLqHTzTZsXXVrRybgOok3fyWUt1Evp4vUStD6WBNLaoNEvrxZt5jEkKeOv4ONEl4eqyidnaMj1SXl1Y8GJeRMNww0WIYkWvA0rBJ0Ch-qSPVyCZ3w0hxLGhxJE7Z0W1v9zL60znicCLII1sieIDE9JQETmzrFnS0wetjTPoKAiDeyLxKTyP5k5hGPM8Q7EBaN8ycJEtBxQiNKA4JGKYcUdEmoJeHRIklZyLnzOdEvD+XPMh4mpXXHONtAEsJNSSwskSy11Cf9EoMJSN13rpEUBnhHQDHDJQsTzzi53VUoW+MIm6m1U8QmrWICYbKE6W6HyQIZR33V4ZuRQoe6eYT2XKTv1uiRdFHO6ZoTqwlk7UNCVi3HrJ-v9ksSlzUqSS6E89Ub0SDgwfRJBiQME-wmtJIIYmycMM3u-dJbJPc14YlHRyn4rA9ObYW2TBeg7ZO7mkihKB6A-cYHqI7QHCSdk5B6YD1UHp4ETAduu+ffIX9iVuDDzB5cMvNFY+LBiqwolzXdCdcfaBJYC16coJJLUNm14aeJFhiSkncwj0QVr9MWJ+a9akl1ZMZmk8DY+JAsT4ckVJOiurAkkZJAlJUclLxO3egWoWrJaOTIEkIJJjepHYfHJOOSEIkx0MuCFe9Hr6XETScnhZKdwa8oiUGHoMlIkqvXlBq4tDCUf1jVXppJK5ev5GTX6RH1PVqrXTpBnocIMhgSxwcmI30hyd8EtmJJSTG1GBxOKybILYYJ7MTYclZ0NlyU09UuJBz1V4nRjFpySVk98JbWSsckY5JkAQhk2LJkUT6kl1SJgSeskriJVqTCkmzfA5yRSkzu4CySWcnzJPdidfxN2JyG85dRTxOSSfAgVJJeSTaY5pfwXif8krXJnn1OYljJLTduWItXJoINLdqa5OvaiTk8pJZOTqrF+xJOsoU4182yuSpYkqvVEWgqDGnJ0eS6cna5KHeihdbHJmeSAvqjoMFyZTEE56mT0LclB5Icxl3EwsR0wAqcndLDDySc9c564r0ickS5NeCUzkpvJQDNh4mIJPfdnU0UXJV1i1clzxJ+se3cJPJ91iYUblxP1yUVkv3JkeS0Ti55P9yQp9I8egCj6Nhh5O0+BHkzeJ2mdU8ls5ORyWPk8iJMeSdEEK30yekvk39Q9eSlYmAJOJyZWYgTxppRhklG0GLySqDStuNuSCbgKSldiXrknegB+Sr0xbJKUWITcJBJ5UYu8nu5MLMSbkwdRrex08lT5KrOn9Y1rufOTFcluePHycvk2fJDuTG4nl7n++rCrbp2iP12kkcWjMDsd9BKGGhC4VYIBxbyXbErN46R1-X7-li3wX-EaO8pe1cslm5KwKSx8cxa9bkAa5OFEIKduURnJSOSOklw5MHyZREucYtwM-Ub0-XlWBK9G6xSuTwCnJ5KzzLAUrPhrdIXpgv5LTyRhEjPJ0+Tt8l30z4KbQnGMGFTReckzfXCWjkVWfRWHFFL7E+wwSaIE9VxQAIPMnpZ1c8Zkk6bYfmSHtGP7BCyT20Rgpj5in8l8JMt2qXkotJUUT2RbQyNixqDA2HxYiTZEkFfCoyTc4TDxj8M6Mkp1xyiYxk4yEaiTupJUVG4ycVEkSxo9jjjDnKwuND5wd5IfzQ9EnWBIMSYfg2ts2mTH3imJNsCUgYxyxeG4skaGOJyRqZknIJHjCoklgMyf+ulkrMx+pCGIHixOMKbM9VkJOExibout37ClN9fIGcwZtAZlWPYHK64pjM6ThBUZfhNyLDFcBbJTytD8SUWmtLiBAZm68STAnGg5KSSRlkj3JTaCvcl95MFfr7kzfJeeSEmFS5P-ycUUgPJCcSACkq5PTiU69BfJUeTFik8FKPHqvkhFa6+SiincFONyST2R+JlZw98kHvWbUdAo4fJ5CNYGAc5OryWvkhQsdeSVXo35P2uHfkpnYrOTtilvpk2SYXkg4uxNw3clDFLpibPEhcei+TCDqbMkqEhkTbPJgeTLClD5LjyasUyfJLeRHUkWMOAQVnkxHJCuTJCyX5IKSWXkspG6hCAL6kJxZAUQU-JxkJSR4ltJMwKRPEoHJHYiEFGdcNbMVU4w2BhLjYbFsaJqMdXQxciILCixGNGJsnkvHGFe2fo6XH2wMqocJoq2xUvDLWGGJII0dOY+mBwSiUHF1GT+SZMU2pifDZwUkVOMhSRSUntRVJSKXHEuOxSTckq5JipTQWEMn2ZKUyfNkJlrAHiltFTRsZ04ihRR6DMLbZmJ-og5DIp0TkNPzFQEgCnGRDedoFEM9ShUQyh-klZB9BdEM5NgMQ2OyMIk8lhxkMnY6cjElSd1FaVJurCM972qJSit91ASGTetLJjc2K2cY9wwOOUQDg44xANJLjqksweotj9Unjz01KZE8KcONE9evHrpKvSVVAhqK3GZnSn6Q2Q6B646GmLCUikovOPgsQzfCyGdMQQGKHHVSpFKwrtsJpTl8RmlIM3haUrdJAcDbvgvxIyzJsyTp4rARn0mJZNfSW8k6IpbLj+SmSaMFKdJoucxA+S9ikAqklKQckypxo0jyjG410qMaXQ3FJSKSt7ZNOLt1nckrFmDyT+NHslJnETD-SdJ+3cFxGHd3JZuKTWAh94DdPqilNjiS643qGrCTb4kWxJCiaBki6R8+iVCltEIKiTR2GDJuSCl6EAlPEiej7ZDJYahqCScrAU0ZGWXzQVgSW0Aq6MHnjRGSOYQFTCBGUYxbIc6PIuao7YwwkBSJxgRh46JGYu9j3hEvHBcNNSEJeVrjxKbOI2QMVdBecAZ5ojKB9YFDuj7MUYR+ITsYDzDXiKYp4m2xOXxHsiyli-ms+fYXJJcjiKlIBIxSto4SWONuF38D-ZPXdtHo5QxyFT5uEH2Uv-lOk3Cpo5V8KkAekIqWxgYipfwRSKl9pnIqfJ4yipGy84zrvzVxsI5tBipyZDQYmMGAIiPsAswxRejeKnI+MPFmXIzkJF45hKle9VEqSV2cSpdWBJKk7fAn0WRUtBAFFTfWp09iUqfvw3aaTtczcTTZKnnkx46KRxoi+KmJtTUUTOzIhR7gBsKljo2MqXPdUypi7xzKkUQEsqb5EaypMlTbKlyVPsqWl+RypdFTrNpNT3Vvgdk1qYQrC7VIJ+Kj0ckI3SpxyhDxZpkDJ8eQmR9xxWCdKmhVN4oBnQSKpb-RoqlwuFkqVGEeSpa31FKk42CcqT91FypcY1O6qZCJG8RTo+gRT0dmIHAkPI4Jt4ydQIo9dvEP3n28ccEpfqzVh73JrEhu8b5UgIpQRS82q7mNd8TxkrkU3biUlFOKzJ0m1gITJkTDjFaRmxT8YejTKpf1M+CENgl0CbKAmTJ8oCC3LyZPFYVTDDLkYRTG3RqZPUCUFYm-YI6lSPHHUL0yV5UsGBoGdCDHA630yYRYwzJsSS4dYeSPBvj2xIr+1njoKlbt1BQPMYyEJSSivjavlKu0Y8gRRJs1SVqlHVOErD4UwIpiNTyolT5jkCWnFBQJr1ikxJ9uJb3s9DRqJC1TMQzSZNaibJk9qJ4IDz0qGBKL9DdU4ocd1SBokHlPtVHEU+Kp2WTnAlJFJNMZLFP+BObinH4YGLYkZKYtIpK-dIKH9uGgoWrjLmRwVTcKFMGKhoanNXdhAsiqsEcGIRodNExd+mpD-qnRJKwVnaYvUh+J9Cv7HCynKdKUmcpL+CPvbzlNqcYuU65JqpSRxFLlPfwn-g6POLRjELZPJPRsRC40mmb6SGamk8K+Sd+kk8pJv5Oa7K8Pk0VxvZJBk9CreGPGASUZDUqDJPSYYalB2PkTt36HjJiNTwbJh1NmqctUu2UECMBMkbVKxqdVE7xhsZw8ak+7wJqduELwGUmTJE6AzjaiUY4C6plNS6CGGfBpqQ0kOmpUjgYXEUBKMSc9UhIpKHJzEli1J5kT7-dexfGQfonDzWYsWP9RDCQpil2HiC1FMV7xYChmBi+anfZOhoQETMzJBLdM5FxCxVqQYYq0x9pjPmEklOBqV2I2dBPzDeuFv4IRSTftY2pjJSyXH1OKJcZHnKlxjutWSk+HinUUEgzkp7GDuSnNuLbVnGfMnhAxjiNFu1L+LgPQh6IZxlNmRdOHdRAFPU6Rpj9C9K+1L+4JuYsapmCT1CmB2O6Ib9UmXx4dSTMptaJRqbxkigmMgSMamVRMTqcJkjWB1VZU6keyE0qWEggdxGLEfJ6GBP8CJ1E1RRWiSeonhFKswJEUjTJIpMnqlxVMcCSzUl8gLgSJ7FuBKcmuIfDxJLFjLlHZ3gl5uQw90Wu9iroHwj3syZPUiDxANTvsHJZO8kaSUh7SHaipSkjSO64XrUxPBNJNIw7zSPecuS44RpNX9RxGk1zxSSHMRfqCDT2nHTqJHMcFZWlJVCiChEA-1+cfrYwZxa6iibFEWzUUlpJNIs-KSPOYhBiEePIPNFufxhPgihxPFSc7HM7hyJdbxwV4OAouGkpR+zLDGjzRUOgots4lvx8aS9nEC2LCcULYuMp04CEykUT3v8KJYORpLis80kZlL0UYyXbIBJLlCIa5FiKJNE4CxpZiiINEQV1n3rxPcJph5iQ5GrcL9Kf84r5x1x5Ih4m2PQ0WbYjxR4LidgH21L7KeQE22xyOR7bEX1J+SSRox1hPQ54TJN6QzYfgNH6yMSiJMFGlw1JmIGLKoOt89hErVORiCsYv+p3-jRmpqFNoIUVEwZpkgSHzKGCn4yeA0wTJkDStqnF5BI9LA0wGJvagcoDNtTZwC2FNBAXqV0WJkX2kTig0-Op5UMlMnF1IsgqXU4hAsZ8FnhM1MIaS4w8C0JDTIt5kNKsycCoiWp+8DkhrW4zIYbLUnexbyCKTGYmyVqWPUnIpD5tR6lTjxwkk2Y8px2tS+GnIKN7EYvUvGuhtSV6kqlLXqYcqSRpxG9t6li1yWabPYGmAqzTKQTrNOIUbCvLcpLnJnkmYQ2fwT04p0h9NsMmkDOKYalo0wi2EE9IorZ4I9SQKksZw52QnIhUiH8pLS0lUM9nQFB5WNIZsdDDJmxEjUWbH04OrwS43HBideDNT4N4P0HjIouyyciik0mWNK3QeRPBDBizTb3T+QBWaa8waweAaBc0mMMV0UYjw86uve9jsgMtNpEPS0nPIM9QmWlbpLVsb4PJfBDij-YHZNJ1sbjY9RpIjF1uEmtKNsRXHJfem+DIf7Sl0KaTuUy2xULiWz5bSJiKZ8ko8p3yTHbGU8NMIkfQkFmjTSlSbRKJfMbEoh-BuLin8G61OqcWgogcRA3DV6lavyHUbSUhJxTJSdX62Tw3Ka0Ym2pepTsNF01wdqSc061h59TOXGDGKRcaknHAm3NdT9GKaLAyRR2OzxGSDnylYJI0KdZE67R8GScQGMiwISRrErfRzydWNh2xDEKH54n2B5xlA3w4NMgqfqzQwuWHpwKnqZP7aSJzYLuMVizJgB3ljCYXoxCpwGcDkTJoC+sGhUvzAGFScVIBVJNtjhU5Ipk2MyqkmcAqqYyRAUxxajaqlH+h0yQ1UyNuiVTP5rJVNUqRfPO6JRnjwsQNqAkcLl0Vm02dB3Km2t3KbqBgeeUC7Sc-Cw4KCqZu0pvG27TrCC7tPnfPu0pIxh7TNyLnNL-lme06pC9FTpA5c3zWyfZWBgJziAsQDYWCHoLwybKp24twsh5VJz8GDvKKKddSN3Z-tJ4YAB0u1CQHTzQ4gdLrus7DBKpTVSkql+bRSqSBxNypzcB4KkztPJgblUnFp0Ix4OlMCCYCdI4jdp7NTCOk4hP-aURUvdp8kjncEkdOaQmB0rB+EHSNQaQJBeyN5A9SpdiBWOlZkng8QlYpCpelTMOkFVI9gOT40JuIHgcvalVJ46fh0vjpgHSBOkM5PNgHZUkTp0iCxOkeNEk6ehJTi8HVSk9EWz26qculGnR8HABqlPKiGqVn9KROo1SPgnKyF3AB40ow4GAFpqnMiAwCb4U4tyTRsq4rANJjqYMhMBpJy5Mak46mxqUu4+ZpPC96-F+VI0UQFE97CRgJB3F6qXb4edUimpezSJAzaJPzrLokiCphftiGmnNKrqSICV6pIGgSgkfVJX+l3wwIhBFjXAlfVOg8crU75pOpCOGkh6K1qQC01BJL5TqmqQZIc8dBk2tpLmt4amjNLkwYF0iBGk-ixmkBF0MFOjUiLpEDSoulJ1JL4DdCBZpqiNq0a+EmOqa3w06p6XS5MmZdPn5vs08wJqmT+oll1LCMXYE4rpumSzEls1Ol0f8PZFu-P9dn6mLwfplgYqUxjc1qebgQHpEQUjLbWWsj5olxvguUc7ASURIsi15YnsM+abT1ceptpjfmlnWI5RCgkkGxgoCwbEL1IqMZw9L72AeD4UnRtLqMVC0uNptyT1SnWwLsng3QgPeTdCGXGZtKbPtm08up5TTk4QClIEnIi4mTRjgZLsJbiLGMS4UWVJJ0j9xHe1MPEfeUmtp5kTBukvlN66YvQ-rpyyshmnW8JGaWz00bpJF5DBRx1KmaQnU6bpUDSDR5KBNrhrEkAVqGdSS3LeEJOqaTUs6p63T4QEF1IwacpkrBpWyA+2k5tI+PGc0sjpRDT5jAhJPSCVH7LmpqRMeanXdP7qTaorIJGkjFKhaSPs9luw2WhzJV7mmOJPvumb05UIFvTW6m360Hqr90vzujXTPJGHRM4abPUwIpoPS4sFIKKOSaC0yHpyMdoenVGLEadV-HsxsbTtAHPC2kaaRvGlxU3D0emDtzWkXbUtJW+5S1ekBKLzaTOYonpo5Sys4LmOOkcqTKYxNPSZjF09PVcRBkhYJX9ToanM9LfKaz0-zpyiSOenbqRC6aD40Bpz9h46mvQE2qbw4udgtUSpQEydMv4Yl0jcASHSa+IRjEQaVs03OpX2ZMfFZdJKaQc08E4RzSXmq49PtqRr0gO+pXSaZE-VMunqLUn9pKki17GLlw3se90yWW2kigl4AwXbqZRA60xbDTOpHNdM8oUYcEHpHXC56kB9MxsUH0ucpUPSqjHQ2I3qdSUs2BUfSLYHskzXKWrHWTp40AB+k5NiH6fI05C2ijSbKTKNOxsfi0vsWxccPnEE2PlVNo0slp8isCWE7qIFSXodHBkbVw9eE5i0GcfM470pCp92Wn6KxYtly069R8qSVj5AYK5sboPAVp2p8m8GeNMTSYLY3KWwtjD5r5Sngwd9wv1A3-T++lDSGQ6ZJk1Mp2ijaJ7KtNg0QBoknuN6SdWlyRN2zJs6LJ4CTSSMFJNJ4ngEPCoBdiiyJya2NA0QC45xRNrTXFGm2NBcatIzHpKfSaN7QQInMXVQyGulTT82mX1JJyvDXbuOaLj+mr4-wNLkPHb2xXNNoanwzy66duYyvpP9S6h45s28KQA0u6KnPTa+kgNImaeXIVvpy6B2+memPrGLF05QJzBQe-RltQfhNh1N-UfkAV6SY8j0Cat0gwJGXT5ekT9LSVlP0hDaM-SHbBz9IO6QQ0zXpFzT9tRXNIndv004-Wq9iBRFb9POUbQ06hpn3SqGkfrSyKQ10pcWX1jAekh0MNgjPU1rpZJS8XEylPbMSxol-plJ83+lDcJ0AQm0vMxapTk2mCsNvaWxU4IZVxwn2m71Io6AJo+FhGbSaUm4tLpSao009BtCiZBlQDIggjAMuPeWeD4BkGNKMLnz0UjwCDQ2MzttFtME7EQyIksIMBml4LrNmk5S7h9jS+0kbNHWcfYpflpPNjBWnkDIgwfs4nKRPjSU0lGn0+4emk3JSEltAhlPNQfacvQYYZirSGnJhNJVaTwMoLBGwzdxxZ4J2GRBoPYZ5mwRBkw8LEGWUAz5xRGDvnFmtO+-ho04lpVrTuuheNSNYSC4sM+Kgy8eFY9NboTj0-bph5TVS5VNO9aaEo2ppXP8IlFGDMkdhm-dWmrTTsz70aPSoeHgpjRYLSDanL1KAOrD0s5Jq6CGSmI9KTaYxo9cpVtSSFHptKAGY7A5lxtPjqKln1OdqSSMn9JNTS7HYltP5cb9ooohgNlm5DneIX0aoU6tp39S+mlr6MPMeG7KnhoSYSF4XO1yOuBQTtpPniTRkm4wxYPdUp7xdqgIrEsKIgqZaMgYpMjj+HFg8CcgE90hCpjHS2AnMdIPmku0mHxmFSvACBVMS3jlUvDpxQACOmloSI6YAHLpARnT0hngdIo6ee0qjpl7TahHXtK4prDgO4QK0wAiDI+F2uvFYxRxg3F52l++NoVIJUj68OHSeKmBjNkAMGMvCp+nSbKldAAjGWR4z4xQeNTOkqVOg6XpAtKpcHTe+mN+PGgD+qe-AiSFOAYVyI9EUx0pRp0TCUWKGVP77AWMgMZ2nSgxm6dMI6WWMmKpFYy0hlVjNvkb0LWsZOng4xl6p2k6ZsEJyA9HTsYFujPQ6R6MtMk3-S12nqcM46ad0kMZI4zixljjJDGROMmqpsVS6qnM1JBKvOMkHqi4ySImwdP7YjuMk0haHFNxm9jK4pip0kKAanSmmQiX006bO0rqABFSSxkiVLPGdIEITpDgTIxmidOjGZB0i9p9YyrOSWdMT0S-3bzplOjASGR6L6qXJwRzpvEJnOmxIxGqfaocvpQ3iJqk2dPZCL50jjJKtITMrDdIkCeok8Zp+HFwukuYUi6TIKaLpQ4xe3FxdJmqSsgFdmSXTzUrZ1JOnmTUvOpG3TiA5bdJ0STt01XpcjiWvH4NMvGcZ09MAS-SkKnvVK1bp9UiGBnspaumyTMn9u70yoZk7jqhni2yyrnUMjbR6riIak38JsGY54qvpsNTkYA19M4yc4MhvpS1Sm+njdI8Gfz0tvpMzSO+mUhJF6WalHdxhNS52YFISQaX4QuXp4-TNunZdMwabdU3bpxzSUhlFdOnGS9U47pFFiAKH69K28ob0wHON3T+alaDXu6XSI90AT3T-85cdOWTLb0r7pxswd+lS8z36b6vFfuh-SqglUIOtGU0vIF+PvTgbFX9NBsd2I-hpkbSYUlw9LhSaCvKqZiKT2hnDiMOSvC05aRAAzgCGqDOKaan07jx76S+SnaDIJ6WP4gtpxPSi2m9gx9gduI8YxKvDn6nTGNfqeW0yES5Q8J2xWP10mT10uwZw1CHBlR1IG6QF0lc+kvT-6nR1PMmWzyPnpk3TpmmC9NmaaE0PwZovTqSFljBuWst05rRQ7iuJlj9I0DAr0viZuXSBJn5dP8mYzUw7p1MgJJk7KP9GW5xTmpoWjIMKsSKN6VWvcCh-4UHen30JHqfiYihp1mTysjAzPLiCUMtupg2U3emumwiEaIAlhpL99L+mdiNKmfPUqFJJySanFsjPpJl0M3-JypS8ZkNGM-gTxo3tug5jHkmYtOxaVyUl1p7dC8NEfpPZcV+kqUZrtTp94QC0u7okg8aZRfTJpkl9OhqR-U9zp7PSFpmajMqCStMrnpjPTNtFBdOECWZM3eGz-NqJnrVOsmQdM2yZMSTjplmpSr8UQojcAbYyugAdjPYmS1EnOp10zVrQeTN4mV5MpXpPkzBJmEjJemYFM6uplzS5JmkNLq6eQ0l7plDTt+lFDI+6ZlM5gxB-S4ZlH9PocYjM4o+qkyYnHA9MGkSUYhkZuZ9kWGZUOhSX1w2qZkLTCZmkuJhaWbUrepsfTipbNjNYmarM2RI6sysuSjh3JmfvU4+2ttT2v4GlMEaczMiAZMqSDbEktIzwUN-FYZ4zjnEqIDND4rgCN7ALMTf+g5An9SWK09iGXTM0J7LOPpYYYrQve7NitB6cWwkUbj6KRR+E87hnjpIeGbuUzPeFktaBmdOgFYUyfJgZWIA1ZmG2FgEJF5U1JCmTYnh-qMNsRE0hcOPLEIp52MCrmUgMGuZCe9ARngaNEGRMhZJpEgzMykRHj+mdIMv5x+cy0RnXpL4ohvgiH+7ZT48kY9NxGWoMk1+afTnplO1M9aS7UrPOx+97zFTJXdYcG0ukZRP9LooSTC6aWdomZ21SwBZmh1M2matMuvpZmixZnxdK2mZLMtnkkzS9pkC9LomTN0-nIkDw6ol4sCTGaRmFMZ1pA0xnF0GH6b4Q7ZpMQy9ZkslINmQkMvLpI7T0+lqPgX6UFMxIp31T5JllBJtmXkMqrejdT+ZEOzN36a8gzgxLszXeluzNYaf90sBR9XT8ika1OzWkVM-3p5JSI2mUlJaGfKUtoZCPTo+kFUPD6UVQvsxMczlJiYLJLxNgs5MAuCyLcArSN1KcKMnMZfIyXHTTDIQqkiMwSe8wz-nEMKNj3gWHYb+qwzS5mGNMKWlx4SrIpSkYQBVFE5aeNXLPerLSopYhpJ7Sc3M1mxap9I0G+xzDKU0WCMpkQCNUnRANe4QafZ4Zx3800kfqPeGeEgFRZHjo1Fne6LXtCak1SGl1T+yk+SSHwXc40g69izo4KOLK8Wak07dJ05CzMFPVxMWcu3c+ZOcygJ4Al0taQiMnJpxtiGJxKDOxGXfMrDRD8zXklPzJNmS-M4kZugzqmlu1NI0RSM1M+FGjeXGaUXEwejXHFxDQzw2nlTIkWackzep3PDw5mXJPXqRyMyZZAvClFl10Pj6eRvIUZ1KT2pnqDLn4ZoM8TRg5T4XFZ9PH8YW0oPWPZ8lzFVkO+SlNMzOAB7RAFlITXp6aAs+tp0WTHEZnn34OPqM3a+njQu2mvLNNGas3D8RROob4KDvUD+hAfef4Nx1YvHIHC9Sd+DOyIyxDQMaPGJoTjUdcpQRVo24b2qHKRncs7DJy-YfpTnGXRKT3DaOxzyzQNjlNG7ae8s8zeThhncB4JPvSc208vJqXx1PheePUUsaM7FZlKzB4lF1OZMAE4K+GGXwwoTvTK6kCvgAJw20ziGBzVxXhjAoB2h8n9T4Zbw1M6pVwNlZR10D4ZwhKjEQmPDeGeTU+Vmz7VS+PSsyYIjKzOaJJRM9EhRkrMJzhTJww0ZMVWe4UhSamSFrAToTOTQJhM8U6JFxGL5VtMtIPhM4y4PnTXowjdJFmcko0yZsCzTwrSBJb6VZMrwZNkyfBlG5EIvvN09mI8sBQkBGvBETAgEtjp3qyfM6RnDwINkYB14cfjvLIHVICiYfANSgAVSmBmEigumal0q1K7UMdmk8TJIWZP07bpsTNjZla9OggKkM0SZ4EybAk11Mtmdc062ZlF8loHPvxJEVUo3AK-ViCx7G9OpEdTtPBIayMGRGFIx3EMUjE9+BoySLBzwyVwJUja3c08ieE4r2LuaapI+WpP2SS5qdI2qwW809pGR50YDGaFO6Ml5khtpRXB5-hFHFoGGCsrcEEWSkCCttJnWdDDZrOIOsEskxuMjYOl7VQxZojcpkpZIYcXJwr2Z+yTFP7DyMJ3lTg-GJmQTGAK5IxgeC6M-Y+C8jDj4gx2+yD5wvZG2MSpfhHI1l+Ccjc4+4CVLj7kxMj0gWgqEC0ZiSGDg5LuYacUjoZrxTOCkgKPLcWteCOJXOT1cnAHG+Wdc8Gq0IH0ZXRFJLCoXQU6XJXOAafoj7GQ2Xm9UDUb4T0ckkFKJKdGokGpJ6yRlkF0JBaWNI5jREyzWhlTLPkWUCw5cpsLSa6GLLKF4WTMzcpacz6XH3zPWWY-MzqZD1TUV4Z52PKe-MxdRE5TeN7-zOO8R14pEW1yz7pGP8IWKWoUSQk35SC1BkrORWTisqlZ5m9pWFnER+WYTZQCh-yzYoiArO9uH7cMQK1YIWlGFCOhhm2k6FZtoZYVlHuHhWdqMv-qSKyKVldOFbWSys5yJA2jnExYrLeWapsrOeWnxPPHkjPPtNXDElZ3mz22lGjJU2e5s6lZo8NaVnDOBlWZekOVZtCzZ4ZObPASIKsh0Y3cM21mvX1FWTMfE+GOkVJVmafAFWXAsgNo6g88Vmn+FM4dGI8VZo-NMtlIr2lWdYVcv2H0DXMmorAVWWc4JVZDEx9VnUZNcKQ4U2Yayfiv4YEGKw4Dqs7-4T3ZhqkjzBwmUasg1wJqyJOq9UT6qUZMkiZ52jInYH+IgWW4MqiZ9qzEFmyzOQWUL0hSh9kz1zhXQwVgNdIW6GvGzNtmmcJoeIGs97EEjhqiEJ+IxUuJM3dAUay45k14C94VL0lbpMvS1unk1NiGZ5MlNZ-Ey01lPTKcCYV002Z2azF+nBTPNOiv0wWZjKiFJlgm0Yod9Mi7pUWZmmGSXikYV1Y2tZt6yuKkXwwNcB2s0lZBGw0VlFqUdYILaINJlpjN37W9J8JnhQyWpbLcOga9EWd6SaZB6JtsM2JITrPRaFOshFZBxU51lyzD2xvNjJdZ4+cUNkVuPrYpus8XhZph+AkW8z3WX9Ur5pykymunIzLiSa1Ys9ZgISOrEkRQh2QrENzkd6za8FuqJx6B6okaxYvxX1kA5EORrwxT9ZHcB-OE-rMC4ULgmZhTGcqYmJJOA2V-kxqRH1jK8myLKV2t1Iyh+AmATNhFuODEecU+DZ3edNNn7FInQKbs9dZenCkSn0FKBpNbs3BWOmzWogIFMJKZG2WOGGkzCT7+zJUAezw8ZZ2MzQ5nsjJqmZyM+Hp0yylSnEzM-6bxotjZabSKZkZzIHmW0AlpZGayByk9TKHKYT0-ZZA0yg9bW7MhpHbs9igdpCPJzZDPUmYftJROKASM+DApynrEW1G4Ys1ArXG87BVGeRwZ52ThgvqBpKFOyethS4ZDWz8mA0zDAJLXkCsaG4B9Ng6VSM6BuAUOCaWT+PJYgC1Wo+CRM4hyVFdRJFDH2eBQLFZNkNSWiTJXPKYw9WfZiVt-QYNlD7iJgwPzQuOzhUSD+HQqNM8MWQTKyJaiDZH72YyUQfZq+zBqTDOOJxKvs-HCXcIHHgX7I7iQI8WJ0w+zRoh1PCX2Y2UUuEtIAxCi4qis8UfAPfZsagQKpDROeyVh4z7g4+zQgyT7JDuLPUcaATeJu9lD7OSPHK8IIoL+zQVkhTB+lLkKPvZPC0B9ljRF-2U3Af-ZMVRADmaZOP2e-YGPWE6weMwX7KHSfNyL2AdsR59nZAi-2bqtC+on+yWDhXYTEasrdVA5XKxaQB0ZhH2QrQbA5s8BcDnHmHwOXw7KTQ-+QqDmNlAeWrQc6fZtaSkDnxxC72b8tCfZsTphDk+lFEOVPst7Y9By5DnArAvqHVXbg5Q4MFGhV7LjMDXskHYENNRvjApyb2bmfVvZxW8yvGcgn9dhVMjg2V3ZxaDsIOtfM1QOw5F+ZbDlKzRsOdsgRw5rhyncDuHI38M4c4eoHhzxkBeHM4CD4ciUYfhzcQABHIACEEcuuoIRygCQehCiOUSaGI53hy3DkuHISOZ4cpI5gRzEjm+HOSOf4c1I54Rz0jkKKgctAl1Kw5K5kyZL93SMyEP6W4C+8MjJyNnAcOfhMMo5hcNqljxHLSOSkcjI5jRysjnNHJyOU0c4I5mRzQjnZHPwCBEcho57RzWjmdHOY8f2Mao5bRzejm5HMiOV0c6I5+DRYjkKmn6OeMcjo5V-g4V6WtAKOYHs3J8xRyZ7qlHI5OHP8dC48xz00h9HJkuNscr5ZyMQ9jm4XgOOYacWY5YRyFjmDHMmOS0c7o5Yxz9jkTHNOOXtic45jpxJ4lVHO54Fccx45ixznjlanFeOQfmS45PRzvjk3HPe8MscikmqxzZSk-diOObbsrsphxyNHDHHPqOTMcqY5cRy4TklvSw2bscpE5dxzpjkXHOROXMczE5Axz7jlDHIJOdict45uJyvjlnHKeOficmKuIxzPjlAnIpOT8cqk5wJzCTm3HOJOSicnE5WJy2Tn6IDBOWuDCE5zQzILLQnPROX5DJfItRydjknHMZOfSckE5qJzyjmVZGufFGaUY5RJzqTkoTHlOSyc645zJzfjm7pIXHvYc2k5DxzE6HrGIHhBxaHpkcR8pMzqnNVqP8cw7sgJydTmzDPcsXFnPZA3JzDYi8nIJcVCc+E5MJyhTkAGAFOUm9DE57JzWTl4nOFOe6c+D6rpyATlknLpOW2Amk5ZpzWpjKnJNOcCszFqoZzKTlenMVOVLjVzYBpzC4biK2NOeKcl45sZzSTkcnJ9OZmcoxZeDiUKa2nKAISsc2tGhRy3o5+nOp+rCc305zpzBTmInLjOUyckk5Sj0yzkm7IrOTmc1U59ZzzTlHexjOQyc2s5Epy1TlpnJhVARswM5WZzyTkhnP+zvqclU5-pyUzkx7T9mBGcvs5WtEwzkbdVDkR2ZUE5+fl98ho2nMOdCGSw5axyKBIWnIVOXWczk5g5zvTnDnL+ORmcg85rZz9zntnKHOcGc485XZyWzl7nOzOaecu85R5y5zknnIvOYec3eM+RzizlbnOsOd-rCKZZi8uqEinIROTD1Ts5kpzuznpnJvOQ+cns5bZzwznanN3OZBc885l8DZzmmnJfOdBc+c5DZIZzlpzKLOdcnEs50dUGV7HzL-OfVEAC5LpzxyCRnMZqKhcuw06FzbzlwXPvOa+cs851FyULnIXNjFhBcsC5IFzKLnMXN7OaBc685LFzNDmBuAdOcHMoo5P5y8LmnDX-OY2c3CgMpzxzlUXKfOUhc8C5NFzHzlXnOfOdJc+i5ClzGLkyXIkuXJcqS5LFymLmcXPYuYn0l3SvFysZnrHO-1qLsc243CNfvimXNJ2EEEQi51ZyR4mAHgouZpc+S5GlyVLlsXKgudOcmC54lynLnwXOUuYpchy5XlztLl2XPUudpc7i589Q9LnUbOpIrhcq7pkUyCLkiXJkgGJcki5KniPLloXNcubFclCgklynoRkXOAub5cxy5pH0fLnOXISuWlcpU5iVzCzngnM-OZCc-D0YVzxTGTQMiuVWcj05AZzMrn2XIyudlc+K55FyCrkcXLquTlcpq5eVzlRF+XNSuQxc3K5PVz2rkZnPYcOaoqSgdXiLDncq2wuVQlLU5HVzNsS2XNquf5ckk5gVyrk5pdQEaQuoj45U1zktZonOqucRcxC53VybzkLXNWvkekZa5qLDVrl9XNe0FFcnZWNVyGrnZnL2uZuckq5oVygzmrpEsuZtcoC5+VzXjnXXLGuV+c-i5l5yHrlnXPeAfyUba5pFyBrkljR5OcVcvk5d1yvrlbHKquf6cv65LVy5rmcnLeuXRfca59ECdzmVXI2uVDc6y5k1zAbmWUPKhCNcjc571zbrkGXPBuW5crS5bVz0rkk3JeuSdc8m5SlzerlU3P6uTTc0m5cNzajquyw+yffYNGZd2V6uDM3INWbrAj85WFyPrmrEycORTc465dNzKbneXJcuWtc1cMM1zLrkpXOq2UTc1q5DNz3D7Y3KEen1soqZdS5BlAc3LmVNzcpa5iNzCU7I3KSuRLc0W5AtzprnNXNYucTcxq59Ny6LmzPw8fGbc5kYr2TmC5q3NB6SrchW5sahObmEnw1uQWzLW5bXgMblC3MFuSLc6m5PtykToGA3l2ADdYpwsFz3Lnm3M50ZbcraButyjbk23Ndinbc8CUN1zQbnCjh+uRUc2U54tyjbldXIBubtcoG59pyQbmOnP5OZDc8s5F1z9ble3KWbh3k125u7h3bnAS2TuZVkGqMnty-bmlpXdJhoc9ho7a8x8Bx3OUdOXcg65ldzabn13OFufVc4u5Pdzvbl93N9uUPc7u5I9z915TLCtufMvaYObdyuGkfTPJ0DPcyniHdzNEZd3MnuZack25YdzR7lk3MHuVvcw25Yty00x63PDuRPc3u581zGblBxQXufUM8v+qtzFbmfZLjbEvcq1QK9zj7mm3MfuRvc1e5IdzJ7YUuif2VpJHtpAWpFxmv3JluZixRuK49zvLh-3Oi9NPc6+5LNzcbkI3N5uZ1Y6u5zZyM7lxXJfuc-c6252dyeLm53L4uaWcgu5TZyi7nD3J3uZ-Xe-Y8NyNBEP3KS0LA87B5m9yn7kPPjWaoNc5u5YhiKCDn3K5uZ-uDi+19BVGQ+cjAeU7c3sKCdy87n0PMZHuzc8B5ztz1HTBXJZGXhaOTqNW5WHkxVD4eUm2AR5wfSfZnPvx4eWw8gwYHDz0HkX9Om8TpSUR5xFx2Hl43MTuZEzUDhrdzeHnqPKgefjcrR5xedVHk+cHEeapOSR59-TEvRETJbubQ83R58jyNHmcPJduUY8225tjyA3gKPP0uYY87h5V9y5HmuPPseYo8oR5yjyRHnOPO8ecHYNx5IVzHHmePMduWI8vR5hDzoHn+PNKHsY8m1QPjz9HmaPKMzjI8rx5UTy7HnJPIceR48o+2pOyv4zaHMIGtXsl1MTUQDDn3CCMOQRgZvZhl1HqmMzHXOeoaUJ5gjykbn3XLfubLcxB529zyHm73INuXKc9O5s1ydrkD3I6eSXcrp5e9ybLndPMluWpc3p5Y9ykHljPMzuX08wZ5nTy07lDPLruRM8tp5V1yUHlBXLQee483LCj1y0bmfzmYKKjcwu5W1yYbnjPNwebs86U5cDyennTPKWef08mZ58zy5nn73JGef3cy55szyBnmCZRAef9chB5KVyLnnHPLueQs8-m5Jdy7TmoPJ5uQY8zZ5JDyDnlunMweaJcs55ozzvrngvOiuZC8h55Xzzhnk-PJ1uW885K5Uzz3nlovNReWvc-UGyzyPnnovKxebDc1p5VzzHnk3PL+eYVc4G5gLyUnkryxBec9c4h5MLzzrmgvPgeZi8iG5ezysHkMvPOeXi85p5BLzcXlMvP-uUc89p5TzzrnnfPNued7DV55hzzPnn8vJJeYK8xF5wrzFnk73P+eWs8il52TzvzmE3KjuUi8pp5vLzxXmEvIFecS8oV5zzzdXlSvNleRK8-V5OrzpXl6vNNeQa8355FrzkXlivI5eRq8215qryZXmWvICuas8xa5btzYnmNPJVeSi8g+5ZDytXmSvJNeYa8315xryEXkBvO5ed680V5xtyWnmhvPueTg8o155rz-XlOvODeQm82N5IbyMXkUXIIeeY81-BfNzrXkRvK5eam86N5Pryo3lqvM9eTa8nl5DryzXkpvPxeXy8wN5cbzE3nZvMZeWG8yZ5lbzNXmFvMdedm8qh5tnFmHmjXKyeX48j15b5ym3n2vK9efm88N59byh3mNvM5eVW8lt55byk3nVvIreeO85t575yHHIZvP1qRNckHZs8iN+531i2efs8ml5RLza3nqvMjOTs8oN5ybzCA4jvKLeSHnGN5M7zp3nIPN97Eu87OZ1PtQdkXAQ3edS8g95nJhaVyzvN5ec+8t95+7za7mXvLGeR+8n95-bzS3lkvJzuYq8nt52tyqMy3fDoRo98SD50HzuYSbvNZedu8w-Sw7yenlIkiQ+Qwku15gHzDnl-vLreey8jD5OlzaeI3vJWuTu8o952HyoXlzvIHeSW8ht5OLy83mnvNouZO8q15e7zB3mvXJdeftc5e57rywPnFvJzeRO86j5rbyGPkUfNHeVR8gD5lHyiPkXvJI+fC84j5vHy8PlZQwI+Udc4T5dHz43mifPPeXJ83d5HHyT3k8fJU+Th8oT52rzlPl9vLyOeTg2wgONy6nm+PI2eZ9cnT56HzNPl+vJPude89Z5YTztzkSfIbOXS8365CHyLPly3LvuS94Sl5Wby7PnhNDg+RC80h54bz03nWfIaeex80z5Flyn3mp3MPeSs8qz5IHzjPkefPU+aR8sz50dzmPn1PKkeR7c-95ZHzcPmqfKzuZF8zW5bHyUvkKfILedx8zL5FB5V2QGfNv5El8ix5QXzaPkFfPo+bF8sT5InzPPlxfLLedV84L5vOkEnkNGBKmWzc9J5ajzDDyufN36O58nC59XzavlKfPE+TV8xT5VXz5PkDfNG+QS-VemvEg6Hm+7MmorI8jJ5BhYevlPUD6+Su8vL5qHzBvljfO0+ZV8wT5-HzZPlbfLlua0RBb5XXz2vkO3OK+S489u5i7yAvnJfIKKet8sd58XyaPmyXN2+Y981S5z3y1PnNfKKBkE8xb5rNyzvkzfIu+bfcq75UXybPnKvI++Zx8+d5b3yp3l3fIE+Wl88z54XyhvkRfKO+Z18kx5ZGzL7mRPJO+Zd8jkm0nySB7Q-Ie+e98nb5MPy9vlafOG+aD8jL5TXz8fkoEVa+fswU751jzUqCzfJyecyUrH5chUofn7fIh+WT8p75BPyXvmh3Ph+dz8qe5X3z0fmz3I6+Wj85H53XyGHmt1wCybU8gJUlPyygap-EZ+SL8iJ553zgnlTGll+Ut8px5sdz-vmytGV+Rj85w+SPzEnkhPKM+cD84vZqvymbnq-Jl+dd88r5tQztHk2PMV+Rr8s35mbylHnxPL5+cL8pJ5MTygXmG-Pl+X98635pvygfmBfIt+Ub8s+5Jvy5KSa-IB+e78nR5nvzA-m2-OXeZY8gJ5Xf4pflK3K9+dl813509TLfm0-ID+fpaIP5i9y-fknlzp+RI8iP5zksrHk0PJT+WH8tP5ufz9Y7CPMk+bziHQ5Alg9DklPLmjGU84GexhyujKmHLwDn9lZYERm0vLreKSb3iwWRwAD2RW-mI1CMfJATNNEyshDgARtCm2B2Ia8C0bl5NTj6GtIHoQAKpYtQRSCyqm3Uv0AGmAhQAYdJCGHlEP4gSyg0XA+IKmiBusMEeKIMoc89-k4fGU3He00ZA9qBUAK2vB5QND2E7euqlv2BX-P5alryPtQf04GfFXSku6JipYsgIpA7-niuHjADRMrvBLw8zRy6nDvaQIQ5QMOVoA+juuD8QEYNfLqJFASNa5iDy8GrwQ1QIgMaYAiQAkcEbxOmA26k8-EotICIDP80ZAhIgGkRJkE-+dyjGtAJTBGpglEGtWY9kHlAG-yNOqY+CQBYscQGgnEAmZYKRn0GPbObqQB2yWHhPLn8QLv83vsrHdy5DhYnehq4QW+8hlpq5yb+Dy3vbU8GQI2BdVkaBKXwMkM0EEu6gV+pHqDIGkQCtE8qALiYbiCgxAKf8ksAwazSfGf+LQBR34jAF0-yXMA1IEIQNEcWwgdfyXUhbGAc0AtcjwGuhzinnjtFKeVFKRvZFTyTDmgPWkfqG9OwQ8IDyej7Ozr6BFOLxg3uVaxShgI6AFNRCjqnujhqBRhHg1g6I-FEmDAInw77J7FEEC0gJR7TQgXkUwDTDcCJ1MBkh1DRJAqiBUQcxA5mQLoDmZgGY+WkCt90RBzzajFTCKBeLYV3IeQKqwqDZDitJUCs3wclRcgUDamSBaY83x0O1wmgVZAvbeRZcmIF+tBSIFuAOI8mUChlMnIIegVPyiIOStsMsUwwK4wC1AuUfPUCt54xQLoDmFApKBXU0foFprl8mDNAuyBcsCva58wKIYaLApmBdMCrYFrQKZLjtAq90dOoLoFp-TIKkTAqVxGsClIFn3BMnKXAs2ELogVYFdQL0gUgRCWBUPsloFYwKKMYnAoqBdcCj4F0BzRtmlAruBfkCh4FWQKngUrArBYAtcgIRcw15PHxApe3viiM4FDQLRLLQgsmBZ8CofZnwLbgXjAvuBYsChEFtIAkQUvAvJIG8Cog51QK8QXQHOdAFiClzgOIKHgWbAqH2ZsCnYFGFzlkox+gKebuWCQA7rgjxTGmCb8fX8hwFjfy0sk8GMI6l28l35q3ze3nk-Ma+eN8kb5+XzWfkCgpJ+Rp8wn5zny6vmCgo2+ZN8jn5ePz2fm4-Mh+RN8oUFsoLCvmA-IT+TyC7hmT7zU-TefNhefqtPj5e9ydQX0vK++tKC5UFCoK2fmvfJVBeaCrn5B3zJQWigoa+Yx8uUFxIZ7vnLnKpBeS89UFSryqXkOfIqOdqCrUFZoKdXmGgsc+ZUcln5loKRQV8godBYqCqUFzoLwwVWgvXuTz84UF23z9tomgu74a6C4D57oLQPk6U19BSF8r0FNdy-QVfPIDBRUcvNUNbziflhgv1BY6C60F8YLiwXygv5BQmCi0FuYLKwW1gsjOUsyCUFDfd5XmuvIruTl8275SoKkwVRgtLBRGCu0Fm3yKwW2gpLBWD88j5I4L0vligs5+bGCm0FcYKQwU1gvLBbOClz5aoK3XmJ-P6+ZGCnH51YL6wXzgrrBUOCqsF0YLQwW7gt7BTGCyN504KTwWDgpnBduC88FG4KIvnLfKRBBqC3L5XYKewVjgth+UWCncFDYK9wVzgqnBWeC08FC4LXwVbgqvBZeC98Fm4LPwU-goAhU3cjt5nILIHncgo9BTF8-sFMoKLwXfgvghV+CpCFIEKEIX-gtQhUB8gF5aYLovmrgpYkcZTXIuKNzTnm+fMfBaT8-cFb4LDwWkQtPcY2C13JNINuwXrgowhQq8rCFBvyYIXoGOcOsyHAiFdRynPlw-PQheRCj8Fx4LK3nRnNpxnzJWiFwYLcnlFXO9+Td8g7e44MqwbSEPs+Sy8nz5bLz7QU8QqAhXxClCF-ELmPmwDyEhcRCicFmNybwWzlLt+Wt8h8FdEKlIW-guAhYhC1SF5kKzIWWQrQhchC0SFboLlwV3gs7BWuCkSF1kKLIUuQqshYBCkyFKkL3IXGQtAheX8sSFjEKffmOQtghaaCtyFoUKPIW+QpIhbxC3N5NkKwoU+QoXeQjE-T5nbzIIXp-NKuYZC5yF4UL4oWLxxShWDc4KFp1zswVwvLgha2Clj599yOwUhQqlORxCrD5Enz-PniQvN+UFC4cFskLCIUKQoHBbp8zH5JfyZPlE-M8hdFC1yF9EK2wWd3NKhcJCjqFvkLqoUBQokhQNC5sF3EK+FYkFmK+UlCwz53bzsIUGQqchYNCiaFkULlIVdQu8hU+C8UFXEKpvmx-Jvucrcmn5aOp+fkZ-NahTVC-SFvIKDwUbQsnBV5C2KFF0KywWmQuuhStChH5Dz9jvlO-J++ftC2iQqfz6fm9DOyhQTc3KFWkLFIU3Qr7BfVC7SFgMLzoUPQqveYj8oX5uvyBfm-fND+d984P5WUK2oXY-PShXFCmKFGULUYUowu6hRjCin5jvyoYV7QoL+QdCl6F8MKGfmIwqZ+WlCpaF6MKAYVHgrWhfdC4GFVMKuPnbQpxhW1816F+ML3oVF-M+hd-Bb6FtnzFoXjQophWDC5aFtMKKIV3QrRheh4-Exz0LcYUX3LnuWLCpmFRMKvoUkwvFQsz88mFmMLKYWCwquhcLC9aFfMKGYVq-LZhak8x2WOvzpYVHQo1Qow825QEEK5jQ7QogeTb8k6FkfzpHnJ-IJheLC8P5lsK8-nR-IRaGbCmEFuly5YUq-JD+Vb8uGFFsKRoW1Qr4VkMUF2F0TzOYWpPJthazC72F8fz7IXQQvt+TfvQOFmTyoIXpgtmBdr8yGF+sKI4XtgpXBXE8mOFjMKqfl6-LmhUxC6OF8KiPfnhwvthb7C06F1sLM-kLTWz+WY892FWvzdYXJwuzhUr86uF8MKA4VZwul+cXCyOFCcLJPmo-IV+UXC4v5DsLS-nR-PhuQc9WkFRrjcoDQ+JfKHJwewF5sBHAVHNHl5hL8vrsZXzS4X3gu5hVtCpWFGsLV4UCwqihfTC9eF-0K14Xqwo3hatCreFe8Kd4X7ws6hYfCoqFC8KrYUZgvyhXqCsF5ckLdQU1nOVhXmCp95hYLP3lqwpphcfCj+FzULeXkofL+hV-C9+Ff8K34UIBHPhfr8wKFouhMwXlQtFOQ-C3eFWYK74VGgqDBYrCo+FACKsYX-wsKhdtcn+FRkLH4UHwvB+dvCpBFXJyeoXFQrc+VHCoXZ4CLKzmwIsDBS-C1L57ELIEXGgt-hagi5BFgCL6EWMIs4+egi5GFmCLT4XYIsQRXQivBFKYLMIXtwvmhUsjUL5VCLALmVQuXhfmC5CJKCKyoVMIugRQwithFKVyWEUIIokRWNCleFnCLDJn4IovhdnMsRFBUKwEXXwqahVwihqFFUKKEUKwp5hTgivRFJ8KIoXIfOohawi6RFUiKzEX8wtDqcNCvhFecLiEU6Is4hZoioiFGCL9EXUIvgRcYilRFSiKXwXmIs-hRgpPxFr8KbEWBIskRdwiyaF1DymiJzwvDHOoiwj5CiKZEXWItkRXYi3BFSSK0kW2It5hRkilqFCMK+4XtQtRboJc9T2MCLGoWcQoIKN4i5RFiiLaEXhIvSRWEi4JFlCLgEW5wtARWwjcaBiH8-9ZCIqIuSUikJFySLMkU1IsqRbUioxF5SKZEUOIrThQ5CySFzoEikUVQrC+f4ilJFpiKekUeIqyRb4i3pFj4KhkV9QvThWdC7mpBSKJTHjIq8RZMi+rwZSKpkXdItSRfMiipFcyLZkWsIuWRax81ZFFXzMqi-nKEuW0iqy5IiLfoUnIsORacihJFoSLnkXvIq4RecikqFlyKl4VsUTGRRAi4RFOyK6kWJIqORSCil5FPiLjkVWItBRWBCvkcw1yZoWlfJARaNCxZFTyLPkWJfMRRX7CpRFbiLdEXhIq+RYQijuFmKLBEXXQtxRb18ohFayK-wUAovaRQ8i4cFxKKVvmkoquRWRC2+FxSLi1SdIppRbeCulFvyKgYVR6BIRV0i7JFxMLckVIwteRYyiiqF37y23nAgvM3NNCk2FCKKGkVIopRRVUi6FFPKKFkWyor6RVVC0+5WfyPoU6wvm+XrC+uFBsK+UUlwsvhXVC0GF8qLqkUfIrlReCigMRc2U-Pmqoorheqi9SZtcLu4WHQp8ErpCw65AqKIUVgopNRcqi5eF+yLx3nS3KJRVaiy2RnzRW4VzfJpKlLC7VFjqKlwXDIvZRQaihlFxqKZkXuouRRVCi1kxhiKVUXy3PtRYTCvGFOBtYYUOoq4eTkivVFt7zOkUxotNRXGipVF8aLvTFJoo4+THc4352sLbUWaorrhYGi9mFbsL+UWkws9Rfmio1FraKzUVeot5eT6iwZFfqKJsFhwqzRUGigHZIaK60UhwvDRSsikZFHqLHkUJoqLRVOi2NFh9zgHlLIp7RYPTW2FKcLdYF2osLhf2inJ5w5IjYXi-L1Ziw8luFcfy24URoo7hfn8jNFXsKN0U5-MbRXL8gZYscLnfnBwrd+UnC1NFdsLe4W5ov7hQ78rWFPcL+HmNwp1RTWix9FK6Ln0WOItARWX852F+6LdoWpwrHRZGizuFksKtUXDoqrhZeij2F16KQMXmwrAxRcikZFJ6LX06ka3PRbBil9F+VcgMWatBvRTnC+OF-CKy4WewsL+R+ii9F2GLGla4YvrqTn-ZdFoaLD0XgYuPRWXDdDFDw1MMXigTvRUn8tl4yK0MZxqBDHhe6YCeFEjcG-nwnQASKizFv5wZA2-l6vHfUXOkxmC3fyd2QckCM2v385ZSg-yByDD-PLaBzMdDo2gLpelT-JL3LP8l0s8-zcnCL-MMAG6xRTA2+UAaCoAU3+aPCuXpzrsgiz7-J4CeEMy7anAgy2r+oAegOf8laAl-zwk6oOmjwPgCxFWD-ylAX+7Gf+f86V-5CXJeolcAqSWd-89apTMt--lGtUABXsVHWwu1ZQAX8TAgBWe0VZUorCi1nXbK0xXnFRAFajAFAW9eF8xS1BSf5ymg9AXIsGPUrgClhIXmKNmqEArqlF7IUgFH-y7hDP2ADxLDpNZAECMd2R0Att-gwCpqp8651AA-ZDb+GwC5+wHAKPkhlYqnADwC7RIfAK0WICAvbFEICz7I58NRAXytlLkIOAtzEaAKZAU39TkBWAdB2YJq46VYqAt9GWf8xNABVStAXzJzSxQVi7TFBgLwMLGAtr7I9QMwFFRALAWYzwsxco4DPxPycB2aCYsyhsJir3eLgKtVBuAoCcB4CxcSsFt9pS+Ao0DP4CmTEgQK6MmxAs6BUSwgHpF6Q-UHXulRBZBZPYFqSZYkZLgRxqccCyHFfXY4QX-5BGBdAcoYFowLKYjI4oqBejitHFuOLkQWvAsRxc64VHFQ+yccX44uxBYTi5YQxOLaQCk4rFRQRc6HFw3UElkg4qRmcOlEkFqQLfgXlAsGBbjiknFeOKiQVMiFZxRcC-EFQ+z8QVk4uJBRTiuP4UwLyQXbAt5xR0wfnFxlwqgUEgoVxZSCgAw9OKiwkdNXhxSzisXFPeEscWc4u5xbri6nFfkLhaYE4r+BYsCnHFeuKylAi4r5xZrixoFZIL2DlS4sxxezi3oFDwLTcX64u5xUripR6KuLwQXFhIoQdri6EMPuLFgWC4tpAMLi6XFwUBZcVE4oDxVXkxXFweLIsBW4qMOFTi6Shj90o8V-lBjxXhaeXFQuLI8UbYUuxfW1KwFR2JkWkDszr+ZPC7GAJhyZyjqSnb2W88aQ5a+ykVRBFHkORfUBfZWwKhpScHLqeGAczLUEByIwxuCnQOQnEM-ZQ+IxDnKHOaSRfsmwU6+yUkiNFC32SnIZPFyMdeDk+cBAqkfs5wQQhy59kiHK6sBfswOYKfZr9mCXVzzoomcTIOQJICTkeGyspIc-VC3eL-kkMHLIeOIc4cAFgLx8XYqFv8EAc8VqM+KyjjN4tUOelEdVYLuKzohbZlpAPAc00EtuL68Wv7JQOd-stg5tzQjQQ14oJUCfiqVQ++zvGlIcPdaaElE2GcuKmuShVFIOT-iya4FBzxoDV4o7DvnSPfFkxSD8WyBF-xR2HXKgYhyptgz7P5IS+E4VoBuLCW6bWCAJQc41JZFdTL8Un7NnxQoc7-Fh+LsCUSHI4Oa-s0loTeKAtQt4s++NQcnAlh+Ke8WPPnbxd40FiISuKiJmVYJxGC48XIAIQyfhj80m7+VWwU28zxdb3ii2C3QAAAXRIAAAAWTgADAAAAAhgAAExUJaoS3AAoAAwAAqEqgACoSlAAAABPVgAvABmQBWoFjgOwASBAouBlgDcyEsJdYAFmA9UBxIAiABZgPYSuT4A4BJ8x0IBZgHTAXQQ84SiYCNAH4APoAKoAFhKBiCqAH0AFoACIAEQBOAARADbgFwAEIAvABa16cAGjACEAYYAOsAIqmiAHpBUQARoA9hK6cADgAogPEAS0A4kBYgB2EtEAKqWbgAXhLJABVACiJRUSzIlGgAuADyAAa8HYQfYAA4B8iXVwEmeAqoVHA22hOABvAEyJd1ADQMLMAIqDuUH0AMSRKolkoB5AD02FOQMqQMyAloBsiUBEvwAKsAbZ422gNgCWgEXAJ2QMYlARLdkBlEvGJcz8bbQtwA6gTLoE8AI0AaQAsCAk7BFEsSJS5ARwAIrxGgAWAAEAPIAchwWSBOADXYFsAEkAB4lygBRADHQH+gFwAUcZF0A24A+YC4APYSzgA1wQWYAhACLINUS92A+wBQiWQLGvQHcAchwId5riW4gEygJwAIolbqAOhA7EsyJVxgKYlJ4QiwBHEoBGmlAFmA+QAAiUAktEALoIfoALhKGgAREp2VnKAMwAlhLrchzEs2JWEAFIlsEAJYB-eCUAJYSpOZLMAqSW1EuH+acSpAgogARiWm4HkABkSm1oEgAqhA1zEdgBES9oA84SriVVXVGQLYAMdQzkRdwAtAElAKES0aAloAjiXsAGZACkwFmAEJLMwAskuxJRXQEIAAgBMwC4cHpJfYSyiAyxLJgDTErRJRiAcUIRYAAiVhMA5ACzAdoAIJKuiUfYEdJSUSo4lLJLjgDMgBBJbwAUIlZxLRGA6wCcQCKAREl8hLwACoABgABgAAAAZhgAAAAxpoSuAAAAAVAAAFgAAVwoAAAAIzoACgADAAsABcAAgAAEAAAAMVpgHKAAAAgl0SgAAojEAQslYAAPhoKAAAAELlkpLJQWShQAJZK6yX4ADrJQWShMAl0BS4BgAHLJbwAcslnABiADgAGgAPAAWAAAAAJFQlaAAkyV5kvbJQWS9gAdZLOAALkqMoAWSm4l7AAjsCFkuMAEUAAmAA5KJAC8AA7JewAAQApAA6yVZwDbJXMSywABZK5yWVkow0LTALQAJZLeQAlkvCJUIAMAANZKs4BDksgALAABAAMABkADoACwAFAAGclIAAAAC+JAAAADKqhKYAApkrQALgABQAAFKgAA&quot;,&quot;cType&quot;:4,&quot;size&quot;:435074}"/>
    <we:property name="fileInfo" value="{&quot;webURL&quot;:null,&quot;golocalReferenceFileWebURL&quot;:&quot;https://csgsystems.sharepoint.com/teams/Optus/_layouts/15/Doc.aspx?sourcedoc=%7B386F8106-CE85-4F03-A861-0B5D20F03366%7D&amp;file=BoSS%20Proposal_Phase1%20-%20SET_v0.3.xlsm&amp;action=default&amp;mobileredirect=true&quot;,&quot;usesGolocalEndPoint&quot;:true}"/>
    <we:property name="imageCacheV2" value="&quot;data:image/png;base64,iVBORw0KGgoAAAANSUhEUgAAAeAAAACWCAYAAAAG2Fv9AAAAAXNSR0IArs4c6QAAG8NJREFUeF7tnXt8FdW1x1dISEjkZUGUD+Wh8hSfiFoVERGtr3rroyLIQ0XkESrvSG6Ul6VEFAQUsFWqVdT67L1VrhGp3lapcNXygY+tCMjl1QaC8pBAAiTmftZw93SfYc45OefM3rNn5pe/IDNnr7W/a8/+zt4zSbKIiPpN/KhXThbl8L/xBQIgAAIgAAIgoI5ATR3VrJx7xcdZLN/8nOyVbVsVVKkLh5ZBAARAAARAAASYwI6Kw/lVNbX9sq6b9FGfM1o3+f2iCec1BxoQAAEQAAEQAAG1BArnrdu/pfzgLRCwWs5oHQRAAARAAARiCEDAGBAgAAIgAAIg4AMBCNgH6AgJAiAAAiAAAhAwxgAIgAAIgAAI+EAAAvYBOkKCAAiAAAiAAASMMQACIAACIAACPhCAgH2AjpAgAAIgAAIgAAFjDIAACIAACICADwQgYB+gIyQIgAAIgAAIQMAYA0oIrP/6AB2qqqHaun813619EyWx0CgI6CKQ0yCLmjVuqCsc4oScAAQc8gL71b0fT1xFeQ0bEFGWlcKRY7U0dWhXv9JBXBDwhMCh6lq65KyTIWFPaKIRCBhjQAkBFrDz6+WpFymJhUZBQBeBDdsOUtcOTahF01xdIREnxAQg4BAX18+uQcB+0kdsVQQgYFVko9kuBBzNuivvNQSsHDEC+EAAAvYBeohDQsAhLq6fXYOA/aSP2KoIQMCqyEazXQg4mnVX3msIWDliBPCBAATsA/QQh4SAQ1xcP7sGAftJH7FVEYCAVZGNZrsQcDTrrrzXELByxAjgAwEI2AfoIQ4JAYe4uH52DQL2kz5iqyIAAasiG812IeBo1l15ryFg5YgRwAcCELAP0EMcEgIOcXH97JoKAa9evYpuuq4vPbP0Rbrltjv87B5iR5QABBzRwivqNgSsCGzUm01XwNu2baWrr/wR7d+/z0ZYNOUhKpryMPktYLfcOMnc3Fx6590PqMeF+E1fYR/3EHDYK6y3fxCwXt6RiZapgO8fWWhJd2pJET3/3LO0dv1X1KLlKUbwq6mpoaGD7qDy8n/S8rIPKD+/wIi8kIR6AhCwesZRigABR6naGvuqQsCbNm+M2YI+Ul1Nl/Q8m3bu3GH17NzzLrCEWFFRQddf25sKx4ynaQ9PsY7dcOPN9MJLr1v/fmnZ8zR2zAjr32J1Ha8tN7nGE7BYoQvMom1x/ntly61D8ha6M5ex4ya79onz4BV4on7Fi6+x7KEPBQGHvsRaOwgBa8UdnWCZCrg+W9C7d+2ips2aWitQeXu6R8+LrW3sdu07WEJ+683XaPKEn1vbxEePHbUl/pN/u5VGj7yXZpfOpZqaWte23J41uwlYbE+LlbsQK8v2cNVhKi6acMIqXs5Z5PLAuEl05pkdT+gT5yFiuPWLdwe4z27x8bzcu+sOAvaOJVoigoAxCpQQyFTAQiSypFq3aZNwBSxWl0LAbm2s/etnrlvazhWwc6UqQ3ITMAtXSJ6fBctC7t2nr5W3s0237fVEeTglL7NhyceLz1v5+PKGAATsDUe0cpwABIyRoISAVwJ2E5nYwpUFJm9PpyPgeG3VdwWcSMAsQHkbWmxNuwk4UR4QsJKhmlKjEHBKuHByEgIQMIaIEgJeCTjRCliWVVnZcuu5Lss5kYB5pSjOY7k+Onsm3Td8FC144jF7ZSy3VV8BO9/QloW8edNG6tipM3Xvfo71fJefVfPzaHmbWuSyZcvX9O7yt63tamceiQTs3B1w3hAoKXIEG4WAI1h0hV2GgBXCjXLTmQq4Ps+A5R8L6tS5C+2pqKDH5i5MKGAWHYt78aIFVnnEajReW/UVMLclv1AlbzfL28oFBSfFPAt25tJ/wGD7x7DkPsnPgN221vl4vPhRHode9x0C9ppotNuDgKNdf2W9T1fAyhJCwyDgAQEI2AOIaMImAAFjMCghAAErwYpGfSYAAftcgJCFh4BDVlBTugMBm1IJ5OElAQjYS5poCwLGGFBCAAJWghWN+kwAAva5ACELDwGHrKCmdAcCNqUSyMNLAhCwlzTRFgSMMaCEAASsBCsa9ZkABOxzAUIWHgIOWUFN6Q4EbEolkIeXBCBgL2miLQgYY0AJgXQFzL8xaua0YlqzepWd12WX96ZpM0vt//96yULrLxHJ30u3ExyvdNY0uv2OgdS1W/d0m8HnIkIAAo5IoTV1EwLWBDpqYTIRsCxEIeRvv/2G5i1YQnl5jTxFCQF7ijP0jUHAoS+x1g5CwFpxRyeYVwJmYkePHKFhd99Jw4aPpj59r6Gyd9+mPRW7acBdd1urV/5rSCveW06DhtxLg4feZx1/4vHZFmzn6vmLL9bRxLGjXAvRsVMXW/LO84pLZlixhbCdMaNT2Wj3FAKOdv297j0E7DVRtGcR8FLA3B5vO+cXFNiCFQLm7ers7Gx7O5q3phfMK6UZv5hjrZb5c527dLPkySIfMXwwPVg8zd5udlsBcxvjH7ifps981DpP/j9L2hkTJY8OAQg4OrXW0VMIWAflCMZQIWAhUucKWH5+K69+BXaxMuZV7ZKn5sdsZbsJmM9787VXTnjuzDcAYtWNZ8YRHNREBAFHs+6qeg0BqyIb8Xa9FLBz5ZpMwGs+WeX6glamAuYbgF69r8JLWxEe2xBwhIuvoOsQsAKoaNLbLWjeRl63bq29ck0kYN4unjx+NC16+jlq1vzkmFI4t5b5YDpb0HhrOrojHAKObu1V9BwCVkEVbWb0DDjZjyElEjCjl7ehc3JyaO78JfYzX7djW7dusV7aSuUlLGxBR3OQQ8DRrLuqXkPAqshGvN10t6Ajjg3dN5wABGx4gQKWHgQcsIIFJV0IOCiVQp6pEICAU6GFc5MRgICTEcLxtAhAwGlhw4cMJwABG16ggKUHAQesYEFJFwIOSqWQZyoEIOBUaOHcZAQg4GSEcDwtAhBwWtjwIcMJQMCGFyhg6UHAAStYUNKFgINSKeSZCgEIOBVaODcZAQg4GSEcT4sABJwWNnzIcAIQsOEFClh6EHDAChaUdCHgoFQKeaZCAAJOhRbOTUYAAk5GCMfTIgABp4UNHzKcAARseIEClh4EHLCCBSVdNwE/NursoKSPPEHAlcCeA0fo/E7NqUXTXBACgYwJQMAZI0QDbgRefG877Tt4jOrq6uzDN/zoNMBSQKDoiZVWq3PG91PQOpqUCWRnZ9HprU+irCxwAYHMCUDAmTNECyDgK4H+RX+w4r8652Zf80BwEACB1AhAwKnxwtkgYBwBCNi4kiAhEKgXAQi4XphwEgiYSwACNrc2yAwEEhGAgDE+QCDgBCDggBcQ6UeWAAQc2dKj42EhAAGHpZLoR9QIQMBRqzj6GzoCEHDoSooORYQABByRQqOb4SUAAYe3tuhZuAlAwOGuL3oXAQIQcASKjC6GkgAEHMqyolNRIgABR6na6GuYCEDAYaom+hJJAhBwJMuOToeAAAQcgCK++M7faPuu7wKQKVL0g8B/f7bdCtunZzs/wiNmAAi0O60pDb6pewAyjVaKEHAA6j1m9vtUse8wnde5VQCyRYq6CfDNGf9q4ranNdUdGvECQGDdxgpqdXIBPVV8TQCyjVaKEHAA6s0Cbn1KYyq579IAZIsUQQAETCIw69lPqHxPJQRsUlH+PxcI2MCiOFOCgANQJKQIAoYSgIANLQwRQcDm1sbODAIOQJGQIggYSgACNrQwELC5hZEzg4CDUSdkCQImEoCATazK8ZywAja3NlgBB6A2SBEETCcAAZtbIQjY3NpAwAGoDVIEAdMJQMDmVggCNrc2EHAAaoMUQcB0AhCwuRWCgM2tDQQcgNogRRAwnQAEbG6FIGBzawMBB6A2SBEETCcAAZtbIQjY3NpAwAGoDVIEAdMJQMDmVggCNrc2EHAAaoMUQcB0AhCwuRWCgM2tDQQcgNogRRAwnQAEbG6FIGBzawMBB6A2SBEETCcAAZtbIQjYwNrs3H2QWrdsTNnZ/DduiJy/Cau2to4q9h2yzsEXCIAACMgEyr+ppBbN8im3Ybb1bTcB8xzzw1ObAJzPBCBgnwvgFv7Pn++gecs+pasuakent2lOr6/4in7QrBH16dmW/vcfB+jDT7fTjNG9qEfXUw3MHimBAAj4SWDT9n00ds5Kuuqi9tSxbXP68H+20/7Karr9mq60vfw7a/6496fn0I1XnOlnmoiNX0Vp7hgY+vBy4gvJ7YvFi7/taW7tkBkI+E1gysI/Ed/Iu33xyveV2TfbO2x+5xrl+FgBG1p9vnj4InL7Yvli9Wto4ZAWCBhAgG/e+Sbe7Yv/rjhWvwYUCStgM4oQLwu3VTBWv2bXDNmBgCkE3FbBWP2aUp3jeWAFbFY9YrJxWwX/Zvr11PX0FgZnjdRAAARMILCt/DsaVPI28Uub4gurXxMq868cIGCz6nFCNvIquPeFban0gSsNzxjpgQAImEKA34Be/tHXVjpY/ZpSFQjYvErEyUheBf/2kRupU7uTA5M7EgUBEPCXAP+40YDiP1irYKx+/a2FW3SsgM2riesquPUpjbH6DUCtkCIImEaAV8HrNlbgzWfTCpPuM+CqY5X0p83/QQeP7KO6uu/tbl16+vUGdjH4KX26fh+d0iKPOrQpCH5nDO9Bw+w8Oq1Je8OzDH56ZV8uo8qjB+j772vszvRoeyXl5WCMe13dXXuqadO2Q3RFT7w74jVbZ3vZDbKpddMzKIuO/xKlZF9prYD3Ht5Nv1wxjGqli4cDFfZ+NFk8HAcBowl8W1VO57fuDREortL4t66LiZCdlUN3XTyJmuThEYti9GheIYH91XuoU8sLqFmj+t3spC3gR98fQUdrq2O6Mv2GlxR2DU2DgHoCm75ZS+ecdhkErBi1U8C52Y1odO9Sap5/iuLIaB4E1BHYtu/v1P7ksyBgdYjRcpgJQMB6qgsB6+GMKHoJQMB6eSNayAhAwHoKCgHr4YwoeglAwHp5I1rICEDAegoKAevhjCh6CUDAenkjWsgIQMB6CgoB6+GMKHoJQMB6eSNayAhAwHoKCgHr4YwoeglAwHp5I1rICEDAegoKAevhjCh6CUDAenkjWsgIQMB6CgoB6+GMKHoJQMB6eSNayAhAwHoKCgHr4YwoeglAwBp4r/7Larr5+lvp3T++Qxf27FHviPy5666+iZa+8Azd9rNb6v05nKiPAASsh7VJAvbyuty2dRtdeenVNLLwfpryUJEemIhiDIHACFgM+tzc3JRFlgltL+JCwJlUwOzPQsB66pOugIXg9u/fbyd6409uoJdeeyHtxOMJuLr6CPU89xI67/xz690+BJx2GULxwcAIuOTBqbThyw301YaNNGjIQG13i17ETVfAoRhhIe8EBKynwJkKWKwwl/32JRozcixNKSlKew6BgPXUPApRAiFgcWc5Y9Y0+utna+njP39MZX9cTvkF+SSO7dyx06oX332KYzU1NTTozqFUtvw96xhv5fLdL9+lup3vLHiiuHznem2f62nMuEJ6uHia9VH5zlpc6Pz9u4cNoZdf/J21cu9+dncrfr9r+9LzS1+wJwLnnTpPEAMG9be2p+YufMzegnY7b9KUCVY/y/9RbvW9YW7DmP8zJ3ypIQABq+HqbNUrAcsrznGTxsadC5ySlW+ijx096vpoKNEKWLQn+iVuAEQ+PB+sXPEB8UpdzCPi2E9vu9maK8T8NnDwAHpwYrH1f9FOonx5TnTOg3ikpWfcJosSCAE7B7/8PHXXrt3UrGlTS8bOQcgSLJpYTOs3rKWWLY//tYlE5zthJYorLo72HdpZ0nvz9bdowgOTLclyLPFcR8jxg/c/jBHw3r177bxEW0K04v+FY0fRogVLbAHHO48/V3X4sB1fSF7nTkGygRbW4xCwnsp6JWBxY8w345dfcVncucNLATu3meUcel7Uw5orEs0j8jFevQtB8+7cM08/a80rzpsCee768m9fnjAP6qkaoiQjEAgB80ATq96KioqYlxacK2Cx0uU7PPmuU7zIlOh8J6xEcZ0XlXzByjLkl67ki8FNjs67Y5HH7Xfcat0VCzHHO09eLfNWW5++vdN66SvZYMHxEwlAwHpGRaYClp8Bi1VjfeYOMW9ksgJm4Yqbc54P5LlD7HKJLXJ5HhFydjvG85vcbiIBi2Py3KinaoiSjIDxAnZ7iYI7VXBSgbWCfOKxBfTc0uetf2/euOmErSF5G5ovvIMHKxOeL4Ali3uosjLmRsALATvfdnaueBO9fSn6ydvQPXpeYG3Vi634ZIMAx9MnAAGnzy6VT2YqYLe3jPkGO97c4eUK2G8Bs/Sd8yDeuE5l9Kk713gBOwcvo5C3cFg04iIqW15mvWAhRPa7l1+jTp072s9d+VlIh9M7xD1fxpwsbqK70zZtWls3Aiz8eFvQ8vawEC1viclvZ8bbcnaeJ/KWnztn+qanuiEXrpYhYD31VC1g59whr1Kd13Cqz4DdHo25Pa5iKaa7Ak702GvTxs0nzIOZvAWup+LRiGK0gOVVnbyak4X1yzmPWCtR3mLq3KUTVezeY2/ZyltMYsUsVq5u54uSpxI33vYQ310vWrjYarJkWjE9+/RSevmNZfbNgPP5rHN7mX/cavEzT9GksUUxL2G5nSd+vlheteNnh/VcwBCwHs4qBCxfL865w7pu41zDyQQsXvDkNsR2t3xzLG8FJ3qUlcoWNK9yk805nJeYB8U7MXqqhyjxCBgt4KiXzcsf+I86S1X9h4BVkY1tN10B68kOUUAgPQIQcHrclH9K3DHjjlU56owCQMAZ4av3hyHgeqPCiQEiAAEHqFhI1TwCELCemkDAejgjil4CELBe3ogWMgIQsJ6CQsB6OCOKXgIQsF7eiBYyAhCwnoJCwHo4I4peAhCwXt7aoh05cpRGDSukeU89Ts2bN9MWN2qBIGA9FYeA9XAWUTB/6OFtvID5R4Kmlcykz9Z8TvMXz6VuZ3W1yfAguXvgMDpw4AC9/MaLgRONyr6legFxLrOml9IdA2+PYbzkyV9T+T/Laebs47/vGl+xBCBgPSMiXQGrvMb09Dx+FNG31avW2CcNuWcQDR02OOPUUp0/5IDx5pKMkwphA4EQMIuBf9fzqae2ihlcX6z/guY+Op+qqqrp6d8sCqSAVfUt1QsIF016VzcEnB63VD+ViYBVXWOp9sHr84WAr76mL/Xt14fEgmT4qGHW/zP5SnX+gIDTox0YAfe68nJ6ZslSW7RCGPL38/PzrRVxxe4Ki0ZOTo69ahYDqt+Pr6alv3rOOl4yvThm4Lp9jleAb7z6pk2Xf7PWgsXz6IOVH9LjpU9Y3+ffTCVWiCIvvmF4779WUKI7Urc+8HZxqn1zi3nnoP72FrTgIi7Md98pi8l96iMl1i6DuJMWfcxrlEd8Lv9yE9GeGz9mEI8TtxHmLwhYT3UzFXBY5w++boWAxXVYUJBPdw0dYO1oOechXrSMHT3RLpqYA/kb8rGeF19Ieyr2WI+weP6QH2c55exsUx4RYi7JzsmOmWN4XgjirqXXoz0wAr6t/y30yrJX7cHG26Lz5iyg0T8fQcWTH3ZdAfPAeGr+EkuYlJVlyZkHBMuSjxVN+HfXQSA+92DJJFr85K/oF6UzrM8PHzqCiqc+aK20OTZ/nwcSy6dLt86WzMVdaXaD7KTbtkKcmfZNDG45prhISufOsi44IV/BzZl77z69XLegZQHH48d/fELwkDnJjwu8HrimtAcB66lEpgLO9Bozdf6QBczX9gMjx9PM0unWPMfH5DlBPs7Xpvz/M848w57f+Bhf90/OX2zNj4kEzMfEvCiud7fdNJ5TX3vlzaRzop7RZE6UwAiYn03W1tTYRRTS63ZWFxo/ZrItYHl1x5jFHRhfQInu4tw+F0/AW7dstVeQopRipZvKVq58biZ9YwE7n9+K7She1ct3uc5+cv6cu7hjdj4Ddq6AxUtd8l0wBHwZ5eUUmHNVhzCTTAUc1vlD3rmSd/XqK0GeR3nFfOFFF9iLFV5UyNd3IgHv3L4j5nOcg1vsoL+vo+qSCpSAxV0a/3L0+Y8vtLZHePIXApb/zatUebWXSMDxPvfQjGIaee8Ye0tbSJal9MmqNa53c+kKOJO+xRMw33DcM3wozX5kjr3Sj5d7vLzrI2Dn1r9XL4KoGvRetosVsJc047flhYAzucZMnT+cW9CCYCoC5t27Vq1aKhWwyAsijh3jgRIwb3GIZ41ikmfJCgE778b43HVr19lb0PFWwPE+N2zEPfT3L7484a1COabzR3zSFXAmfUskYL5J+eTjT+g/33rb4rB3796YHYNEFywfq4+Amd/nn6715O1LPdO5d1EgYO9YJmrJCwFnco0lErCf80cqAk60Bc3zmNi+dtuC5sdP8jskYnuaFy/y5+KtgOXaOl8e0zOCzIwSOAG7DSJ5C1p+GYhfJMjLy6OSaVOsZ7iJtqDdPnfPfUNoXOEkqqystKsntnPlrVz5ZS83AccbcM5z0+1bMgHzxSW2mvhHFOLlLr6f6CWseFvQvFPgxsnMYe9dVhCwdyx1CDjda8zU+SMVATPfRC9hyfPCXUMGWDuIheNGW++8yJ/rP/BntPova+zfMeA2n4jHdG4vrXIe8ourekaQmVGMF7Cf2GRpicGbzosEmbzS72f/6xvbK071jWfSeRCwnmqkuwLWk517FK+ui7DPH37WyO/YEHCCCvAdoLyyS/fVeb5DzGvUKOOfzfN7sMSL7xUnU/uXKC8IWE/Vgihgr66LsM8fekaQmVEgYDPrgqwCQgAC1lOoIApYDxlECTIBCDjI1UPuvhOAgPWUAALWwxlR9BKAgPXyRrSQEYCA9RQUAtbDGVH0EoCA9fJGtJARgID1FBQC1sMZUfQSgID18ka0kBGAgPUUFALWwxlR9BKAgPXyRrSQEYCA9RQUAtbDGVH0EoCA9fJGtJARgID1FBQC1sMZUfQSgID18ka0kBGAgPUUFALWwxlR9BLQJuBZK+6lnAY5RJRl9fBoTTXdc2mJ3t4iGgh4TODwsYPUo01fys1u5HHLaE4mwALOzeG/LX18/jhWe5Ruv2A0Nc5rBlAgEFgCVTWHqFuri6lp3g/q1YfCeev2byk/eEvWdZM+6nNG6ya/XzThvObJPllTe5S27t1APFnV1dXZp3do0S3ZR3EcBIwmkN0ghxrnQgKqi7R5z3riyer772vtUD9s3pFyshuqDo32QUAZgaysrHrLl5NIS8DKskfDIAACIAACIBARAhBwRAqNboIACIAACJhFAAI2qx7IBgRAAARAICIEIOCIFBrdBAEQAAEQMIsABGxWPZANCIAACIBARAhAwBEpNLoJAiAAAiBgFgEI2Kx6IBsQAAEQAIGIEICAI1JodBMEQAAEQMAsAhCwWfVANiAAAiAAAhEhAAFHpNDoJgiAAAiAgFkEbAH3m/hRr/yc7JVtWxVUmZUisgEBEAABEACB8BHYUXE4v6qmtp/1G9FZwjlZxH9hAV8gAAIgAAIgAAIKCdTUUc3KuVd8/H9tO8WGzWmI8wAAAABJRU5ErkJggg==&quot;"/>
    <we:property name="pageID" value="&quot;13&quot;"/>
    <we:property name="tableAddress" value="&quot;'SET Review Flow'!T9:X12&quot;"/>
    <we:property name="tableName" value="&quot;Table1&quot;"/>
    <we:property name="tableValues" value="[[&quot;Employee ID&quot;,&quot;Name&quot;,&quot;Title&quot;,&quot;Manager ID&quot;,&quot;Role Type&quot;],[&quot;ID1&quot;,&quot;Bianca Toscano&quot;,&quot;Director&quot;,&quot;&quot;,&quot;Executive&quot;],[&quot;ID2&quot;,&quot;Aasa Andrejev&quot;,&quot;Manager, Marketing&quot;,&quot;ID1&quot;,&quot;Manager&quot;],[&quot;ID3&quot;,&quot;Paul Lohmus&quot;,&quot;Manager, Products&quot;,&quot;ID1&quot;,&quot;Manager&quot;]]"/>
    <we:property name="templateID" value="&quot;TM89577480&quot;"/>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1"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5.emf"/><Relationship Id="rId2"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1" Type="http://schemas.openxmlformats.org/officeDocument/2006/relationships/hyperlink" Target="https://confluence.csgicorp.com/display/GSSP/Estimation+Feedback"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rontSheet">
    <pageSetUpPr fitToPage="1"/>
  </sheetPr>
  <dimension ref="A1:H42"/>
  <sheetViews>
    <sheetView showGridLines="0" zoomScale="90" zoomScaleNormal="90" workbookViewId="0">
      <selection activeCell="B16" sqref="B16:H16"/>
    </sheetView>
  </sheetViews>
  <sheetFormatPr defaultColWidth="9.28515625" defaultRowHeight="15" x14ac:dyDescent="0.25"/>
  <cols>
    <col min="1" max="1" width="18.5703125" style="246" customWidth="1"/>
    <col min="2" max="2" width="12.5703125" style="246" customWidth="1"/>
    <col min="3" max="8" width="10.5703125" style="246" customWidth="1"/>
    <col min="9" max="16384" width="9.28515625" style="246"/>
  </cols>
  <sheetData>
    <row r="1" spans="1:8" ht="75" customHeight="1" thickBot="1" x14ac:dyDescent="0.3">
      <c r="A1" s="245"/>
      <c r="B1" s="245"/>
      <c r="C1" s="245"/>
      <c r="D1" s="245"/>
      <c r="E1" s="245"/>
      <c r="F1" s="245"/>
      <c r="G1" s="245"/>
      <c r="H1" s="245"/>
    </row>
    <row r="2" spans="1:8" ht="30" customHeight="1" thickTop="1" x14ac:dyDescent="0.25"/>
    <row r="3" spans="1:8" s="2" customFormat="1" ht="42" customHeight="1" x14ac:dyDescent="0.25">
      <c r="A3" s="650" t="s">
        <v>0</v>
      </c>
      <c r="B3" s="650"/>
      <c r="C3" s="650"/>
      <c r="D3" s="650"/>
      <c r="E3" s="650"/>
      <c r="F3" s="650"/>
      <c r="G3" s="650"/>
      <c r="H3" s="650"/>
    </row>
    <row r="4" spans="1:8" ht="30" customHeight="1" x14ac:dyDescent="0.25"/>
    <row r="5" spans="1:8" ht="27" customHeight="1" x14ac:dyDescent="0.25">
      <c r="A5" s="651" t="str">
        <f>SV_Estimation_Tool_Version</f>
        <v>Encompass Estimation Tool v4.0</v>
      </c>
      <c r="B5" s="651"/>
      <c r="C5" s="651"/>
      <c r="D5" s="651"/>
      <c r="E5" s="651"/>
      <c r="F5" s="651"/>
      <c r="G5" s="651"/>
      <c r="H5" s="651"/>
    </row>
    <row r="6" spans="1:8" x14ac:dyDescent="0.25">
      <c r="A6" s="652" t="s">
        <v>1</v>
      </c>
      <c r="B6" s="652"/>
      <c r="C6" s="652"/>
      <c r="D6" s="652"/>
      <c r="E6" s="652"/>
      <c r="F6" s="652"/>
      <c r="G6" s="652"/>
      <c r="H6" s="652"/>
    </row>
    <row r="8" spans="1:8" ht="120" customHeight="1" x14ac:dyDescent="0.25">
      <c r="A8" s="247" t="s">
        <v>2</v>
      </c>
      <c r="B8" s="645" t="s">
        <v>3</v>
      </c>
      <c r="C8" s="645"/>
      <c r="D8" s="645"/>
      <c r="E8" s="645"/>
      <c r="F8" s="645"/>
      <c r="G8" s="645"/>
      <c r="H8" s="645"/>
    </row>
    <row r="9" spans="1:8" ht="20.100000000000001" customHeight="1" x14ac:dyDescent="0.25">
      <c r="A9" s="247" t="s">
        <v>4</v>
      </c>
      <c r="B9" s="655" t="s">
        <v>5</v>
      </c>
      <c r="C9" s="655"/>
      <c r="D9" s="655"/>
      <c r="E9" s="655"/>
      <c r="F9" s="655"/>
      <c r="G9" s="655"/>
      <c r="H9" s="655"/>
    </row>
    <row r="10" spans="1:8" ht="20.100000000000001" customHeight="1" x14ac:dyDescent="0.25">
      <c r="A10" s="247" t="s">
        <v>6</v>
      </c>
      <c r="B10" s="655" t="s">
        <v>7</v>
      </c>
      <c r="C10" s="655"/>
      <c r="D10" s="655"/>
      <c r="E10" s="655"/>
      <c r="F10" s="655"/>
      <c r="G10" s="655"/>
      <c r="H10" s="655"/>
    </row>
    <row r="11" spans="1:8" ht="20.100000000000001" customHeight="1" x14ac:dyDescent="0.25">
      <c r="A11" s="247" t="s">
        <v>8</v>
      </c>
      <c r="B11" s="655" t="s">
        <v>9</v>
      </c>
      <c r="C11" s="655"/>
      <c r="D11" s="655"/>
      <c r="E11" s="655"/>
      <c r="F11" s="655"/>
      <c r="G11" s="655"/>
      <c r="H11" s="655"/>
    </row>
    <row r="12" spans="1:8" ht="20.100000000000001" customHeight="1" x14ac:dyDescent="0.25">
      <c r="A12" s="247" t="s">
        <v>10</v>
      </c>
      <c r="B12" s="656">
        <v>45805</v>
      </c>
      <c r="C12" s="656"/>
      <c r="D12" s="656"/>
      <c r="E12" s="656"/>
      <c r="F12" s="656"/>
      <c r="G12" s="656"/>
      <c r="H12" s="656"/>
    </row>
    <row r="13" spans="1:8" ht="20.100000000000001" customHeight="1" x14ac:dyDescent="0.25">
      <c r="A13" s="247" t="s">
        <v>11</v>
      </c>
      <c r="B13" s="655" t="s">
        <v>12</v>
      </c>
      <c r="C13" s="655"/>
      <c r="D13" s="655"/>
      <c r="E13" s="655"/>
      <c r="F13" s="655"/>
      <c r="G13" s="655"/>
      <c r="H13" s="655"/>
    </row>
    <row r="14" spans="1:8" ht="20.100000000000001" customHeight="1" x14ac:dyDescent="0.25">
      <c r="A14" s="247" t="s">
        <v>13</v>
      </c>
      <c r="B14" s="655" t="s">
        <v>14</v>
      </c>
      <c r="C14" s="655"/>
      <c r="D14" s="655"/>
      <c r="E14" s="556"/>
      <c r="F14" s="556"/>
      <c r="G14" s="556"/>
      <c r="H14" s="556"/>
    </row>
    <row r="15" spans="1:8" ht="20.100000000000001" customHeight="1" x14ac:dyDescent="0.25">
      <c r="A15" s="247" t="s">
        <v>15</v>
      </c>
      <c r="B15" s="655" t="s">
        <v>16</v>
      </c>
      <c r="C15" s="655"/>
      <c r="D15" s="655"/>
      <c r="E15" s="655"/>
      <c r="F15" s="655"/>
      <c r="G15" s="655"/>
      <c r="H15" s="655"/>
    </row>
    <row r="16" spans="1:8" ht="20.100000000000001" customHeight="1" x14ac:dyDescent="0.25">
      <c r="A16" s="247" t="s">
        <v>17</v>
      </c>
      <c r="B16" s="655" t="s">
        <v>18</v>
      </c>
      <c r="C16" s="655"/>
      <c r="D16" s="655"/>
      <c r="E16" s="655"/>
      <c r="F16" s="655"/>
      <c r="G16" s="655"/>
      <c r="H16" s="655"/>
    </row>
    <row r="17" spans="1:8" ht="30" customHeight="1" x14ac:dyDescent="0.25"/>
    <row r="18" spans="1:8" ht="23.25" x14ac:dyDescent="0.35">
      <c r="A18" s="653" t="s">
        <v>19</v>
      </c>
      <c r="B18" s="653"/>
      <c r="C18" s="653"/>
      <c r="D18" s="653"/>
      <c r="E18" s="653"/>
      <c r="F18" s="653"/>
      <c r="G18" s="653"/>
      <c r="H18" s="653"/>
    </row>
    <row r="20" spans="1:8" x14ac:dyDescent="0.25">
      <c r="A20" s="654" t="str">
        <f ca="1">CONCATENATE("COPYRIGHT © ", YEAR(NOW()), " CSG SYSTEMS INTERNATIONAL, INC. AND/OR ITS AFFILIATES (“CSG”). ALL RIGHTS RESERVED.")</f>
        <v>COPYRIGHT © 2025 CSG SYSTEMS INTERNATIONAL, INC. AND/OR ITS AFFILIATES (“CSG”). ALL RIGHTS RESERVED.</v>
      </c>
      <c r="B20" s="654"/>
      <c r="C20" s="654"/>
      <c r="D20" s="654"/>
      <c r="E20" s="654"/>
      <c r="F20" s="654"/>
      <c r="G20" s="654"/>
      <c r="H20" s="654"/>
    </row>
    <row r="21" spans="1:8" ht="45.75" customHeight="1" x14ac:dyDescent="0.25">
      <c r="A21" s="642" t="s">
        <v>20</v>
      </c>
      <c r="B21" s="642"/>
      <c r="C21" s="642"/>
      <c r="D21" s="642"/>
      <c r="E21" s="642"/>
      <c r="F21" s="642"/>
      <c r="G21" s="642"/>
      <c r="H21" s="642"/>
    </row>
    <row r="22" spans="1:8" ht="15" customHeight="1" x14ac:dyDescent="0.25">
      <c r="A22" s="248"/>
      <c r="B22" s="248"/>
      <c r="C22" s="248"/>
      <c r="D22" s="248"/>
      <c r="E22" s="248"/>
      <c r="F22" s="248"/>
      <c r="G22" s="248"/>
      <c r="H22" s="248"/>
    </row>
    <row r="24" spans="1:8" x14ac:dyDescent="0.25">
      <c r="H24" s="246" t="str">
        <f>Project</f>
        <v>BoSS Proposal</v>
      </c>
    </row>
    <row r="25" spans="1:8" x14ac:dyDescent="0.25">
      <c r="H25" s="566" t="str">
        <f>SV_Estimation_Tool_Version</f>
        <v>Encompass Estimation Tool v4.0</v>
      </c>
    </row>
    <row r="27" spans="1:8" ht="30" customHeight="1" x14ac:dyDescent="0.25">
      <c r="A27" s="5" t="s">
        <v>21</v>
      </c>
    </row>
    <row r="28" spans="1:8" x14ac:dyDescent="0.25">
      <c r="A28" s="249" t="s">
        <v>22</v>
      </c>
      <c r="B28" s="250"/>
      <c r="C28" s="250"/>
      <c r="D28" s="250"/>
      <c r="E28" s="250"/>
      <c r="F28" s="250"/>
      <c r="G28" s="250"/>
      <c r="H28" s="250"/>
    </row>
    <row r="29" spans="1:8" s="6" customFormat="1" ht="39" customHeight="1" x14ac:dyDescent="0.25">
      <c r="A29" s="645" t="s">
        <v>23</v>
      </c>
      <c r="B29" s="645"/>
      <c r="C29" s="645"/>
      <c r="D29" s="645"/>
      <c r="E29" s="645"/>
      <c r="F29" s="645"/>
      <c r="G29" s="645"/>
      <c r="H29" s="645"/>
    </row>
    <row r="30" spans="1:8" ht="51.75" x14ac:dyDescent="0.25">
      <c r="A30" s="251" t="s">
        <v>24</v>
      </c>
      <c r="B30" s="251" t="s">
        <v>25</v>
      </c>
      <c r="C30" s="643" t="s">
        <v>26</v>
      </c>
      <c r="D30" s="643"/>
      <c r="E30" s="251" t="s">
        <v>27</v>
      </c>
      <c r="F30" s="559" t="s">
        <v>28</v>
      </c>
      <c r="G30" s="559" t="s">
        <v>29</v>
      </c>
      <c r="H30" s="559" t="s">
        <v>30</v>
      </c>
    </row>
    <row r="31" spans="1:8" ht="15" customHeight="1" x14ac:dyDescent="0.25">
      <c r="A31" s="254">
        <v>0.1</v>
      </c>
      <c r="B31" s="255">
        <v>43466</v>
      </c>
      <c r="C31" s="644"/>
      <c r="D31" s="644"/>
      <c r="E31" s="557" t="s">
        <v>31</v>
      </c>
      <c r="F31" s="557"/>
      <c r="G31" s="557"/>
      <c r="H31" s="557"/>
    </row>
    <row r="32" spans="1:8" x14ac:dyDescent="0.25">
      <c r="A32" s="254"/>
      <c r="B32" s="255"/>
      <c r="C32" s="644"/>
      <c r="D32" s="644"/>
      <c r="E32" s="557"/>
      <c r="F32" s="557"/>
      <c r="G32" s="557"/>
      <c r="H32" s="557"/>
    </row>
    <row r="33" spans="1:8" ht="30" customHeight="1" x14ac:dyDescent="0.25"/>
    <row r="34" spans="1:8" s="7" customFormat="1" ht="20.100000000000001" customHeight="1" x14ac:dyDescent="0.25">
      <c r="A34" s="646" t="s">
        <v>32</v>
      </c>
      <c r="B34" s="646"/>
    </row>
    <row r="35" spans="1:8" x14ac:dyDescent="0.25">
      <c r="A35" s="647" t="s">
        <v>26</v>
      </c>
      <c r="B35" s="647"/>
      <c r="C35" s="647" t="s">
        <v>33</v>
      </c>
      <c r="D35" s="647"/>
      <c r="E35" s="647"/>
      <c r="F35" s="647"/>
      <c r="G35" s="647"/>
      <c r="H35" s="647"/>
    </row>
    <row r="36" spans="1:8" x14ac:dyDescent="0.25">
      <c r="A36" s="649"/>
      <c r="B36" s="649"/>
      <c r="C36" s="649"/>
      <c r="D36" s="649"/>
      <c r="E36" s="649"/>
      <c r="F36" s="649"/>
      <c r="G36" s="649"/>
      <c r="H36" s="649"/>
    </row>
    <row r="37" spans="1:8" x14ac:dyDescent="0.25">
      <c r="A37" s="649"/>
      <c r="B37" s="649"/>
      <c r="C37" s="649"/>
      <c r="D37" s="649"/>
      <c r="E37" s="649"/>
      <c r="F37" s="649"/>
      <c r="G37" s="649"/>
      <c r="H37" s="649"/>
    </row>
    <row r="38" spans="1:8" ht="30" customHeight="1" x14ac:dyDescent="0.25"/>
    <row r="39" spans="1:8" ht="20.100000000000001" customHeight="1" x14ac:dyDescent="0.25">
      <c r="A39" s="252" t="s">
        <v>34</v>
      </c>
    </row>
    <row r="40" spans="1:8" x14ac:dyDescent="0.25">
      <c r="A40" s="253" t="s">
        <v>35</v>
      </c>
      <c r="B40" s="647" t="s">
        <v>36</v>
      </c>
      <c r="C40" s="647"/>
      <c r="D40" s="647"/>
      <c r="E40" s="647"/>
      <c r="F40" s="647"/>
      <c r="G40" s="647"/>
      <c r="H40" s="647"/>
    </row>
    <row r="41" spans="1:8" x14ac:dyDescent="0.25">
      <c r="A41" s="256">
        <v>1</v>
      </c>
      <c r="B41" s="648" t="s">
        <v>37</v>
      </c>
      <c r="C41" s="648"/>
      <c r="D41" s="648"/>
      <c r="E41" s="648"/>
      <c r="F41" s="648"/>
      <c r="G41" s="648"/>
      <c r="H41" s="648"/>
    </row>
    <row r="42" spans="1:8" x14ac:dyDescent="0.25">
      <c r="A42" s="256"/>
      <c r="B42" s="649"/>
      <c r="C42" s="649"/>
      <c r="D42" s="649"/>
      <c r="E42" s="649"/>
      <c r="F42" s="649"/>
      <c r="G42" s="649"/>
      <c r="H42" s="649"/>
    </row>
  </sheetData>
  <sheetProtection sheet="1" objects="1" scenarios="1" formatCells="0" formatColumns="0" formatRows="0" insertRows="0" insertHyperlinks="0" deleteRows="0" autoFilter="0"/>
  <mergeCells count="29">
    <mergeCell ref="A3:H3"/>
    <mergeCell ref="A5:H5"/>
    <mergeCell ref="A6:H6"/>
    <mergeCell ref="A18:H18"/>
    <mergeCell ref="A20:H20"/>
    <mergeCell ref="B14:D14"/>
    <mergeCell ref="B9:H9"/>
    <mergeCell ref="B10:H10"/>
    <mergeCell ref="B11:H11"/>
    <mergeCell ref="B12:H12"/>
    <mergeCell ref="B13:H13"/>
    <mergeCell ref="B15:H15"/>
    <mergeCell ref="B8:H8"/>
    <mergeCell ref="B16:H16"/>
    <mergeCell ref="A34:B34"/>
    <mergeCell ref="B40:H40"/>
    <mergeCell ref="B41:H41"/>
    <mergeCell ref="B42:H42"/>
    <mergeCell ref="C37:H37"/>
    <mergeCell ref="A35:B35"/>
    <mergeCell ref="A36:B36"/>
    <mergeCell ref="A37:B37"/>
    <mergeCell ref="C35:H35"/>
    <mergeCell ref="C36:H36"/>
    <mergeCell ref="A21:H21"/>
    <mergeCell ref="C30:D30"/>
    <mergeCell ref="C31:D31"/>
    <mergeCell ref="C32:D32"/>
    <mergeCell ref="A29:H29"/>
  </mergeCells>
  <dataValidations count="1">
    <dataValidation type="list" allowBlank="1" showInputMessage="1" showErrorMessage="1" sqref="B14:H14" xr:uid="{00000000-0002-0000-0000-000000000000}">
      <formula1>EstimateStatusList</formula1>
    </dataValidation>
  </dataValidations>
  <hyperlinks>
    <hyperlink ref="B41" r:id="rId1" display="https://csgsystems.sharepoint.com/:b:/s/DigitalLibrary/EcvCmrfEWHREnLd1F-PpQDsB27G93KBQ5pIFcmZb8itB3Q?e=qKHGQD" xr:uid="{644A3553-8485-4CEF-BAA1-8F1796A8C5A9}"/>
    <hyperlink ref="B41:H41" r:id="rId2" display="G3134 Encompass Estimation Tool User Guide" xr:uid="{97C283D0-2553-411E-A62C-160051C2A516}"/>
  </hyperlinks>
  <pageMargins left="0.7" right="0.7" top="0.75" bottom="0.75" header="0.3" footer="0.3"/>
  <pageSetup paperSize="9" scale="84" fitToHeight="0" orientation="portrait" r:id="rId3"/>
  <rowBreaks count="1" manualBreakCount="1">
    <brk id="22" max="16383" man="1"/>
  </rowBreaks>
  <drawing r:id="rId4"/>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EE5E7-983C-44A3-B3F0-666F0293713E}">
  <sheetPr codeName="Sheet2"/>
  <dimension ref="A1"/>
  <sheetViews>
    <sheetView showGridLines="0" topLeftCell="A4"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structionsSheet">
    <pageSetUpPr fitToPage="1"/>
  </sheetPr>
  <dimension ref="A1:D102"/>
  <sheetViews>
    <sheetView showGridLines="0" zoomScaleNormal="100" workbookViewId="0">
      <selection activeCell="C5" sqref="C5"/>
    </sheetView>
  </sheetViews>
  <sheetFormatPr defaultColWidth="9.28515625" defaultRowHeight="15" x14ac:dyDescent="0.25"/>
  <cols>
    <col min="1" max="2" width="4.5703125" style="3" customWidth="1"/>
    <col min="3" max="3" width="6.5703125" style="2" customWidth="1"/>
    <col min="4" max="4" width="152" style="4" customWidth="1"/>
    <col min="5" max="16384" width="9.28515625" style="3"/>
  </cols>
  <sheetData>
    <row r="1" spans="1:4" x14ac:dyDescent="0.25">
      <c r="C1" s="3"/>
    </row>
    <row r="2" spans="1:4" ht="18.75" x14ac:dyDescent="0.25">
      <c r="A2" s="162"/>
      <c r="B2" s="159" t="s">
        <v>38</v>
      </c>
      <c r="C2" s="163"/>
      <c r="D2" s="164"/>
    </row>
    <row r="3" spans="1:4" ht="13.15" customHeight="1" x14ac:dyDescent="0.25">
      <c r="A3" s="157"/>
      <c r="B3" s="157"/>
      <c r="C3" s="157"/>
      <c r="D3" s="157"/>
    </row>
    <row r="4" spans="1:4" ht="33.75" customHeight="1" x14ac:dyDescent="0.25">
      <c r="A4" s="157"/>
      <c r="B4" s="157"/>
      <c r="C4" s="645" t="s">
        <v>39</v>
      </c>
      <c r="D4" s="645"/>
    </row>
    <row r="5" spans="1:4" x14ac:dyDescent="0.25">
      <c r="A5" s="157"/>
      <c r="B5" s="157"/>
      <c r="C5" s="376" t="s">
        <v>37</v>
      </c>
      <c r="D5" s="370"/>
    </row>
    <row r="6" spans="1:4" ht="13.15" customHeight="1" x14ac:dyDescent="0.25">
      <c r="A6" s="8"/>
      <c r="B6" s="8"/>
      <c r="C6" s="370"/>
      <c r="D6" s="370"/>
    </row>
    <row r="7" spans="1:4" ht="24" customHeight="1" x14ac:dyDescent="0.25">
      <c r="A7" s="167"/>
      <c r="B7" s="160" t="s">
        <v>40</v>
      </c>
      <c r="C7" s="161"/>
      <c r="D7" s="168"/>
    </row>
    <row r="8" spans="1:4" ht="13.15" customHeight="1" x14ac:dyDescent="0.25">
      <c r="A8" s="157"/>
      <c r="B8" s="157"/>
      <c r="C8" s="157"/>
      <c r="D8" s="157"/>
    </row>
    <row r="9" spans="1:4" ht="69" customHeight="1" x14ac:dyDescent="0.25">
      <c r="A9" s="157"/>
      <c r="B9" s="157"/>
      <c r="C9" s="645" t="s">
        <v>41</v>
      </c>
      <c r="D9" s="645"/>
    </row>
    <row r="10" spans="1:4" ht="13.15" customHeight="1" x14ac:dyDescent="0.25">
      <c r="A10" s="157"/>
      <c r="B10" s="157"/>
      <c r="C10" s="157"/>
      <c r="D10" s="157"/>
    </row>
    <row r="11" spans="1:4" ht="24" customHeight="1" x14ac:dyDescent="0.25">
      <c r="A11" s="160"/>
      <c r="B11" s="160" t="s">
        <v>42</v>
      </c>
      <c r="C11" s="160"/>
      <c r="D11" s="160"/>
    </row>
    <row r="12" spans="1:4" ht="13.15" customHeight="1" x14ac:dyDescent="0.25">
      <c r="A12" s="157"/>
      <c r="B12" s="157"/>
      <c r="C12" s="157"/>
      <c r="D12" s="157"/>
    </row>
    <row r="13" spans="1:4" ht="28.15" customHeight="1" x14ac:dyDescent="0.25">
      <c r="A13" s="157"/>
      <c r="B13" s="157"/>
      <c r="C13" s="645" t="s">
        <v>43</v>
      </c>
      <c r="D13" s="645"/>
    </row>
    <row r="14" spans="1:4" ht="13.15" customHeight="1" x14ac:dyDescent="0.25">
      <c r="A14" s="157"/>
      <c r="B14" s="157"/>
      <c r="C14" s="657" t="s">
        <v>44</v>
      </c>
      <c r="D14" s="657"/>
    </row>
    <row r="15" spans="1:4" ht="13.15" customHeight="1" x14ac:dyDescent="0.25">
      <c r="A15" s="157"/>
      <c r="B15" s="157"/>
      <c r="C15" s="157"/>
      <c r="D15" s="157"/>
    </row>
    <row r="16" spans="1:4" s="16" customFormat="1" ht="24" customHeight="1" x14ac:dyDescent="0.25">
      <c r="A16" s="169"/>
      <c r="B16" s="372" t="s">
        <v>45</v>
      </c>
      <c r="C16" s="373"/>
      <c r="D16" s="374"/>
    </row>
    <row r="17" spans="1:4" ht="13.15" customHeight="1" x14ac:dyDescent="0.25">
      <c r="A17" s="157"/>
      <c r="B17" s="157"/>
      <c r="C17" s="157"/>
      <c r="D17" s="157"/>
    </row>
    <row r="18" spans="1:4" ht="18" customHeight="1" x14ac:dyDescent="0.25">
      <c r="A18" s="165"/>
      <c r="B18" s="165"/>
      <c r="C18" s="165" t="s">
        <v>46</v>
      </c>
      <c r="D18" s="165"/>
    </row>
    <row r="19" spans="1:4" x14ac:dyDescent="0.25">
      <c r="A19" s="157"/>
      <c r="B19" s="157"/>
      <c r="C19" s="157"/>
      <c r="D19" s="157" t="s">
        <v>47</v>
      </c>
    </row>
    <row r="20" spans="1:4" ht="13.15" customHeight="1" x14ac:dyDescent="0.25">
      <c r="A20" s="157"/>
      <c r="B20" s="157"/>
      <c r="C20" s="157"/>
      <c r="D20" s="157"/>
    </row>
    <row r="21" spans="1:4" ht="18" customHeight="1" x14ac:dyDescent="0.25">
      <c r="A21" s="165"/>
      <c r="B21" s="165"/>
      <c r="C21" s="165" t="s">
        <v>48</v>
      </c>
      <c r="D21" s="165"/>
    </row>
    <row r="22" spans="1:4" ht="25.5" x14ac:dyDescent="0.25">
      <c r="A22" s="157"/>
      <c r="B22" s="157"/>
      <c r="C22" s="157"/>
      <c r="D22" s="157" t="s">
        <v>49</v>
      </c>
    </row>
    <row r="23" spans="1:4" ht="13.15" customHeight="1" x14ac:dyDescent="0.25">
      <c r="A23" s="157"/>
      <c r="B23" s="157"/>
      <c r="C23" s="157"/>
      <c r="D23" s="157"/>
    </row>
    <row r="24" spans="1:4" ht="18" customHeight="1" x14ac:dyDescent="0.25">
      <c r="A24" s="165"/>
      <c r="B24" s="165"/>
      <c r="C24" s="165" t="s">
        <v>50</v>
      </c>
      <c r="D24" s="165"/>
    </row>
    <row r="25" spans="1:4" ht="51" x14ac:dyDescent="0.25">
      <c r="A25" s="157"/>
      <c r="B25" s="157"/>
      <c r="C25" s="157"/>
      <c r="D25" s="157" t="s">
        <v>51</v>
      </c>
    </row>
    <row r="26" spans="1:4" s="7" customFormat="1" ht="13.15" customHeight="1" x14ac:dyDescent="0.25">
      <c r="B26" s="12"/>
      <c r="D26" s="13"/>
    </row>
    <row r="27" spans="1:4" s="14" customFormat="1" ht="18" customHeight="1" x14ac:dyDescent="0.25">
      <c r="A27" s="5"/>
      <c r="B27" s="5"/>
      <c r="C27" s="5" t="s">
        <v>52</v>
      </c>
      <c r="D27" s="166"/>
    </row>
    <row r="28" spans="1:4" ht="70.5" customHeight="1" x14ac:dyDescent="0.25">
      <c r="D28" s="157" t="s">
        <v>53</v>
      </c>
    </row>
    <row r="29" spans="1:4" ht="13.15" customHeight="1" x14ac:dyDescent="0.25"/>
    <row r="30" spans="1:4" s="14" customFormat="1" ht="18" customHeight="1" x14ac:dyDescent="0.25">
      <c r="A30" s="5"/>
      <c r="B30" s="5"/>
      <c r="C30" s="5" t="s">
        <v>54</v>
      </c>
      <c r="D30" s="166"/>
    </row>
    <row r="31" spans="1:4" ht="63.75" x14ac:dyDescent="0.25">
      <c r="D31" s="157" t="s">
        <v>55</v>
      </c>
    </row>
    <row r="32" spans="1:4" ht="13.15" customHeight="1" x14ac:dyDescent="0.25"/>
    <row r="33" spans="1:4" s="14" customFormat="1" ht="18" customHeight="1" x14ac:dyDescent="0.25">
      <c r="A33" s="5"/>
      <c r="B33" s="5"/>
      <c r="C33" s="5" t="s">
        <v>56</v>
      </c>
      <c r="D33" s="166"/>
    </row>
    <row r="34" spans="1:4" ht="60" customHeight="1" x14ac:dyDescent="0.25">
      <c r="D34" s="371" t="s">
        <v>57</v>
      </c>
    </row>
    <row r="35" spans="1:4" ht="13.15" customHeight="1" x14ac:dyDescent="0.25"/>
    <row r="36" spans="1:4" s="14" customFormat="1" ht="18" customHeight="1" x14ac:dyDescent="0.25">
      <c r="A36" s="5"/>
      <c r="B36" s="5"/>
      <c r="C36" s="5" t="s">
        <v>58</v>
      </c>
      <c r="D36" s="166"/>
    </row>
    <row r="37" spans="1:4" x14ac:dyDescent="0.25">
      <c r="D37" s="157" t="s">
        <v>59</v>
      </c>
    </row>
    <row r="39" spans="1:4" s="15" customFormat="1" ht="24" customHeight="1" x14ac:dyDescent="0.25">
      <c r="A39" s="160"/>
      <c r="B39" s="375" t="s">
        <v>60</v>
      </c>
      <c r="C39" s="375"/>
      <c r="D39" s="160"/>
    </row>
    <row r="40" spans="1:4" ht="13.15" customHeight="1" x14ac:dyDescent="0.25">
      <c r="B40" s="8"/>
    </row>
    <row r="41" spans="1:4" s="9" customFormat="1" ht="18" customHeight="1" x14ac:dyDescent="0.25">
      <c r="A41" s="7"/>
      <c r="B41" s="7"/>
      <c r="C41" s="165" t="s">
        <v>61</v>
      </c>
      <c r="D41" s="158"/>
    </row>
    <row r="42" spans="1:4" ht="38.25" x14ac:dyDescent="0.25">
      <c r="C42" s="10"/>
      <c r="D42" s="157" t="s">
        <v>62</v>
      </c>
    </row>
    <row r="43" spans="1:4" ht="13.15" customHeight="1" x14ac:dyDescent="0.25">
      <c r="C43" s="10"/>
    </row>
    <row r="44" spans="1:4" ht="13.15" customHeight="1" x14ac:dyDescent="0.25">
      <c r="C44" s="165" t="s">
        <v>63</v>
      </c>
    </row>
    <row r="45" spans="1:4" ht="114.75" x14ac:dyDescent="0.25">
      <c r="C45" s="10"/>
      <c r="D45" s="157" t="s">
        <v>64</v>
      </c>
    </row>
    <row r="46" spans="1:4" ht="13.15" customHeight="1" x14ac:dyDescent="0.25">
      <c r="C46" s="10"/>
    </row>
    <row r="47" spans="1:4" s="11" customFormat="1" ht="18" customHeight="1" x14ac:dyDescent="0.25">
      <c r="A47" s="3"/>
      <c r="B47" s="3"/>
      <c r="C47" s="165" t="s">
        <v>65</v>
      </c>
      <c r="D47" s="166"/>
    </row>
    <row r="48" spans="1:4" ht="25.5" x14ac:dyDescent="0.25">
      <c r="C48" s="10"/>
      <c r="D48" s="157" t="s">
        <v>66</v>
      </c>
    </row>
    <row r="49" spans="1:4" ht="13.15" customHeight="1" x14ac:dyDescent="0.25">
      <c r="C49" s="10"/>
      <c r="D49" s="157"/>
    </row>
    <row r="50" spans="1:4" s="11" customFormat="1" ht="18" customHeight="1" x14ac:dyDescent="0.25">
      <c r="A50" s="3"/>
      <c r="B50" s="3"/>
      <c r="C50" s="165" t="s">
        <v>67</v>
      </c>
      <c r="D50" s="166"/>
    </row>
    <row r="51" spans="1:4" ht="25.5" x14ac:dyDescent="0.25">
      <c r="C51" s="10"/>
      <c r="D51" s="157" t="s">
        <v>68</v>
      </c>
    </row>
    <row r="52" spans="1:4" ht="13.15" customHeight="1" x14ac:dyDescent="0.25">
      <c r="C52" s="10"/>
      <c r="D52" s="157"/>
    </row>
    <row r="53" spans="1:4" ht="24" customHeight="1" x14ac:dyDescent="0.25">
      <c r="A53" s="160"/>
      <c r="B53" s="375" t="s">
        <v>69</v>
      </c>
      <c r="C53" s="375"/>
      <c r="D53" s="375"/>
    </row>
    <row r="54" spans="1:4" ht="13.15" customHeight="1" x14ac:dyDescent="0.25">
      <c r="C54" s="10"/>
      <c r="D54" s="157"/>
    </row>
    <row r="55" spans="1:4" x14ac:dyDescent="0.25">
      <c r="A55" s="165"/>
      <c r="B55" s="165"/>
      <c r="C55" s="165" t="s">
        <v>70</v>
      </c>
      <c r="D55" s="165"/>
    </row>
    <row r="56" spans="1:4" ht="66.75" customHeight="1" x14ac:dyDescent="0.25">
      <c r="C56" s="10"/>
      <c r="D56" s="157" t="s">
        <v>71</v>
      </c>
    </row>
    <row r="57" spans="1:4" ht="13.15" customHeight="1" x14ac:dyDescent="0.25">
      <c r="C57" s="10"/>
      <c r="D57" s="157"/>
    </row>
    <row r="58" spans="1:4" x14ac:dyDescent="0.25">
      <c r="A58" s="165"/>
      <c r="B58" s="165"/>
      <c r="C58" s="165" t="s">
        <v>72</v>
      </c>
      <c r="D58" s="165"/>
    </row>
    <row r="59" spans="1:4" ht="76.5" x14ac:dyDescent="0.25">
      <c r="C59" s="10"/>
      <c r="D59" s="157" t="s">
        <v>73</v>
      </c>
    </row>
    <row r="60" spans="1:4" ht="13.15" customHeight="1" x14ac:dyDescent="0.25">
      <c r="C60" s="10"/>
      <c r="D60" s="157"/>
    </row>
    <row r="61" spans="1:4" x14ac:dyDescent="0.25">
      <c r="A61" s="165"/>
      <c r="B61" s="165"/>
      <c r="C61" s="165" t="s">
        <v>74</v>
      </c>
      <c r="D61" s="165"/>
    </row>
    <row r="62" spans="1:4" ht="221.25" customHeight="1" x14ac:dyDescent="0.25">
      <c r="C62" s="10"/>
      <c r="D62" s="157" t="s">
        <v>75</v>
      </c>
    </row>
    <row r="63" spans="1:4" ht="13.15" customHeight="1" x14ac:dyDescent="0.25">
      <c r="C63" s="10"/>
      <c r="D63" s="157"/>
    </row>
    <row r="64" spans="1:4" x14ac:dyDescent="0.25">
      <c r="A64" s="165"/>
      <c r="B64" s="165"/>
      <c r="C64" s="165" t="s">
        <v>76</v>
      </c>
      <c r="D64" s="165"/>
    </row>
    <row r="65" spans="1:4" ht="76.5" x14ac:dyDescent="0.25">
      <c r="A65" s="157"/>
      <c r="B65" s="157"/>
      <c r="C65" s="157"/>
      <c r="D65" s="157" t="s">
        <v>77</v>
      </c>
    </row>
    <row r="66" spans="1:4" ht="13.15" customHeight="1" x14ac:dyDescent="0.25">
      <c r="A66" s="157"/>
      <c r="B66" s="157"/>
      <c r="C66" s="157"/>
      <c r="D66" s="157"/>
    </row>
    <row r="67" spans="1:4" s="519" customFormat="1" ht="18.75" x14ac:dyDescent="0.25">
      <c r="A67" s="516"/>
      <c r="B67" s="516" t="s">
        <v>78</v>
      </c>
      <c r="C67" s="517"/>
      <c r="D67" s="518"/>
    </row>
    <row r="68" spans="1:4" ht="13.15" customHeight="1" x14ac:dyDescent="0.25">
      <c r="C68" s="10"/>
      <c r="D68" s="157"/>
    </row>
    <row r="69" spans="1:4" x14ac:dyDescent="0.25">
      <c r="A69" s="165"/>
      <c r="B69" s="165"/>
      <c r="C69" s="165" t="s">
        <v>79</v>
      </c>
      <c r="D69" s="165"/>
    </row>
    <row r="70" spans="1:4" ht="51" x14ac:dyDescent="0.25">
      <c r="C70" s="10"/>
      <c r="D70" s="157" t="s">
        <v>80</v>
      </c>
    </row>
    <row r="71" spans="1:4" ht="13.15" customHeight="1" x14ac:dyDescent="0.25">
      <c r="C71" s="10"/>
      <c r="D71" s="157"/>
    </row>
    <row r="72" spans="1:4" x14ac:dyDescent="0.25">
      <c r="A72" s="165"/>
      <c r="B72" s="165"/>
      <c r="C72" s="165" t="s">
        <v>81</v>
      </c>
      <c r="D72" s="165"/>
    </row>
    <row r="73" spans="1:4" ht="51" x14ac:dyDescent="0.25">
      <c r="C73" s="10"/>
      <c r="D73" s="157" t="s">
        <v>82</v>
      </c>
    </row>
    <row r="74" spans="1:4" x14ac:dyDescent="0.25">
      <c r="B74" s="165"/>
      <c r="C74" s="165" t="s">
        <v>83</v>
      </c>
      <c r="D74" s="157"/>
    </row>
    <row r="75" spans="1:4" ht="76.5" x14ac:dyDescent="0.25">
      <c r="C75" s="10"/>
      <c r="D75" s="157" t="s">
        <v>84</v>
      </c>
    </row>
    <row r="76" spans="1:4" ht="15.75" x14ac:dyDescent="0.25">
      <c r="C76" s="10"/>
      <c r="D76" s="157"/>
    </row>
    <row r="77" spans="1:4" x14ac:dyDescent="0.25">
      <c r="C77" s="165" t="s">
        <v>85</v>
      </c>
      <c r="D77" s="157"/>
    </row>
    <row r="78" spans="1:4" ht="63.75" x14ac:dyDescent="0.25">
      <c r="C78" s="10"/>
      <c r="D78" s="157" t="s">
        <v>86</v>
      </c>
    </row>
    <row r="79" spans="1:4" ht="13.15" customHeight="1" x14ac:dyDescent="0.25">
      <c r="C79" s="10"/>
      <c r="D79" s="157"/>
    </row>
    <row r="80" spans="1:4" x14ac:dyDescent="0.25">
      <c r="A80" s="165"/>
      <c r="B80" s="165"/>
      <c r="C80" s="165" t="s">
        <v>87</v>
      </c>
      <c r="D80" s="165"/>
    </row>
    <row r="81" spans="1:4" ht="38.25" x14ac:dyDescent="0.25">
      <c r="C81" s="10"/>
      <c r="D81" s="157" t="s">
        <v>88</v>
      </c>
    </row>
    <row r="82" spans="1:4" ht="15.75" x14ac:dyDescent="0.25">
      <c r="C82" s="10"/>
      <c r="D82" s="157"/>
    </row>
    <row r="83" spans="1:4" ht="15.75" x14ac:dyDescent="0.25">
      <c r="B83" s="10"/>
      <c r="C83" s="165" t="s">
        <v>89</v>
      </c>
      <c r="D83" s="157"/>
    </row>
    <row r="84" spans="1:4" ht="76.5" x14ac:dyDescent="0.25">
      <c r="C84" s="10"/>
      <c r="D84" s="157" t="s">
        <v>90</v>
      </c>
    </row>
    <row r="85" spans="1:4" ht="13.15" customHeight="1" x14ac:dyDescent="0.25">
      <c r="C85" s="10"/>
      <c r="D85" s="157"/>
    </row>
    <row r="86" spans="1:4" x14ac:dyDescent="0.25">
      <c r="A86" s="165"/>
      <c r="B86" s="165"/>
      <c r="C86" s="165" t="s">
        <v>91</v>
      </c>
      <c r="D86" s="165"/>
    </row>
    <row r="87" spans="1:4" ht="63.75" x14ac:dyDescent="0.25">
      <c r="C87" s="10"/>
      <c r="D87" s="157" t="s">
        <v>92</v>
      </c>
    </row>
    <row r="88" spans="1:4" ht="13.15" customHeight="1" x14ac:dyDescent="0.25">
      <c r="C88" s="10"/>
      <c r="D88" s="157"/>
    </row>
    <row r="89" spans="1:4" x14ac:dyDescent="0.25">
      <c r="A89" s="165"/>
      <c r="B89" s="165"/>
      <c r="C89" s="165" t="s">
        <v>93</v>
      </c>
      <c r="D89" s="165"/>
    </row>
    <row r="90" spans="1:4" ht="38.25" x14ac:dyDescent="0.25">
      <c r="C90" s="10"/>
      <c r="D90" s="157" t="s">
        <v>94</v>
      </c>
    </row>
    <row r="91" spans="1:4" ht="13.15" customHeight="1" x14ac:dyDescent="0.25">
      <c r="C91" s="10"/>
      <c r="D91" s="157"/>
    </row>
    <row r="92" spans="1:4" ht="13.15" customHeight="1" x14ac:dyDescent="0.25">
      <c r="C92" s="10"/>
      <c r="D92" s="157"/>
    </row>
    <row r="93" spans="1:4" s="16" customFormat="1" ht="24" customHeight="1" x14ac:dyDescent="0.25">
      <c r="A93" s="169"/>
      <c r="B93" s="170" t="s">
        <v>95</v>
      </c>
      <c r="C93" s="169"/>
      <c r="D93" s="171"/>
    </row>
    <row r="94" spans="1:4" s="7" customFormat="1" ht="13.15" customHeight="1" x14ac:dyDescent="0.25">
      <c r="B94" s="12"/>
      <c r="D94" s="13"/>
    </row>
    <row r="95" spans="1:4" s="14" customFormat="1" ht="18" customHeight="1" x14ac:dyDescent="0.25">
      <c r="B95" s="5"/>
      <c r="C95" s="5" t="s">
        <v>96</v>
      </c>
      <c r="D95" s="166"/>
    </row>
    <row r="96" spans="1:4" ht="220.5" customHeight="1" x14ac:dyDescent="0.25">
      <c r="D96" s="157" t="s">
        <v>97</v>
      </c>
    </row>
    <row r="97" spans="1:4" ht="13.15" customHeight="1" x14ac:dyDescent="0.25"/>
    <row r="98" spans="1:4" s="14" customFormat="1" ht="18" customHeight="1" x14ac:dyDescent="0.25">
      <c r="A98" s="5"/>
      <c r="B98" s="5"/>
      <c r="C98" s="5" t="s">
        <v>98</v>
      </c>
      <c r="D98" s="166"/>
    </row>
    <row r="99" spans="1:4" ht="51" x14ac:dyDescent="0.25">
      <c r="D99" s="157" t="s">
        <v>99</v>
      </c>
    </row>
    <row r="100" spans="1:4" ht="15" customHeight="1" x14ac:dyDescent="0.25"/>
    <row r="101" spans="1:4" s="16" customFormat="1" ht="15" customHeight="1" x14ac:dyDescent="0.25">
      <c r="A101" s="7"/>
      <c r="B101" s="7"/>
      <c r="C101" s="7"/>
      <c r="D101" s="7"/>
    </row>
    <row r="102" spans="1:4" ht="15" customHeight="1" x14ac:dyDescent="0.25"/>
  </sheetData>
  <sheetProtection sheet="1" objects="1" scenarios="1"/>
  <mergeCells count="4">
    <mergeCell ref="C9:D9"/>
    <mergeCell ref="C4:D4"/>
    <mergeCell ref="C13:D13"/>
    <mergeCell ref="C14:D14"/>
  </mergeCells>
  <hyperlinks>
    <hyperlink ref="C14:D14" r:id="rId1" display="https://confluence.csgicorp.com/display/GSSP/Estimation+Feedback" xr:uid="{00000000-0004-0000-0100-000000000000}"/>
    <hyperlink ref="C5" r:id="rId2" xr:uid="{65522F66-FA23-4C8D-AAFE-C7B411AD0086}"/>
  </hyperlinks>
  <pageMargins left="0.7" right="0.7" top="0.75" bottom="0.75" header="0.3" footer="0.3"/>
  <pageSetup paperSize="9" scale="78" fitToHeight="0" orientation="landscape" horizontalDpi="1200" verticalDpi="1200" r:id="rId3"/>
  <drawing r:id="rId4"/>
  <legacyDrawing r:id="rId5"/>
  <controls>
    <mc:AlternateContent xmlns:mc="http://schemas.openxmlformats.org/markup-compatibility/2006">
      <mc:Choice Requires="x14">
        <control shapeId="9219" r:id="rId6" name="HideUncommonSheetsButton">
          <controlPr defaultSize="0" autoLine="0" r:id="rId7">
            <anchor moveWithCells="1">
              <from>
                <xdr:col>3</xdr:col>
                <xdr:colOff>1866900</xdr:colOff>
                <xdr:row>33</xdr:row>
                <xdr:rowOff>428625</xdr:rowOff>
              </from>
              <to>
                <xdr:col>3</xdr:col>
                <xdr:colOff>3505200</xdr:colOff>
                <xdr:row>33</xdr:row>
                <xdr:rowOff>695325</xdr:rowOff>
              </to>
            </anchor>
          </controlPr>
        </control>
      </mc:Choice>
      <mc:Fallback>
        <control shapeId="9219" r:id="rId6" name="HideUncommonSheetsButton"/>
      </mc:Fallback>
    </mc:AlternateContent>
    <mc:AlternateContent xmlns:mc="http://schemas.openxmlformats.org/markup-compatibility/2006">
      <mc:Choice Requires="x14">
        <control shapeId="9218" r:id="rId8" name="ShowAllSheetsButton">
          <controlPr defaultSize="0" autoLine="0" r:id="rId9">
            <anchor moveWithCells="1">
              <from>
                <xdr:col>3</xdr:col>
                <xdr:colOff>28575</xdr:colOff>
                <xdr:row>33</xdr:row>
                <xdr:rowOff>419100</xdr:rowOff>
              </from>
              <to>
                <xdr:col>3</xdr:col>
                <xdr:colOff>1676400</xdr:colOff>
                <xdr:row>33</xdr:row>
                <xdr:rowOff>714375</xdr:rowOff>
              </to>
            </anchor>
          </controlPr>
        </control>
      </mc:Choice>
      <mc:Fallback>
        <control shapeId="9218" r:id="rId8" name="ShowAllSheets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FCB05-CC83-48D9-A59A-6C00F076BF4C}">
  <sheetPr codeName="Sheet1" filterMode="1"/>
  <dimension ref="B1:L68"/>
  <sheetViews>
    <sheetView showGridLines="0" topLeftCell="D3" workbookViewId="0">
      <selection activeCell="G38" sqref="G38"/>
    </sheetView>
  </sheetViews>
  <sheetFormatPr defaultRowHeight="15" outlineLevelCol="1" x14ac:dyDescent="0.25"/>
  <cols>
    <col min="1" max="1" width="3" customWidth="1"/>
    <col min="2" max="2" width="8.5703125" customWidth="1" outlineLevel="1"/>
    <col min="3" max="3" width="15.7109375" customWidth="1" outlineLevel="1"/>
    <col min="4" max="4" width="13.42578125" customWidth="1"/>
    <col min="5" max="5" width="11.7109375" customWidth="1"/>
    <col min="6" max="6" width="48.42578125" customWidth="1"/>
    <col min="7" max="7" width="13.7109375" customWidth="1"/>
    <col min="8" max="8" width="13.42578125" customWidth="1"/>
    <col min="9" max="9" width="44.5703125" customWidth="1" outlineLevel="1"/>
    <col min="10" max="10" width="12.5703125" customWidth="1" outlineLevel="1"/>
    <col min="11" max="11" width="12.5703125" customWidth="1"/>
    <col min="12" max="12" width="55.5703125" customWidth="1"/>
  </cols>
  <sheetData>
    <row r="1" spans="2:12" x14ac:dyDescent="0.25">
      <c r="B1" s="658"/>
      <c r="C1" s="658"/>
      <c r="D1" s="280"/>
      <c r="E1" s="280"/>
      <c r="F1" s="658" t="str">
        <f>Customer &amp; CHAR(10) &amp; Project</f>
        <v>Optus
BoSS Proposal</v>
      </c>
      <c r="G1" s="280"/>
      <c r="H1" s="280"/>
      <c r="I1" s="280"/>
      <c r="J1" s="280"/>
      <c r="K1" s="280"/>
      <c r="L1" s="280"/>
    </row>
    <row r="2" spans="2:12" x14ac:dyDescent="0.25">
      <c r="B2" s="658"/>
      <c r="C2" s="658"/>
      <c r="D2" s="280"/>
      <c r="E2" s="280"/>
      <c r="F2" s="658"/>
      <c r="G2" s="280"/>
      <c r="H2" s="280"/>
      <c r="I2" s="280"/>
      <c r="J2" s="280"/>
      <c r="K2" s="280"/>
      <c r="L2" s="280"/>
    </row>
    <row r="3" spans="2:12" x14ac:dyDescent="0.25">
      <c r="B3" s="658"/>
      <c r="C3" s="658"/>
      <c r="D3" s="280"/>
      <c r="E3" s="280"/>
      <c r="F3" s="658"/>
      <c r="G3" s="280"/>
      <c r="H3" s="280"/>
      <c r="I3" s="280"/>
      <c r="J3" s="280"/>
      <c r="K3" s="280"/>
      <c r="L3" s="280"/>
    </row>
    <row r="5" spans="2:12" s="491" customFormat="1" x14ac:dyDescent="0.25">
      <c r="B5" s="490" t="s">
        <v>100</v>
      </c>
      <c r="C5" s="490" t="s">
        <v>101</v>
      </c>
      <c r="D5" s="490" t="s">
        <v>102</v>
      </c>
      <c r="E5" s="490" t="s">
        <v>103</v>
      </c>
      <c r="F5" s="628" t="s">
        <v>104</v>
      </c>
      <c r="G5" s="490" t="s">
        <v>105</v>
      </c>
      <c r="H5" s="490" t="s">
        <v>106</v>
      </c>
      <c r="I5" s="490" t="s">
        <v>107</v>
      </c>
      <c r="J5" s="490" t="s">
        <v>108</v>
      </c>
      <c r="K5" s="490" t="s">
        <v>109</v>
      </c>
      <c r="L5" s="490" t="s">
        <v>110</v>
      </c>
    </row>
    <row r="6" spans="2:12" x14ac:dyDescent="0.25">
      <c r="B6" s="489"/>
      <c r="C6" s="489"/>
      <c r="D6" s="492"/>
      <c r="E6" s="489">
        <v>1</v>
      </c>
      <c r="F6" s="544" t="s">
        <v>111</v>
      </c>
      <c r="G6" s="489" t="s">
        <v>112</v>
      </c>
      <c r="H6" s="492"/>
      <c r="I6" s="489"/>
      <c r="J6" s="489"/>
      <c r="K6" s="489"/>
      <c r="L6" s="489"/>
    </row>
    <row r="7" spans="2:12" x14ac:dyDescent="0.25">
      <c r="B7" s="489"/>
      <c r="C7" s="489"/>
      <c r="D7" s="492"/>
      <c r="E7" s="489">
        <v>2</v>
      </c>
      <c r="F7" s="544" t="s">
        <v>113</v>
      </c>
      <c r="G7" s="489" t="s">
        <v>112</v>
      </c>
      <c r="H7" s="492"/>
      <c r="I7" s="489"/>
      <c r="J7" s="489"/>
      <c r="K7" s="489"/>
      <c r="L7" s="489" t="s">
        <v>114</v>
      </c>
    </row>
    <row r="8" spans="2:12" x14ac:dyDescent="0.25">
      <c r="B8" s="489"/>
      <c r="C8" s="489"/>
      <c r="D8" s="492"/>
      <c r="E8" s="489">
        <v>3</v>
      </c>
      <c r="F8" s="544" t="s">
        <v>115</v>
      </c>
      <c r="G8" s="489" t="s">
        <v>112</v>
      </c>
      <c r="H8" s="492"/>
      <c r="I8" s="489"/>
      <c r="J8" s="489"/>
      <c r="K8" s="489"/>
      <c r="L8" s="489" t="s">
        <v>114</v>
      </c>
    </row>
    <row r="9" spans="2:12" ht="30" hidden="1" x14ac:dyDescent="0.25">
      <c r="B9" s="489"/>
      <c r="C9" s="489"/>
      <c r="D9" s="492"/>
      <c r="E9" s="543">
        <v>4</v>
      </c>
      <c r="F9" s="543" t="s">
        <v>116</v>
      </c>
      <c r="G9" s="543" t="s">
        <v>117</v>
      </c>
      <c r="H9" s="492"/>
      <c r="I9" s="489"/>
      <c r="J9" s="543" t="s">
        <v>117</v>
      </c>
      <c r="K9" s="489" t="s">
        <v>118</v>
      </c>
      <c r="L9" s="489"/>
    </row>
    <row r="10" spans="2:12" ht="60" hidden="1" x14ac:dyDescent="0.25">
      <c r="B10" s="489"/>
      <c r="C10" s="489"/>
      <c r="D10" s="492"/>
      <c r="E10" s="543">
        <v>5</v>
      </c>
      <c r="F10" s="543" t="s">
        <v>119</v>
      </c>
      <c r="G10" s="543" t="s">
        <v>117</v>
      </c>
      <c r="H10" s="492"/>
      <c r="I10" s="489"/>
      <c r="J10" s="543" t="s">
        <v>117</v>
      </c>
      <c r="K10" s="489" t="s">
        <v>118</v>
      </c>
      <c r="L10" s="489"/>
    </row>
    <row r="11" spans="2:12" ht="30" hidden="1" x14ac:dyDescent="0.25">
      <c r="B11" s="489"/>
      <c r="C11" s="489"/>
      <c r="D11" s="492"/>
      <c r="E11" s="543">
        <v>6</v>
      </c>
      <c r="F11" s="543" t="s">
        <v>120</v>
      </c>
      <c r="G11" s="543" t="s">
        <v>117</v>
      </c>
      <c r="H11" s="492"/>
      <c r="I11" s="489"/>
      <c r="J11" s="543" t="s">
        <v>117</v>
      </c>
      <c r="K11" s="489" t="s">
        <v>118</v>
      </c>
      <c r="L11" s="489"/>
    </row>
    <row r="12" spans="2:12" ht="45" hidden="1" x14ac:dyDescent="0.25">
      <c r="B12" s="489"/>
      <c r="C12" s="489"/>
      <c r="D12" s="492"/>
      <c r="E12" s="543">
        <v>7</v>
      </c>
      <c r="F12" s="544" t="s">
        <v>121</v>
      </c>
      <c r="G12" s="543" t="s">
        <v>122</v>
      </c>
      <c r="H12" s="492"/>
      <c r="I12" s="543" t="s">
        <v>123</v>
      </c>
      <c r="J12" s="543" t="s">
        <v>122</v>
      </c>
      <c r="K12" s="489" t="s">
        <v>118</v>
      </c>
      <c r="L12" s="489"/>
    </row>
    <row r="13" spans="2:12" hidden="1" x14ac:dyDescent="0.25">
      <c r="B13" s="489"/>
      <c r="C13" s="489"/>
      <c r="D13" s="492"/>
      <c r="E13" s="489">
        <v>8</v>
      </c>
      <c r="F13" s="489" t="s">
        <v>124</v>
      </c>
      <c r="G13" s="489" t="s">
        <v>125</v>
      </c>
      <c r="H13" s="492"/>
      <c r="I13" s="489"/>
      <c r="J13" s="489" t="s">
        <v>125</v>
      </c>
      <c r="K13" s="489" t="s">
        <v>118</v>
      </c>
      <c r="L13" s="489"/>
    </row>
    <row r="14" spans="2:12" ht="30" hidden="1" x14ac:dyDescent="0.25">
      <c r="B14" s="489"/>
      <c r="C14" s="489"/>
      <c r="D14" s="492"/>
      <c r="E14" s="489">
        <v>9</v>
      </c>
      <c r="F14" s="544" t="s">
        <v>126</v>
      </c>
      <c r="G14" s="489" t="s">
        <v>125</v>
      </c>
      <c r="H14" s="492"/>
      <c r="I14" s="489"/>
      <c r="J14" s="489" t="s">
        <v>125</v>
      </c>
      <c r="K14" s="489" t="s">
        <v>118</v>
      </c>
      <c r="L14" s="489"/>
    </row>
    <row r="15" spans="2:12" ht="150" hidden="1" x14ac:dyDescent="0.25">
      <c r="B15" s="489"/>
      <c r="C15" s="489"/>
      <c r="D15" s="492"/>
      <c r="E15" s="489">
        <v>10</v>
      </c>
      <c r="F15" s="544" t="s">
        <v>127</v>
      </c>
      <c r="G15" s="489" t="s">
        <v>128</v>
      </c>
      <c r="H15" s="492"/>
      <c r="I15" s="489"/>
      <c r="J15" s="489" t="s">
        <v>129</v>
      </c>
      <c r="K15" s="489" t="s">
        <v>118</v>
      </c>
      <c r="L15" s="489"/>
    </row>
    <row r="16" spans="2:12" ht="30" x14ac:dyDescent="0.25">
      <c r="B16" s="489"/>
      <c r="C16" s="489"/>
      <c r="D16" s="629">
        <v>45847</v>
      </c>
      <c r="E16" s="630"/>
      <c r="F16" s="543" t="s">
        <v>130</v>
      </c>
      <c r="G16" s="630" t="s">
        <v>131</v>
      </c>
      <c r="H16" s="492"/>
      <c r="I16" s="489"/>
      <c r="J16" s="489"/>
      <c r="K16" s="489"/>
      <c r="L16" s="489"/>
    </row>
    <row r="17" spans="2:12" x14ac:dyDescent="0.25">
      <c r="B17" s="489"/>
      <c r="C17" s="489"/>
      <c r="D17" s="492">
        <v>45847</v>
      </c>
      <c r="E17" s="489"/>
      <c r="F17" s="544" t="s">
        <v>132</v>
      </c>
      <c r="G17" s="489" t="s">
        <v>131</v>
      </c>
      <c r="H17" s="492"/>
      <c r="I17" s="489"/>
      <c r="J17" s="489"/>
      <c r="K17" s="489"/>
      <c r="L17" s="489"/>
    </row>
    <row r="18" spans="2:12" ht="75" x14ac:dyDescent="0.25">
      <c r="B18" s="489"/>
      <c r="C18" s="489"/>
      <c r="D18" s="629">
        <v>45847</v>
      </c>
      <c r="E18" s="630"/>
      <c r="F18" s="543" t="s">
        <v>133</v>
      </c>
      <c r="G18" s="489" t="s">
        <v>131</v>
      </c>
      <c r="H18" s="492"/>
      <c r="I18" s="489"/>
      <c r="J18" s="489"/>
      <c r="K18" s="489"/>
      <c r="L18" s="489"/>
    </row>
    <row r="19" spans="2:12" ht="30" x14ac:dyDescent="0.25">
      <c r="B19" s="489"/>
      <c r="C19" s="489"/>
      <c r="D19" s="629">
        <v>45847</v>
      </c>
      <c r="E19" s="630"/>
      <c r="F19" s="543" t="s">
        <v>134</v>
      </c>
      <c r="G19" s="630" t="s">
        <v>131</v>
      </c>
      <c r="H19" s="629"/>
      <c r="I19" s="630"/>
      <c r="J19" s="630"/>
      <c r="K19" s="630"/>
      <c r="L19" s="630"/>
    </row>
    <row r="20" spans="2:12" ht="30" x14ac:dyDescent="0.25">
      <c r="B20" s="489"/>
      <c r="C20" s="489"/>
      <c r="D20" s="629">
        <v>45847</v>
      </c>
      <c r="E20" s="630"/>
      <c r="F20" s="543" t="s">
        <v>135</v>
      </c>
      <c r="G20" s="630" t="s">
        <v>131</v>
      </c>
      <c r="H20" s="629"/>
      <c r="I20" s="630"/>
      <c r="J20" s="630"/>
      <c r="K20" s="630"/>
      <c r="L20" s="630"/>
    </row>
    <row r="21" spans="2:12" ht="90" x14ac:dyDescent="0.25">
      <c r="B21" s="489"/>
      <c r="C21" s="489"/>
      <c r="D21" s="629">
        <v>45847</v>
      </c>
      <c r="E21" s="630"/>
      <c r="F21" s="543" t="s">
        <v>136</v>
      </c>
      <c r="G21" s="630" t="s">
        <v>131</v>
      </c>
      <c r="H21" s="629"/>
      <c r="I21" s="630"/>
      <c r="J21" s="630"/>
      <c r="K21" s="630"/>
      <c r="L21" s="630"/>
    </row>
    <row r="22" spans="2:12" ht="30" x14ac:dyDescent="0.25">
      <c r="B22" s="489"/>
      <c r="C22" s="489"/>
      <c r="D22" s="629">
        <v>45847</v>
      </c>
      <c r="E22" s="630"/>
      <c r="F22" s="543" t="s">
        <v>137</v>
      </c>
      <c r="G22" s="630" t="s">
        <v>131</v>
      </c>
      <c r="H22" s="629"/>
      <c r="I22" s="630"/>
      <c r="J22" s="630"/>
      <c r="K22" s="630"/>
      <c r="L22" s="630"/>
    </row>
    <row r="23" spans="2:12" ht="105" x14ac:dyDescent="0.25">
      <c r="B23" s="489"/>
      <c r="C23" s="489"/>
      <c r="D23" s="629">
        <v>45847</v>
      </c>
      <c r="E23" s="489"/>
      <c r="F23" s="544" t="s">
        <v>138</v>
      </c>
      <c r="G23" s="630" t="s">
        <v>131</v>
      </c>
      <c r="H23" s="492"/>
      <c r="I23" s="489"/>
      <c r="J23" s="489"/>
      <c r="K23" s="489"/>
      <c r="L23" s="489"/>
    </row>
    <row r="24" spans="2:12" x14ac:dyDescent="0.25">
      <c r="B24" s="489"/>
      <c r="C24" s="489"/>
      <c r="D24" s="492">
        <v>45853</v>
      </c>
      <c r="E24" s="489"/>
      <c r="F24" s="544" t="s">
        <v>139</v>
      </c>
      <c r="G24" s="489" t="s">
        <v>140</v>
      </c>
      <c r="H24" s="492"/>
      <c r="I24" s="489"/>
      <c r="J24" s="489"/>
      <c r="K24" s="489"/>
      <c r="L24" s="489"/>
    </row>
    <row r="25" spans="2:12" ht="30" x14ac:dyDescent="0.25">
      <c r="B25" s="489"/>
      <c r="C25" s="489"/>
      <c r="D25" s="492">
        <v>45853</v>
      </c>
      <c r="E25" s="489"/>
      <c r="F25" s="544" t="s">
        <v>141</v>
      </c>
      <c r="G25" s="489" t="s">
        <v>140</v>
      </c>
      <c r="H25" s="492"/>
      <c r="I25" s="489"/>
      <c r="J25" s="489"/>
      <c r="K25" s="489"/>
      <c r="L25" s="489"/>
    </row>
    <row r="26" spans="2:12" ht="105" x14ac:dyDescent="0.25">
      <c r="B26" s="489"/>
      <c r="C26" s="489"/>
      <c r="D26" s="492">
        <v>45853</v>
      </c>
      <c r="E26" s="489"/>
      <c r="F26" s="544" t="s">
        <v>142</v>
      </c>
      <c r="G26" s="489" t="s">
        <v>140</v>
      </c>
      <c r="H26" s="492"/>
      <c r="I26" s="489"/>
      <c r="J26" s="489"/>
      <c r="K26" s="489"/>
      <c r="L26" s="489"/>
    </row>
    <row r="27" spans="2:12" ht="75" x14ac:dyDescent="0.25">
      <c r="B27" s="489"/>
      <c r="C27" s="489"/>
      <c r="D27" s="492">
        <v>45853</v>
      </c>
      <c r="E27" s="489"/>
      <c r="F27" s="544" t="s">
        <v>143</v>
      </c>
      <c r="G27" s="489" t="s">
        <v>140</v>
      </c>
      <c r="H27" s="492"/>
      <c r="I27" s="489"/>
      <c r="J27" s="489"/>
      <c r="K27" s="489"/>
      <c r="L27" s="489"/>
    </row>
    <row r="28" spans="2:12" ht="30" x14ac:dyDescent="0.25">
      <c r="B28" s="489"/>
      <c r="C28" s="489"/>
      <c r="D28" s="492">
        <v>45854</v>
      </c>
      <c r="E28" s="489"/>
      <c r="F28" s="544" t="s">
        <v>144</v>
      </c>
      <c r="G28" s="489" t="s">
        <v>140</v>
      </c>
      <c r="H28" s="492"/>
      <c r="I28" s="489"/>
      <c r="J28" s="489"/>
      <c r="K28" s="489"/>
      <c r="L28" s="489"/>
    </row>
    <row r="29" spans="2:12" ht="30" x14ac:dyDescent="0.25">
      <c r="B29" s="489"/>
      <c r="C29" s="489"/>
      <c r="D29" s="492">
        <v>45854</v>
      </c>
      <c r="E29" s="489"/>
      <c r="F29" s="544" t="s">
        <v>145</v>
      </c>
      <c r="G29" s="489" t="s">
        <v>140</v>
      </c>
      <c r="H29" s="492"/>
      <c r="I29" s="489"/>
      <c r="J29" s="489"/>
      <c r="K29" s="489"/>
      <c r="L29" s="489"/>
    </row>
    <row r="30" spans="2:12" ht="45" x14ac:dyDescent="0.25">
      <c r="B30" s="489"/>
      <c r="C30" s="489"/>
      <c r="D30" s="492">
        <v>45854</v>
      </c>
      <c r="E30" s="489"/>
      <c r="F30" s="544" t="s">
        <v>146</v>
      </c>
      <c r="G30" s="489" t="s">
        <v>140</v>
      </c>
      <c r="H30" s="492"/>
      <c r="I30" s="489"/>
      <c r="J30" s="489"/>
      <c r="K30" s="489"/>
      <c r="L30" s="489"/>
    </row>
    <row r="31" spans="2:12" ht="30" x14ac:dyDescent="0.25">
      <c r="B31" s="489"/>
      <c r="C31" s="489"/>
      <c r="D31" s="492">
        <v>45855</v>
      </c>
      <c r="E31" s="489"/>
      <c r="F31" s="544" t="s">
        <v>147</v>
      </c>
      <c r="G31" s="489" t="s">
        <v>140</v>
      </c>
      <c r="H31" s="492"/>
      <c r="I31" s="489"/>
      <c r="J31" s="489"/>
      <c r="K31" s="489"/>
      <c r="L31" s="489"/>
    </row>
    <row r="32" spans="2:12" ht="45" x14ac:dyDescent="0.25">
      <c r="B32" s="489"/>
      <c r="C32" s="489"/>
      <c r="D32" s="492">
        <v>45855</v>
      </c>
      <c r="E32" s="489"/>
      <c r="F32" s="544" t="s">
        <v>148</v>
      </c>
      <c r="G32" s="489" t="s">
        <v>140</v>
      </c>
      <c r="H32" s="492"/>
      <c r="I32" s="489"/>
      <c r="J32" s="489"/>
      <c r="K32" s="489"/>
      <c r="L32" s="489"/>
    </row>
    <row r="33" spans="2:12" x14ac:dyDescent="0.25">
      <c r="B33" s="489"/>
      <c r="C33" s="489"/>
      <c r="D33" s="492"/>
      <c r="E33" s="489"/>
      <c r="F33" s="544"/>
      <c r="G33" s="489"/>
      <c r="H33" s="492"/>
      <c r="I33" s="489"/>
      <c r="J33" s="489"/>
      <c r="K33" s="489"/>
      <c r="L33" s="489"/>
    </row>
    <row r="34" spans="2:12" x14ac:dyDescent="0.25">
      <c r="B34" s="489"/>
      <c r="C34" s="489"/>
      <c r="D34" s="492"/>
      <c r="E34" s="489"/>
      <c r="F34" s="544"/>
      <c r="G34" s="489"/>
      <c r="H34" s="492"/>
      <c r="I34" s="489"/>
      <c r="J34" s="489"/>
      <c r="K34" s="489"/>
      <c r="L34" s="489"/>
    </row>
    <row r="35" spans="2:12" x14ac:dyDescent="0.25">
      <c r="B35" s="489"/>
      <c r="C35" s="489"/>
      <c r="D35" s="492"/>
      <c r="E35" s="489"/>
      <c r="F35" s="544"/>
      <c r="G35" s="489"/>
      <c r="H35" s="492"/>
      <c r="I35" s="489"/>
      <c r="J35" s="489"/>
      <c r="K35" s="489"/>
      <c r="L35" s="489"/>
    </row>
    <row r="36" spans="2:12" x14ac:dyDescent="0.25">
      <c r="B36" s="489"/>
      <c r="C36" s="489"/>
      <c r="D36" s="492"/>
      <c r="E36" s="489"/>
      <c r="F36" s="544"/>
      <c r="G36" s="489"/>
      <c r="H36" s="492"/>
      <c r="I36" s="489"/>
      <c r="J36" s="489"/>
      <c r="K36" s="489"/>
      <c r="L36" s="489"/>
    </row>
    <row r="37" spans="2:12" x14ac:dyDescent="0.25">
      <c r="B37" s="489"/>
      <c r="C37" s="489"/>
      <c r="D37" s="492"/>
      <c r="E37" s="489"/>
      <c r="F37" s="489"/>
      <c r="G37" s="489"/>
      <c r="H37" s="492"/>
      <c r="I37" s="489"/>
      <c r="J37" s="489"/>
      <c r="K37" s="489"/>
      <c r="L37" s="489"/>
    </row>
    <row r="38" spans="2:12" x14ac:dyDescent="0.25">
      <c r="B38" s="489"/>
      <c r="C38" s="489"/>
      <c r="D38" s="492"/>
      <c r="E38" s="489"/>
      <c r="F38" s="489"/>
      <c r="G38" s="489"/>
      <c r="H38" s="492"/>
      <c r="I38" s="489"/>
      <c r="J38" s="489"/>
      <c r="K38" s="489"/>
      <c r="L38" s="489"/>
    </row>
    <row r="39" spans="2:12" x14ac:dyDescent="0.25">
      <c r="B39" s="489"/>
      <c r="C39" s="489"/>
      <c r="D39" s="492"/>
      <c r="E39" s="489"/>
      <c r="F39" s="489"/>
      <c r="G39" s="489"/>
      <c r="H39" s="492"/>
      <c r="I39" s="489"/>
      <c r="J39" s="489"/>
      <c r="K39" s="489"/>
      <c r="L39" s="489"/>
    </row>
    <row r="40" spans="2:12" x14ac:dyDescent="0.25">
      <c r="B40" s="489"/>
      <c r="C40" s="489"/>
      <c r="D40" s="492"/>
      <c r="E40" s="489"/>
      <c r="F40" s="489"/>
      <c r="G40" s="489"/>
      <c r="H40" s="492"/>
      <c r="I40" s="489"/>
      <c r="J40" s="489"/>
      <c r="K40" s="489"/>
      <c r="L40" s="489"/>
    </row>
    <row r="41" spans="2:12" x14ac:dyDescent="0.25">
      <c r="B41" s="489"/>
      <c r="C41" s="489"/>
      <c r="D41" s="492"/>
      <c r="E41" s="489"/>
      <c r="F41" s="489"/>
      <c r="G41" s="489"/>
      <c r="H41" s="492"/>
      <c r="I41" s="489"/>
      <c r="J41" s="489"/>
      <c r="K41" s="489"/>
      <c r="L41" s="489"/>
    </row>
    <row r="42" spans="2:12" x14ac:dyDescent="0.25">
      <c r="B42" s="489"/>
      <c r="C42" s="489"/>
      <c r="D42" s="492"/>
      <c r="E42" s="489"/>
      <c r="F42" s="489"/>
      <c r="G42" s="489"/>
      <c r="H42" s="492"/>
      <c r="I42" s="489"/>
      <c r="J42" s="489"/>
      <c r="K42" s="489"/>
      <c r="L42" s="489"/>
    </row>
    <row r="43" spans="2:12" x14ac:dyDescent="0.25">
      <c r="B43" s="489"/>
      <c r="C43" s="489"/>
      <c r="D43" s="492"/>
      <c r="E43" s="489"/>
      <c r="F43" s="489"/>
      <c r="G43" s="489"/>
      <c r="H43" s="492"/>
      <c r="I43" s="489"/>
      <c r="J43" s="489"/>
      <c r="K43" s="489"/>
      <c r="L43" s="489"/>
    </row>
    <row r="44" spans="2:12" x14ac:dyDescent="0.25">
      <c r="B44" s="489"/>
      <c r="C44" s="489"/>
      <c r="D44" s="492"/>
      <c r="E44" s="489"/>
      <c r="F44" s="489"/>
      <c r="G44" s="489"/>
      <c r="H44" s="492"/>
      <c r="I44" s="489"/>
      <c r="J44" s="489"/>
      <c r="K44" s="489"/>
      <c r="L44" s="489"/>
    </row>
    <row r="45" spans="2:12" x14ac:dyDescent="0.25">
      <c r="B45" s="489"/>
      <c r="C45" s="489"/>
      <c r="D45" s="492"/>
      <c r="E45" s="489"/>
      <c r="F45" s="489"/>
      <c r="G45" s="489"/>
      <c r="H45" s="492"/>
      <c r="I45" s="489"/>
      <c r="J45" s="489"/>
      <c r="K45" s="489"/>
      <c r="L45" s="489"/>
    </row>
    <row r="46" spans="2:12" x14ac:dyDescent="0.25">
      <c r="B46" s="489"/>
      <c r="C46" s="489"/>
      <c r="D46" s="492"/>
      <c r="E46" s="489"/>
      <c r="F46" s="489"/>
      <c r="G46" s="489"/>
      <c r="H46" s="492"/>
      <c r="I46" s="489"/>
      <c r="J46" s="489"/>
      <c r="K46" s="489"/>
      <c r="L46" s="489"/>
    </row>
    <row r="47" spans="2:12" x14ac:dyDescent="0.25">
      <c r="B47" s="489"/>
      <c r="C47" s="489"/>
      <c r="D47" s="492"/>
      <c r="E47" s="489"/>
      <c r="F47" s="489"/>
      <c r="G47" s="489"/>
      <c r="H47" s="492"/>
      <c r="I47" s="489"/>
      <c r="J47" s="489"/>
      <c r="K47" s="489"/>
      <c r="L47" s="489"/>
    </row>
    <row r="48" spans="2:12" x14ac:dyDescent="0.25">
      <c r="B48" s="489"/>
      <c r="C48" s="489"/>
      <c r="D48" s="492"/>
      <c r="E48" s="489"/>
      <c r="F48" s="489"/>
      <c r="G48" s="489"/>
      <c r="H48" s="492"/>
      <c r="I48" s="489"/>
      <c r="J48" s="489"/>
      <c r="K48" s="489"/>
      <c r="L48" s="489"/>
    </row>
    <row r="49" spans="2:12" x14ac:dyDescent="0.25">
      <c r="B49" s="489"/>
      <c r="C49" s="489"/>
      <c r="D49" s="492"/>
      <c r="E49" s="489"/>
      <c r="F49" s="489"/>
      <c r="G49" s="489"/>
      <c r="H49" s="492"/>
      <c r="I49" s="489"/>
      <c r="J49" s="489"/>
      <c r="K49" s="489"/>
      <c r="L49" s="489"/>
    </row>
    <row r="50" spans="2:12" x14ac:dyDescent="0.25">
      <c r="B50" s="489"/>
      <c r="C50" s="489"/>
      <c r="D50" s="492"/>
      <c r="E50" s="489"/>
      <c r="F50" s="489"/>
      <c r="G50" s="489"/>
      <c r="H50" s="492"/>
      <c r="I50" s="489"/>
      <c r="J50" s="489"/>
      <c r="K50" s="489"/>
      <c r="L50" s="489"/>
    </row>
    <row r="51" spans="2:12" x14ac:dyDescent="0.25">
      <c r="B51" s="489"/>
      <c r="C51" s="489"/>
      <c r="D51" s="492"/>
      <c r="E51" s="489"/>
      <c r="F51" s="489"/>
      <c r="G51" s="489"/>
      <c r="H51" s="492"/>
      <c r="I51" s="489"/>
      <c r="J51" s="489"/>
      <c r="K51" s="489"/>
      <c r="L51" s="489"/>
    </row>
    <row r="52" spans="2:12" x14ac:dyDescent="0.25">
      <c r="B52" s="489"/>
      <c r="C52" s="489"/>
      <c r="D52" s="492"/>
      <c r="E52" s="489"/>
      <c r="F52" s="489"/>
      <c r="G52" s="489"/>
      <c r="H52" s="492"/>
      <c r="I52" s="489"/>
      <c r="J52" s="489"/>
      <c r="K52" s="489"/>
      <c r="L52" s="489"/>
    </row>
    <row r="53" spans="2:12" x14ac:dyDescent="0.25">
      <c r="B53" s="489"/>
      <c r="C53" s="489"/>
      <c r="D53" s="492"/>
      <c r="E53" s="489"/>
      <c r="F53" s="489"/>
      <c r="G53" s="489"/>
      <c r="H53" s="492"/>
      <c r="I53" s="489"/>
      <c r="J53" s="489"/>
      <c r="K53" s="489"/>
      <c r="L53" s="489"/>
    </row>
    <row r="54" spans="2:12" x14ac:dyDescent="0.25">
      <c r="B54" s="489"/>
      <c r="C54" s="489"/>
      <c r="D54" s="492"/>
      <c r="E54" s="489"/>
      <c r="F54" s="489"/>
      <c r="G54" s="489"/>
      <c r="H54" s="492"/>
      <c r="I54" s="489"/>
      <c r="J54" s="489"/>
      <c r="K54" s="489"/>
      <c r="L54" s="489"/>
    </row>
    <row r="55" spans="2:12" x14ac:dyDescent="0.25">
      <c r="B55" s="489"/>
      <c r="C55" s="489"/>
      <c r="D55" s="492"/>
      <c r="E55" s="489"/>
      <c r="F55" s="489"/>
      <c r="G55" s="489"/>
      <c r="H55" s="492"/>
      <c r="I55" s="489"/>
      <c r="J55" s="489"/>
      <c r="K55" s="489"/>
      <c r="L55" s="489"/>
    </row>
    <row r="56" spans="2:12" x14ac:dyDescent="0.25">
      <c r="B56" s="489"/>
      <c r="C56" s="489"/>
      <c r="D56" s="492"/>
      <c r="E56" s="489"/>
      <c r="F56" s="489"/>
      <c r="G56" s="489"/>
      <c r="H56" s="492"/>
      <c r="I56" s="489"/>
      <c r="J56" s="489"/>
      <c r="K56" s="489"/>
      <c r="L56" s="489"/>
    </row>
    <row r="57" spans="2:12" x14ac:dyDescent="0.25">
      <c r="B57" s="489"/>
      <c r="C57" s="489"/>
      <c r="D57" s="492"/>
      <c r="E57" s="489"/>
      <c r="F57" s="489"/>
      <c r="G57" s="489"/>
      <c r="H57" s="492"/>
      <c r="I57" s="489"/>
      <c r="J57" s="489"/>
      <c r="K57" s="489"/>
      <c r="L57" s="489"/>
    </row>
    <row r="58" spans="2:12" x14ac:dyDescent="0.25">
      <c r="B58" s="489"/>
      <c r="C58" s="489"/>
      <c r="D58" s="492"/>
      <c r="E58" s="489"/>
      <c r="F58" s="489"/>
      <c r="G58" s="489"/>
      <c r="H58" s="492"/>
      <c r="I58" s="489"/>
      <c r="J58" s="489"/>
      <c r="K58" s="489"/>
      <c r="L58" s="489"/>
    </row>
    <row r="59" spans="2:12" x14ac:dyDescent="0.25">
      <c r="B59" s="489"/>
      <c r="C59" s="489"/>
      <c r="D59" s="492"/>
      <c r="E59" s="489"/>
      <c r="F59" s="489"/>
      <c r="G59" s="489"/>
      <c r="H59" s="492"/>
      <c r="I59" s="489"/>
      <c r="J59" s="489"/>
      <c r="K59" s="489"/>
      <c r="L59" s="489"/>
    </row>
    <row r="60" spans="2:12" x14ac:dyDescent="0.25">
      <c r="B60" s="489"/>
      <c r="C60" s="489"/>
      <c r="D60" s="492"/>
      <c r="E60" s="489"/>
      <c r="F60" s="489"/>
      <c r="G60" s="489"/>
      <c r="H60" s="492"/>
      <c r="I60" s="489"/>
      <c r="J60" s="489"/>
      <c r="K60" s="489"/>
      <c r="L60" s="489"/>
    </row>
    <row r="61" spans="2:12" x14ac:dyDescent="0.25">
      <c r="B61" s="489"/>
      <c r="C61" s="489"/>
      <c r="D61" s="492"/>
      <c r="E61" s="489"/>
      <c r="F61" s="489"/>
      <c r="G61" s="489"/>
      <c r="H61" s="492"/>
      <c r="I61" s="489"/>
      <c r="J61" s="489"/>
      <c r="K61" s="489"/>
      <c r="L61" s="489"/>
    </row>
    <row r="62" spans="2:12" x14ac:dyDescent="0.25">
      <c r="B62" s="489"/>
      <c r="C62" s="489"/>
      <c r="D62" s="492"/>
      <c r="E62" s="489"/>
      <c r="F62" s="489"/>
      <c r="G62" s="489"/>
      <c r="H62" s="492"/>
      <c r="I62" s="489"/>
      <c r="J62" s="489"/>
      <c r="K62" s="489"/>
      <c r="L62" s="489"/>
    </row>
    <row r="63" spans="2:12" x14ac:dyDescent="0.25">
      <c r="B63" s="489"/>
      <c r="C63" s="489"/>
      <c r="D63" s="492"/>
      <c r="E63" s="489"/>
      <c r="F63" s="489"/>
      <c r="G63" s="489"/>
      <c r="H63" s="492"/>
      <c r="I63" s="489"/>
      <c r="J63" s="489"/>
      <c r="K63" s="489"/>
      <c r="L63" s="489"/>
    </row>
    <row r="64" spans="2:12" x14ac:dyDescent="0.25">
      <c r="B64" s="489"/>
      <c r="C64" s="489"/>
      <c r="D64" s="492"/>
      <c r="E64" s="489"/>
      <c r="F64" s="489"/>
      <c r="G64" s="489"/>
      <c r="H64" s="492"/>
      <c r="I64" s="489"/>
      <c r="J64" s="489"/>
      <c r="K64" s="489"/>
      <c r="L64" s="489"/>
    </row>
    <row r="65" spans="2:12" x14ac:dyDescent="0.25">
      <c r="B65" s="489"/>
      <c r="C65" s="489"/>
      <c r="D65" s="492"/>
      <c r="E65" s="489"/>
      <c r="F65" s="489"/>
      <c r="G65" s="489"/>
      <c r="H65" s="492"/>
      <c r="I65" s="489"/>
      <c r="J65" s="489"/>
      <c r="K65" s="489"/>
      <c r="L65" s="489"/>
    </row>
    <row r="66" spans="2:12" x14ac:dyDescent="0.25">
      <c r="B66" s="489"/>
      <c r="C66" s="489"/>
      <c r="D66" s="492"/>
      <c r="E66" s="489"/>
      <c r="F66" s="489"/>
      <c r="G66" s="489"/>
      <c r="H66" s="492"/>
      <c r="I66" s="489"/>
      <c r="J66" s="489"/>
      <c r="K66" s="489"/>
      <c r="L66" s="489"/>
    </row>
    <row r="67" spans="2:12" x14ac:dyDescent="0.25">
      <c r="B67" s="489"/>
      <c r="C67" s="489"/>
      <c r="D67" s="492"/>
      <c r="E67" s="489"/>
      <c r="F67" s="489"/>
      <c r="G67" s="489"/>
      <c r="H67" s="492"/>
      <c r="I67" s="489"/>
      <c r="J67" s="489"/>
      <c r="K67" s="489"/>
      <c r="L67" s="489"/>
    </row>
    <row r="68" spans="2:12" x14ac:dyDescent="0.25">
      <c r="B68" s="489"/>
      <c r="C68" s="489"/>
      <c r="D68" s="492"/>
      <c r="E68" s="489"/>
      <c r="F68" s="489"/>
      <c r="G68" s="489"/>
      <c r="H68" s="492"/>
      <c r="I68" s="489"/>
      <c r="J68" s="489"/>
      <c r="K68" s="489"/>
      <c r="L68" s="489"/>
    </row>
  </sheetData>
  <autoFilter ref="B5:L68" xr:uid="{9A020BC4-DA54-49FC-8A6F-CFB5F98819BD}">
    <filterColumn colId="9">
      <filters blank="1"/>
    </filterColumn>
  </autoFilter>
  <mergeCells count="2">
    <mergeCell ref="B1:C3"/>
    <mergeCell ref="F1:F3"/>
  </mergeCells>
  <dataValidations count="3">
    <dataValidation type="list" allowBlank="1" showInputMessage="1" showErrorMessage="1" sqref="B6:B68" xr:uid="{494AC55F-D870-4B0C-A0A0-EA8FEE63E77A}">
      <formula1>AssumptionsHideRange</formula1>
    </dataValidation>
    <dataValidation type="list" allowBlank="1" showInputMessage="1" showErrorMessage="1" sqref="C6:C68" xr:uid="{2F8DBF6C-3408-47E3-A0EF-9FE25B6B8DF9}">
      <formula1>AssumptionsDistributionRange</formula1>
    </dataValidation>
    <dataValidation type="list" allowBlank="1" showInputMessage="1" showErrorMessage="1" sqref="K6:K68" xr:uid="{CDD2963D-C4CE-44D5-9DCC-B0AA2C777B1C}">
      <formula1>AssumptionsStatusRange</formula1>
    </dataValidation>
  </dataValidations>
  <pageMargins left="0.7" right="0.7" top="0.75" bottom="0.75" header="0.3" footer="0.3"/>
  <pageSetup orientation="portrait" horizontalDpi="360" verticalDpi="36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ttributesSheet">
    <pageSetUpPr fitToPage="1"/>
  </sheetPr>
  <dimension ref="A1:G18"/>
  <sheetViews>
    <sheetView showGridLines="0" defaultGridColor="0" colorId="55" zoomScaleNormal="100" workbookViewId="0">
      <selection activeCell="C5" sqref="C5"/>
    </sheetView>
  </sheetViews>
  <sheetFormatPr defaultColWidth="9.28515625" defaultRowHeight="15" x14ac:dyDescent="0.25"/>
  <cols>
    <col min="1" max="1" width="21.5703125" style="6" customWidth="1"/>
    <col min="2" max="2" width="70.5703125" style="6" customWidth="1"/>
    <col min="3" max="3" width="31.42578125" style="6" customWidth="1"/>
    <col min="4" max="4" width="35.42578125" style="6" customWidth="1"/>
    <col min="5" max="5" width="30" style="6" customWidth="1"/>
    <col min="6" max="6" width="31.5703125" style="6" customWidth="1"/>
    <col min="7" max="7" width="9.28515625" style="6" customWidth="1"/>
    <col min="8" max="16384" width="9.28515625" style="6"/>
  </cols>
  <sheetData>
    <row r="1" spans="1:7" s="17" customFormat="1" ht="60" customHeight="1" x14ac:dyDescent="0.25">
      <c r="A1" s="659" t="str">
        <f>Customer &amp; CHAR(10) &amp; Project</f>
        <v>Optus
BoSS Proposal</v>
      </c>
      <c r="B1" s="659"/>
    </row>
    <row r="2" spans="1:7" ht="15" customHeight="1" x14ac:dyDescent="0.25"/>
    <row r="3" spans="1:7" x14ac:dyDescent="0.25">
      <c r="A3" s="153" t="s">
        <v>149</v>
      </c>
      <c r="B3" s="153" t="s">
        <v>150</v>
      </c>
      <c r="C3" s="154" t="s">
        <v>151</v>
      </c>
      <c r="D3" s="154" t="s">
        <v>152</v>
      </c>
      <c r="E3" s="154" t="s">
        <v>153</v>
      </c>
      <c r="F3" s="154" t="s">
        <v>154</v>
      </c>
      <c r="G3" s="243"/>
    </row>
    <row r="4" spans="1:7" ht="25.5" x14ac:dyDescent="0.25">
      <c r="A4" s="155" t="s">
        <v>155</v>
      </c>
      <c r="B4" s="156" t="s">
        <v>156</v>
      </c>
      <c r="C4" s="257" t="s">
        <v>157</v>
      </c>
      <c r="D4" s="257" t="s">
        <v>158</v>
      </c>
      <c r="E4" s="257" t="s">
        <v>159</v>
      </c>
      <c r="F4" s="257" t="s">
        <v>160</v>
      </c>
      <c r="G4" s="244"/>
    </row>
    <row r="5" spans="1:7" ht="51" x14ac:dyDescent="0.25">
      <c r="A5" s="155" t="s">
        <v>161</v>
      </c>
      <c r="B5" s="156" t="s">
        <v>162</v>
      </c>
      <c r="C5" s="258">
        <v>45936</v>
      </c>
      <c r="D5" s="258">
        <v>43474</v>
      </c>
      <c r="E5" s="258">
        <v>43474</v>
      </c>
      <c r="F5" s="258">
        <v>43474</v>
      </c>
      <c r="G5" s="244"/>
    </row>
    <row r="6" spans="1:7" x14ac:dyDescent="0.25">
      <c r="A6" s="155" t="s">
        <v>163</v>
      </c>
      <c r="B6" s="156" t="s">
        <v>164</v>
      </c>
      <c r="C6" s="495" t="s">
        <v>165</v>
      </c>
      <c r="D6" s="495" t="s">
        <v>166</v>
      </c>
      <c r="E6" s="495" t="s">
        <v>167</v>
      </c>
      <c r="F6" s="495" t="s">
        <v>168</v>
      </c>
    </row>
    <row r="7" spans="1:7" x14ac:dyDescent="0.25">
      <c r="A7" s="155" t="s">
        <v>169</v>
      </c>
      <c r="B7" s="156" t="s">
        <v>170</v>
      </c>
      <c r="C7" s="496" t="s">
        <v>171</v>
      </c>
      <c r="D7" s="496" t="s">
        <v>172</v>
      </c>
      <c r="E7" s="496" t="s">
        <v>173</v>
      </c>
      <c r="F7" s="496" t="s">
        <v>174</v>
      </c>
    </row>
    <row r="8" spans="1:7" x14ac:dyDescent="0.25">
      <c r="A8" s="155" t="s">
        <v>175</v>
      </c>
      <c r="B8" s="156" t="s">
        <v>176</v>
      </c>
      <c r="C8" s="495" t="s">
        <v>177</v>
      </c>
      <c r="D8" s="495" t="s">
        <v>178</v>
      </c>
      <c r="E8" s="495" t="s">
        <v>179</v>
      </c>
      <c r="F8" s="495" t="s">
        <v>180</v>
      </c>
    </row>
    <row r="9" spans="1:7" x14ac:dyDescent="0.25">
      <c r="A9" s="155" t="s">
        <v>181</v>
      </c>
      <c r="B9" s="156" t="s">
        <v>182</v>
      </c>
      <c r="C9" s="496" t="s">
        <v>183</v>
      </c>
      <c r="D9" s="496" t="s">
        <v>184</v>
      </c>
      <c r="E9" s="496" t="s">
        <v>185</v>
      </c>
      <c r="F9" s="496" t="s">
        <v>186</v>
      </c>
    </row>
    <row r="12" spans="1:7" ht="15.75" x14ac:dyDescent="0.25">
      <c r="A12" s="485"/>
      <c r="B12" s="493" t="s">
        <v>187</v>
      </c>
      <c r="C12" s="494" t="str">
        <f>C3</f>
        <v>Scenario 1</v>
      </c>
      <c r="D12" s="494" t="str">
        <f t="shared" ref="D12:F12" si="0">D3</f>
        <v>Scenario 2</v>
      </c>
      <c r="E12" s="494" t="str">
        <f t="shared" si="0"/>
        <v>Scenario 3</v>
      </c>
      <c r="F12" s="494" t="str">
        <f t="shared" si="0"/>
        <v>Scenario 4</v>
      </c>
    </row>
    <row r="13" spans="1:7" x14ac:dyDescent="0.25">
      <c r="A13" s="485"/>
      <c r="B13" s="499" t="s">
        <v>188</v>
      </c>
      <c r="C13" s="509">
        <f>Scenario1AgileResourcedCUT</f>
        <v>505.75</v>
      </c>
      <c r="D13" s="509">
        <f>Scenario2AgileResourcedCUT</f>
        <v>0</v>
      </c>
      <c r="E13" s="509">
        <f>Scenario3AgileResourcedCUT</f>
        <v>0</v>
      </c>
      <c r="F13" s="509">
        <f>Scenario4AgileResourcedCUT</f>
        <v>0</v>
      </c>
    </row>
    <row r="14" spans="1:7" x14ac:dyDescent="0.25">
      <c r="A14" s="485"/>
      <c r="B14" s="499" t="s">
        <v>189</v>
      </c>
      <c r="C14" s="510" cm="1">
        <f t="array" ref="C14">Scenario1TotalPersonDays</f>
        <v>16486.387500000015</v>
      </c>
      <c r="D14" s="510">
        <f>Scenario2TotalPersonDays</f>
        <v>0</v>
      </c>
      <c r="E14" s="510" cm="1">
        <f t="array" ref="E14">Scenario3TotalPersonDays</f>
        <v>0</v>
      </c>
      <c r="F14" s="510" cm="1">
        <f t="array" ref="F14">Scenario4TotalPersonDays</f>
        <v>0</v>
      </c>
    </row>
    <row r="15" spans="1:7" x14ac:dyDescent="0.25">
      <c r="A15" s="485"/>
      <c r="B15" s="499" t="s">
        <v>190</v>
      </c>
      <c r="C15" s="510">
        <f>Scenario1TotalContingency</f>
        <v>3297.2775000000001</v>
      </c>
      <c r="D15" s="510">
        <f>Scenario2TotalContingency</f>
        <v>0</v>
      </c>
      <c r="E15" s="510">
        <f>Scenario3TotalContingency</f>
        <v>0</v>
      </c>
      <c r="F15" s="510">
        <f>Scenario4TotalContingency</f>
        <v>0</v>
      </c>
    </row>
    <row r="16" spans="1:7" x14ac:dyDescent="0.25">
      <c r="A16" s="485"/>
      <c r="B16" s="499" t="s">
        <v>191</v>
      </c>
      <c r="C16" s="510">
        <f>Scenario1TotalWarranty</f>
        <v>437.11250000000013</v>
      </c>
      <c r="D16" s="510">
        <f>Scenario2TotalWarranty</f>
        <v>0</v>
      </c>
      <c r="E16" s="510">
        <f>Scenario3TotalWarranty</f>
        <v>0</v>
      </c>
      <c r="F16" s="510">
        <f>Scenario4TotalWarranty</f>
        <v>0</v>
      </c>
    </row>
    <row r="17" spans="1:6" x14ac:dyDescent="0.25">
      <c r="A17" s="485"/>
      <c r="B17" s="500" t="s">
        <v>192</v>
      </c>
      <c r="C17" s="511">
        <f>Scenario1TotalEffort</f>
        <v>20220.777500000015</v>
      </c>
      <c r="D17" s="511">
        <f>Scenario2TotalEffort</f>
        <v>0</v>
      </c>
      <c r="E17" s="511">
        <f>Scenario3TotalEffort</f>
        <v>0</v>
      </c>
      <c r="F17" s="511">
        <f>Scenario4TotalEffort</f>
        <v>0</v>
      </c>
    </row>
    <row r="18" spans="1:6" x14ac:dyDescent="0.25">
      <c r="A18" s="485"/>
    </row>
  </sheetData>
  <sheetProtection sheet="1" objects="1" scenarios="1" formatCells="0" formatColumns="0" formatRows="0" insertHyperlinks="0" autoFilter="0"/>
  <protectedRanges>
    <protectedRange sqref="C4:F9" name="Range1"/>
  </protectedRanges>
  <mergeCells count="1">
    <mergeCell ref="A1:B1"/>
  </mergeCells>
  <conditionalFormatting sqref="C4:C9 D4:F4 D6:F9">
    <cfRule type="expression" dxfId="97" priority="1">
      <formula>ScenarioSelected=C$4</formula>
    </cfRule>
  </conditionalFormatting>
  <conditionalFormatting sqref="D5:E5">
    <cfRule type="expression" dxfId="96" priority="3">
      <formula>ScenarioSelected=D$4</formula>
    </cfRule>
  </conditionalFormatting>
  <conditionalFormatting sqref="F5">
    <cfRule type="expression" dxfId="95" priority="2">
      <formula>ScenarioSelected=F$4</formula>
    </cfRule>
  </conditionalFormatting>
  <pageMargins left="0.7" right="0.7" top="0.75" bottom="0.75" header="0.3" footer="0.3"/>
  <pageSetup paperSize="9" scale="60"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etailCutSheet">
    <tabColor theme="9" tint="0.59999389629810485"/>
    <outlinePr summaryBelow="0"/>
  </sheetPr>
  <dimension ref="A1:Q269"/>
  <sheetViews>
    <sheetView showGridLines="0" tabSelected="1" topLeftCell="A2" zoomScale="118" zoomScaleNormal="118" workbookViewId="0">
      <pane ySplit="3" topLeftCell="A29" activePane="bottomLeft" state="frozen"/>
      <selection activeCell="E34" sqref="E34"/>
      <selection pane="bottomLeft" activeCell="A259" sqref="A259"/>
    </sheetView>
  </sheetViews>
  <sheetFormatPr defaultColWidth="9.28515625" defaultRowHeight="11.25" outlineLevelRow="3" x14ac:dyDescent="0.2"/>
  <cols>
    <col min="1" max="1" width="8.5703125" style="32" customWidth="1"/>
    <col min="2" max="2" width="33.42578125" style="39" customWidth="1"/>
    <col min="3" max="3" width="58.7109375" style="39" customWidth="1"/>
    <col min="4" max="4" width="31" style="39" customWidth="1"/>
    <col min="5" max="5" width="10.5703125" style="39" customWidth="1"/>
    <col min="6" max="6" width="8.5703125" style="41" customWidth="1"/>
    <col min="7" max="10" width="4.5703125" style="40" customWidth="1"/>
    <col min="11" max="11" width="5.5703125" style="41" hidden="1" customWidth="1"/>
    <col min="12" max="12" width="6.5703125" style="41" hidden="1" customWidth="1"/>
    <col min="13" max="13" width="5" style="41" hidden="1" customWidth="1"/>
    <col min="14" max="14" width="9.28515625" style="41"/>
    <col min="15" max="15" width="6.5703125" style="21" hidden="1" customWidth="1"/>
    <col min="16" max="16384" width="9.28515625" style="32"/>
  </cols>
  <sheetData>
    <row r="1" spans="1:17" s="123" customFormat="1" hidden="1" x14ac:dyDescent="0.2">
      <c r="A1" s="123" t="s">
        <v>193</v>
      </c>
      <c r="B1" s="124"/>
      <c r="C1" s="124" t="str">
        <f>SUBSTITUTE(ADDRESS(1,COLUMN(),4),"1","")</f>
        <v>C</v>
      </c>
      <c r="D1" s="124" t="str">
        <f t="shared" ref="D1:O1" si="0">SUBSTITUTE(ADDRESS(1,COLUMN(),4),"1","")</f>
        <v>D</v>
      </c>
      <c r="E1" s="124" t="str">
        <f t="shared" si="0"/>
        <v>E</v>
      </c>
      <c r="F1" s="125" t="str">
        <f t="shared" si="0"/>
        <v>F</v>
      </c>
      <c r="G1" s="121" t="str">
        <f t="shared" si="0"/>
        <v>G</v>
      </c>
      <c r="H1" s="121" t="str">
        <f t="shared" si="0"/>
        <v>H</v>
      </c>
      <c r="I1" s="121" t="str">
        <f t="shared" si="0"/>
        <v>I</v>
      </c>
      <c r="J1" s="121" t="str">
        <f t="shared" si="0"/>
        <v>J</v>
      </c>
      <c r="K1" s="125" t="str">
        <f t="shared" si="0"/>
        <v>K</v>
      </c>
      <c r="L1" s="125" t="str">
        <f t="shared" si="0"/>
        <v>L</v>
      </c>
      <c r="M1" s="125" t="str">
        <f t="shared" si="0"/>
        <v>M</v>
      </c>
      <c r="N1" s="125" t="str">
        <f t="shared" si="0"/>
        <v>N</v>
      </c>
      <c r="O1" s="125" t="str">
        <f t="shared" si="0"/>
        <v>O</v>
      </c>
    </row>
    <row r="2" spans="1:17" s="20" customFormat="1" ht="90" customHeight="1" x14ac:dyDescent="0.2">
      <c r="A2" s="665" t="str">
        <f>Customer &amp; CHAR(10) &amp; Project</f>
        <v>Optus
BoSS Proposal</v>
      </c>
      <c r="B2" s="666"/>
      <c r="C2" s="233" t="s">
        <v>194</v>
      </c>
      <c r="D2" s="132"/>
      <c r="E2" s="661" t="s">
        <v>195</v>
      </c>
      <c r="F2" s="661" t="s">
        <v>196</v>
      </c>
      <c r="G2" s="663" t="str">
        <f>Attributes!C4</f>
        <v>Phase 1</v>
      </c>
      <c r="H2" s="663" t="str">
        <f>Attributes!D4</f>
        <v>&lt;Scenario 2&gt;</v>
      </c>
      <c r="I2" s="663" t="str">
        <f>Attributes!E4</f>
        <v>&lt;Scenario 3&gt;</v>
      </c>
      <c r="J2" s="663" t="str">
        <f>Attributes!F4</f>
        <v>&lt;Template Scenario&gt;</v>
      </c>
      <c r="K2" s="667" t="s">
        <v>197</v>
      </c>
      <c r="L2" s="667" t="s">
        <v>198</v>
      </c>
      <c r="M2" s="667" t="s">
        <v>199</v>
      </c>
      <c r="N2" s="661" t="s">
        <v>200</v>
      </c>
      <c r="O2" s="19" t="s">
        <v>201</v>
      </c>
    </row>
    <row r="3" spans="1:17" s="22" customFormat="1" ht="12.75" customHeight="1" x14ac:dyDescent="0.25">
      <c r="A3" s="660" t="str">
        <f>"Selected Scenario: " &amp; ScenarioSelected</f>
        <v>Selected Scenario: Phase 1</v>
      </c>
      <c r="B3" s="660"/>
      <c r="C3" s="53" t="s">
        <v>202</v>
      </c>
      <c r="D3" s="133">
        <f ca="1">N4</f>
        <v>495</v>
      </c>
      <c r="E3" s="662"/>
      <c r="F3" s="662"/>
      <c r="G3" s="664"/>
      <c r="H3" s="664"/>
      <c r="I3" s="664"/>
      <c r="J3" s="664"/>
      <c r="K3" s="668"/>
      <c r="L3" s="668"/>
      <c r="M3" s="668"/>
      <c r="N3" s="662"/>
      <c r="O3" s="21"/>
    </row>
    <row r="4" spans="1:17" s="27" customFormat="1" ht="35.1" customHeight="1" x14ac:dyDescent="0.25">
      <c r="A4" s="23" t="s">
        <v>203</v>
      </c>
      <c r="B4" s="24" t="s">
        <v>204</v>
      </c>
      <c r="C4" s="24" t="s">
        <v>205</v>
      </c>
      <c r="D4" s="24" t="s">
        <v>206</v>
      </c>
      <c r="E4" s="24"/>
      <c r="F4" s="24"/>
      <c r="G4" s="25">
        <f>SUM(SUMIF(G5:G268,"A",$E5:$E268), SUMIF(G5:G268,"B",$E5:$E268), SUMIF(G5:G268,"C",$E5:$E268), SUMIF(G5:G268,"D",$E5:$E268))</f>
        <v>495</v>
      </c>
      <c r="H4" s="25">
        <f>SUM(SUMIF(H5:H268,"A",$E5:$E268), SUMIF(H5:H268,"B",$E5:$E268), SUMIF(H5:H268,"C",$E5:$E268), SUMIF(H5:H268,"D",$E5:$E268))</f>
        <v>0</v>
      </c>
      <c r="I4" s="25">
        <f>SUM(SUMIF(I5:I268,"A",$E5:$E268), SUMIF(I5:I268,"B",$E5:$E268), SUMIF(I5:I268,"C",$E5:$E268), SUMIF(I5:I268,"D",$E5:$E268))</f>
        <v>0</v>
      </c>
      <c r="J4" s="25">
        <f>SUM(SUMIF(J5:J268,"A",$E5:$E268), SUMIF(J5:J268,"B",$E5:$E268), SUMIF(J5:J268,"C",$E5:$E268), SUMIF(J5:J268,"D",$E5:$E268))</f>
        <v>0</v>
      </c>
      <c r="K4" s="128" t="s">
        <v>207</v>
      </c>
      <c r="L4" s="128" t="s">
        <v>207</v>
      </c>
      <c r="M4" s="128" t="s">
        <v>208</v>
      </c>
      <c r="N4" s="26">
        <f ca="1">SUBTOTAL(9,N5:(OFFSET(INDIRECT(N$1 &amp; $O4),-1,0)))</f>
        <v>495</v>
      </c>
      <c r="O4" s="21">
        <f>ROW($A268)</f>
        <v>268</v>
      </c>
    </row>
    <row r="5" spans="1:17" s="31" customFormat="1" ht="25.15" customHeight="1" x14ac:dyDescent="0.25">
      <c r="A5" s="28" t="str">
        <f>K5 &amp; TEXT(L5,"00000")</f>
        <v>MAS00000</v>
      </c>
      <c r="B5" s="86" t="s">
        <v>209</v>
      </c>
      <c r="C5" s="87"/>
      <c r="D5" s="87"/>
      <c r="E5" s="87"/>
      <c r="F5" s="88"/>
      <c r="G5" s="89"/>
      <c r="H5" s="89"/>
      <c r="I5" s="89"/>
      <c r="J5" s="89"/>
      <c r="K5" s="29" t="s">
        <v>210</v>
      </c>
      <c r="L5" s="29">
        <v>0</v>
      </c>
      <c r="M5" s="29">
        <v>1</v>
      </c>
      <c r="N5" s="30">
        <f ca="1">SUBTOTAL(9,N6:(OFFSET(INDIRECT(N$1 &amp; $O5),-1,0)))</f>
        <v>0</v>
      </c>
      <c r="O5" s="21">
        <f>ROW($A34)</f>
        <v>34</v>
      </c>
    </row>
    <row r="6" spans="1:17" s="112" customFormat="1" ht="3.75" customHeight="1" outlineLevel="1" x14ac:dyDescent="0.2">
      <c r="A6" s="106"/>
      <c r="B6" s="108"/>
      <c r="C6" s="108"/>
      <c r="D6" s="108"/>
      <c r="E6" s="108"/>
      <c r="F6" s="109"/>
      <c r="G6" s="110"/>
      <c r="H6" s="110"/>
      <c r="I6" s="110"/>
      <c r="J6" s="110"/>
      <c r="K6" s="109"/>
      <c r="L6" s="109"/>
      <c r="M6" s="109">
        <v>-1</v>
      </c>
      <c r="N6" s="104"/>
      <c r="O6" s="111"/>
      <c r="Q6" s="31"/>
    </row>
    <row r="7" spans="1:17" outlineLevel="1" x14ac:dyDescent="0.2">
      <c r="A7" s="33" t="str">
        <f t="shared" ref="A7:A34" si="1">K7 &amp; TEXT(L7,"00000")</f>
        <v>MAS00001</v>
      </c>
      <c r="B7" s="90" t="s">
        <v>211</v>
      </c>
      <c r="C7" s="90"/>
      <c r="D7" s="90"/>
      <c r="E7" s="90"/>
      <c r="F7" s="91"/>
      <c r="G7" s="92"/>
      <c r="H7" s="92"/>
      <c r="I7" s="92"/>
      <c r="J7" s="92"/>
      <c r="K7" s="34" t="s">
        <v>210</v>
      </c>
      <c r="L7" s="34">
        <v>1</v>
      </c>
      <c r="M7" s="34">
        <v>2</v>
      </c>
      <c r="N7" s="35">
        <f ca="1">SUBTOTAL(9,N8:(OFFSET(INDIRECT(N$1 &amp; $O7),-1,0)))</f>
        <v>0</v>
      </c>
      <c r="O7" s="21">
        <f>ROW($A10)</f>
        <v>10</v>
      </c>
      <c r="Q7" s="31"/>
    </row>
    <row r="8" spans="1:17" outlineLevel="2" x14ac:dyDescent="0.2">
      <c r="A8" s="50" t="str">
        <f t="shared" si="1"/>
        <v>MAS00002</v>
      </c>
      <c r="B8" s="93" t="s">
        <v>212</v>
      </c>
      <c r="C8" s="93"/>
      <c r="D8" s="93"/>
      <c r="E8" s="93"/>
      <c r="F8" s="94"/>
      <c r="G8" s="95"/>
      <c r="H8" s="95"/>
      <c r="I8" s="95"/>
      <c r="J8" s="95"/>
      <c r="K8" s="51" t="s">
        <v>210</v>
      </c>
      <c r="L8" s="51">
        <v>2</v>
      </c>
      <c r="M8" s="51">
        <v>3</v>
      </c>
      <c r="N8" s="52">
        <f ca="1">SUBTOTAL(9,N9:(OFFSET(INDIRECT(N$1 &amp; $O8),-1,0)))</f>
        <v>0</v>
      </c>
      <c r="O8" s="21">
        <f>ROW($A10)</f>
        <v>10</v>
      </c>
      <c r="Q8" s="31"/>
    </row>
    <row r="9" spans="1:17" outlineLevel="3" x14ac:dyDescent="0.2">
      <c r="A9" s="36" t="str">
        <f t="shared" si="1"/>
        <v>MAS00003</v>
      </c>
      <c r="B9" s="96" t="s">
        <v>213</v>
      </c>
      <c r="C9" s="96"/>
      <c r="D9" s="96"/>
      <c r="E9" s="97"/>
      <c r="F9" s="98" t="s">
        <v>214</v>
      </c>
      <c r="G9" s="99" t="s">
        <v>215</v>
      </c>
      <c r="H9" s="99"/>
      <c r="I9" s="99"/>
      <c r="J9" s="99"/>
      <c r="K9" s="37" t="s">
        <v>210</v>
      </c>
      <c r="L9" s="37">
        <v>3</v>
      </c>
      <c r="M9" s="37">
        <v>4</v>
      </c>
      <c r="N9" s="38">
        <f>IF(COUNTIF(ScenarioTag,
IF(ScenarioSelected=$G$2,$G9,
IF(ScenarioSelected=$H$2,$H9,
IF(ScenarioSelected=$I$2,$I9,
IF(ScenarioSelected=$J$2,$J9,""))))
)&gt;0,$E9,0)</f>
        <v>0</v>
      </c>
      <c r="Q9" s="31"/>
    </row>
    <row r="10" spans="1:17" outlineLevel="1" x14ac:dyDescent="0.2">
      <c r="A10" s="33" t="str">
        <f t="shared" si="1"/>
        <v>MAS00004</v>
      </c>
      <c r="B10" s="90" t="s">
        <v>216</v>
      </c>
      <c r="C10" s="90"/>
      <c r="D10" s="90"/>
      <c r="E10" s="90"/>
      <c r="F10" s="91"/>
      <c r="G10" s="92"/>
      <c r="H10" s="92"/>
      <c r="I10" s="92"/>
      <c r="J10" s="92"/>
      <c r="K10" s="34" t="s">
        <v>210</v>
      </c>
      <c r="L10" s="34">
        <v>4</v>
      </c>
      <c r="M10" s="34">
        <v>2</v>
      </c>
      <c r="N10" s="35">
        <f ca="1">SUBTOTAL(9,N11:(OFFSET(INDIRECT(N$1 &amp; $O10),-1,0)))</f>
        <v>0</v>
      </c>
      <c r="O10" s="21">
        <f>ROW($A13)</f>
        <v>13</v>
      </c>
      <c r="Q10" s="31"/>
    </row>
    <row r="11" spans="1:17" outlineLevel="2" x14ac:dyDescent="0.2">
      <c r="A11" s="50" t="str">
        <f t="shared" si="1"/>
        <v>MAS00005</v>
      </c>
      <c r="B11" s="93" t="s">
        <v>217</v>
      </c>
      <c r="C11" s="93"/>
      <c r="D11" s="93"/>
      <c r="E11" s="93"/>
      <c r="F11" s="94"/>
      <c r="G11" s="95"/>
      <c r="H11" s="95"/>
      <c r="I11" s="95"/>
      <c r="J11" s="95"/>
      <c r="K11" s="51" t="s">
        <v>210</v>
      </c>
      <c r="L11" s="51">
        <v>5</v>
      </c>
      <c r="M11" s="51">
        <v>3</v>
      </c>
      <c r="N11" s="52">
        <f ca="1">SUBTOTAL(9,N12:(OFFSET(INDIRECT(N$1 &amp; $O11),-1,0)))</f>
        <v>0</v>
      </c>
      <c r="O11" s="21">
        <f>ROW($A13)</f>
        <v>13</v>
      </c>
      <c r="Q11" s="31"/>
    </row>
    <row r="12" spans="1:17" outlineLevel="3" x14ac:dyDescent="0.2">
      <c r="A12" s="36" t="str">
        <f t="shared" si="1"/>
        <v>MAS00006</v>
      </c>
      <c r="B12" s="96" t="s">
        <v>218</v>
      </c>
      <c r="C12" s="96"/>
      <c r="D12" s="96"/>
      <c r="E12" s="97"/>
      <c r="F12" s="98" t="s">
        <v>214</v>
      </c>
      <c r="G12" s="99" t="s">
        <v>215</v>
      </c>
      <c r="H12" s="99"/>
      <c r="I12" s="99"/>
      <c r="J12" s="99"/>
      <c r="K12" s="37" t="s">
        <v>210</v>
      </c>
      <c r="L12" s="37">
        <v>6</v>
      </c>
      <c r="M12" s="37">
        <v>4</v>
      </c>
      <c r="N12" s="38">
        <f>IF(COUNTIF(ScenarioTag,
IF(ScenarioSelected=$G$2,$G12,
IF(ScenarioSelected=$H$2,$H12,
IF(ScenarioSelected=$I$2,$I12,
IF(ScenarioSelected=$J$2,$J12,""))))
)&gt;0,$E12,0)</f>
        <v>0</v>
      </c>
      <c r="Q12" s="31"/>
    </row>
    <row r="13" spans="1:17" outlineLevel="1" x14ac:dyDescent="0.2">
      <c r="A13" s="33" t="str">
        <f t="shared" si="1"/>
        <v>MAS00007</v>
      </c>
      <c r="B13" s="90" t="s">
        <v>219</v>
      </c>
      <c r="C13" s="90"/>
      <c r="D13" s="90"/>
      <c r="E13" s="90"/>
      <c r="F13" s="91"/>
      <c r="G13" s="92"/>
      <c r="H13" s="92"/>
      <c r="I13" s="92"/>
      <c r="J13" s="92"/>
      <c r="K13" s="34" t="s">
        <v>210</v>
      </c>
      <c r="L13" s="34">
        <v>7</v>
      </c>
      <c r="M13" s="34">
        <v>2</v>
      </c>
      <c r="N13" s="35">
        <f ca="1">SUBTOTAL(9,N14:(OFFSET(INDIRECT(N$1 &amp; $O13),-1,0)))</f>
        <v>0</v>
      </c>
      <c r="O13" s="21">
        <f>ROW($A16)</f>
        <v>16</v>
      </c>
      <c r="Q13" s="31"/>
    </row>
    <row r="14" spans="1:17" outlineLevel="2" x14ac:dyDescent="0.2">
      <c r="A14" s="50" t="str">
        <f t="shared" si="1"/>
        <v>MAS00008</v>
      </c>
      <c r="B14" s="93" t="s">
        <v>220</v>
      </c>
      <c r="C14" s="93"/>
      <c r="D14" s="93"/>
      <c r="E14" s="93"/>
      <c r="F14" s="94"/>
      <c r="G14" s="95"/>
      <c r="H14" s="95"/>
      <c r="I14" s="95"/>
      <c r="J14" s="95"/>
      <c r="K14" s="51" t="s">
        <v>210</v>
      </c>
      <c r="L14" s="51">
        <v>8</v>
      </c>
      <c r="M14" s="51">
        <v>3</v>
      </c>
      <c r="N14" s="52">
        <f ca="1">SUBTOTAL(9,N15:(OFFSET(INDIRECT(N$1 &amp; $O14),-1,0)))</f>
        <v>0</v>
      </c>
      <c r="O14" s="21">
        <f>ROW($A16)</f>
        <v>16</v>
      </c>
      <c r="Q14" s="31"/>
    </row>
    <row r="15" spans="1:17" outlineLevel="3" x14ac:dyDescent="0.2">
      <c r="A15" s="36" t="str">
        <f t="shared" si="1"/>
        <v>MAS00009</v>
      </c>
      <c r="B15" s="96" t="s">
        <v>221</v>
      </c>
      <c r="C15" s="96"/>
      <c r="D15" s="96"/>
      <c r="E15" s="97"/>
      <c r="F15" s="98" t="s">
        <v>214</v>
      </c>
      <c r="G15" s="99" t="s">
        <v>215</v>
      </c>
      <c r="H15" s="99"/>
      <c r="I15" s="99"/>
      <c r="J15" s="99"/>
      <c r="K15" s="37" t="s">
        <v>210</v>
      </c>
      <c r="L15" s="37">
        <v>9</v>
      </c>
      <c r="M15" s="37">
        <v>4</v>
      </c>
      <c r="N15" s="38">
        <f>IF(COUNTIF(ScenarioTag,
IF(ScenarioSelected=$G$2,$G15,
IF(ScenarioSelected=$H$2,$H15,
IF(ScenarioSelected=$I$2,$I15,
IF(ScenarioSelected=$J$2,$J15,""))))
)&gt;0,$E15,0)</f>
        <v>0</v>
      </c>
      <c r="Q15" s="31"/>
    </row>
    <row r="16" spans="1:17" outlineLevel="1" x14ac:dyDescent="0.2">
      <c r="A16" s="33" t="str">
        <f t="shared" si="1"/>
        <v>MAS00010</v>
      </c>
      <c r="B16" s="90" t="s">
        <v>222</v>
      </c>
      <c r="C16" s="90"/>
      <c r="D16" s="90"/>
      <c r="E16" s="90"/>
      <c r="F16" s="91"/>
      <c r="G16" s="92"/>
      <c r="H16" s="92"/>
      <c r="I16" s="92"/>
      <c r="J16" s="92"/>
      <c r="K16" s="34" t="s">
        <v>210</v>
      </c>
      <c r="L16" s="34">
        <v>10</v>
      </c>
      <c r="M16" s="34">
        <v>2</v>
      </c>
      <c r="N16" s="35">
        <f ca="1">SUBTOTAL(9,N17:(OFFSET(INDIRECT(N$1 &amp; $O16),-1,0)))</f>
        <v>0</v>
      </c>
      <c r="O16" s="21">
        <f>ROW($A19)</f>
        <v>19</v>
      </c>
      <c r="Q16" s="31"/>
    </row>
    <row r="17" spans="1:17" outlineLevel="2" x14ac:dyDescent="0.2">
      <c r="A17" s="50" t="str">
        <f t="shared" si="1"/>
        <v>MAS00011</v>
      </c>
      <c r="B17" s="93" t="s">
        <v>223</v>
      </c>
      <c r="C17" s="93"/>
      <c r="D17" s="93"/>
      <c r="E17" s="93"/>
      <c r="F17" s="94"/>
      <c r="G17" s="95"/>
      <c r="H17" s="95"/>
      <c r="I17" s="95"/>
      <c r="J17" s="95"/>
      <c r="K17" s="51" t="s">
        <v>210</v>
      </c>
      <c r="L17" s="51">
        <v>11</v>
      </c>
      <c r="M17" s="51">
        <v>3</v>
      </c>
      <c r="N17" s="52">
        <f ca="1">SUBTOTAL(9,N18:(OFFSET(INDIRECT(N$1 &amp; $O17),-1,0)))</f>
        <v>0</v>
      </c>
      <c r="O17" s="21">
        <f>ROW($A19)</f>
        <v>19</v>
      </c>
      <c r="Q17" s="31"/>
    </row>
    <row r="18" spans="1:17" outlineLevel="3" x14ac:dyDescent="0.2">
      <c r="A18" s="36" t="str">
        <f t="shared" si="1"/>
        <v>MAS00012</v>
      </c>
      <c r="B18" s="96" t="s">
        <v>224</v>
      </c>
      <c r="C18" s="96"/>
      <c r="D18" s="96"/>
      <c r="E18" s="97"/>
      <c r="F18" s="98" t="s">
        <v>214</v>
      </c>
      <c r="G18" s="99" t="s">
        <v>225</v>
      </c>
      <c r="H18" s="99"/>
      <c r="I18" s="99"/>
      <c r="J18" s="99"/>
      <c r="K18" s="37" t="s">
        <v>210</v>
      </c>
      <c r="L18" s="37">
        <v>12</v>
      </c>
      <c r="M18" s="37">
        <v>4</v>
      </c>
      <c r="N18" s="38">
        <f>IF(COUNTIF(ScenarioTag,
IF(ScenarioSelected=$G$2,$G18,
IF(ScenarioSelected=$H$2,$H18,
IF(ScenarioSelected=$I$2,$I18,
IF(ScenarioSelected=$J$2,$J18,""))))
)&gt;0,$E18,0)</f>
        <v>0</v>
      </c>
      <c r="Q18" s="31"/>
    </row>
    <row r="19" spans="1:17" outlineLevel="1" x14ac:dyDescent="0.2">
      <c r="A19" s="33" t="str">
        <f t="shared" si="1"/>
        <v>MAS00013</v>
      </c>
      <c r="B19" s="90" t="s">
        <v>226</v>
      </c>
      <c r="C19" s="90"/>
      <c r="D19" s="90"/>
      <c r="E19" s="90"/>
      <c r="F19" s="91"/>
      <c r="G19" s="92"/>
      <c r="H19" s="92"/>
      <c r="I19" s="92"/>
      <c r="J19" s="92"/>
      <c r="K19" s="34" t="s">
        <v>210</v>
      </c>
      <c r="L19" s="34">
        <v>13</v>
      </c>
      <c r="M19" s="34">
        <v>2</v>
      </c>
      <c r="N19" s="35">
        <f ca="1">SUBTOTAL(9,N20:(OFFSET(INDIRECT(N$1 &amp; $O19),-1,0)))</f>
        <v>0</v>
      </c>
      <c r="O19" s="21">
        <f>ROW($A22)</f>
        <v>22</v>
      </c>
      <c r="Q19" s="31"/>
    </row>
    <row r="20" spans="1:17" outlineLevel="2" x14ac:dyDescent="0.2">
      <c r="A20" s="50" t="str">
        <f t="shared" si="1"/>
        <v>MAS00014</v>
      </c>
      <c r="B20" s="93" t="s">
        <v>227</v>
      </c>
      <c r="C20" s="93"/>
      <c r="D20" s="93"/>
      <c r="E20" s="93"/>
      <c r="F20" s="94"/>
      <c r="G20" s="95"/>
      <c r="H20" s="95"/>
      <c r="I20" s="95"/>
      <c r="J20" s="95"/>
      <c r="K20" s="51" t="s">
        <v>210</v>
      </c>
      <c r="L20" s="51">
        <v>14</v>
      </c>
      <c r="M20" s="51">
        <v>3</v>
      </c>
      <c r="N20" s="52">
        <f ca="1">SUBTOTAL(9,N21:(OFFSET(INDIRECT(N$1 &amp; $O20),-1,0)))</f>
        <v>0</v>
      </c>
      <c r="O20" s="21">
        <f>ROW($A22)</f>
        <v>22</v>
      </c>
      <c r="Q20" s="31"/>
    </row>
    <row r="21" spans="1:17" outlineLevel="3" x14ac:dyDescent="0.2">
      <c r="A21" s="36" t="str">
        <f t="shared" si="1"/>
        <v>MAS00015</v>
      </c>
      <c r="B21" s="96" t="s">
        <v>228</v>
      </c>
      <c r="C21" s="96"/>
      <c r="D21" s="96"/>
      <c r="E21" s="97"/>
      <c r="F21" s="98" t="s">
        <v>214</v>
      </c>
      <c r="G21" s="99" t="s">
        <v>215</v>
      </c>
      <c r="H21" s="99"/>
      <c r="I21" s="99"/>
      <c r="J21" s="99"/>
      <c r="K21" s="37" t="s">
        <v>210</v>
      </c>
      <c r="L21" s="37">
        <v>15</v>
      </c>
      <c r="M21" s="37">
        <v>4</v>
      </c>
      <c r="N21" s="38">
        <f>IF(COUNTIF(ScenarioTag,
IF(ScenarioSelected=$G$2,$G21,
IF(ScenarioSelected=$H$2,$H21,
IF(ScenarioSelected=$I$2,$I21,
IF(ScenarioSelected=$J$2,$J21,""))))
)&gt;0,$E21,0)</f>
        <v>0</v>
      </c>
      <c r="Q21" s="31"/>
    </row>
    <row r="22" spans="1:17" outlineLevel="1" x14ac:dyDescent="0.2">
      <c r="A22" s="33" t="str">
        <f t="shared" ref="A22:A33" si="2">K22 &amp; TEXT(L22,"00000")</f>
        <v>MAS00016</v>
      </c>
      <c r="B22" s="90" t="s">
        <v>229</v>
      </c>
      <c r="C22" s="90"/>
      <c r="D22" s="90"/>
      <c r="E22" s="90"/>
      <c r="F22" s="91"/>
      <c r="G22" s="92"/>
      <c r="H22" s="92"/>
      <c r="I22" s="92"/>
      <c r="J22" s="92"/>
      <c r="K22" s="34" t="s">
        <v>210</v>
      </c>
      <c r="L22" s="34">
        <v>16</v>
      </c>
      <c r="M22" s="34">
        <v>2</v>
      </c>
      <c r="N22" s="35">
        <f ca="1">SUBTOTAL(9,N23:(OFFSET(INDIRECT(N$1 &amp; $O22),-1,0)))</f>
        <v>0</v>
      </c>
      <c r="O22" s="21">
        <f>ROW($A25)</f>
        <v>25</v>
      </c>
      <c r="Q22" s="31"/>
    </row>
    <row r="23" spans="1:17" outlineLevel="2" x14ac:dyDescent="0.2">
      <c r="A23" s="50" t="str">
        <f t="shared" si="2"/>
        <v>MAS00017</v>
      </c>
      <c r="B23" s="93" t="s">
        <v>230</v>
      </c>
      <c r="C23" s="93"/>
      <c r="D23" s="93"/>
      <c r="E23" s="93"/>
      <c r="F23" s="94"/>
      <c r="G23" s="95"/>
      <c r="H23" s="95"/>
      <c r="I23" s="95"/>
      <c r="J23" s="95"/>
      <c r="K23" s="51" t="s">
        <v>210</v>
      </c>
      <c r="L23" s="51">
        <v>17</v>
      </c>
      <c r="M23" s="51">
        <v>3</v>
      </c>
      <c r="N23" s="52">
        <f ca="1">SUBTOTAL(9,N24:(OFFSET(INDIRECT(N$1 &amp; $O23),-1,0)))</f>
        <v>0</v>
      </c>
      <c r="O23" s="21">
        <f>ROW($A25)</f>
        <v>25</v>
      </c>
      <c r="Q23" s="31"/>
    </row>
    <row r="24" spans="1:17" outlineLevel="3" x14ac:dyDescent="0.2">
      <c r="A24" s="36" t="str">
        <f t="shared" si="2"/>
        <v>MAS00018</v>
      </c>
      <c r="B24" s="96" t="s">
        <v>231</v>
      </c>
      <c r="C24" s="96"/>
      <c r="D24" s="96"/>
      <c r="E24" s="97"/>
      <c r="F24" s="98" t="s">
        <v>214</v>
      </c>
      <c r="G24" s="99" t="s">
        <v>215</v>
      </c>
      <c r="H24" s="99"/>
      <c r="I24" s="99"/>
      <c r="J24" s="99"/>
      <c r="K24" s="37" t="s">
        <v>210</v>
      </c>
      <c r="L24" s="37">
        <v>18</v>
      </c>
      <c r="M24" s="37">
        <v>4</v>
      </c>
      <c r="N24" s="38">
        <f>IF(COUNTIF(ScenarioTag,
IF(ScenarioSelected=$G$2,$G24,
IF(ScenarioSelected=$H$2,$H24,
IF(ScenarioSelected=$I$2,$I24,
IF(ScenarioSelected=$J$2,$J24,""))))
)&gt;0,$E24,0)</f>
        <v>0</v>
      </c>
      <c r="Q24" s="31"/>
    </row>
    <row r="25" spans="1:17" outlineLevel="1" x14ac:dyDescent="0.2">
      <c r="A25" s="33" t="str">
        <f t="shared" si="2"/>
        <v>MAS00019</v>
      </c>
      <c r="B25" s="90" t="s">
        <v>232</v>
      </c>
      <c r="C25" s="90"/>
      <c r="D25" s="90"/>
      <c r="E25" s="90"/>
      <c r="F25" s="91"/>
      <c r="G25" s="92"/>
      <c r="H25" s="92"/>
      <c r="I25" s="92"/>
      <c r="J25" s="92"/>
      <c r="K25" s="34" t="s">
        <v>210</v>
      </c>
      <c r="L25" s="34">
        <v>19</v>
      </c>
      <c r="M25" s="34">
        <v>2</v>
      </c>
      <c r="N25" s="35">
        <f ca="1">SUBTOTAL(9,N26:(OFFSET(INDIRECT(N$1 &amp; $O25),-1,0)))</f>
        <v>0</v>
      </c>
      <c r="O25" s="21">
        <f>ROW($A28)</f>
        <v>28</v>
      </c>
      <c r="Q25" s="31"/>
    </row>
    <row r="26" spans="1:17" outlineLevel="2" x14ac:dyDescent="0.2">
      <c r="A26" s="50" t="str">
        <f t="shared" si="2"/>
        <v>MAS00020</v>
      </c>
      <c r="B26" s="93" t="s">
        <v>233</v>
      </c>
      <c r="C26" s="93"/>
      <c r="D26" s="93"/>
      <c r="E26" s="93"/>
      <c r="F26" s="94"/>
      <c r="G26" s="95"/>
      <c r="H26" s="95"/>
      <c r="I26" s="95"/>
      <c r="J26" s="95"/>
      <c r="K26" s="51" t="s">
        <v>210</v>
      </c>
      <c r="L26" s="51">
        <v>20</v>
      </c>
      <c r="M26" s="51">
        <v>3</v>
      </c>
      <c r="N26" s="52">
        <f ca="1">SUBTOTAL(9,N27:(OFFSET(INDIRECT(N$1 &amp; $O26),-1,0)))</f>
        <v>0</v>
      </c>
      <c r="O26" s="21">
        <f>ROW($A28)</f>
        <v>28</v>
      </c>
      <c r="Q26" s="31"/>
    </row>
    <row r="27" spans="1:17" outlineLevel="3" x14ac:dyDescent="0.2">
      <c r="A27" s="36" t="str">
        <f t="shared" si="2"/>
        <v>MAS00021</v>
      </c>
      <c r="B27" s="96" t="s">
        <v>234</v>
      </c>
      <c r="C27" s="96"/>
      <c r="D27" s="96"/>
      <c r="E27" s="97"/>
      <c r="F27" s="98" t="s">
        <v>214</v>
      </c>
      <c r="G27" s="99" t="s">
        <v>215</v>
      </c>
      <c r="H27" s="99"/>
      <c r="I27" s="99"/>
      <c r="J27" s="99"/>
      <c r="K27" s="37" t="s">
        <v>210</v>
      </c>
      <c r="L27" s="37">
        <v>21</v>
      </c>
      <c r="M27" s="37">
        <v>4</v>
      </c>
      <c r="N27" s="38">
        <f>IF(COUNTIF(ScenarioTag,
IF(ScenarioSelected=$G$2,$G27,
IF(ScenarioSelected=$H$2,$H27,
IF(ScenarioSelected=$I$2,$I27,
IF(ScenarioSelected=$J$2,$J27,""))))
)&gt;0,$E27,0)</f>
        <v>0</v>
      </c>
      <c r="Q27" s="31"/>
    </row>
    <row r="28" spans="1:17" outlineLevel="1" x14ac:dyDescent="0.2">
      <c r="A28" s="33" t="str">
        <f t="shared" si="2"/>
        <v>MAS00022</v>
      </c>
      <c r="B28" s="90" t="s">
        <v>235</v>
      </c>
      <c r="C28" s="90"/>
      <c r="D28" s="90"/>
      <c r="E28" s="90"/>
      <c r="F28" s="91"/>
      <c r="G28" s="92"/>
      <c r="H28" s="92"/>
      <c r="I28" s="92"/>
      <c r="J28" s="92"/>
      <c r="K28" s="34" t="s">
        <v>210</v>
      </c>
      <c r="L28" s="34">
        <v>22</v>
      </c>
      <c r="M28" s="34">
        <v>2</v>
      </c>
      <c r="N28" s="35">
        <f ca="1">SUBTOTAL(9,N29:(OFFSET(INDIRECT(N$1 &amp; $O28),-1,0)))</f>
        <v>0</v>
      </c>
      <c r="O28" s="21">
        <f>ROW($A31)</f>
        <v>31</v>
      </c>
      <c r="Q28" s="31"/>
    </row>
    <row r="29" spans="1:17" outlineLevel="2" x14ac:dyDescent="0.2">
      <c r="A29" s="50" t="str">
        <f t="shared" si="2"/>
        <v>MAS00023</v>
      </c>
      <c r="B29" s="93" t="s">
        <v>236</v>
      </c>
      <c r="C29" s="93"/>
      <c r="D29" s="93"/>
      <c r="E29" s="93"/>
      <c r="F29" s="94"/>
      <c r="G29" s="95"/>
      <c r="H29" s="95"/>
      <c r="I29" s="95"/>
      <c r="J29" s="95"/>
      <c r="K29" s="51" t="s">
        <v>210</v>
      </c>
      <c r="L29" s="51">
        <v>23</v>
      </c>
      <c r="M29" s="51">
        <v>3</v>
      </c>
      <c r="N29" s="52">
        <f ca="1">SUBTOTAL(9,N30:(OFFSET(INDIRECT(N$1 &amp; $O29),-1,0)))</f>
        <v>0</v>
      </c>
      <c r="O29" s="21">
        <f>ROW($A31)</f>
        <v>31</v>
      </c>
      <c r="Q29" s="31"/>
    </row>
    <row r="30" spans="1:17" outlineLevel="3" x14ac:dyDescent="0.2">
      <c r="A30" s="36" t="str">
        <f t="shared" si="2"/>
        <v>MAS00024</v>
      </c>
      <c r="B30" s="96" t="s">
        <v>237</v>
      </c>
      <c r="C30" s="96"/>
      <c r="D30" s="96"/>
      <c r="E30" s="97"/>
      <c r="F30" s="98" t="s">
        <v>214</v>
      </c>
      <c r="G30" s="99" t="s">
        <v>215</v>
      </c>
      <c r="H30" s="99"/>
      <c r="I30" s="99"/>
      <c r="J30" s="99"/>
      <c r="K30" s="37" t="s">
        <v>210</v>
      </c>
      <c r="L30" s="37">
        <v>24</v>
      </c>
      <c r="M30" s="37">
        <v>4</v>
      </c>
      <c r="N30" s="38">
        <f>IF(COUNTIF(ScenarioTag,
IF(ScenarioSelected=$G$2,$G30,
IF(ScenarioSelected=$H$2,$H30,
IF(ScenarioSelected=$I$2,$I30,
IF(ScenarioSelected=$J$2,$J30,""))))
)&gt;0,$E30,0)</f>
        <v>0</v>
      </c>
      <c r="Q30" s="31"/>
    </row>
    <row r="31" spans="1:17" outlineLevel="1" x14ac:dyDescent="0.2">
      <c r="A31" s="33" t="str">
        <f t="shared" si="2"/>
        <v>MAS00025</v>
      </c>
      <c r="B31" s="90" t="s">
        <v>238</v>
      </c>
      <c r="C31" s="90"/>
      <c r="D31" s="90"/>
      <c r="E31" s="90"/>
      <c r="F31" s="91"/>
      <c r="G31" s="92"/>
      <c r="H31" s="92"/>
      <c r="I31" s="92"/>
      <c r="J31" s="92"/>
      <c r="K31" s="34" t="s">
        <v>210</v>
      </c>
      <c r="L31" s="34">
        <v>25</v>
      </c>
      <c r="M31" s="34">
        <v>2</v>
      </c>
      <c r="N31" s="35">
        <f ca="1">SUBTOTAL(9,N32:(OFFSET(INDIRECT(N$1 &amp; $O31),-1,0)))</f>
        <v>0</v>
      </c>
      <c r="O31" s="21">
        <f>ROW($A34)</f>
        <v>34</v>
      </c>
      <c r="Q31" s="31"/>
    </row>
    <row r="32" spans="1:17" outlineLevel="2" x14ac:dyDescent="0.2">
      <c r="A32" s="50" t="str">
        <f t="shared" si="2"/>
        <v>MAS00026</v>
      </c>
      <c r="B32" s="93" t="s">
        <v>239</v>
      </c>
      <c r="C32" s="93"/>
      <c r="D32" s="93"/>
      <c r="E32" s="93"/>
      <c r="F32" s="94"/>
      <c r="G32" s="95"/>
      <c r="H32" s="95"/>
      <c r="I32" s="95"/>
      <c r="J32" s="95"/>
      <c r="K32" s="51" t="s">
        <v>210</v>
      </c>
      <c r="L32" s="51">
        <v>26</v>
      </c>
      <c r="M32" s="51">
        <v>3</v>
      </c>
      <c r="N32" s="52">
        <f ca="1">SUBTOTAL(9,N33:(OFFSET(INDIRECT(N$1 &amp; $O32),-1,0)))</f>
        <v>0</v>
      </c>
      <c r="O32" s="21">
        <f>ROW($A34)</f>
        <v>34</v>
      </c>
      <c r="Q32" s="31"/>
    </row>
    <row r="33" spans="1:17" outlineLevel="3" x14ac:dyDescent="0.2">
      <c r="A33" s="36" t="str">
        <f t="shared" si="2"/>
        <v>MAS00027</v>
      </c>
      <c r="B33" s="96" t="s">
        <v>240</v>
      </c>
      <c r="C33" s="96"/>
      <c r="D33" s="96"/>
      <c r="E33" s="97">
        <v>0</v>
      </c>
      <c r="F33" s="98" t="s">
        <v>214</v>
      </c>
      <c r="G33" s="99" t="s">
        <v>215</v>
      </c>
      <c r="H33" s="99"/>
      <c r="I33" s="99"/>
      <c r="J33" s="99"/>
      <c r="K33" s="37" t="s">
        <v>210</v>
      </c>
      <c r="L33" s="37">
        <v>27</v>
      </c>
      <c r="M33" s="37">
        <v>4</v>
      </c>
      <c r="N33" s="38">
        <f>IF(COUNTIF(ScenarioTag,
IF(ScenarioSelected=$G$2,$G33,
IF(ScenarioSelected=$H$2,$H33,
IF(ScenarioSelected=$I$2,$I33,
IF(ScenarioSelected=$J$2,$J33,""))))
)&gt;0,$E33,0)</f>
        <v>0</v>
      </c>
      <c r="Q33" s="31"/>
    </row>
    <row r="34" spans="1:17" s="31" customFormat="1" ht="25.15" customHeight="1" x14ac:dyDescent="0.25">
      <c r="A34" s="28" t="str">
        <f t="shared" si="1"/>
        <v>PRD00000</v>
      </c>
      <c r="B34" s="86" t="s">
        <v>241</v>
      </c>
      <c r="C34" s="87"/>
      <c r="D34" s="87"/>
      <c r="E34" s="87"/>
      <c r="F34" s="88"/>
      <c r="G34" s="89"/>
      <c r="H34" s="89"/>
      <c r="I34" s="89"/>
      <c r="J34" s="89"/>
      <c r="K34" s="29" t="s">
        <v>242</v>
      </c>
      <c r="L34" s="29">
        <v>0</v>
      </c>
      <c r="M34" s="29">
        <v>1</v>
      </c>
      <c r="N34" s="30">
        <f ca="1">SUBTOTAL(9,N35:(OFFSET(INDIRECT(N$1 &amp; $O34),-1,0)))</f>
        <v>25</v>
      </c>
      <c r="O34" s="21">
        <f>ROW($A50)</f>
        <v>50</v>
      </c>
    </row>
    <row r="35" spans="1:17" s="116" customFormat="1" ht="4.1500000000000004" customHeight="1" outlineLevel="1" x14ac:dyDescent="0.25">
      <c r="A35" s="107"/>
      <c r="B35" s="113"/>
      <c r="C35" s="114"/>
      <c r="D35" s="114"/>
      <c r="E35" s="114"/>
      <c r="F35" s="109"/>
      <c r="G35" s="115"/>
      <c r="H35" s="115"/>
      <c r="I35" s="115"/>
      <c r="J35" s="115"/>
      <c r="K35" s="109"/>
      <c r="L35" s="109"/>
      <c r="M35" s="109">
        <v>-1</v>
      </c>
      <c r="N35" s="104"/>
      <c r="O35" s="111"/>
      <c r="Q35" s="31"/>
    </row>
    <row r="36" spans="1:17" outlineLevel="1" x14ac:dyDescent="0.2">
      <c r="A36" s="33" t="str">
        <f t="shared" ref="A36:A50" si="3">K36 &amp; TEXT(L36,"00000")</f>
        <v>PRD00001</v>
      </c>
      <c r="B36" s="100" t="s">
        <v>243</v>
      </c>
      <c r="C36" s="100"/>
      <c r="D36" s="100"/>
      <c r="E36" s="100"/>
      <c r="F36" s="91"/>
      <c r="G36" s="92"/>
      <c r="H36" s="92"/>
      <c r="I36" s="92"/>
      <c r="J36" s="92"/>
      <c r="K36" s="34" t="s">
        <v>242</v>
      </c>
      <c r="L36" s="34">
        <v>1</v>
      </c>
      <c r="M36" s="34">
        <v>2</v>
      </c>
      <c r="N36" s="35">
        <f ca="1">SUBTOTAL(9,N37:(OFFSET(INDIRECT(N$1 &amp; $O36),-1,0)))</f>
        <v>25</v>
      </c>
      <c r="O36" s="21">
        <f>ROW($A41)</f>
        <v>41</v>
      </c>
      <c r="Q36" s="31"/>
    </row>
    <row r="37" spans="1:17" outlineLevel="2" x14ac:dyDescent="0.2">
      <c r="A37" s="50" t="str">
        <f t="shared" si="3"/>
        <v>PRD00002</v>
      </c>
      <c r="B37" s="101" t="s">
        <v>244</v>
      </c>
      <c r="C37" s="101"/>
      <c r="D37" s="101"/>
      <c r="E37" s="101"/>
      <c r="F37" s="94"/>
      <c r="G37" s="95"/>
      <c r="H37" s="95"/>
      <c r="I37" s="95"/>
      <c r="J37" s="95"/>
      <c r="K37" s="51" t="s">
        <v>242</v>
      </c>
      <c r="L37" s="51">
        <v>2</v>
      </c>
      <c r="M37" s="51">
        <v>3</v>
      </c>
      <c r="N37" s="52">
        <f ca="1">SUBTOTAL(9,N38:(OFFSET(INDIRECT(N$1 &amp; $O37),-1,0)))</f>
        <v>25</v>
      </c>
      <c r="O37" s="21">
        <f>ROW($A41)</f>
        <v>41</v>
      </c>
      <c r="Q37" s="31"/>
    </row>
    <row r="38" spans="1:17" outlineLevel="3" x14ac:dyDescent="0.2">
      <c r="A38" s="36" t="str">
        <f t="shared" si="3"/>
        <v>PRD00003</v>
      </c>
      <c r="B38" s="102" t="s">
        <v>244</v>
      </c>
      <c r="C38" s="102" t="s">
        <v>245</v>
      </c>
      <c r="D38" s="102" t="s">
        <v>246</v>
      </c>
      <c r="E38" s="97"/>
      <c r="F38" s="98" t="s">
        <v>247</v>
      </c>
      <c r="G38" s="99" t="s">
        <v>215</v>
      </c>
      <c r="H38" s="99"/>
      <c r="I38" s="99"/>
      <c r="J38" s="99"/>
      <c r="K38" s="37" t="s">
        <v>242</v>
      </c>
      <c r="L38" s="37">
        <v>3</v>
      </c>
      <c r="M38" s="37">
        <v>4</v>
      </c>
      <c r="N38" s="38">
        <f>IF(COUNTIF(ScenarioTag,
IF(ScenarioSelected=$G$2,$G38,
IF(ScenarioSelected=$H$2,$H38,
IF(ScenarioSelected=$I$2,$I38,
IF(ScenarioSelected=$J$2,$J38,""))))
)&gt;0,$E38,0)</f>
        <v>0</v>
      </c>
      <c r="Q38" s="31"/>
    </row>
    <row r="39" spans="1:17" outlineLevel="3" x14ac:dyDescent="0.2">
      <c r="A39" s="36" t="str">
        <f t="shared" ref="A39" si="4">K39 &amp; TEXT(L39,"00000")</f>
        <v>PRD00201</v>
      </c>
      <c r="B39" s="102" t="s">
        <v>248</v>
      </c>
      <c r="C39" s="626"/>
      <c r="D39" s="102" t="s">
        <v>249</v>
      </c>
      <c r="E39" s="97">
        <v>20</v>
      </c>
      <c r="F39" s="98" t="s">
        <v>247</v>
      </c>
      <c r="G39" s="99" t="s">
        <v>215</v>
      </c>
      <c r="H39" s="99"/>
      <c r="I39" s="99"/>
      <c r="J39" s="99"/>
      <c r="K39" s="37" t="s">
        <v>242</v>
      </c>
      <c r="L39" s="37">
        <v>201</v>
      </c>
      <c r="M39" s="37">
        <v>4</v>
      </c>
      <c r="N39" s="38">
        <f>IF(COUNTIF(ScenarioTag,
IF(ScenarioSelected=$G$2,$G39,
IF(ScenarioSelected=$H$2,$H39,
IF(ScenarioSelected=$I$2,$I39,
IF(ScenarioSelected=$J$2,$J39,""))))
)&gt;0,$E39,0)</f>
        <v>20</v>
      </c>
      <c r="Q39" s="31"/>
    </row>
    <row r="40" spans="1:17" outlineLevel="3" x14ac:dyDescent="0.2">
      <c r="A40" s="36" t="str">
        <f t="shared" ref="A40" si="5">K40 &amp; TEXT(L40,"00000")</f>
        <v>PRD00202</v>
      </c>
      <c r="B40" s="102" t="s">
        <v>1200</v>
      </c>
      <c r="C40" s="626" t="s">
        <v>1197</v>
      </c>
      <c r="D40" s="102"/>
      <c r="E40" s="97">
        <v>5</v>
      </c>
      <c r="F40" s="98" t="s">
        <v>953</v>
      </c>
      <c r="G40" s="99" t="s">
        <v>215</v>
      </c>
      <c r="H40" s="99"/>
      <c r="I40" s="99"/>
      <c r="J40" s="99"/>
      <c r="K40" s="37" t="s">
        <v>242</v>
      </c>
      <c r="L40" s="37">
        <v>202</v>
      </c>
      <c r="M40" s="37">
        <v>4</v>
      </c>
      <c r="N40" s="38">
        <f>IF(COUNTIF(ScenarioTag,
IF(ScenarioSelected=$G$2,$G40,
IF(ScenarioSelected=$H$2,$H40,
IF(ScenarioSelected=$I$2,$I40,
IF(ScenarioSelected=$J$2,$J40,""))))
)&gt;0,$E40,0)</f>
        <v>5</v>
      </c>
      <c r="Q40" s="31"/>
    </row>
    <row r="41" spans="1:17" outlineLevel="1" x14ac:dyDescent="0.2">
      <c r="A41" s="33" t="str">
        <f t="shared" si="3"/>
        <v>PRD00004</v>
      </c>
      <c r="B41" s="100" t="s">
        <v>251</v>
      </c>
      <c r="C41" s="100"/>
      <c r="D41" s="100"/>
      <c r="E41" s="100"/>
      <c r="F41" s="91"/>
      <c r="G41" s="92"/>
      <c r="H41" s="92"/>
      <c r="I41" s="92"/>
      <c r="J41" s="92"/>
      <c r="K41" s="34" t="s">
        <v>242</v>
      </c>
      <c r="L41" s="34">
        <v>4</v>
      </c>
      <c r="M41" s="34">
        <v>2</v>
      </c>
      <c r="N41" s="35">
        <f ca="1">SUBTOTAL(9,N42:(OFFSET(INDIRECT(N$1 &amp; $O41),-1,0)))</f>
        <v>0</v>
      </c>
      <c r="O41" s="21">
        <f>ROW($A44)</f>
        <v>44</v>
      </c>
      <c r="Q41" s="31"/>
    </row>
    <row r="42" spans="1:17" outlineLevel="2" x14ac:dyDescent="0.2">
      <c r="A42" s="50" t="str">
        <f t="shared" si="3"/>
        <v>PRD00005</v>
      </c>
      <c r="B42" s="101" t="s">
        <v>252</v>
      </c>
      <c r="C42" s="101"/>
      <c r="D42" s="101"/>
      <c r="E42" s="101"/>
      <c r="F42" s="94"/>
      <c r="G42" s="95"/>
      <c r="H42" s="95"/>
      <c r="I42" s="95"/>
      <c r="J42" s="95"/>
      <c r="K42" s="51" t="s">
        <v>242</v>
      </c>
      <c r="L42" s="51">
        <v>5</v>
      </c>
      <c r="M42" s="51">
        <v>3</v>
      </c>
      <c r="N42" s="52">
        <f ca="1">SUBTOTAL(9,N43:(OFFSET(INDIRECT(N$1 &amp; $O42),-1,0)))</f>
        <v>0</v>
      </c>
      <c r="O42" s="21">
        <f>ROW($A44)</f>
        <v>44</v>
      </c>
      <c r="Q42" s="31"/>
    </row>
    <row r="43" spans="1:17" outlineLevel="3" x14ac:dyDescent="0.2">
      <c r="A43" s="36" t="str">
        <f t="shared" si="3"/>
        <v>PRD00006</v>
      </c>
      <c r="B43" s="102" t="s">
        <v>253</v>
      </c>
      <c r="C43" s="102"/>
      <c r="D43" s="102"/>
      <c r="E43" s="97">
        <v>0</v>
      </c>
      <c r="F43" s="98" t="s">
        <v>214</v>
      </c>
      <c r="G43" s="99" t="s">
        <v>215</v>
      </c>
      <c r="H43" s="99"/>
      <c r="I43" s="99"/>
      <c r="J43" s="99"/>
      <c r="K43" s="37" t="s">
        <v>242</v>
      </c>
      <c r="L43" s="37">
        <v>6</v>
      </c>
      <c r="M43" s="37">
        <v>4</v>
      </c>
      <c r="N43" s="38">
        <f>IF(COUNTIF(ScenarioTag,
IF(ScenarioSelected=$G$2,$G43,
IF(ScenarioSelected=$H$2,$H43,
IF(ScenarioSelected=$I$2,$I43,
IF(ScenarioSelected=$J$2,$J43,""))))
)&gt;0,$E43,0)</f>
        <v>0</v>
      </c>
      <c r="Q43" s="31"/>
    </row>
    <row r="44" spans="1:17" outlineLevel="1" x14ac:dyDescent="0.2">
      <c r="A44" s="33" t="str">
        <f t="shared" si="3"/>
        <v>PRD00007</v>
      </c>
      <c r="B44" s="100" t="s">
        <v>254</v>
      </c>
      <c r="C44" s="100"/>
      <c r="D44" s="100"/>
      <c r="E44" s="100"/>
      <c r="F44" s="91"/>
      <c r="G44" s="92"/>
      <c r="H44" s="92"/>
      <c r="I44" s="92"/>
      <c r="J44" s="92"/>
      <c r="K44" s="34" t="s">
        <v>242</v>
      </c>
      <c r="L44" s="34">
        <v>7</v>
      </c>
      <c r="M44" s="34">
        <v>2</v>
      </c>
      <c r="N44" s="35">
        <f ca="1">SUBTOTAL(9,N45:(OFFSET(INDIRECT(N$1 &amp; $O44),-1,0)))</f>
        <v>0</v>
      </c>
      <c r="O44" s="21">
        <f>ROW($A47)</f>
        <v>47</v>
      </c>
      <c r="Q44" s="31"/>
    </row>
    <row r="45" spans="1:17" outlineLevel="2" x14ac:dyDescent="0.2">
      <c r="A45" s="50" t="str">
        <f t="shared" si="3"/>
        <v>PRD00008</v>
      </c>
      <c r="B45" s="101" t="s">
        <v>255</v>
      </c>
      <c r="C45" s="101"/>
      <c r="D45" s="101"/>
      <c r="E45" s="101"/>
      <c r="F45" s="94"/>
      <c r="G45" s="95"/>
      <c r="H45" s="95"/>
      <c r="I45" s="95"/>
      <c r="J45" s="95"/>
      <c r="K45" s="51" t="s">
        <v>242</v>
      </c>
      <c r="L45" s="51">
        <v>8</v>
      </c>
      <c r="M45" s="51">
        <v>3</v>
      </c>
      <c r="N45" s="52">
        <f ca="1">SUBTOTAL(9,N46:(OFFSET(INDIRECT(N$1 &amp; $O45),-1,0)))</f>
        <v>0</v>
      </c>
      <c r="O45" s="21">
        <f>ROW($A47)</f>
        <v>47</v>
      </c>
      <c r="Q45" s="31"/>
    </row>
    <row r="46" spans="1:17" outlineLevel="3" x14ac:dyDescent="0.2">
      <c r="A46" s="36" t="str">
        <f t="shared" si="3"/>
        <v>PRD00009</v>
      </c>
      <c r="B46" s="102" t="s">
        <v>256</v>
      </c>
      <c r="C46" s="102"/>
      <c r="D46" s="102"/>
      <c r="E46" s="97">
        <v>0</v>
      </c>
      <c r="F46" s="98" t="s">
        <v>214</v>
      </c>
      <c r="G46" s="99" t="s">
        <v>215</v>
      </c>
      <c r="H46" s="99"/>
      <c r="I46" s="99"/>
      <c r="J46" s="99"/>
      <c r="K46" s="37" t="s">
        <v>242</v>
      </c>
      <c r="L46" s="37">
        <v>9</v>
      </c>
      <c r="M46" s="37">
        <v>4</v>
      </c>
      <c r="N46" s="38">
        <f>IF(COUNTIF(ScenarioTag,
IF(ScenarioSelected=$G$2,$G46,
IF(ScenarioSelected=$H$2,$H46,
IF(ScenarioSelected=$I$2,$I46,
IF(ScenarioSelected=$J$2,$J46,""))))
)&gt;0,$E46,0)</f>
        <v>0</v>
      </c>
      <c r="Q46" s="31"/>
    </row>
    <row r="47" spans="1:17" outlineLevel="1" x14ac:dyDescent="0.2">
      <c r="A47" s="33" t="str">
        <f t="shared" si="3"/>
        <v>PRD00010</v>
      </c>
      <c r="B47" s="100" t="s">
        <v>257</v>
      </c>
      <c r="C47" s="100"/>
      <c r="D47" s="100"/>
      <c r="E47" s="100"/>
      <c r="F47" s="91"/>
      <c r="G47" s="92"/>
      <c r="H47" s="92"/>
      <c r="I47" s="92"/>
      <c r="J47" s="92"/>
      <c r="K47" s="34" t="s">
        <v>242</v>
      </c>
      <c r="L47" s="34">
        <v>10</v>
      </c>
      <c r="M47" s="34">
        <v>2</v>
      </c>
      <c r="N47" s="35">
        <f ca="1">SUBTOTAL(9,N48:(OFFSET(INDIRECT(N$1 &amp; $O47),-1,0)))</f>
        <v>0</v>
      </c>
      <c r="O47" s="21">
        <f>ROW($A50)</f>
        <v>50</v>
      </c>
      <c r="Q47" s="31"/>
    </row>
    <row r="48" spans="1:17" outlineLevel="2" x14ac:dyDescent="0.2">
      <c r="A48" s="50" t="str">
        <f t="shared" si="3"/>
        <v>PRD00011</v>
      </c>
      <c r="B48" s="101" t="s">
        <v>258</v>
      </c>
      <c r="C48" s="101"/>
      <c r="D48" s="101"/>
      <c r="E48" s="101"/>
      <c r="F48" s="94"/>
      <c r="G48" s="95"/>
      <c r="H48" s="95"/>
      <c r="I48" s="95"/>
      <c r="J48" s="95"/>
      <c r="K48" s="51" t="s">
        <v>242</v>
      </c>
      <c r="L48" s="51">
        <v>11</v>
      </c>
      <c r="M48" s="51">
        <v>3</v>
      </c>
      <c r="N48" s="52">
        <f ca="1">SUBTOTAL(9,N49:(OFFSET(INDIRECT(N$1 &amp; $O48),-1,0)))</f>
        <v>0</v>
      </c>
      <c r="O48" s="21">
        <f>ROW($A50)</f>
        <v>50</v>
      </c>
      <c r="Q48" s="31"/>
    </row>
    <row r="49" spans="1:17" outlineLevel="3" x14ac:dyDescent="0.2">
      <c r="A49" s="36" t="str">
        <f t="shared" si="3"/>
        <v>PRD00012</v>
      </c>
      <c r="B49" s="102" t="s">
        <v>259</v>
      </c>
      <c r="C49" s="102"/>
      <c r="D49" s="102"/>
      <c r="E49" s="97">
        <v>0</v>
      </c>
      <c r="F49" s="98" t="s">
        <v>214</v>
      </c>
      <c r="G49" s="99" t="s">
        <v>215</v>
      </c>
      <c r="H49" s="99"/>
      <c r="I49" s="99"/>
      <c r="J49" s="99"/>
      <c r="K49" s="37" t="s">
        <v>242</v>
      </c>
      <c r="L49" s="37">
        <v>12</v>
      </c>
      <c r="M49" s="37">
        <v>4</v>
      </c>
      <c r="N49" s="38">
        <f>IF(COUNTIF(ScenarioTag,
IF(ScenarioSelected=$G$2,$G49,
IF(ScenarioSelected=$H$2,$H49,
IF(ScenarioSelected=$I$2,$I49,
IF(ScenarioSelected=$J$2,$J49,""))))
)&gt;0,$E49,0)</f>
        <v>0</v>
      </c>
      <c r="Q49" s="31"/>
    </row>
    <row r="50" spans="1:17" ht="25.15" customHeight="1" x14ac:dyDescent="0.2">
      <c r="A50" s="28" t="str">
        <f t="shared" si="3"/>
        <v>CUS00000</v>
      </c>
      <c r="B50" s="86" t="s">
        <v>260</v>
      </c>
      <c r="C50" s="87"/>
      <c r="D50" s="87"/>
      <c r="E50" s="87"/>
      <c r="F50" s="88"/>
      <c r="G50" s="89"/>
      <c r="H50" s="89"/>
      <c r="I50" s="89"/>
      <c r="J50" s="89"/>
      <c r="K50" s="29" t="s">
        <v>261</v>
      </c>
      <c r="L50" s="29">
        <v>0</v>
      </c>
      <c r="M50" s="29">
        <v>1</v>
      </c>
      <c r="N50" s="30">
        <f ca="1">SUBTOTAL(9,N51:(OFFSET(INDIRECT(N$1 &amp; $O50),-1,0)))</f>
        <v>319</v>
      </c>
      <c r="O50" s="21">
        <f>ROW($A132)</f>
        <v>132</v>
      </c>
      <c r="Q50" s="31"/>
    </row>
    <row r="51" spans="1:17" s="112" customFormat="1" ht="4.1500000000000004" customHeight="1" outlineLevel="1" x14ac:dyDescent="0.2">
      <c r="A51" s="107"/>
      <c r="B51" s="113"/>
      <c r="C51" s="114"/>
      <c r="D51" s="114"/>
      <c r="E51" s="114"/>
      <c r="F51" s="109"/>
      <c r="G51" s="115"/>
      <c r="H51" s="115"/>
      <c r="I51" s="115"/>
      <c r="J51" s="115"/>
      <c r="K51" s="109"/>
      <c r="L51" s="109"/>
      <c r="M51" s="109">
        <v>-1</v>
      </c>
      <c r="N51" s="104"/>
      <c r="O51" s="111"/>
      <c r="Q51" s="31"/>
    </row>
    <row r="52" spans="1:17" outlineLevel="1" x14ac:dyDescent="0.2">
      <c r="A52" s="33" t="str">
        <f t="shared" ref="A52:A106" si="6">K52 &amp; TEXT(L52,"00000")</f>
        <v>CUS00001</v>
      </c>
      <c r="B52" s="100" t="s">
        <v>262</v>
      </c>
      <c r="C52" s="100"/>
      <c r="D52" s="100"/>
      <c r="E52" s="100"/>
      <c r="F52" s="91"/>
      <c r="G52" s="92"/>
      <c r="H52" s="92"/>
      <c r="I52" s="92"/>
      <c r="J52" s="92"/>
      <c r="K52" s="34" t="s">
        <v>261</v>
      </c>
      <c r="L52" s="34">
        <v>1</v>
      </c>
      <c r="M52" s="34">
        <v>2</v>
      </c>
      <c r="N52" s="35">
        <f ca="1">SUBTOTAL(9,N53:(OFFSET(INDIRECT(N$1 &amp; $O52),-1,0)))</f>
        <v>17</v>
      </c>
      <c r="O52" s="21">
        <f>ROW($A58)</f>
        <v>58</v>
      </c>
      <c r="Q52" s="31"/>
    </row>
    <row r="53" spans="1:17" outlineLevel="2" x14ac:dyDescent="0.2">
      <c r="A53" s="50" t="str">
        <f t="shared" si="6"/>
        <v>CUS00002</v>
      </c>
      <c r="B53" s="101" t="s">
        <v>263</v>
      </c>
      <c r="C53" s="101"/>
      <c r="D53" s="101"/>
      <c r="E53" s="101"/>
      <c r="F53" s="94"/>
      <c r="G53" s="95"/>
      <c r="H53" s="95"/>
      <c r="I53" s="95"/>
      <c r="J53" s="95"/>
      <c r="K53" s="51" t="s">
        <v>261</v>
      </c>
      <c r="L53" s="51">
        <v>2</v>
      </c>
      <c r="M53" s="51">
        <v>3</v>
      </c>
      <c r="N53" s="52">
        <f ca="1">SUBTOTAL(9,N54:(OFFSET(INDIRECT(N$1 &amp; $O53),-1,0)))</f>
        <v>17</v>
      </c>
      <c r="O53" s="21">
        <f>ROW($A58)</f>
        <v>58</v>
      </c>
      <c r="Q53" s="31"/>
    </row>
    <row r="54" spans="1:17" outlineLevel="3" x14ac:dyDescent="0.2">
      <c r="A54" s="36" t="str">
        <f t="shared" si="6"/>
        <v>CUS00003</v>
      </c>
      <c r="B54" s="102" t="s">
        <v>264</v>
      </c>
      <c r="C54" s="102"/>
      <c r="D54" s="102" t="s">
        <v>265</v>
      </c>
      <c r="E54" s="97">
        <v>10</v>
      </c>
      <c r="F54" s="98" t="s">
        <v>247</v>
      </c>
      <c r="G54" s="99" t="s">
        <v>215</v>
      </c>
      <c r="H54" s="99"/>
      <c r="I54" s="99"/>
      <c r="J54" s="99"/>
      <c r="K54" s="37" t="s">
        <v>261</v>
      </c>
      <c r="L54" s="37">
        <v>3</v>
      </c>
      <c r="M54" s="37">
        <v>4</v>
      </c>
      <c r="N54" s="38">
        <f>IF(COUNTIF(ScenarioTag,
IF(ScenarioSelected=$G$2,$G54,
IF(ScenarioSelected=$H$2,$H54,
IF(ScenarioSelected=$I$2,$I54,
IF(ScenarioSelected=$J$2,$J54,""))))
)&gt;0,$E54,0)</f>
        <v>10</v>
      </c>
      <c r="Q54" s="31"/>
    </row>
    <row r="55" spans="1:17" ht="22.5" outlineLevel="3" x14ac:dyDescent="0.2">
      <c r="A55" s="36" t="str">
        <f t="shared" ref="A55" si="7">K55 &amp; TEXT(L55,"00000")</f>
        <v>CUS00201</v>
      </c>
      <c r="B55" s="102" t="s">
        <v>266</v>
      </c>
      <c r="C55" s="102"/>
      <c r="D55" s="102" t="s">
        <v>267</v>
      </c>
      <c r="E55" s="97">
        <v>3</v>
      </c>
      <c r="F55" s="98" t="s">
        <v>250</v>
      </c>
      <c r="G55" s="99" t="s">
        <v>215</v>
      </c>
      <c r="H55" s="99"/>
      <c r="I55" s="99"/>
      <c r="J55" s="99"/>
      <c r="K55" s="37" t="s">
        <v>261</v>
      </c>
      <c r="L55" s="37">
        <v>201</v>
      </c>
      <c r="M55" s="37">
        <v>4</v>
      </c>
      <c r="N55" s="38">
        <f>IF(COUNTIF(ScenarioTag,
IF(ScenarioSelected=$G$2,$G55,
IF(ScenarioSelected=$H$2,$H55,
IF(ScenarioSelected=$I$2,$I55,
IF(ScenarioSelected=$J$2,$J55,""))))
)&gt;0,$E55,0)</f>
        <v>3</v>
      </c>
      <c r="Q55" s="31"/>
    </row>
    <row r="56" spans="1:17" ht="22.5" outlineLevel="3" x14ac:dyDescent="0.2">
      <c r="A56" s="36" t="str">
        <f t="shared" ref="A56" si="8">K56 &amp; TEXT(L56,"00000")</f>
        <v>CUS00218</v>
      </c>
      <c r="B56" s="102" t="s">
        <v>268</v>
      </c>
      <c r="C56" s="102"/>
      <c r="D56" s="102" t="s">
        <v>267</v>
      </c>
      <c r="E56" s="97">
        <v>2</v>
      </c>
      <c r="F56" s="98" t="s">
        <v>250</v>
      </c>
      <c r="G56" s="99" t="s">
        <v>215</v>
      </c>
      <c r="H56" s="99"/>
      <c r="I56" s="99"/>
      <c r="J56" s="99"/>
      <c r="K56" s="37" t="s">
        <v>261</v>
      </c>
      <c r="L56" s="37">
        <v>218</v>
      </c>
      <c r="M56" s="37">
        <v>4</v>
      </c>
      <c r="N56" s="38">
        <f>IF(COUNTIF(ScenarioTag,
IF(ScenarioSelected=$G$2,$G56,
IF(ScenarioSelected=$H$2,$H56,
IF(ScenarioSelected=$I$2,$I56,
IF(ScenarioSelected=$J$2,$J56,""))))
)&gt;0,$E56,0)</f>
        <v>2</v>
      </c>
      <c r="Q56" s="31"/>
    </row>
    <row r="57" spans="1:17" ht="22.5" outlineLevel="3" x14ac:dyDescent="0.2">
      <c r="A57" s="36" t="str">
        <f t="shared" ref="A57" si="9">K57 &amp; TEXT(L57,"00000")</f>
        <v>CUS00219</v>
      </c>
      <c r="B57" s="102" t="s">
        <v>269</v>
      </c>
      <c r="C57" s="102"/>
      <c r="D57" s="102" t="s">
        <v>267</v>
      </c>
      <c r="E57" s="97">
        <v>2</v>
      </c>
      <c r="F57" s="98" t="s">
        <v>250</v>
      </c>
      <c r="G57" s="99" t="s">
        <v>215</v>
      </c>
      <c r="H57" s="99"/>
      <c r="I57" s="99"/>
      <c r="J57" s="99"/>
      <c r="K57" s="37" t="s">
        <v>261</v>
      </c>
      <c r="L57" s="37">
        <v>219</v>
      </c>
      <c r="M57" s="37">
        <v>4</v>
      </c>
      <c r="N57" s="38">
        <f>IF(COUNTIF(ScenarioTag,
IF(ScenarioSelected=$G$2,$G57,
IF(ScenarioSelected=$H$2,$H57,
IF(ScenarioSelected=$I$2,$I57,
IF(ScenarioSelected=$J$2,$J57,""))))
)&gt;0,$E57,0)</f>
        <v>2</v>
      </c>
      <c r="Q57" s="31"/>
    </row>
    <row r="58" spans="1:17" outlineLevel="1" x14ac:dyDescent="0.2">
      <c r="A58" s="33" t="str">
        <f t="shared" si="6"/>
        <v>CUS00004</v>
      </c>
      <c r="B58" s="100" t="s">
        <v>270</v>
      </c>
      <c r="C58" s="100"/>
      <c r="D58" s="100"/>
      <c r="E58" s="100"/>
      <c r="F58" s="91"/>
      <c r="G58" s="92"/>
      <c r="H58" s="92"/>
      <c r="I58" s="92"/>
      <c r="J58" s="92"/>
      <c r="K58" s="34" t="s">
        <v>261</v>
      </c>
      <c r="L58" s="34">
        <v>4</v>
      </c>
      <c r="M58" s="34">
        <v>2</v>
      </c>
      <c r="N58" s="35">
        <f ca="1">SUBTOTAL(9,N59:(OFFSET(INDIRECT(N$1 &amp; $O58),-1,0)))</f>
        <v>0</v>
      </c>
      <c r="O58" s="21">
        <f>ROW($A61)</f>
        <v>61</v>
      </c>
      <c r="Q58" s="31"/>
    </row>
    <row r="59" spans="1:17" outlineLevel="2" x14ac:dyDescent="0.2">
      <c r="A59" s="50" t="str">
        <f t="shared" si="6"/>
        <v>CUS00005</v>
      </c>
      <c r="B59" s="101" t="s">
        <v>271</v>
      </c>
      <c r="C59" s="101"/>
      <c r="D59" s="101"/>
      <c r="E59" s="101"/>
      <c r="F59" s="94"/>
      <c r="G59" s="95"/>
      <c r="H59" s="95"/>
      <c r="I59" s="95"/>
      <c r="J59" s="95"/>
      <c r="K59" s="51" t="s">
        <v>261</v>
      </c>
      <c r="L59" s="51">
        <v>5</v>
      </c>
      <c r="M59" s="51">
        <v>3</v>
      </c>
      <c r="N59" s="52">
        <f ca="1">SUBTOTAL(9,N60:(OFFSET(INDIRECT(N$1 &amp; $O59),-1,0)))</f>
        <v>0</v>
      </c>
      <c r="O59" s="21">
        <f>ROW($A61)</f>
        <v>61</v>
      </c>
      <c r="Q59" s="31"/>
    </row>
    <row r="60" spans="1:17" outlineLevel="3" x14ac:dyDescent="0.2">
      <c r="A60" s="36" t="str">
        <f t="shared" si="6"/>
        <v>CUS00006</v>
      </c>
      <c r="B60" s="102" t="s">
        <v>272</v>
      </c>
      <c r="C60" s="102"/>
      <c r="D60" s="102"/>
      <c r="E60" s="97">
        <v>0</v>
      </c>
      <c r="F60" s="98" t="s">
        <v>214</v>
      </c>
      <c r="G60" s="99" t="s">
        <v>215</v>
      </c>
      <c r="H60" s="99"/>
      <c r="I60" s="99"/>
      <c r="J60" s="99"/>
      <c r="K60" s="37" t="s">
        <v>261</v>
      </c>
      <c r="L60" s="37">
        <v>6</v>
      </c>
      <c r="M60" s="37">
        <v>4</v>
      </c>
      <c r="N60" s="38">
        <f>IF(COUNTIF(ScenarioTag,
IF(ScenarioSelected=$G$2,$G60,
IF(ScenarioSelected=$H$2,$H60,
IF(ScenarioSelected=$I$2,$I60,
IF(ScenarioSelected=$J$2,$J60,""))))
)&gt;0,$E60,0)</f>
        <v>0</v>
      </c>
      <c r="Q60" s="31"/>
    </row>
    <row r="61" spans="1:17" outlineLevel="1" x14ac:dyDescent="0.2">
      <c r="A61" s="33" t="str">
        <f t="shared" si="6"/>
        <v>CUS00007</v>
      </c>
      <c r="B61" s="100" t="s">
        <v>273</v>
      </c>
      <c r="C61" s="100"/>
      <c r="D61" s="100"/>
      <c r="E61" s="100"/>
      <c r="F61" s="91"/>
      <c r="G61" s="92"/>
      <c r="H61" s="92"/>
      <c r="I61" s="92"/>
      <c r="J61" s="92"/>
      <c r="K61" s="34" t="s">
        <v>261</v>
      </c>
      <c r="L61" s="34">
        <v>7</v>
      </c>
      <c r="M61" s="34">
        <v>2</v>
      </c>
      <c r="N61" s="35">
        <f ca="1">SUBTOTAL(9,N62:(OFFSET(INDIRECT(N$1 &amp; $O61),-1,0)))</f>
        <v>0</v>
      </c>
      <c r="O61" s="21">
        <f>ROW($A64)</f>
        <v>64</v>
      </c>
      <c r="Q61" s="31"/>
    </row>
    <row r="62" spans="1:17" outlineLevel="2" x14ac:dyDescent="0.2">
      <c r="A62" s="50" t="str">
        <f t="shared" si="6"/>
        <v>CUS00008</v>
      </c>
      <c r="B62" s="101" t="s">
        <v>274</v>
      </c>
      <c r="C62" s="101"/>
      <c r="D62" s="101"/>
      <c r="E62" s="101"/>
      <c r="F62" s="94"/>
      <c r="G62" s="95"/>
      <c r="H62" s="95"/>
      <c r="I62" s="95"/>
      <c r="J62" s="95"/>
      <c r="K62" s="51" t="s">
        <v>261</v>
      </c>
      <c r="L62" s="51">
        <v>8</v>
      </c>
      <c r="M62" s="51">
        <v>3</v>
      </c>
      <c r="N62" s="52">
        <f ca="1">SUBTOTAL(9,N63:(OFFSET(INDIRECT(N$1 &amp; $O62),-1,0)))</f>
        <v>0</v>
      </c>
      <c r="O62" s="21">
        <f>ROW($A64)</f>
        <v>64</v>
      </c>
      <c r="Q62" s="31"/>
    </row>
    <row r="63" spans="1:17" outlineLevel="3" x14ac:dyDescent="0.2">
      <c r="A63" s="36" t="str">
        <f t="shared" si="6"/>
        <v>CUS00009</v>
      </c>
      <c r="B63" s="102" t="s">
        <v>275</v>
      </c>
      <c r="C63" s="102"/>
      <c r="D63" s="102"/>
      <c r="E63" s="97">
        <v>0</v>
      </c>
      <c r="F63" s="98" t="s">
        <v>247</v>
      </c>
      <c r="G63" s="99" t="s">
        <v>215</v>
      </c>
      <c r="H63" s="99"/>
      <c r="I63" s="99"/>
      <c r="J63" s="99"/>
      <c r="K63" s="37" t="s">
        <v>261</v>
      </c>
      <c r="L63" s="37">
        <v>9</v>
      </c>
      <c r="M63" s="37">
        <v>4</v>
      </c>
      <c r="N63" s="38">
        <f>IF(COUNTIF(ScenarioTag,
IF(ScenarioSelected=$G$2,$G63,
IF(ScenarioSelected=$H$2,$H63,
IF(ScenarioSelected=$I$2,$I63,
IF(ScenarioSelected=$J$2,$J63,""))))
)&gt;0,$E63,0)</f>
        <v>0</v>
      </c>
      <c r="Q63" s="31"/>
    </row>
    <row r="64" spans="1:17" outlineLevel="1" x14ac:dyDescent="0.2">
      <c r="A64" s="33" t="str">
        <f t="shared" si="6"/>
        <v>CUS00010</v>
      </c>
      <c r="B64" s="100" t="s">
        <v>276</v>
      </c>
      <c r="C64" s="100"/>
      <c r="D64" s="100"/>
      <c r="E64" s="100"/>
      <c r="F64" s="91"/>
      <c r="G64" s="92"/>
      <c r="H64" s="92"/>
      <c r="I64" s="92"/>
      <c r="J64" s="92"/>
      <c r="K64" s="34" t="s">
        <v>261</v>
      </c>
      <c r="L64" s="34">
        <v>10</v>
      </c>
      <c r="M64" s="34">
        <v>2</v>
      </c>
      <c r="N64" s="35">
        <f ca="1">SUBTOTAL(9,N65:(OFFSET(INDIRECT(N$1 &amp; $O64),-1,0)))</f>
        <v>5</v>
      </c>
      <c r="O64" s="21">
        <f>ROW($A69)</f>
        <v>69</v>
      </c>
      <c r="Q64" s="31"/>
    </row>
    <row r="65" spans="1:17" outlineLevel="2" x14ac:dyDescent="0.2">
      <c r="A65" s="50" t="str">
        <f t="shared" si="6"/>
        <v>CUS00011</v>
      </c>
      <c r="B65" s="101" t="s">
        <v>277</v>
      </c>
      <c r="C65" s="101"/>
      <c r="D65" s="101"/>
      <c r="E65" s="101"/>
      <c r="F65" s="94"/>
      <c r="G65" s="95"/>
      <c r="H65" s="95"/>
      <c r="I65" s="95"/>
      <c r="J65" s="95"/>
      <c r="K65" s="51" t="s">
        <v>261</v>
      </c>
      <c r="L65" s="51">
        <v>11</v>
      </c>
      <c r="M65" s="51">
        <v>3</v>
      </c>
      <c r="N65" s="52">
        <f ca="1">SUBTOTAL(9,N66:(OFFSET(INDIRECT(N$1 &amp; $O65),-1,0)))</f>
        <v>5</v>
      </c>
      <c r="O65" s="21">
        <f>ROW($A69)</f>
        <v>69</v>
      </c>
      <c r="Q65" s="31"/>
    </row>
    <row r="66" spans="1:17" ht="22.5" outlineLevel="3" x14ac:dyDescent="0.2">
      <c r="A66" s="36" t="str">
        <f t="shared" si="6"/>
        <v>CUS00012</v>
      </c>
      <c r="B66" s="102" t="s">
        <v>278</v>
      </c>
      <c r="C66" s="102"/>
      <c r="D66" s="102" t="s">
        <v>267</v>
      </c>
      <c r="E66" s="97">
        <v>5</v>
      </c>
      <c r="F66" s="98" t="s">
        <v>247</v>
      </c>
      <c r="G66" s="99" t="s">
        <v>215</v>
      </c>
      <c r="H66" s="99"/>
      <c r="I66" s="99"/>
      <c r="J66" s="99"/>
      <c r="K66" s="37" t="s">
        <v>261</v>
      </c>
      <c r="L66" s="37">
        <v>12</v>
      </c>
      <c r="M66" s="37">
        <v>4</v>
      </c>
      <c r="N66" s="38">
        <f>IF(COUNTIF(ScenarioTag,
IF(ScenarioSelected=$G$2,$G66,
IF(ScenarioSelected=$H$2,$H66,
IF(ScenarioSelected=$I$2,$I66,
IF(ScenarioSelected=$J$2,$J66,""))))
)&gt;0,$E66,0)</f>
        <v>5</v>
      </c>
      <c r="Q66" s="31"/>
    </row>
    <row r="67" spans="1:17" outlineLevel="3" x14ac:dyDescent="0.2">
      <c r="A67" s="36" t="str">
        <f t="shared" ref="A67" si="10">K67 &amp; TEXT(L67,"00000")</f>
        <v>CUS00202</v>
      </c>
      <c r="B67" s="102" t="s">
        <v>279</v>
      </c>
      <c r="C67" s="102"/>
      <c r="D67" s="102"/>
      <c r="E67" s="97">
        <v>0</v>
      </c>
      <c r="F67" s="98" t="s">
        <v>247</v>
      </c>
      <c r="G67" s="99" t="s">
        <v>215</v>
      </c>
      <c r="H67" s="99"/>
      <c r="I67" s="99"/>
      <c r="J67" s="99"/>
      <c r="K67" s="37" t="s">
        <v>261</v>
      </c>
      <c r="L67" s="37">
        <v>202</v>
      </c>
      <c r="M67" s="37">
        <v>4</v>
      </c>
      <c r="N67" s="38">
        <f>IF(COUNTIF(ScenarioTag,
IF(ScenarioSelected=$G$2,$G67,
IF(ScenarioSelected=$H$2,$H67,
IF(ScenarioSelected=$I$2,$I67,
IF(ScenarioSelected=$J$2,$J67,""))))
)&gt;0,$E67,0)</f>
        <v>0</v>
      </c>
      <c r="Q67" s="31"/>
    </row>
    <row r="68" spans="1:17" outlineLevel="3" x14ac:dyDescent="0.2">
      <c r="A68" s="36" t="str">
        <f t="shared" ref="A68" si="11">K68 &amp; TEXT(L68,"00000")</f>
        <v>CUS00207</v>
      </c>
      <c r="B68" s="102" t="s">
        <v>280</v>
      </c>
      <c r="C68" s="102"/>
      <c r="D68" s="102"/>
      <c r="E68" s="97">
        <v>0</v>
      </c>
      <c r="F68" s="98" t="s">
        <v>250</v>
      </c>
      <c r="G68" s="99" t="s">
        <v>215</v>
      </c>
      <c r="H68" s="99"/>
      <c r="I68" s="99"/>
      <c r="J68" s="99"/>
      <c r="K68" s="37" t="s">
        <v>261</v>
      </c>
      <c r="L68" s="37">
        <v>207</v>
      </c>
      <c r="M68" s="37">
        <v>4</v>
      </c>
      <c r="N68" s="38">
        <f>IF(COUNTIF(ScenarioTag,
IF(ScenarioSelected=$G$2,$G68,
IF(ScenarioSelected=$H$2,$H68,
IF(ScenarioSelected=$I$2,$I68,
IF(ScenarioSelected=$J$2,$J68,""))))
)&gt;0,$E68,0)</f>
        <v>0</v>
      </c>
      <c r="Q68" s="31"/>
    </row>
    <row r="69" spans="1:17" outlineLevel="1" x14ac:dyDescent="0.2">
      <c r="A69" s="33" t="str">
        <f t="shared" si="6"/>
        <v>CUS00013</v>
      </c>
      <c r="B69" s="100" t="s">
        <v>281</v>
      </c>
      <c r="C69" s="100"/>
      <c r="D69" s="100"/>
      <c r="E69" s="100"/>
      <c r="F69" s="91"/>
      <c r="G69" s="92"/>
      <c r="H69" s="92"/>
      <c r="I69" s="92"/>
      <c r="J69" s="92"/>
      <c r="K69" s="34" t="s">
        <v>261</v>
      </c>
      <c r="L69" s="34">
        <v>13</v>
      </c>
      <c r="M69" s="34">
        <v>2</v>
      </c>
      <c r="N69" s="35">
        <f ca="1">SUBTOTAL(9,N70:(OFFSET(INDIRECT(N$1 &amp; $O69),-1,0)))</f>
        <v>65</v>
      </c>
      <c r="O69" s="21">
        <f>ROW($A77)</f>
        <v>77</v>
      </c>
      <c r="Q69" s="31"/>
    </row>
    <row r="70" spans="1:17" outlineLevel="2" x14ac:dyDescent="0.2">
      <c r="A70" s="50" t="str">
        <f t="shared" si="6"/>
        <v>CUS00014</v>
      </c>
      <c r="B70" s="101" t="s">
        <v>282</v>
      </c>
      <c r="C70" s="101"/>
      <c r="D70" s="101" t="s">
        <v>283</v>
      </c>
      <c r="E70" s="101"/>
      <c r="F70" s="94"/>
      <c r="G70" s="95"/>
      <c r="H70" s="95"/>
      <c r="I70" s="95"/>
      <c r="J70" s="95"/>
      <c r="K70" s="51" t="s">
        <v>261</v>
      </c>
      <c r="L70" s="51">
        <v>14</v>
      </c>
      <c r="M70" s="51">
        <v>3</v>
      </c>
      <c r="N70" s="52">
        <f ca="1">SUBTOTAL(9,N71:(OFFSET(INDIRECT(N$1 &amp; $O70),-1,0)))</f>
        <v>65</v>
      </c>
      <c r="O70" s="21">
        <f>ROW($A77)</f>
        <v>77</v>
      </c>
      <c r="Q70" s="31"/>
    </row>
    <row r="71" spans="1:17" outlineLevel="3" x14ac:dyDescent="0.2">
      <c r="A71" s="36" t="str">
        <f t="shared" si="6"/>
        <v>CUS00015</v>
      </c>
      <c r="B71" s="102" t="s">
        <v>284</v>
      </c>
      <c r="C71" s="102"/>
      <c r="D71" s="102" t="s">
        <v>285</v>
      </c>
      <c r="E71" s="97">
        <v>10</v>
      </c>
      <c r="F71" s="98" t="s">
        <v>250</v>
      </c>
      <c r="G71" s="99" t="s">
        <v>215</v>
      </c>
      <c r="H71" s="99"/>
      <c r="I71" s="99"/>
      <c r="J71" s="99"/>
      <c r="K71" s="37" t="s">
        <v>261</v>
      </c>
      <c r="L71" s="37">
        <v>15</v>
      </c>
      <c r="M71" s="37">
        <v>4</v>
      </c>
      <c r="N71" s="38">
        <f t="shared" ref="N71:N76" si="12">IF(COUNTIF(ScenarioTag,
IF(ScenarioSelected=$G$2,$G71,
IF(ScenarioSelected=$H$2,$H71,
IF(ScenarioSelected=$I$2,$I71,
IF(ScenarioSelected=$J$2,$J71,""))))
)&gt;0,$E71,0)</f>
        <v>10</v>
      </c>
      <c r="Q71" s="31"/>
    </row>
    <row r="72" spans="1:17" outlineLevel="3" x14ac:dyDescent="0.2">
      <c r="A72" s="36" t="str">
        <f t="shared" ref="A72" si="13">K72 &amp; TEXT(L72,"00000")</f>
        <v>CUS00206</v>
      </c>
      <c r="B72" s="102" t="s">
        <v>286</v>
      </c>
      <c r="C72" s="102"/>
      <c r="D72" s="102" t="s">
        <v>287</v>
      </c>
      <c r="E72" s="97">
        <v>10</v>
      </c>
      <c r="F72" s="98" t="s">
        <v>250</v>
      </c>
      <c r="G72" s="99" t="s">
        <v>215</v>
      </c>
      <c r="H72" s="99"/>
      <c r="I72" s="99"/>
      <c r="J72" s="99"/>
      <c r="K72" s="37" t="s">
        <v>261</v>
      </c>
      <c r="L72" s="37">
        <v>206</v>
      </c>
      <c r="M72" s="37">
        <v>4</v>
      </c>
      <c r="N72" s="38">
        <f t="shared" si="12"/>
        <v>10</v>
      </c>
      <c r="Q72" s="31"/>
    </row>
    <row r="73" spans="1:17" outlineLevel="3" x14ac:dyDescent="0.2">
      <c r="A73" s="36" t="str">
        <f t="shared" ref="A73" si="14">K73 &amp; TEXT(L73,"00000")</f>
        <v>CUS00205</v>
      </c>
      <c r="B73" s="102" t="s">
        <v>288</v>
      </c>
      <c r="C73" s="102"/>
      <c r="D73" s="102" t="s">
        <v>289</v>
      </c>
      <c r="E73" s="97">
        <v>10</v>
      </c>
      <c r="F73" s="98" t="s">
        <v>250</v>
      </c>
      <c r="G73" s="99" t="s">
        <v>215</v>
      </c>
      <c r="H73" s="99"/>
      <c r="I73" s="99"/>
      <c r="J73" s="99"/>
      <c r="K73" s="37" t="s">
        <v>261</v>
      </c>
      <c r="L73" s="37">
        <v>205</v>
      </c>
      <c r="M73" s="37">
        <v>4</v>
      </c>
      <c r="N73" s="38">
        <f t="shared" si="12"/>
        <v>10</v>
      </c>
      <c r="Q73" s="31"/>
    </row>
    <row r="74" spans="1:17" outlineLevel="3" x14ac:dyDescent="0.2">
      <c r="A74" s="36" t="str">
        <f t="shared" ref="A74" si="15">K74 &amp; TEXT(L74,"00000")</f>
        <v>CUS00204</v>
      </c>
      <c r="B74" s="102" t="s">
        <v>290</v>
      </c>
      <c r="C74" s="102"/>
      <c r="D74" s="102" t="s">
        <v>291</v>
      </c>
      <c r="E74" s="97">
        <v>10</v>
      </c>
      <c r="F74" s="98" t="s">
        <v>250</v>
      </c>
      <c r="G74" s="99" t="s">
        <v>215</v>
      </c>
      <c r="H74" s="99"/>
      <c r="I74" s="99"/>
      <c r="J74" s="99"/>
      <c r="K74" s="37" t="s">
        <v>261</v>
      </c>
      <c r="L74" s="37">
        <v>204</v>
      </c>
      <c r="M74" s="37">
        <v>4</v>
      </c>
      <c r="N74" s="38">
        <f t="shared" si="12"/>
        <v>10</v>
      </c>
      <c r="Q74" s="31"/>
    </row>
    <row r="75" spans="1:17" outlineLevel="3" x14ac:dyDescent="0.2">
      <c r="A75" s="36" t="str">
        <f t="shared" ref="A75" si="16">K75 &amp; TEXT(L75,"00000")</f>
        <v>CUS00203</v>
      </c>
      <c r="B75" s="102" t="s">
        <v>292</v>
      </c>
      <c r="C75" s="102"/>
      <c r="D75" s="102" t="s">
        <v>293</v>
      </c>
      <c r="E75" s="97">
        <v>10</v>
      </c>
      <c r="F75" s="98" t="s">
        <v>250</v>
      </c>
      <c r="G75" s="99" t="s">
        <v>215</v>
      </c>
      <c r="H75" s="99"/>
      <c r="I75" s="99"/>
      <c r="J75" s="99"/>
      <c r="K75" s="37" t="s">
        <v>261</v>
      </c>
      <c r="L75" s="37">
        <v>203</v>
      </c>
      <c r="M75" s="37">
        <v>4</v>
      </c>
      <c r="N75" s="38">
        <f t="shared" si="12"/>
        <v>10</v>
      </c>
      <c r="Q75" s="31"/>
    </row>
    <row r="76" spans="1:17" outlineLevel="3" x14ac:dyDescent="0.2">
      <c r="A76" s="36" t="str">
        <f t="shared" ref="A76" si="17">K76 &amp; TEXT(L76,"00000")</f>
        <v>CUS00211</v>
      </c>
      <c r="B76" s="102" t="s">
        <v>1192</v>
      </c>
      <c r="C76" s="102"/>
      <c r="D76" s="102" t="s">
        <v>294</v>
      </c>
      <c r="E76" s="97">
        <v>15</v>
      </c>
      <c r="F76" s="98" t="s">
        <v>250</v>
      </c>
      <c r="G76" s="99" t="s">
        <v>215</v>
      </c>
      <c r="H76" s="99"/>
      <c r="I76" s="99"/>
      <c r="J76" s="99"/>
      <c r="K76" s="37" t="s">
        <v>261</v>
      </c>
      <c r="L76" s="37">
        <v>211</v>
      </c>
      <c r="M76" s="37">
        <v>4</v>
      </c>
      <c r="N76" s="38">
        <f t="shared" si="12"/>
        <v>15</v>
      </c>
      <c r="Q76" s="31"/>
    </row>
    <row r="77" spans="1:17" outlineLevel="1" x14ac:dyDescent="0.2">
      <c r="A77" s="33" t="str">
        <f t="shared" si="6"/>
        <v>CUS00016</v>
      </c>
      <c r="B77" s="100" t="s">
        <v>295</v>
      </c>
      <c r="C77" s="100"/>
      <c r="D77" s="100"/>
      <c r="E77" s="100"/>
      <c r="F77" s="91"/>
      <c r="G77" s="92"/>
      <c r="H77" s="92"/>
      <c r="I77" s="92"/>
      <c r="J77" s="92"/>
      <c r="K77" s="34" t="s">
        <v>261</v>
      </c>
      <c r="L77" s="34">
        <v>16</v>
      </c>
      <c r="M77" s="34">
        <v>2</v>
      </c>
      <c r="N77" s="35">
        <f ca="1">SUBTOTAL(9,N78:(OFFSET(INDIRECT(N$1 &amp; $O77),-1,0)))</f>
        <v>138</v>
      </c>
      <c r="O77" s="21">
        <f>ROW($A83)</f>
        <v>83</v>
      </c>
      <c r="Q77" s="31"/>
    </row>
    <row r="78" spans="1:17" outlineLevel="2" x14ac:dyDescent="0.2">
      <c r="A78" s="50" t="str">
        <f t="shared" si="6"/>
        <v>CUS00017</v>
      </c>
      <c r="B78" s="101" t="s">
        <v>296</v>
      </c>
      <c r="C78" s="101"/>
      <c r="D78" s="101"/>
      <c r="E78" s="101"/>
      <c r="F78" s="94"/>
      <c r="G78" s="95"/>
      <c r="H78" s="95"/>
      <c r="I78" s="95"/>
      <c r="J78" s="95"/>
      <c r="K78" s="51" t="s">
        <v>261</v>
      </c>
      <c r="L78" s="51">
        <v>17</v>
      </c>
      <c r="M78" s="51">
        <v>3</v>
      </c>
      <c r="N78" s="52">
        <f ca="1">SUBTOTAL(9,N79:(OFFSET(INDIRECT(N$1 &amp; $O78),-1,0)))</f>
        <v>138</v>
      </c>
      <c r="O78" s="21">
        <f>ROW($A83)</f>
        <v>83</v>
      </c>
      <c r="Q78" s="31"/>
    </row>
    <row r="79" spans="1:17" ht="33.75" outlineLevel="3" x14ac:dyDescent="0.2">
      <c r="A79" s="36" t="str">
        <f t="shared" si="6"/>
        <v>CUS00018</v>
      </c>
      <c r="B79" s="102" t="s">
        <v>297</v>
      </c>
      <c r="C79" s="102"/>
      <c r="D79" s="102" t="s">
        <v>298</v>
      </c>
      <c r="E79" s="97">
        <v>15</v>
      </c>
      <c r="F79" s="98" t="s">
        <v>247</v>
      </c>
      <c r="G79" s="99" t="s">
        <v>215</v>
      </c>
      <c r="H79" s="99"/>
      <c r="I79" s="99"/>
      <c r="J79" s="99"/>
      <c r="K79" s="37" t="s">
        <v>261</v>
      </c>
      <c r="L79" s="37">
        <v>18</v>
      </c>
      <c r="M79" s="37">
        <v>4</v>
      </c>
      <c r="N79" s="38">
        <f>IF(COUNTIF(ScenarioTag,
IF(ScenarioSelected=$G$2,$G79,
IF(ScenarioSelected=$H$2,$H79,
IF(ScenarioSelected=$I$2,$I79,
IF(ScenarioSelected=$J$2,$J79,""))))
)&gt;0,$E79,0)</f>
        <v>15</v>
      </c>
      <c r="Q79" s="31"/>
    </row>
    <row r="80" spans="1:17" outlineLevel="3" x14ac:dyDescent="0.2">
      <c r="A80" s="36" t="str">
        <f t="shared" ref="A80" si="18">K80 &amp; TEXT(L80,"00000")</f>
        <v>CUS00213</v>
      </c>
      <c r="B80" s="627" t="s">
        <v>299</v>
      </c>
      <c r="C80" s="627"/>
      <c r="D80" s="102"/>
      <c r="E80" s="97"/>
      <c r="F80" s="98" t="s">
        <v>250</v>
      </c>
      <c r="G80" s="99" t="s">
        <v>215</v>
      </c>
      <c r="H80" s="99"/>
      <c r="I80" s="99"/>
      <c r="J80" s="99"/>
      <c r="K80" s="37" t="s">
        <v>261</v>
      </c>
      <c r="L80" s="37">
        <v>213</v>
      </c>
      <c r="M80" s="37">
        <v>4</v>
      </c>
      <c r="N80" s="38">
        <f>IF(COUNTIF(ScenarioTag,
IF(ScenarioSelected=$G$2,$G80,
IF(ScenarioSelected=$H$2,$H80,
IF(ScenarioSelected=$I$2,$I80,
IF(ScenarioSelected=$J$2,$J80,""))))
)&gt;0,$E80,0)</f>
        <v>0</v>
      </c>
      <c r="Q80" s="31"/>
    </row>
    <row r="81" spans="1:17" outlineLevel="3" x14ac:dyDescent="0.2">
      <c r="A81" s="36" t="str">
        <f t="shared" ref="A81" si="19">K81 &amp; TEXT(L81,"00000")</f>
        <v>CUS00217</v>
      </c>
      <c r="B81" s="102" t="s">
        <v>300</v>
      </c>
      <c r="C81" s="625"/>
      <c r="D81" s="102" t="s">
        <v>301</v>
      </c>
      <c r="E81" s="97">
        <v>120</v>
      </c>
      <c r="F81" s="98" t="s">
        <v>250</v>
      </c>
      <c r="G81" s="99" t="s">
        <v>215</v>
      </c>
      <c r="H81" s="99"/>
      <c r="I81" s="99"/>
      <c r="J81" s="99"/>
      <c r="K81" s="37" t="s">
        <v>261</v>
      </c>
      <c r="L81" s="37">
        <v>217</v>
      </c>
      <c r="M81" s="37">
        <v>4</v>
      </c>
      <c r="N81" s="38">
        <f>IF(COUNTIF(ScenarioTag,
IF(ScenarioSelected=$G$2,$G81,
IF(ScenarioSelected=$H$2,$H81,
IF(ScenarioSelected=$I$2,$I81,
IF(ScenarioSelected=$J$2,$J81,""))))
)&gt;0,$E81,0)</f>
        <v>120</v>
      </c>
      <c r="Q81" s="31"/>
    </row>
    <row r="82" spans="1:17" outlineLevel="3" x14ac:dyDescent="0.2">
      <c r="A82" s="36" t="str">
        <f t="shared" ref="A82" si="20">K82 &amp; TEXT(L82,"00000")</f>
        <v>CUS00220</v>
      </c>
      <c r="B82" s="102" t="s">
        <v>302</v>
      </c>
      <c r="C82" s="102"/>
      <c r="D82" s="102" t="s">
        <v>303</v>
      </c>
      <c r="E82" s="97">
        <v>3</v>
      </c>
      <c r="F82" s="98" t="s">
        <v>250</v>
      </c>
      <c r="G82" s="99" t="s">
        <v>215</v>
      </c>
      <c r="H82" s="99"/>
      <c r="I82" s="99"/>
      <c r="J82" s="99"/>
      <c r="K82" s="37" t="s">
        <v>261</v>
      </c>
      <c r="L82" s="37">
        <v>220</v>
      </c>
      <c r="M82" s="37">
        <v>4</v>
      </c>
      <c r="N82" s="38">
        <f>IF(COUNTIF(ScenarioTag,
IF(ScenarioSelected=$G$2,$G82,
IF(ScenarioSelected=$H$2,$H82,
IF(ScenarioSelected=$I$2,$I82,
IF(ScenarioSelected=$J$2,$J82,""))))
)&gt;0,$E82,0)</f>
        <v>3</v>
      </c>
      <c r="Q82" s="31"/>
    </row>
    <row r="83" spans="1:17" outlineLevel="1" x14ac:dyDescent="0.2">
      <c r="A83" s="33" t="str">
        <f t="shared" si="6"/>
        <v>CUS00019</v>
      </c>
      <c r="B83" s="100" t="s">
        <v>304</v>
      </c>
      <c r="C83" s="100"/>
      <c r="D83" s="100"/>
      <c r="E83" s="100"/>
      <c r="F83" s="91"/>
      <c r="G83" s="92"/>
      <c r="H83" s="92"/>
      <c r="I83" s="92"/>
      <c r="J83" s="92"/>
      <c r="K83" s="34" t="s">
        <v>261</v>
      </c>
      <c r="L83" s="34">
        <v>19</v>
      </c>
      <c r="M83" s="34">
        <v>2</v>
      </c>
      <c r="N83" s="35">
        <f ca="1">SUBTOTAL(9,N84:(OFFSET(INDIRECT(N$1 &amp; $O83),-1,0)))</f>
        <v>84</v>
      </c>
      <c r="O83" s="21">
        <f>ROW($A95)</f>
        <v>95</v>
      </c>
      <c r="Q83" s="31"/>
    </row>
    <row r="84" spans="1:17" outlineLevel="2" x14ac:dyDescent="0.2">
      <c r="A84" s="50" t="str">
        <f t="shared" si="6"/>
        <v>CUS00020</v>
      </c>
      <c r="B84" s="101" t="s">
        <v>305</v>
      </c>
      <c r="C84" s="101"/>
      <c r="D84" s="101"/>
      <c r="E84" s="101"/>
      <c r="F84" s="94"/>
      <c r="G84" s="95"/>
      <c r="H84" s="95"/>
      <c r="I84" s="95"/>
      <c r="J84" s="95"/>
      <c r="K84" s="51" t="s">
        <v>261</v>
      </c>
      <c r="L84" s="51">
        <v>20</v>
      </c>
      <c r="M84" s="51">
        <v>3</v>
      </c>
      <c r="N84" s="52">
        <f ca="1">SUBTOTAL(9,N85:(OFFSET(INDIRECT(N$1 &amp; $O84),-1,0)))</f>
        <v>84</v>
      </c>
      <c r="O84" s="21">
        <f>ROW($A95)</f>
        <v>95</v>
      </c>
      <c r="Q84" s="31"/>
    </row>
    <row r="85" spans="1:17" ht="22.5" outlineLevel="3" x14ac:dyDescent="0.2">
      <c r="A85" s="36" t="str">
        <f t="shared" si="6"/>
        <v>CUS00021</v>
      </c>
      <c r="B85" s="102" t="s">
        <v>306</v>
      </c>
      <c r="C85" s="102"/>
      <c r="D85" s="102" t="s">
        <v>307</v>
      </c>
      <c r="E85" s="97">
        <v>20</v>
      </c>
      <c r="F85" s="98" t="s">
        <v>247</v>
      </c>
      <c r="G85" s="99" t="s">
        <v>215</v>
      </c>
      <c r="H85" s="99"/>
      <c r="I85" s="99"/>
      <c r="J85" s="99"/>
      <c r="K85" s="37" t="s">
        <v>261</v>
      </c>
      <c r="L85" s="37">
        <v>21</v>
      </c>
      <c r="M85" s="37">
        <v>4</v>
      </c>
      <c r="N85" s="38">
        <f t="shared" ref="N85:N91" si="21">IF(COUNTIF(ScenarioTag,
IF(ScenarioSelected=$G$2,$G85,
IF(ScenarioSelected=$H$2,$H85,
IF(ScenarioSelected=$I$2,$I85,
IF(ScenarioSelected=$J$2,$J85,""))))
)&gt;0,$E85,0)</f>
        <v>20</v>
      </c>
      <c r="Q85" s="31"/>
    </row>
    <row r="86" spans="1:17" outlineLevel="3" x14ac:dyDescent="0.2">
      <c r="A86" s="36" t="str">
        <f t="shared" ref="A86" si="22">K86 &amp; TEXT(L86,"00000")</f>
        <v>CUS00208</v>
      </c>
      <c r="B86" s="627" t="s">
        <v>308</v>
      </c>
      <c r="C86" s="627"/>
      <c r="D86" s="102"/>
      <c r="E86" s="97"/>
      <c r="F86" s="98" t="s">
        <v>250</v>
      </c>
      <c r="G86" s="99" t="s">
        <v>215</v>
      </c>
      <c r="H86" s="99"/>
      <c r="I86" s="99"/>
      <c r="J86" s="99"/>
      <c r="K86" s="37" t="s">
        <v>261</v>
      </c>
      <c r="L86" s="37">
        <v>208</v>
      </c>
      <c r="M86" s="37">
        <v>4</v>
      </c>
      <c r="N86" s="38">
        <f t="shared" si="21"/>
        <v>0</v>
      </c>
      <c r="Q86" s="31"/>
    </row>
    <row r="87" spans="1:17" outlineLevel="3" x14ac:dyDescent="0.2">
      <c r="A87" s="36" t="str">
        <f t="shared" ref="A87" si="23">K87 &amp; TEXT(L87,"00000")</f>
        <v>CUS00214</v>
      </c>
      <c r="B87" s="102" t="s">
        <v>309</v>
      </c>
      <c r="C87" s="102"/>
      <c r="D87" s="102" t="s">
        <v>310</v>
      </c>
      <c r="E87" s="97">
        <v>20</v>
      </c>
      <c r="F87" s="98" t="s">
        <v>250</v>
      </c>
      <c r="G87" s="99" t="s">
        <v>215</v>
      </c>
      <c r="H87" s="99"/>
      <c r="I87" s="99"/>
      <c r="J87" s="99"/>
      <c r="K87" s="37" t="s">
        <v>261</v>
      </c>
      <c r="L87" s="37">
        <v>214</v>
      </c>
      <c r="M87" s="37">
        <v>4</v>
      </c>
      <c r="N87" s="38">
        <f t="shared" si="21"/>
        <v>20</v>
      </c>
      <c r="Q87" s="31"/>
    </row>
    <row r="88" spans="1:17" outlineLevel="3" x14ac:dyDescent="0.2">
      <c r="A88" s="36" t="str">
        <f t="shared" ref="A88" si="24">K88 &amp; TEXT(L88,"00000")</f>
        <v>CUS00209</v>
      </c>
      <c r="B88" s="102" t="s">
        <v>311</v>
      </c>
      <c r="C88" s="102"/>
      <c r="D88" s="102" t="s">
        <v>312</v>
      </c>
      <c r="E88" s="97">
        <v>8</v>
      </c>
      <c r="F88" s="98" t="s">
        <v>250</v>
      </c>
      <c r="G88" s="99" t="s">
        <v>215</v>
      </c>
      <c r="H88" s="99"/>
      <c r="I88" s="99"/>
      <c r="J88" s="99"/>
      <c r="K88" s="37" t="s">
        <v>261</v>
      </c>
      <c r="L88" s="37">
        <v>209</v>
      </c>
      <c r="M88" s="37">
        <v>4</v>
      </c>
      <c r="N88" s="38">
        <f t="shared" si="21"/>
        <v>8</v>
      </c>
      <c r="Q88" s="31"/>
    </row>
    <row r="89" spans="1:17" outlineLevel="3" x14ac:dyDescent="0.2">
      <c r="A89" s="36" t="str">
        <f t="shared" ref="A89" si="25">K89 &amp; TEXT(L89,"00000")</f>
        <v>CUS00210</v>
      </c>
      <c r="B89" s="102" t="s">
        <v>313</v>
      </c>
      <c r="C89" s="102"/>
      <c r="D89" s="102" t="s">
        <v>314</v>
      </c>
      <c r="E89" s="97">
        <v>7</v>
      </c>
      <c r="F89" s="98" t="s">
        <v>250</v>
      </c>
      <c r="G89" s="99" t="s">
        <v>215</v>
      </c>
      <c r="H89" s="99"/>
      <c r="I89" s="99"/>
      <c r="J89" s="99"/>
      <c r="K89" s="37" t="s">
        <v>261</v>
      </c>
      <c r="L89" s="37">
        <v>210</v>
      </c>
      <c r="M89" s="37">
        <v>4</v>
      </c>
      <c r="N89" s="38">
        <f t="shared" si="21"/>
        <v>7</v>
      </c>
      <c r="Q89" s="31"/>
    </row>
    <row r="90" spans="1:17" outlineLevel="3" x14ac:dyDescent="0.2">
      <c r="A90" s="36" t="str">
        <f t="shared" ref="A90" si="26">K90 &amp; TEXT(L90,"00000")</f>
        <v>CUS00212</v>
      </c>
      <c r="B90" s="102" t="s">
        <v>315</v>
      </c>
      <c r="C90" s="102"/>
      <c r="D90" s="102" t="s">
        <v>316</v>
      </c>
      <c r="E90" s="97">
        <v>3</v>
      </c>
      <c r="F90" s="98" t="s">
        <v>250</v>
      </c>
      <c r="G90" s="99" t="s">
        <v>215</v>
      </c>
      <c r="H90" s="99"/>
      <c r="I90" s="99"/>
      <c r="J90" s="99"/>
      <c r="K90" s="37" t="s">
        <v>261</v>
      </c>
      <c r="L90" s="37">
        <v>212</v>
      </c>
      <c r="M90" s="37">
        <v>4</v>
      </c>
      <c r="N90" s="38">
        <f t="shared" si="21"/>
        <v>3</v>
      </c>
      <c r="Q90" s="31"/>
    </row>
    <row r="91" spans="1:17" outlineLevel="3" x14ac:dyDescent="0.2">
      <c r="A91" s="36" t="str">
        <f t="shared" ref="A91" si="27">K91 &amp; TEXT(L91,"00000")</f>
        <v>CUS00216</v>
      </c>
      <c r="B91" s="102" t="s">
        <v>317</v>
      </c>
      <c r="C91" s="102"/>
      <c r="D91" s="102" t="s">
        <v>318</v>
      </c>
      <c r="E91" s="97">
        <v>5</v>
      </c>
      <c r="F91" s="98" t="s">
        <v>250</v>
      </c>
      <c r="G91" s="99" t="s">
        <v>215</v>
      </c>
      <c r="H91" s="99"/>
      <c r="I91" s="99"/>
      <c r="J91" s="99"/>
      <c r="K91" s="37" t="s">
        <v>261</v>
      </c>
      <c r="L91" s="37">
        <v>216</v>
      </c>
      <c r="M91" s="37">
        <v>4</v>
      </c>
      <c r="N91" s="38">
        <f t="shared" si="21"/>
        <v>5</v>
      </c>
      <c r="Q91" s="31"/>
    </row>
    <row r="92" spans="1:17" outlineLevel="3" x14ac:dyDescent="0.2">
      <c r="A92" s="36" t="str">
        <f>K92 &amp; TEXT(L92,"00000")</f>
        <v>CUS00221</v>
      </c>
      <c r="B92" s="102" t="s">
        <v>319</v>
      </c>
      <c r="C92" s="102"/>
      <c r="D92" s="102"/>
      <c r="E92" s="97">
        <v>0</v>
      </c>
      <c r="F92" s="98" t="s">
        <v>247</v>
      </c>
      <c r="G92" s="99" t="s">
        <v>320</v>
      </c>
      <c r="H92" s="99"/>
      <c r="I92" s="99"/>
      <c r="J92" s="99"/>
      <c r="K92" s="37" t="s">
        <v>261</v>
      </c>
      <c r="L92" s="37">
        <v>221</v>
      </c>
      <c r="M92" s="37">
        <v>4</v>
      </c>
      <c r="N92" s="38">
        <f>IF(COUNTIF(ScenarioTag,
IF(ScenarioSelected=$G$2,$G92,
IF(ScenarioSelected=$H$2,$H92,
IF(ScenarioSelected=$I$2,$I92,
IF(ScenarioSelected=$J$2,$J92,""))))
)&gt;0,$E92,0)</f>
        <v>0</v>
      </c>
      <c r="Q92" s="31"/>
    </row>
    <row r="93" spans="1:17" ht="22.5" outlineLevel="3" x14ac:dyDescent="0.2">
      <c r="A93" s="36" t="str">
        <f>K93 &amp; TEXT(L93,"00000")</f>
        <v>CUS00222</v>
      </c>
      <c r="B93" s="102" t="s">
        <v>1193</v>
      </c>
      <c r="C93" s="102"/>
      <c r="D93" s="102" t="s">
        <v>1194</v>
      </c>
      <c r="E93" s="97">
        <v>6</v>
      </c>
      <c r="F93" s="98" t="s">
        <v>247</v>
      </c>
      <c r="G93" s="99" t="s">
        <v>215</v>
      </c>
      <c r="H93" s="99"/>
      <c r="I93" s="99"/>
      <c r="J93" s="99"/>
      <c r="K93" s="37" t="s">
        <v>261</v>
      </c>
      <c r="L93" s="37">
        <v>222</v>
      </c>
      <c r="M93" s="37">
        <v>4</v>
      </c>
      <c r="N93" s="38">
        <f>IF(COUNTIF(ScenarioTag,
IF(ScenarioSelected=$G$2,$G93,
IF(ScenarioSelected=$H$2,$H93,
IF(ScenarioSelected=$I$2,$I93,
IF(ScenarioSelected=$J$2,$J93,""))))
)&gt;0,$E93,0)</f>
        <v>6</v>
      </c>
      <c r="Q93" s="31"/>
    </row>
    <row r="94" spans="1:17" outlineLevel="3" x14ac:dyDescent="0.2">
      <c r="A94" s="36" t="str">
        <f>K94 &amp; TEXT(L94,"00000")</f>
        <v>CUS00223</v>
      </c>
      <c r="B94" s="102" t="s">
        <v>1195</v>
      </c>
      <c r="C94" s="102"/>
      <c r="D94" s="102" t="s">
        <v>1196</v>
      </c>
      <c r="E94" s="97">
        <v>15</v>
      </c>
      <c r="F94" s="98" t="s">
        <v>247</v>
      </c>
      <c r="G94" s="99" t="s">
        <v>215</v>
      </c>
      <c r="H94" s="99"/>
      <c r="I94" s="99"/>
      <c r="J94" s="99"/>
      <c r="K94" s="37" t="s">
        <v>261</v>
      </c>
      <c r="L94" s="37">
        <v>223</v>
      </c>
      <c r="M94" s="37">
        <v>4</v>
      </c>
      <c r="N94" s="38">
        <f>IF(COUNTIF(ScenarioTag,
IF(ScenarioSelected=$G$2,$G94,
IF(ScenarioSelected=$H$2,$H94,
IF(ScenarioSelected=$I$2,$I94,
IF(ScenarioSelected=$J$2,$J94,""))))
)&gt;0,$E94,0)</f>
        <v>15</v>
      </c>
      <c r="Q94" s="31"/>
    </row>
    <row r="95" spans="1:17" outlineLevel="1" x14ac:dyDescent="0.2">
      <c r="A95" s="33" t="str">
        <f t="shared" si="6"/>
        <v>CUS00022</v>
      </c>
      <c r="B95" s="100" t="s">
        <v>321</v>
      </c>
      <c r="C95" s="100"/>
      <c r="D95" s="100"/>
      <c r="E95" s="100"/>
      <c r="F95" s="91"/>
      <c r="G95" s="92"/>
      <c r="H95" s="92"/>
      <c r="I95" s="92"/>
      <c r="J95" s="92"/>
      <c r="K95" s="34" t="s">
        <v>261</v>
      </c>
      <c r="L95" s="34">
        <v>22</v>
      </c>
      <c r="M95" s="34">
        <v>2</v>
      </c>
      <c r="N95" s="35">
        <f ca="1">SUBTOTAL(9,N96:(OFFSET(INDIRECT(N$1 &amp; $O95),-1,0)))</f>
        <v>0</v>
      </c>
      <c r="O95" s="21">
        <f>ROW($A98)</f>
        <v>98</v>
      </c>
      <c r="Q95" s="31"/>
    </row>
    <row r="96" spans="1:17" outlineLevel="2" x14ac:dyDescent="0.2">
      <c r="A96" s="50" t="str">
        <f t="shared" si="6"/>
        <v>CUS00023</v>
      </c>
      <c r="B96" s="101" t="s">
        <v>322</v>
      </c>
      <c r="C96" s="101"/>
      <c r="D96" s="101"/>
      <c r="E96" s="101"/>
      <c r="F96" s="94"/>
      <c r="G96" s="95"/>
      <c r="H96" s="95"/>
      <c r="I96" s="95"/>
      <c r="J96" s="95"/>
      <c r="K96" s="51" t="s">
        <v>261</v>
      </c>
      <c r="L96" s="51">
        <v>23</v>
      </c>
      <c r="M96" s="51">
        <v>3</v>
      </c>
      <c r="N96" s="52">
        <f ca="1">SUBTOTAL(9,N97:(OFFSET(INDIRECT(N$1 &amp; $O96),-1,0)))</f>
        <v>0</v>
      </c>
      <c r="O96" s="21">
        <f>ROW($A98)</f>
        <v>98</v>
      </c>
      <c r="Q96" s="31"/>
    </row>
    <row r="97" spans="1:17" outlineLevel="3" x14ac:dyDescent="0.2">
      <c r="A97" s="36" t="str">
        <f t="shared" si="6"/>
        <v>CUS00024</v>
      </c>
      <c r="B97" s="102" t="s">
        <v>323</v>
      </c>
      <c r="C97" s="102"/>
      <c r="D97" s="102"/>
      <c r="E97" s="97">
        <v>0</v>
      </c>
      <c r="F97" s="98" t="s">
        <v>214</v>
      </c>
      <c r="G97" s="99" t="s">
        <v>215</v>
      </c>
      <c r="H97" s="99"/>
      <c r="I97" s="99"/>
      <c r="J97" s="99"/>
      <c r="K97" s="37" t="s">
        <v>261</v>
      </c>
      <c r="L97" s="37">
        <v>24</v>
      </c>
      <c r="M97" s="37">
        <v>4</v>
      </c>
      <c r="N97" s="38">
        <f>IF(COUNTIF(ScenarioTag,
IF(ScenarioSelected=$G$2,$G97,
IF(ScenarioSelected=$H$2,$H97,
IF(ScenarioSelected=$I$2,$I97,
IF(ScenarioSelected=$J$2,$J97,""))))
)&gt;0,$E97,0)</f>
        <v>0</v>
      </c>
      <c r="Q97" s="31"/>
    </row>
    <row r="98" spans="1:17" outlineLevel="1" x14ac:dyDescent="0.2">
      <c r="A98" s="33" t="str">
        <f t="shared" si="6"/>
        <v>CUS00025</v>
      </c>
      <c r="B98" s="100" t="s">
        <v>324</v>
      </c>
      <c r="C98" s="100"/>
      <c r="D98" s="100"/>
      <c r="E98" s="100"/>
      <c r="F98" s="91"/>
      <c r="G98" s="92"/>
      <c r="H98" s="92"/>
      <c r="I98" s="92"/>
      <c r="J98" s="92"/>
      <c r="K98" s="34" t="s">
        <v>261</v>
      </c>
      <c r="L98" s="34">
        <v>25</v>
      </c>
      <c r="M98" s="34">
        <v>2</v>
      </c>
      <c r="N98" s="35">
        <f ca="1">SUBTOTAL(9,N99:(OFFSET(INDIRECT(N$1 &amp; $O98),-1,0)))</f>
        <v>0</v>
      </c>
      <c r="O98" s="21">
        <f>ROW($A101)</f>
        <v>101</v>
      </c>
      <c r="Q98" s="31"/>
    </row>
    <row r="99" spans="1:17" outlineLevel="2" x14ac:dyDescent="0.2">
      <c r="A99" s="50" t="str">
        <f t="shared" si="6"/>
        <v>CUS00026</v>
      </c>
      <c r="B99" s="101" t="s">
        <v>325</v>
      </c>
      <c r="C99" s="101"/>
      <c r="D99" s="101"/>
      <c r="E99" s="101"/>
      <c r="F99" s="94"/>
      <c r="G99" s="95"/>
      <c r="H99" s="95"/>
      <c r="I99" s="95"/>
      <c r="J99" s="95"/>
      <c r="K99" s="51" t="s">
        <v>261</v>
      </c>
      <c r="L99" s="51">
        <v>26</v>
      </c>
      <c r="M99" s="51">
        <v>3</v>
      </c>
      <c r="N99" s="52">
        <f ca="1">SUBTOTAL(9,N100:(OFFSET(INDIRECT(N$1 &amp; $O99),-1,0)))</f>
        <v>0</v>
      </c>
      <c r="O99" s="21">
        <f>ROW($A101)</f>
        <v>101</v>
      </c>
      <c r="Q99" s="31"/>
    </row>
    <row r="100" spans="1:17" outlineLevel="3" x14ac:dyDescent="0.2">
      <c r="A100" s="36" t="str">
        <f t="shared" si="6"/>
        <v>CUS00027</v>
      </c>
      <c r="B100" s="102" t="s">
        <v>326</v>
      </c>
      <c r="C100" s="102"/>
      <c r="D100" s="102"/>
      <c r="E100" s="97">
        <v>0</v>
      </c>
      <c r="F100" s="98" t="s">
        <v>214</v>
      </c>
      <c r="G100" s="99" t="s">
        <v>215</v>
      </c>
      <c r="H100" s="99"/>
      <c r="I100" s="99"/>
      <c r="J100" s="99"/>
      <c r="K100" s="37" t="s">
        <v>261</v>
      </c>
      <c r="L100" s="37">
        <v>27</v>
      </c>
      <c r="M100" s="37">
        <v>4</v>
      </c>
      <c r="N100" s="38">
        <f>IF(COUNTIF(ScenarioTag,
IF(ScenarioSelected=$G$2,$G100,
IF(ScenarioSelected=$H$2,$H100,
IF(ScenarioSelected=$I$2,$I100,
IF(ScenarioSelected=$J$2,$J100,""))))
)&gt;0,$E100,0)</f>
        <v>0</v>
      </c>
      <c r="Q100" s="31"/>
    </row>
    <row r="101" spans="1:17" outlineLevel="1" x14ac:dyDescent="0.2">
      <c r="A101" s="33" t="str">
        <f t="shared" si="6"/>
        <v>CUS00028</v>
      </c>
      <c r="B101" s="100" t="s">
        <v>327</v>
      </c>
      <c r="C101" s="100"/>
      <c r="D101" s="100"/>
      <c r="E101" s="100"/>
      <c r="F101" s="91"/>
      <c r="G101" s="92"/>
      <c r="H101" s="92"/>
      <c r="I101" s="92"/>
      <c r="J101" s="92"/>
      <c r="K101" s="34" t="s">
        <v>261</v>
      </c>
      <c r="L101" s="34">
        <v>28</v>
      </c>
      <c r="M101" s="34">
        <v>2</v>
      </c>
      <c r="N101" s="35">
        <f ca="1">SUBTOTAL(9,N102:(OFFSET(INDIRECT(N$1 &amp; $O101),-1,0)))</f>
        <v>10</v>
      </c>
      <c r="O101" s="21">
        <f>ROW($A105)</f>
        <v>105</v>
      </c>
      <c r="Q101" s="31"/>
    </row>
    <row r="102" spans="1:17" outlineLevel="2" x14ac:dyDescent="0.2">
      <c r="A102" s="50" t="str">
        <f t="shared" si="6"/>
        <v>CUS00029</v>
      </c>
      <c r="B102" s="101" t="s">
        <v>328</v>
      </c>
      <c r="C102" s="101"/>
      <c r="D102" s="101"/>
      <c r="E102" s="101"/>
      <c r="F102" s="94"/>
      <c r="G102" s="95"/>
      <c r="H102" s="95"/>
      <c r="I102" s="95"/>
      <c r="J102" s="95"/>
      <c r="K102" s="51" t="s">
        <v>261</v>
      </c>
      <c r="L102" s="51">
        <v>29</v>
      </c>
      <c r="M102" s="51">
        <v>3</v>
      </c>
      <c r="N102" s="52">
        <f ca="1">SUBTOTAL(9,N103:(OFFSET(INDIRECT(N$1 &amp; $O102),-1,0)))</f>
        <v>10</v>
      </c>
      <c r="O102" s="21">
        <f>ROW($A105)</f>
        <v>105</v>
      </c>
      <c r="Q102" s="31"/>
    </row>
    <row r="103" spans="1:17" outlineLevel="3" x14ac:dyDescent="0.2">
      <c r="A103" s="36" t="str">
        <f t="shared" si="6"/>
        <v>CUS00030</v>
      </c>
      <c r="B103" s="102" t="s">
        <v>329</v>
      </c>
      <c r="C103" s="102"/>
      <c r="D103" s="102" t="s">
        <v>316</v>
      </c>
      <c r="E103" s="97">
        <v>5</v>
      </c>
      <c r="F103" s="98" t="s">
        <v>247</v>
      </c>
      <c r="G103" s="99" t="s">
        <v>215</v>
      </c>
      <c r="H103" s="99"/>
      <c r="I103" s="99"/>
      <c r="J103" s="99"/>
      <c r="K103" s="37" t="s">
        <v>261</v>
      </c>
      <c r="L103" s="37">
        <v>30</v>
      </c>
      <c r="M103" s="37">
        <v>4</v>
      </c>
      <c r="N103" s="38">
        <f>IF(COUNTIF(ScenarioTag,
IF(ScenarioSelected=$G$2,$G103,
IF(ScenarioSelected=$H$2,$H103,
IF(ScenarioSelected=$I$2,$I103,
IF(ScenarioSelected=$J$2,$J103,""))))
)&gt;0,$E103,0)</f>
        <v>5</v>
      </c>
      <c r="Q103" s="31"/>
    </row>
    <row r="104" spans="1:17" ht="22.5" outlineLevel="3" x14ac:dyDescent="0.2">
      <c r="A104" s="36" t="str">
        <f t="shared" ref="A104" si="28">K104 &amp; TEXT(L104,"00000")</f>
        <v>CUS00215</v>
      </c>
      <c r="B104" s="102" t="s">
        <v>330</v>
      </c>
      <c r="C104" s="102"/>
      <c r="D104" s="102" t="s">
        <v>316</v>
      </c>
      <c r="E104" s="97">
        <v>5</v>
      </c>
      <c r="F104" s="98" t="s">
        <v>250</v>
      </c>
      <c r="G104" s="99" t="s">
        <v>215</v>
      </c>
      <c r="H104" s="99"/>
      <c r="I104" s="99"/>
      <c r="J104" s="99"/>
      <c r="K104" s="37" t="s">
        <v>261</v>
      </c>
      <c r="L104" s="37">
        <v>215</v>
      </c>
      <c r="M104" s="37">
        <v>4</v>
      </c>
      <c r="N104" s="38">
        <f>IF(COUNTIF(ScenarioTag,
IF(ScenarioSelected=$G$2,$G104,
IF(ScenarioSelected=$H$2,$H104,
IF(ScenarioSelected=$I$2,$I104,
IF(ScenarioSelected=$J$2,$J104,""))))
)&gt;0,$E104,0)</f>
        <v>5</v>
      </c>
      <c r="Q104" s="31"/>
    </row>
    <row r="105" spans="1:17" outlineLevel="1" x14ac:dyDescent="0.2">
      <c r="A105" s="33" t="str">
        <f t="shared" si="6"/>
        <v>CUS00031</v>
      </c>
      <c r="B105" s="100" t="s">
        <v>331</v>
      </c>
      <c r="C105" s="100"/>
      <c r="D105" s="100"/>
      <c r="E105" s="100"/>
      <c r="F105" s="91"/>
      <c r="G105" s="92"/>
      <c r="H105" s="92"/>
      <c r="I105" s="92"/>
      <c r="J105" s="92"/>
      <c r="K105" s="34" t="s">
        <v>261</v>
      </c>
      <c r="L105" s="34">
        <v>31</v>
      </c>
      <c r="M105" s="34">
        <v>2</v>
      </c>
      <c r="N105" s="35">
        <f ca="1">SUBTOTAL(9,N106:(OFFSET(INDIRECT(N$1 &amp; $O105),-1,0)))</f>
        <v>0</v>
      </c>
      <c r="O105" s="21">
        <f>ROW($A108)</f>
        <v>108</v>
      </c>
      <c r="Q105" s="31"/>
    </row>
    <row r="106" spans="1:17" outlineLevel="2" x14ac:dyDescent="0.2">
      <c r="A106" s="50" t="str">
        <f t="shared" si="6"/>
        <v>CUS00032</v>
      </c>
      <c r="B106" s="101" t="s">
        <v>332</v>
      </c>
      <c r="C106" s="101"/>
      <c r="D106" s="101"/>
      <c r="E106" s="101"/>
      <c r="F106" s="94"/>
      <c r="G106" s="95"/>
      <c r="H106" s="95"/>
      <c r="I106" s="95"/>
      <c r="J106" s="95"/>
      <c r="K106" s="51" t="s">
        <v>261</v>
      </c>
      <c r="L106" s="51">
        <v>32</v>
      </c>
      <c r="M106" s="51">
        <v>3</v>
      </c>
      <c r="N106" s="52">
        <f ca="1">SUBTOTAL(9,N107:(OFFSET(INDIRECT(N$1 &amp; $O106),-1,0)))</f>
        <v>0</v>
      </c>
      <c r="O106" s="21">
        <f>ROW($A108)</f>
        <v>108</v>
      </c>
      <c r="Q106" s="31"/>
    </row>
    <row r="107" spans="1:17" outlineLevel="3" x14ac:dyDescent="0.2">
      <c r="A107" s="36" t="str">
        <f t="shared" ref="A107:A132" si="29">K107 &amp; TEXT(L107,"00000")</f>
        <v>CUS00033</v>
      </c>
      <c r="B107" s="102" t="s">
        <v>333</v>
      </c>
      <c r="C107" s="102"/>
      <c r="D107" s="102"/>
      <c r="E107" s="97">
        <v>0</v>
      </c>
      <c r="F107" s="98" t="s">
        <v>214</v>
      </c>
      <c r="G107" s="99" t="s">
        <v>215</v>
      </c>
      <c r="H107" s="99"/>
      <c r="I107" s="99"/>
      <c r="J107" s="99"/>
      <c r="K107" s="37" t="s">
        <v>261</v>
      </c>
      <c r="L107" s="37">
        <v>33</v>
      </c>
      <c r="M107" s="37">
        <v>4</v>
      </c>
      <c r="N107" s="38">
        <f>IF(COUNTIF(ScenarioTag,
IF(ScenarioSelected=$G$2,$G107,
IF(ScenarioSelected=$H$2,$H107,
IF(ScenarioSelected=$I$2,$I107,
IF(ScenarioSelected=$J$2,$J107,""))))
)&gt;0,$E107,0)</f>
        <v>0</v>
      </c>
      <c r="Q107" s="31"/>
    </row>
    <row r="108" spans="1:17" outlineLevel="1" x14ac:dyDescent="0.2">
      <c r="A108" s="33" t="str">
        <f t="shared" si="29"/>
        <v>CUS00034</v>
      </c>
      <c r="B108" s="100" t="s">
        <v>334</v>
      </c>
      <c r="C108" s="100"/>
      <c r="D108" s="100"/>
      <c r="E108" s="100"/>
      <c r="F108" s="91"/>
      <c r="G108" s="92"/>
      <c r="H108" s="92"/>
      <c r="I108" s="92"/>
      <c r="J108" s="92"/>
      <c r="K108" s="34" t="s">
        <v>261</v>
      </c>
      <c r="L108" s="34">
        <v>34</v>
      </c>
      <c r="M108" s="34">
        <v>2</v>
      </c>
      <c r="N108" s="35">
        <f ca="1">SUBTOTAL(9,N109:(OFFSET(INDIRECT(N$1 &amp; $O108),-1,0)))</f>
        <v>0</v>
      </c>
      <c r="O108" s="21">
        <f>ROW($A111)</f>
        <v>111</v>
      </c>
      <c r="Q108" s="31"/>
    </row>
    <row r="109" spans="1:17" outlineLevel="2" x14ac:dyDescent="0.2">
      <c r="A109" s="50" t="str">
        <f t="shared" si="29"/>
        <v>CUS00035</v>
      </c>
      <c r="B109" s="101" t="s">
        <v>335</v>
      </c>
      <c r="C109" s="101"/>
      <c r="D109" s="101"/>
      <c r="E109" s="101"/>
      <c r="F109" s="94"/>
      <c r="G109" s="95"/>
      <c r="H109" s="95"/>
      <c r="I109" s="95"/>
      <c r="J109" s="95"/>
      <c r="K109" s="51" t="s">
        <v>261</v>
      </c>
      <c r="L109" s="51">
        <v>35</v>
      </c>
      <c r="M109" s="51">
        <v>3</v>
      </c>
      <c r="N109" s="52">
        <f ca="1">SUBTOTAL(9,N110:(OFFSET(INDIRECT(N$1 &amp; $O109),-1,0)))</f>
        <v>0</v>
      </c>
      <c r="O109" s="21">
        <f>ROW($A111)</f>
        <v>111</v>
      </c>
      <c r="Q109" s="31"/>
    </row>
    <row r="110" spans="1:17" outlineLevel="3" x14ac:dyDescent="0.2">
      <c r="A110" s="36" t="str">
        <f t="shared" si="29"/>
        <v>CUS00036</v>
      </c>
      <c r="B110" s="102" t="s">
        <v>336</v>
      </c>
      <c r="C110" s="102"/>
      <c r="D110" s="102"/>
      <c r="E110" s="97">
        <v>0</v>
      </c>
      <c r="F110" s="98" t="s">
        <v>214</v>
      </c>
      <c r="G110" s="99" t="s">
        <v>215</v>
      </c>
      <c r="H110" s="99"/>
      <c r="I110" s="99"/>
      <c r="J110" s="99"/>
      <c r="K110" s="37" t="s">
        <v>261</v>
      </c>
      <c r="L110" s="37">
        <v>36</v>
      </c>
      <c r="M110" s="37">
        <v>4</v>
      </c>
      <c r="N110" s="38">
        <f>IF(COUNTIF(ScenarioTag,
IF(ScenarioSelected=$G$2,$G110,
IF(ScenarioSelected=$H$2,$H110,
IF(ScenarioSelected=$I$2,$I110,
IF(ScenarioSelected=$J$2,$J110,""))))
)&gt;0,$E110,0)</f>
        <v>0</v>
      </c>
      <c r="Q110" s="31"/>
    </row>
    <row r="111" spans="1:17" ht="22.5" outlineLevel="1" x14ac:dyDescent="0.2">
      <c r="A111" s="33" t="str">
        <f t="shared" si="29"/>
        <v>CUS00037</v>
      </c>
      <c r="B111" s="100" t="s">
        <v>337</v>
      </c>
      <c r="C111" s="100"/>
      <c r="D111" s="100"/>
      <c r="E111" s="100"/>
      <c r="F111" s="91"/>
      <c r="G111" s="92"/>
      <c r="H111" s="92"/>
      <c r="I111" s="92"/>
      <c r="J111" s="92"/>
      <c r="K111" s="34" t="s">
        <v>261</v>
      </c>
      <c r="L111" s="34">
        <v>37</v>
      </c>
      <c r="M111" s="34">
        <v>2</v>
      </c>
      <c r="N111" s="35">
        <f ca="1">SUBTOTAL(9,N112:(OFFSET(INDIRECT(N$1 &amp; $O111),-1,0)))</f>
        <v>0</v>
      </c>
      <c r="O111" s="21">
        <f>ROW($A114)</f>
        <v>114</v>
      </c>
      <c r="Q111" s="31"/>
    </row>
    <row r="112" spans="1:17" ht="22.5" outlineLevel="2" x14ac:dyDescent="0.2">
      <c r="A112" s="50" t="str">
        <f t="shared" si="29"/>
        <v>CUS00038</v>
      </c>
      <c r="B112" s="101" t="s">
        <v>338</v>
      </c>
      <c r="C112" s="101"/>
      <c r="D112" s="101"/>
      <c r="E112" s="101"/>
      <c r="F112" s="94"/>
      <c r="G112" s="95"/>
      <c r="H112" s="95"/>
      <c r="I112" s="95"/>
      <c r="J112" s="95"/>
      <c r="K112" s="51" t="s">
        <v>261</v>
      </c>
      <c r="L112" s="51">
        <v>38</v>
      </c>
      <c r="M112" s="51">
        <v>3</v>
      </c>
      <c r="N112" s="52">
        <f ca="1">SUBTOTAL(9,N113:(OFFSET(INDIRECT(N$1 &amp; $O112),-1,0)))</f>
        <v>0</v>
      </c>
      <c r="O112" s="21">
        <f>ROW($A114)</f>
        <v>114</v>
      </c>
      <c r="Q112" s="31"/>
    </row>
    <row r="113" spans="1:17" ht="22.5" outlineLevel="3" x14ac:dyDescent="0.2">
      <c r="A113" s="36" t="str">
        <f t="shared" si="29"/>
        <v>CUS00039</v>
      </c>
      <c r="B113" s="102" t="s">
        <v>339</v>
      </c>
      <c r="C113" s="102"/>
      <c r="D113" s="102"/>
      <c r="E113" s="97">
        <v>0</v>
      </c>
      <c r="F113" s="98" t="s">
        <v>214</v>
      </c>
      <c r="G113" s="99" t="s">
        <v>215</v>
      </c>
      <c r="H113" s="99"/>
      <c r="I113" s="99"/>
      <c r="J113" s="99"/>
      <c r="K113" s="37" t="s">
        <v>261</v>
      </c>
      <c r="L113" s="37">
        <v>39</v>
      </c>
      <c r="M113" s="37">
        <v>4</v>
      </c>
      <c r="N113" s="38">
        <f>IF(COUNTIF(ScenarioTag,
IF(ScenarioSelected=$G$2,$G113,
IF(ScenarioSelected=$H$2,$H113,
IF(ScenarioSelected=$I$2,$I113,
IF(ScenarioSelected=$J$2,$J113,""))))
)&gt;0,$E113,0)</f>
        <v>0</v>
      </c>
      <c r="Q113" s="31"/>
    </row>
    <row r="114" spans="1:17" outlineLevel="1" x14ac:dyDescent="0.2">
      <c r="A114" s="33" t="str">
        <f t="shared" si="29"/>
        <v>CUS00040</v>
      </c>
      <c r="B114" s="100" t="s">
        <v>340</v>
      </c>
      <c r="C114" s="100"/>
      <c r="D114" s="100"/>
      <c r="E114" s="100"/>
      <c r="F114" s="91"/>
      <c r="G114" s="92"/>
      <c r="H114" s="92"/>
      <c r="I114" s="92"/>
      <c r="J114" s="92"/>
      <c r="K114" s="34" t="s">
        <v>261</v>
      </c>
      <c r="L114" s="34">
        <v>40</v>
      </c>
      <c r="M114" s="34">
        <v>2</v>
      </c>
      <c r="N114" s="35">
        <f ca="1">SUBTOTAL(9,N115:(OFFSET(INDIRECT(N$1 &amp; $O114),-1,0)))</f>
        <v>0</v>
      </c>
      <c r="O114" s="21">
        <f>ROW($A117)</f>
        <v>117</v>
      </c>
      <c r="Q114" s="31"/>
    </row>
    <row r="115" spans="1:17" outlineLevel="2" x14ac:dyDescent="0.2">
      <c r="A115" s="50" t="str">
        <f t="shared" si="29"/>
        <v>CUS00041</v>
      </c>
      <c r="B115" s="101" t="s">
        <v>341</v>
      </c>
      <c r="C115" s="101"/>
      <c r="D115" s="101"/>
      <c r="E115" s="101"/>
      <c r="F115" s="94"/>
      <c r="G115" s="95"/>
      <c r="H115" s="95"/>
      <c r="I115" s="95"/>
      <c r="J115" s="95"/>
      <c r="K115" s="51" t="s">
        <v>261</v>
      </c>
      <c r="L115" s="51">
        <v>41</v>
      </c>
      <c r="M115" s="51">
        <v>3</v>
      </c>
      <c r="N115" s="52">
        <f ca="1">SUBTOTAL(9,N116:(OFFSET(INDIRECT(N$1 &amp; $O115),-1,0)))</f>
        <v>0</v>
      </c>
      <c r="O115" s="21">
        <f>ROW($A117)</f>
        <v>117</v>
      </c>
      <c r="Q115" s="31"/>
    </row>
    <row r="116" spans="1:17" outlineLevel="3" x14ac:dyDescent="0.2">
      <c r="A116" s="36" t="str">
        <f t="shared" si="29"/>
        <v>CUS00042</v>
      </c>
      <c r="B116" s="102" t="s">
        <v>342</v>
      </c>
      <c r="C116" s="102"/>
      <c r="D116" s="102"/>
      <c r="E116" s="97">
        <v>0</v>
      </c>
      <c r="F116" s="98" t="s">
        <v>214</v>
      </c>
      <c r="G116" s="99" t="s">
        <v>215</v>
      </c>
      <c r="H116" s="99"/>
      <c r="I116" s="99"/>
      <c r="J116" s="99"/>
      <c r="K116" s="37" t="s">
        <v>261</v>
      </c>
      <c r="L116" s="37">
        <v>42</v>
      </c>
      <c r="M116" s="37">
        <v>4</v>
      </c>
      <c r="N116" s="38">
        <f>IF(COUNTIF(ScenarioTag,
IF(ScenarioSelected=$G$2,$G116,
IF(ScenarioSelected=$H$2,$H116,
IF(ScenarioSelected=$I$2,$I116,
IF(ScenarioSelected=$J$2,$J116,""))))
)&gt;0,$E116,0)</f>
        <v>0</v>
      </c>
      <c r="Q116" s="31"/>
    </row>
    <row r="117" spans="1:17" outlineLevel="1" x14ac:dyDescent="0.2">
      <c r="A117" s="33" t="str">
        <f t="shared" si="29"/>
        <v>CUS00043</v>
      </c>
      <c r="B117" s="100" t="s">
        <v>343</v>
      </c>
      <c r="C117" s="100"/>
      <c r="D117" s="100"/>
      <c r="E117" s="100"/>
      <c r="F117" s="91"/>
      <c r="G117" s="92"/>
      <c r="H117" s="92"/>
      <c r="I117" s="92"/>
      <c r="J117" s="92"/>
      <c r="K117" s="34" t="s">
        <v>261</v>
      </c>
      <c r="L117" s="34">
        <v>43</v>
      </c>
      <c r="M117" s="34">
        <v>2</v>
      </c>
      <c r="N117" s="35">
        <f ca="1">SUBTOTAL(9,N118:(OFFSET(INDIRECT(N$1 &amp; $O117),-1,0)))</f>
        <v>0</v>
      </c>
      <c r="O117" s="21">
        <f>ROW($A120)</f>
        <v>120</v>
      </c>
      <c r="Q117" s="31"/>
    </row>
    <row r="118" spans="1:17" outlineLevel="2" x14ac:dyDescent="0.2">
      <c r="A118" s="50" t="str">
        <f t="shared" si="29"/>
        <v>CUS00044</v>
      </c>
      <c r="B118" s="101" t="s">
        <v>344</v>
      </c>
      <c r="C118" s="101"/>
      <c r="D118" s="101"/>
      <c r="E118" s="101"/>
      <c r="F118" s="94"/>
      <c r="G118" s="95"/>
      <c r="H118" s="95"/>
      <c r="I118" s="95"/>
      <c r="J118" s="95"/>
      <c r="K118" s="51" t="s">
        <v>261</v>
      </c>
      <c r="L118" s="51">
        <v>44</v>
      </c>
      <c r="M118" s="51">
        <v>3</v>
      </c>
      <c r="N118" s="52">
        <f ca="1">SUBTOTAL(9,N119:(OFFSET(INDIRECT(N$1 &amp; $O118),-1,0)))</f>
        <v>0</v>
      </c>
      <c r="O118" s="21">
        <f>ROW($A120)</f>
        <v>120</v>
      </c>
      <c r="Q118" s="31"/>
    </row>
    <row r="119" spans="1:17" outlineLevel="3" x14ac:dyDescent="0.2">
      <c r="A119" s="36" t="str">
        <f t="shared" si="29"/>
        <v>CUS00045</v>
      </c>
      <c r="B119" s="102" t="s">
        <v>345</v>
      </c>
      <c r="C119" s="102"/>
      <c r="D119" s="102"/>
      <c r="E119" s="97">
        <v>0</v>
      </c>
      <c r="F119" s="98" t="s">
        <v>214</v>
      </c>
      <c r="G119" s="99" t="s">
        <v>215</v>
      </c>
      <c r="H119" s="99"/>
      <c r="I119" s="99"/>
      <c r="J119" s="99"/>
      <c r="K119" s="37" t="s">
        <v>261</v>
      </c>
      <c r="L119" s="37">
        <v>45</v>
      </c>
      <c r="M119" s="37">
        <v>4</v>
      </c>
      <c r="N119" s="38">
        <f>IF(COUNTIF(ScenarioTag,
IF(ScenarioSelected=$G$2,$G119,
IF(ScenarioSelected=$H$2,$H119,
IF(ScenarioSelected=$I$2,$I119,
IF(ScenarioSelected=$J$2,$J119,""))))
)&gt;0,$E119,0)</f>
        <v>0</v>
      </c>
      <c r="Q119" s="31"/>
    </row>
    <row r="120" spans="1:17" outlineLevel="1" x14ac:dyDescent="0.2">
      <c r="A120" s="33" t="str">
        <f t="shared" si="29"/>
        <v>CUS00046</v>
      </c>
      <c r="B120" s="100" t="s">
        <v>346</v>
      </c>
      <c r="C120" s="100"/>
      <c r="D120" s="100"/>
      <c r="E120" s="100"/>
      <c r="F120" s="91"/>
      <c r="G120" s="92"/>
      <c r="H120" s="92"/>
      <c r="I120" s="92"/>
      <c r="J120" s="92"/>
      <c r="K120" s="34" t="s">
        <v>261</v>
      </c>
      <c r="L120" s="34">
        <v>46</v>
      </c>
      <c r="M120" s="34">
        <v>2</v>
      </c>
      <c r="N120" s="35">
        <f ca="1">SUBTOTAL(9,N121:(OFFSET(INDIRECT(N$1 &amp; $O120),-1,0)))</f>
        <v>0</v>
      </c>
      <c r="O120" s="21">
        <f>ROW($A123)</f>
        <v>123</v>
      </c>
      <c r="Q120" s="31"/>
    </row>
    <row r="121" spans="1:17" outlineLevel="2" x14ac:dyDescent="0.2">
      <c r="A121" s="50" t="str">
        <f t="shared" si="29"/>
        <v>CUS00047</v>
      </c>
      <c r="B121" s="101" t="s">
        <v>347</v>
      </c>
      <c r="C121" s="101"/>
      <c r="D121" s="101"/>
      <c r="E121" s="101"/>
      <c r="F121" s="94"/>
      <c r="G121" s="95"/>
      <c r="H121" s="95"/>
      <c r="I121" s="95"/>
      <c r="J121" s="95"/>
      <c r="K121" s="51" t="s">
        <v>261</v>
      </c>
      <c r="L121" s="51">
        <v>47</v>
      </c>
      <c r="M121" s="51">
        <v>3</v>
      </c>
      <c r="N121" s="52">
        <f ca="1">SUBTOTAL(9,N122:(OFFSET(INDIRECT(N$1 &amp; $O121),-1,0)))</f>
        <v>0</v>
      </c>
      <c r="O121" s="21">
        <f>ROW($A123)</f>
        <v>123</v>
      </c>
      <c r="Q121" s="31"/>
    </row>
    <row r="122" spans="1:17" outlineLevel="3" x14ac:dyDescent="0.2">
      <c r="A122" s="36" t="str">
        <f t="shared" si="29"/>
        <v>CUS00048</v>
      </c>
      <c r="B122" s="102" t="s">
        <v>348</v>
      </c>
      <c r="C122" s="102"/>
      <c r="D122" s="102"/>
      <c r="E122" s="97">
        <v>0</v>
      </c>
      <c r="F122" s="98" t="s">
        <v>214</v>
      </c>
      <c r="G122" s="99" t="s">
        <v>215</v>
      </c>
      <c r="H122" s="99"/>
      <c r="I122" s="99"/>
      <c r="J122" s="99"/>
      <c r="K122" s="37" t="s">
        <v>261</v>
      </c>
      <c r="L122" s="37">
        <v>48</v>
      </c>
      <c r="M122" s="37">
        <v>4</v>
      </c>
      <c r="N122" s="38">
        <f>IF(COUNTIF(ScenarioTag,
IF(ScenarioSelected=$G$2,$G122,
IF(ScenarioSelected=$H$2,$H122,
IF(ScenarioSelected=$I$2,$I122,
IF(ScenarioSelected=$J$2,$J122,""))))
)&gt;0,$E122,0)</f>
        <v>0</v>
      </c>
      <c r="Q122" s="31"/>
    </row>
    <row r="123" spans="1:17" outlineLevel="1" x14ac:dyDescent="0.2">
      <c r="A123" s="33" t="str">
        <f t="shared" si="29"/>
        <v>CUS00049</v>
      </c>
      <c r="B123" s="100" t="s">
        <v>349</v>
      </c>
      <c r="C123" s="100"/>
      <c r="D123" s="100"/>
      <c r="E123" s="100"/>
      <c r="F123" s="91"/>
      <c r="G123" s="92"/>
      <c r="H123" s="92"/>
      <c r="I123" s="92"/>
      <c r="J123" s="92"/>
      <c r="K123" s="34" t="s">
        <v>261</v>
      </c>
      <c r="L123" s="34">
        <v>49</v>
      </c>
      <c r="M123" s="34">
        <v>2</v>
      </c>
      <c r="N123" s="35">
        <f ca="1">SUBTOTAL(9,N124:(OFFSET(INDIRECT(N$1 &amp; $O123),-1,0)))</f>
        <v>0</v>
      </c>
      <c r="O123" s="21">
        <f>ROW($A126)</f>
        <v>126</v>
      </c>
      <c r="Q123" s="31"/>
    </row>
    <row r="124" spans="1:17" outlineLevel="2" x14ac:dyDescent="0.2">
      <c r="A124" s="50" t="str">
        <f t="shared" si="29"/>
        <v>CUS00050</v>
      </c>
      <c r="B124" s="101" t="s">
        <v>350</v>
      </c>
      <c r="C124" s="101"/>
      <c r="D124" s="101"/>
      <c r="E124" s="101"/>
      <c r="F124" s="94"/>
      <c r="G124" s="95"/>
      <c r="H124" s="95"/>
      <c r="I124" s="95"/>
      <c r="J124" s="95"/>
      <c r="K124" s="51" t="s">
        <v>261</v>
      </c>
      <c r="L124" s="51">
        <v>50</v>
      </c>
      <c r="M124" s="51">
        <v>3</v>
      </c>
      <c r="N124" s="52">
        <f ca="1">SUBTOTAL(9,N125:(OFFSET(INDIRECT(N$1 &amp; $O124),-1,0)))</f>
        <v>0</v>
      </c>
      <c r="O124" s="21">
        <f>ROW($A126)</f>
        <v>126</v>
      </c>
      <c r="Q124" s="31"/>
    </row>
    <row r="125" spans="1:17" outlineLevel="3" x14ac:dyDescent="0.2">
      <c r="A125" s="36" t="str">
        <f t="shared" si="29"/>
        <v>CUS00051</v>
      </c>
      <c r="B125" s="102" t="s">
        <v>351</v>
      </c>
      <c r="C125" s="102"/>
      <c r="D125" s="102"/>
      <c r="E125" s="97">
        <v>0</v>
      </c>
      <c r="F125" s="98" t="s">
        <v>214</v>
      </c>
      <c r="G125" s="99" t="s">
        <v>215</v>
      </c>
      <c r="H125" s="99"/>
      <c r="I125" s="99"/>
      <c r="J125" s="99"/>
      <c r="K125" s="37" t="s">
        <v>261</v>
      </c>
      <c r="L125" s="37">
        <v>51</v>
      </c>
      <c r="M125" s="37">
        <v>4</v>
      </c>
      <c r="N125" s="38">
        <f>IF(COUNTIF(ScenarioTag,
IF(ScenarioSelected=$G$2,$G125,
IF(ScenarioSelected=$H$2,$H125,
IF(ScenarioSelected=$I$2,$I125,
IF(ScenarioSelected=$J$2,$J125,""))))
)&gt;0,$E125,0)</f>
        <v>0</v>
      </c>
      <c r="Q125" s="31"/>
    </row>
    <row r="126" spans="1:17" outlineLevel="1" x14ac:dyDescent="0.2">
      <c r="A126" s="33" t="str">
        <f t="shared" si="29"/>
        <v>CUS00052</v>
      </c>
      <c r="B126" s="100" t="s">
        <v>352</v>
      </c>
      <c r="C126" s="100"/>
      <c r="D126" s="100"/>
      <c r="E126" s="100"/>
      <c r="F126" s="91"/>
      <c r="G126" s="92"/>
      <c r="H126" s="92"/>
      <c r="I126" s="92"/>
      <c r="J126" s="92"/>
      <c r="K126" s="34" t="s">
        <v>261</v>
      </c>
      <c r="L126" s="34">
        <v>52</v>
      </c>
      <c r="M126" s="34">
        <v>2</v>
      </c>
      <c r="N126" s="35">
        <f ca="1">SUBTOTAL(9,N127:(OFFSET(INDIRECT(N$1 &amp; $O126),-1,0)))</f>
        <v>0</v>
      </c>
      <c r="O126" s="21">
        <f>ROW($A129)</f>
        <v>129</v>
      </c>
      <c r="Q126" s="31"/>
    </row>
    <row r="127" spans="1:17" outlineLevel="2" x14ac:dyDescent="0.2">
      <c r="A127" s="50" t="str">
        <f t="shared" si="29"/>
        <v>CUS00053</v>
      </c>
      <c r="B127" s="101" t="s">
        <v>353</v>
      </c>
      <c r="C127" s="101"/>
      <c r="D127" s="101"/>
      <c r="E127" s="101"/>
      <c r="F127" s="94"/>
      <c r="G127" s="95"/>
      <c r="H127" s="95"/>
      <c r="I127" s="95"/>
      <c r="J127" s="95"/>
      <c r="K127" s="51" t="s">
        <v>261</v>
      </c>
      <c r="L127" s="51">
        <v>53</v>
      </c>
      <c r="M127" s="51">
        <v>3</v>
      </c>
      <c r="N127" s="52">
        <f ca="1">SUBTOTAL(9,N128:(OFFSET(INDIRECT(N$1 &amp; $O127),-1,0)))</f>
        <v>0</v>
      </c>
      <c r="O127" s="21">
        <f>ROW($A129)</f>
        <v>129</v>
      </c>
      <c r="Q127" s="31"/>
    </row>
    <row r="128" spans="1:17" outlineLevel="3" x14ac:dyDescent="0.2">
      <c r="A128" s="36" t="str">
        <f t="shared" si="29"/>
        <v>CUS00054</v>
      </c>
      <c r="B128" s="102" t="s">
        <v>354</v>
      </c>
      <c r="C128" s="102"/>
      <c r="D128" s="102"/>
      <c r="E128" s="97">
        <v>0</v>
      </c>
      <c r="F128" s="98" t="s">
        <v>214</v>
      </c>
      <c r="G128" s="99" t="s">
        <v>215</v>
      </c>
      <c r="H128" s="99"/>
      <c r="I128" s="99"/>
      <c r="J128" s="99"/>
      <c r="K128" s="37" t="s">
        <v>261</v>
      </c>
      <c r="L128" s="37">
        <v>54</v>
      </c>
      <c r="M128" s="37">
        <v>4</v>
      </c>
      <c r="N128" s="38">
        <f>IF(COUNTIF(ScenarioTag,
IF(ScenarioSelected=$G$2,$G128,
IF(ScenarioSelected=$H$2,$H128,
IF(ScenarioSelected=$I$2,$I128,
IF(ScenarioSelected=$J$2,$J128,""))))
)&gt;0,$E128,0)</f>
        <v>0</v>
      </c>
      <c r="Q128" s="31"/>
    </row>
    <row r="129" spans="1:17" outlineLevel="1" x14ac:dyDescent="0.2">
      <c r="A129" s="33" t="str">
        <f t="shared" si="29"/>
        <v>CUS00055</v>
      </c>
      <c r="B129" s="100" t="s">
        <v>355</v>
      </c>
      <c r="C129" s="100"/>
      <c r="D129" s="100"/>
      <c r="E129" s="100"/>
      <c r="F129" s="91"/>
      <c r="G129" s="92"/>
      <c r="H129" s="92"/>
      <c r="I129" s="92"/>
      <c r="J129" s="92"/>
      <c r="K129" s="34" t="s">
        <v>261</v>
      </c>
      <c r="L129" s="34">
        <v>55</v>
      </c>
      <c r="M129" s="34">
        <v>2</v>
      </c>
      <c r="N129" s="35">
        <f ca="1">SUBTOTAL(9,N130:(OFFSET(INDIRECT(N$1 &amp; $O129),-1,0)))</f>
        <v>0</v>
      </c>
      <c r="O129" s="21">
        <f>ROW($A132)</f>
        <v>132</v>
      </c>
      <c r="Q129" s="31"/>
    </row>
    <row r="130" spans="1:17" outlineLevel="2" x14ac:dyDescent="0.2">
      <c r="A130" s="50" t="str">
        <f t="shared" si="29"/>
        <v>CUS00056</v>
      </c>
      <c r="B130" s="101" t="s">
        <v>356</v>
      </c>
      <c r="C130" s="101"/>
      <c r="D130" s="101"/>
      <c r="E130" s="101"/>
      <c r="F130" s="94"/>
      <c r="G130" s="95"/>
      <c r="H130" s="95"/>
      <c r="I130" s="95"/>
      <c r="J130" s="95"/>
      <c r="K130" s="51" t="s">
        <v>261</v>
      </c>
      <c r="L130" s="51">
        <v>56</v>
      </c>
      <c r="M130" s="51">
        <v>3</v>
      </c>
      <c r="N130" s="52">
        <f ca="1">SUBTOTAL(9,N131:(OFFSET(INDIRECT(N$1 &amp; $O130),-1,0)))</f>
        <v>0</v>
      </c>
      <c r="O130" s="21">
        <f>ROW($A132)</f>
        <v>132</v>
      </c>
      <c r="Q130" s="31"/>
    </row>
    <row r="131" spans="1:17" outlineLevel="3" x14ac:dyDescent="0.2">
      <c r="A131" s="36" t="str">
        <f t="shared" si="29"/>
        <v>CUS00057</v>
      </c>
      <c r="B131" s="102" t="s">
        <v>357</v>
      </c>
      <c r="C131" s="102"/>
      <c r="D131" s="102"/>
      <c r="E131" s="97">
        <v>0</v>
      </c>
      <c r="F131" s="98" t="s">
        <v>214</v>
      </c>
      <c r="G131" s="99" t="s">
        <v>215</v>
      </c>
      <c r="H131" s="99"/>
      <c r="I131" s="99"/>
      <c r="J131" s="99"/>
      <c r="K131" s="37" t="s">
        <v>261</v>
      </c>
      <c r="L131" s="37">
        <v>57</v>
      </c>
      <c r="M131" s="37">
        <v>4</v>
      </c>
      <c r="N131" s="38">
        <f>IF(COUNTIF(ScenarioTag,
IF(ScenarioSelected=$G$2,$G131,
IF(ScenarioSelected=$H$2,$H131,
IF(ScenarioSelected=$I$2,$I131,
IF(ScenarioSelected=$J$2,$J131,""))))
)&gt;0,$E131,0)</f>
        <v>0</v>
      </c>
      <c r="Q131" s="31"/>
    </row>
    <row r="132" spans="1:17" ht="25.15" customHeight="1" x14ac:dyDescent="0.2">
      <c r="A132" s="28" t="str">
        <f t="shared" si="29"/>
        <v>SER00000</v>
      </c>
      <c r="B132" s="86" t="s">
        <v>358</v>
      </c>
      <c r="C132" s="87"/>
      <c r="D132" s="87"/>
      <c r="E132" s="87"/>
      <c r="F132" s="88"/>
      <c r="G132" s="89"/>
      <c r="H132" s="89"/>
      <c r="I132" s="89"/>
      <c r="J132" s="89"/>
      <c r="K132" s="29" t="s">
        <v>359</v>
      </c>
      <c r="L132" s="29">
        <v>0</v>
      </c>
      <c r="M132" s="29">
        <v>1</v>
      </c>
      <c r="N132" s="30">
        <f ca="1">SUBTOTAL(9,N133:(OFFSET(INDIRECT(N$1 &amp; $O132),-1,0)))</f>
        <v>0</v>
      </c>
      <c r="O132" s="21">
        <f>ROW($A155)</f>
        <v>155</v>
      </c>
      <c r="Q132" s="31"/>
    </row>
    <row r="133" spans="1:17" s="112" customFormat="1" ht="4.1500000000000004" customHeight="1" outlineLevel="1" x14ac:dyDescent="0.2">
      <c r="A133" s="107"/>
      <c r="B133" s="113"/>
      <c r="C133" s="114"/>
      <c r="D133" s="114"/>
      <c r="E133" s="114"/>
      <c r="F133" s="109"/>
      <c r="G133" s="115"/>
      <c r="H133" s="115"/>
      <c r="I133" s="115"/>
      <c r="J133" s="115"/>
      <c r="K133" s="109"/>
      <c r="L133" s="109"/>
      <c r="M133" s="109">
        <v>-1</v>
      </c>
      <c r="N133" s="104"/>
      <c r="O133" s="111"/>
      <c r="Q133" s="31"/>
    </row>
    <row r="134" spans="1:17" outlineLevel="1" x14ac:dyDescent="0.2">
      <c r="A134" s="33" t="str">
        <f t="shared" ref="A134:A155" si="30">K134 &amp; TEXT(L134,"00000")</f>
        <v>SER00001</v>
      </c>
      <c r="B134" s="100" t="s">
        <v>360</v>
      </c>
      <c r="C134" s="100"/>
      <c r="D134" s="100"/>
      <c r="E134" s="100"/>
      <c r="F134" s="91"/>
      <c r="G134" s="92"/>
      <c r="H134" s="92"/>
      <c r="I134" s="92"/>
      <c r="J134" s="92"/>
      <c r="K134" s="34" t="s">
        <v>359</v>
      </c>
      <c r="L134" s="34">
        <v>1</v>
      </c>
      <c r="M134" s="34">
        <v>2</v>
      </c>
      <c r="N134" s="35">
        <f ca="1">SUBTOTAL(9,N135:(OFFSET(INDIRECT(N$1 &amp; $O134),-1,0)))</f>
        <v>0</v>
      </c>
      <c r="O134" s="21">
        <f>ROW($A137)</f>
        <v>137</v>
      </c>
      <c r="Q134" s="31"/>
    </row>
    <row r="135" spans="1:17" outlineLevel="2" x14ac:dyDescent="0.2">
      <c r="A135" s="50" t="str">
        <f t="shared" si="30"/>
        <v>SER00002</v>
      </c>
      <c r="B135" s="101" t="s">
        <v>361</v>
      </c>
      <c r="C135" s="101"/>
      <c r="D135" s="101"/>
      <c r="E135" s="101"/>
      <c r="F135" s="94"/>
      <c r="G135" s="95"/>
      <c r="H135" s="95"/>
      <c r="I135" s="95"/>
      <c r="J135" s="95"/>
      <c r="K135" s="51" t="s">
        <v>359</v>
      </c>
      <c r="L135" s="51">
        <v>2</v>
      </c>
      <c r="M135" s="51">
        <v>3</v>
      </c>
      <c r="N135" s="52">
        <f ca="1">SUBTOTAL(9,N136:(OFFSET(INDIRECT(N$1 &amp; $O135),-1,0)))</f>
        <v>0</v>
      </c>
      <c r="O135" s="21">
        <f>ROW($A137)</f>
        <v>137</v>
      </c>
      <c r="Q135" s="31"/>
    </row>
    <row r="136" spans="1:17" outlineLevel="3" x14ac:dyDescent="0.2">
      <c r="A136" s="36" t="str">
        <f t="shared" si="30"/>
        <v>SER00003</v>
      </c>
      <c r="B136" s="102" t="s">
        <v>362</v>
      </c>
      <c r="C136" s="102"/>
      <c r="D136" s="102"/>
      <c r="E136" s="97">
        <v>0</v>
      </c>
      <c r="F136" s="98" t="s">
        <v>214</v>
      </c>
      <c r="G136" s="99" t="s">
        <v>215</v>
      </c>
      <c r="H136" s="99"/>
      <c r="I136" s="99"/>
      <c r="J136" s="99"/>
      <c r="K136" s="37" t="s">
        <v>359</v>
      </c>
      <c r="L136" s="37">
        <v>3</v>
      </c>
      <c r="M136" s="37">
        <v>4</v>
      </c>
      <c r="N136" s="38">
        <f>IF(COUNTIF(ScenarioTag,
IF(ScenarioSelected=$G$2,$G136,
IF(ScenarioSelected=$H$2,$H136,
IF(ScenarioSelected=$I$2,$I136,
IF(ScenarioSelected=$J$2,$J136,""))))
)&gt;0,$E136,0)</f>
        <v>0</v>
      </c>
      <c r="Q136" s="31"/>
    </row>
    <row r="137" spans="1:17" outlineLevel="1" x14ac:dyDescent="0.2">
      <c r="A137" s="33" t="str">
        <f t="shared" si="30"/>
        <v>SER00004</v>
      </c>
      <c r="B137" s="100" t="s">
        <v>363</v>
      </c>
      <c r="C137" s="100"/>
      <c r="D137" s="100"/>
      <c r="E137" s="100"/>
      <c r="F137" s="91"/>
      <c r="G137" s="92"/>
      <c r="H137" s="92"/>
      <c r="I137" s="92"/>
      <c r="J137" s="92"/>
      <c r="K137" s="34" t="s">
        <v>359</v>
      </c>
      <c r="L137" s="34">
        <v>4</v>
      </c>
      <c r="M137" s="34">
        <v>2</v>
      </c>
      <c r="N137" s="35">
        <f ca="1">SUBTOTAL(9,N138:(OFFSET(INDIRECT(N$1 &amp; $O137),-1,0)))</f>
        <v>0</v>
      </c>
      <c r="O137" s="21">
        <f>ROW($A140)</f>
        <v>140</v>
      </c>
      <c r="Q137" s="31"/>
    </row>
    <row r="138" spans="1:17" outlineLevel="2" x14ac:dyDescent="0.2">
      <c r="A138" s="50" t="str">
        <f t="shared" si="30"/>
        <v>SER00005</v>
      </c>
      <c r="B138" s="101" t="s">
        <v>364</v>
      </c>
      <c r="C138" s="101"/>
      <c r="D138" s="101"/>
      <c r="E138" s="101"/>
      <c r="F138" s="94"/>
      <c r="G138" s="95"/>
      <c r="H138" s="95"/>
      <c r="I138" s="95"/>
      <c r="J138" s="95"/>
      <c r="K138" s="51" t="s">
        <v>359</v>
      </c>
      <c r="L138" s="51">
        <v>5</v>
      </c>
      <c r="M138" s="51">
        <v>3</v>
      </c>
      <c r="N138" s="52">
        <f ca="1">SUBTOTAL(9,N139:(OFFSET(INDIRECT(N$1 &amp; $O138),-1,0)))</f>
        <v>0</v>
      </c>
      <c r="O138" s="21">
        <f>ROW($A140)</f>
        <v>140</v>
      </c>
      <c r="Q138" s="31"/>
    </row>
    <row r="139" spans="1:17" outlineLevel="3" x14ac:dyDescent="0.2">
      <c r="A139" s="36" t="str">
        <f t="shared" si="30"/>
        <v>SER00006</v>
      </c>
      <c r="B139" s="102" t="s">
        <v>365</v>
      </c>
      <c r="C139" s="102"/>
      <c r="D139" s="102"/>
      <c r="E139" s="97">
        <v>0</v>
      </c>
      <c r="F139" s="98" t="s">
        <v>214</v>
      </c>
      <c r="G139" s="99" t="s">
        <v>215</v>
      </c>
      <c r="H139" s="99"/>
      <c r="I139" s="99"/>
      <c r="J139" s="99"/>
      <c r="K139" s="37" t="s">
        <v>359</v>
      </c>
      <c r="L139" s="37">
        <v>6</v>
      </c>
      <c r="M139" s="37">
        <v>4</v>
      </c>
      <c r="N139" s="38">
        <f>IF(COUNTIF(ScenarioTag,
IF(ScenarioSelected=$G$2,$G139,
IF(ScenarioSelected=$H$2,$H139,
IF(ScenarioSelected=$I$2,$I139,
IF(ScenarioSelected=$J$2,$J139,""))))
)&gt;0,$E139,0)</f>
        <v>0</v>
      </c>
      <c r="Q139" s="31"/>
    </row>
    <row r="140" spans="1:17" outlineLevel="1" x14ac:dyDescent="0.2">
      <c r="A140" s="33" t="str">
        <f t="shared" si="30"/>
        <v>SER00007</v>
      </c>
      <c r="B140" s="100" t="s">
        <v>366</v>
      </c>
      <c r="C140" s="100"/>
      <c r="D140" s="100"/>
      <c r="E140" s="100"/>
      <c r="F140" s="91"/>
      <c r="G140" s="92"/>
      <c r="H140" s="92"/>
      <c r="I140" s="92"/>
      <c r="J140" s="92"/>
      <c r="K140" s="34" t="s">
        <v>359</v>
      </c>
      <c r="L140" s="34">
        <v>7</v>
      </c>
      <c r="M140" s="34">
        <v>2</v>
      </c>
      <c r="N140" s="35">
        <f ca="1">SUBTOTAL(9,N141:(OFFSET(INDIRECT(N$1 &amp; $O140),-1,0)))</f>
        <v>0</v>
      </c>
      <c r="O140" s="21">
        <f>ROW($A143)</f>
        <v>143</v>
      </c>
      <c r="Q140" s="31"/>
    </row>
    <row r="141" spans="1:17" outlineLevel="2" x14ac:dyDescent="0.2">
      <c r="A141" s="50" t="str">
        <f t="shared" si="30"/>
        <v>SER00008</v>
      </c>
      <c r="B141" s="101" t="s">
        <v>367</v>
      </c>
      <c r="C141" s="101"/>
      <c r="D141" s="101"/>
      <c r="E141" s="101"/>
      <c r="F141" s="94"/>
      <c r="G141" s="95"/>
      <c r="H141" s="95"/>
      <c r="I141" s="95"/>
      <c r="J141" s="95"/>
      <c r="K141" s="51" t="s">
        <v>359</v>
      </c>
      <c r="L141" s="51">
        <v>8</v>
      </c>
      <c r="M141" s="51">
        <v>3</v>
      </c>
      <c r="N141" s="52">
        <f ca="1">SUBTOTAL(9,N142:(OFFSET(INDIRECT(N$1 &amp; $O141),-1,0)))</f>
        <v>0</v>
      </c>
      <c r="O141" s="21">
        <f>ROW($A143)</f>
        <v>143</v>
      </c>
      <c r="Q141" s="31"/>
    </row>
    <row r="142" spans="1:17" outlineLevel="3" x14ac:dyDescent="0.2">
      <c r="A142" s="36" t="str">
        <f t="shared" si="30"/>
        <v>SER00009</v>
      </c>
      <c r="B142" s="102" t="s">
        <v>368</v>
      </c>
      <c r="C142" s="102"/>
      <c r="D142" s="102"/>
      <c r="E142" s="97">
        <v>0</v>
      </c>
      <c r="F142" s="98" t="s">
        <v>214</v>
      </c>
      <c r="G142" s="99" t="s">
        <v>215</v>
      </c>
      <c r="H142" s="99"/>
      <c r="I142" s="99"/>
      <c r="J142" s="99"/>
      <c r="K142" s="37" t="s">
        <v>359</v>
      </c>
      <c r="L142" s="37">
        <v>9</v>
      </c>
      <c r="M142" s="37">
        <v>4</v>
      </c>
      <c r="N142" s="38">
        <f>IF(COUNTIF(ScenarioTag,
IF(ScenarioSelected=$G$2,$G142,
IF(ScenarioSelected=$H$2,$H142,
IF(ScenarioSelected=$I$2,$I142,
IF(ScenarioSelected=$J$2,$J142,""))))
)&gt;0,$E142,0)</f>
        <v>0</v>
      </c>
      <c r="Q142" s="31"/>
    </row>
    <row r="143" spans="1:17" outlineLevel="1" x14ac:dyDescent="0.2">
      <c r="A143" s="33" t="str">
        <f t="shared" si="30"/>
        <v>SER00010</v>
      </c>
      <c r="B143" s="100" t="s">
        <v>369</v>
      </c>
      <c r="C143" s="100"/>
      <c r="D143" s="100"/>
      <c r="E143" s="100"/>
      <c r="F143" s="91"/>
      <c r="G143" s="92"/>
      <c r="H143" s="92"/>
      <c r="I143" s="92"/>
      <c r="J143" s="92"/>
      <c r="K143" s="34" t="s">
        <v>359</v>
      </c>
      <c r="L143" s="34">
        <v>10</v>
      </c>
      <c r="M143" s="34">
        <v>2</v>
      </c>
      <c r="N143" s="35">
        <f ca="1">SUBTOTAL(9,N144:(OFFSET(INDIRECT(N$1 &amp; $O143),-1,0)))</f>
        <v>0</v>
      </c>
      <c r="O143" s="21">
        <f>ROW($A146)</f>
        <v>146</v>
      </c>
      <c r="Q143" s="31"/>
    </row>
    <row r="144" spans="1:17" outlineLevel="2" x14ac:dyDescent="0.2">
      <c r="A144" s="50" t="str">
        <f t="shared" si="30"/>
        <v>SER00011</v>
      </c>
      <c r="B144" s="101" t="s">
        <v>370</v>
      </c>
      <c r="C144" s="101"/>
      <c r="D144" s="101"/>
      <c r="E144" s="101"/>
      <c r="F144" s="94"/>
      <c r="G144" s="95"/>
      <c r="H144" s="95"/>
      <c r="I144" s="95"/>
      <c r="J144" s="95"/>
      <c r="K144" s="51" t="s">
        <v>359</v>
      </c>
      <c r="L144" s="51">
        <v>11</v>
      </c>
      <c r="M144" s="51">
        <v>3</v>
      </c>
      <c r="N144" s="52">
        <f ca="1">SUBTOTAL(9,N145:(OFFSET(INDIRECT(N$1 &amp; $O144),-1,0)))</f>
        <v>0</v>
      </c>
      <c r="O144" s="21">
        <f>ROW($A146)</f>
        <v>146</v>
      </c>
      <c r="Q144" s="31"/>
    </row>
    <row r="145" spans="1:17" outlineLevel="3" x14ac:dyDescent="0.2">
      <c r="A145" s="36" t="str">
        <f t="shared" si="30"/>
        <v>SER00012</v>
      </c>
      <c r="B145" s="102" t="s">
        <v>371</v>
      </c>
      <c r="C145" s="102"/>
      <c r="D145" s="102"/>
      <c r="E145" s="97">
        <v>0</v>
      </c>
      <c r="F145" s="98" t="s">
        <v>214</v>
      </c>
      <c r="G145" s="99" t="s">
        <v>215</v>
      </c>
      <c r="H145" s="99"/>
      <c r="I145" s="99"/>
      <c r="J145" s="99"/>
      <c r="K145" s="37" t="s">
        <v>359</v>
      </c>
      <c r="L145" s="37">
        <v>12</v>
      </c>
      <c r="M145" s="37">
        <v>4</v>
      </c>
      <c r="N145" s="38">
        <f>IF(COUNTIF(ScenarioTag,
IF(ScenarioSelected=$G$2,$G145,
IF(ScenarioSelected=$H$2,$H145,
IF(ScenarioSelected=$I$2,$I145,
IF(ScenarioSelected=$J$2,$J145,""))))
)&gt;0,$E145,0)</f>
        <v>0</v>
      </c>
      <c r="Q145" s="31"/>
    </row>
    <row r="146" spans="1:17" outlineLevel="1" x14ac:dyDescent="0.2">
      <c r="A146" s="33" t="str">
        <f t="shared" si="30"/>
        <v>SER00013</v>
      </c>
      <c r="B146" s="100" t="s">
        <v>372</v>
      </c>
      <c r="C146" s="100"/>
      <c r="D146" s="100"/>
      <c r="E146" s="100"/>
      <c r="F146" s="91"/>
      <c r="G146" s="92"/>
      <c r="H146" s="92"/>
      <c r="I146" s="92"/>
      <c r="J146" s="92"/>
      <c r="K146" s="34" t="s">
        <v>359</v>
      </c>
      <c r="L146" s="34">
        <v>13</v>
      </c>
      <c r="M146" s="34">
        <v>2</v>
      </c>
      <c r="N146" s="35">
        <f ca="1">SUBTOTAL(9,N147:(OFFSET(INDIRECT(N$1 &amp; $O146),-1,0)))</f>
        <v>0</v>
      </c>
      <c r="O146" s="21">
        <f>ROW($A149)</f>
        <v>149</v>
      </c>
      <c r="Q146" s="31"/>
    </row>
    <row r="147" spans="1:17" outlineLevel="2" x14ac:dyDescent="0.2">
      <c r="A147" s="50" t="str">
        <f t="shared" si="30"/>
        <v>SER00014</v>
      </c>
      <c r="B147" s="101" t="s">
        <v>373</v>
      </c>
      <c r="C147" s="101"/>
      <c r="D147" s="101"/>
      <c r="E147" s="101"/>
      <c r="F147" s="94"/>
      <c r="G147" s="95"/>
      <c r="H147" s="95"/>
      <c r="I147" s="95"/>
      <c r="J147" s="95"/>
      <c r="K147" s="51" t="s">
        <v>359</v>
      </c>
      <c r="L147" s="51">
        <v>14</v>
      </c>
      <c r="M147" s="51">
        <v>3</v>
      </c>
      <c r="N147" s="52">
        <f ca="1">SUBTOTAL(9,N148:(OFFSET(INDIRECT(N$1 &amp; $O147),-1,0)))</f>
        <v>0</v>
      </c>
      <c r="O147" s="21">
        <f>ROW($A149)</f>
        <v>149</v>
      </c>
      <c r="Q147" s="31"/>
    </row>
    <row r="148" spans="1:17" outlineLevel="3" x14ac:dyDescent="0.2">
      <c r="A148" s="36" t="str">
        <f t="shared" si="30"/>
        <v>SER00015</v>
      </c>
      <c r="B148" s="102" t="s">
        <v>374</v>
      </c>
      <c r="C148" s="102"/>
      <c r="D148" s="102"/>
      <c r="E148" s="97">
        <v>0</v>
      </c>
      <c r="F148" s="98" t="s">
        <v>214</v>
      </c>
      <c r="G148" s="99" t="s">
        <v>215</v>
      </c>
      <c r="H148" s="99"/>
      <c r="I148" s="99"/>
      <c r="J148" s="99"/>
      <c r="K148" s="37" t="s">
        <v>359</v>
      </c>
      <c r="L148" s="37">
        <v>15</v>
      </c>
      <c r="M148" s="37">
        <v>4</v>
      </c>
      <c r="N148" s="38">
        <f>IF(COUNTIF(ScenarioTag,
IF(ScenarioSelected=$G$2,$G148,
IF(ScenarioSelected=$H$2,$H148,
IF(ScenarioSelected=$I$2,$I148,
IF(ScenarioSelected=$J$2,$J148,""))))
)&gt;0,$E148,0)</f>
        <v>0</v>
      </c>
      <c r="Q148" s="31"/>
    </row>
    <row r="149" spans="1:17" outlineLevel="1" x14ac:dyDescent="0.2">
      <c r="A149" s="33" t="str">
        <f t="shared" si="30"/>
        <v>SER00016</v>
      </c>
      <c r="B149" s="100" t="s">
        <v>375</v>
      </c>
      <c r="C149" s="100"/>
      <c r="D149" s="100"/>
      <c r="E149" s="100"/>
      <c r="F149" s="91"/>
      <c r="G149" s="92"/>
      <c r="H149" s="92"/>
      <c r="I149" s="92"/>
      <c r="J149" s="92"/>
      <c r="K149" s="34" t="s">
        <v>359</v>
      </c>
      <c r="L149" s="34">
        <v>16</v>
      </c>
      <c r="M149" s="34">
        <v>2</v>
      </c>
      <c r="N149" s="35">
        <f ca="1">SUBTOTAL(9,N150:(OFFSET(INDIRECT(N$1 &amp; $O149),-1,0)))</f>
        <v>0</v>
      </c>
      <c r="O149" s="21">
        <f>ROW($A152)</f>
        <v>152</v>
      </c>
      <c r="Q149" s="31"/>
    </row>
    <row r="150" spans="1:17" outlineLevel="2" x14ac:dyDescent="0.2">
      <c r="A150" s="50" t="str">
        <f t="shared" si="30"/>
        <v>SER00017</v>
      </c>
      <c r="B150" s="101" t="s">
        <v>376</v>
      </c>
      <c r="C150" s="101"/>
      <c r="D150" s="101"/>
      <c r="E150" s="101"/>
      <c r="F150" s="94"/>
      <c r="G150" s="95"/>
      <c r="H150" s="95"/>
      <c r="I150" s="95"/>
      <c r="J150" s="95"/>
      <c r="K150" s="51" t="s">
        <v>359</v>
      </c>
      <c r="L150" s="51">
        <v>17</v>
      </c>
      <c r="M150" s="51">
        <v>3</v>
      </c>
      <c r="N150" s="52">
        <f ca="1">SUBTOTAL(9,N151:(OFFSET(INDIRECT(N$1 &amp; $O150),-1,0)))</f>
        <v>0</v>
      </c>
      <c r="O150" s="21">
        <f>ROW($A152)</f>
        <v>152</v>
      </c>
      <c r="Q150" s="31"/>
    </row>
    <row r="151" spans="1:17" outlineLevel="3" x14ac:dyDescent="0.2">
      <c r="A151" s="36" t="str">
        <f t="shared" si="30"/>
        <v>SER00018</v>
      </c>
      <c r="B151" s="102" t="s">
        <v>377</v>
      </c>
      <c r="C151" s="102"/>
      <c r="D151" s="102"/>
      <c r="E151" s="97">
        <v>0</v>
      </c>
      <c r="F151" s="98" t="s">
        <v>214</v>
      </c>
      <c r="G151" s="99" t="s">
        <v>215</v>
      </c>
      <c r="H151" s="99"/>
      <c r="I151" s="99"/>
      <c r="J151" s="99"/>
      <c r="K151" s="37" t="s">
        <v>359</v>
      </c>
      <c r="L151" s="37">
        <v>18</v>
      </c>
      <c r="M151" s="37">
        <v>4</v>
      </c>
      <c r="N151" s="38">
        <f>IF(COUNTIF(ScenarioTag,
IF(ScenarioSelected=$G$2,$G151,
IF(ScenarioSelected=$H$2,$H151,
IF(ScenarioSelected=$I$2,$I151,
IF(ScenarioSelected=$J$2,$J151,""))))
)&gt;0,$E151,0)</f>
        <v>0</v>
      </c>
      <c r="Q151" s="31"/>
    </row>
    <row r="152" spans="1:17" outlineLevel="1" x14ac:dyDescent="0.2">
      <c r="A152" s="33" t="str">
        <f t="shared" si="30"/>
        <v>SER00019</v>
      </c>
      <c r="B152" s="100" t="s">
        <v>378</v>
      </c>
      <c r="C152" s="100"/>
      <c r="D152" s="100"/>
      <c r="E152" s="100"/>
      <c r="F152" s="91"/>
      <c r="G152" s="92"/>
      <c r="H152" s="92"/>
      <c r="I152" s="92"/>
      <c r="J152" s="92"/>
      <c r="K152" s="34" t="s">
        <v>359</v>
      </c>
      <c r="L152" s="34">
        <v>19</v>
      </c>
      <c r="M152" s="34">
        <v>2</v>
      </c>
      <c r="N152" s="35">
        <f ca="1">SUBTOTAL(9,N153:(OFFSET(INDIRECT(N$1 &amp; $O152),-1,0)))</f>
        <v>0</v>
      </c>
      <c r="O152" s="21">
        <f>ROW($A155)</f>
        <v>155</v>
      </c>
      <c r="Q152" s="31"/>
    </row>
    <row r="153" spans="1:17" outlineLevel="2" x14ac:dyDescent="0.2">
      <c r="A153" s="50" t="str">
        <f t="shared" si="30"/>
        <v>SER00020</v>
      </c>
      <c r="B153" s="101" t="s">
        <v>379</v>
      </c>
      <c r="C153" s="101"/>
      <c r="D153" s="101"/>
      <c r="E153" s="101"/>
      <c r="F153" s="94"/>
      <c r="G153" s="95"/>
      <c r="H153" s="95"/>
      <c r="I153" s="95"/>
      <c r="J153" s="95"/>
      <c r="K153" s="51" t="s">
        <v>359</v>
      </c>
      <c r="L153" s="51">
        <v>20</v>
      </c>
      <c r="M153" s="51">
        <v>3</v>
      </c>
      <c r="N153" s="52">
        <f ca="1">SUBTOTAL(9,N154:(OFFSET(INDIRECT(N$1 &amp; $O153),-1,0)))</f>
        <v>0</v>
      </c>
      <c r="O153" s="21">
        <f>ROW($A155)</f>
        <v>155</v>
      </c>
      <c r="Q153" s="31"/>
    </row>
    <row r="154" spans="1:17" outlineLevel="3" x14ac:dyDescent="0.2">
      <c r="A154" s="36" t="str">
        <f t="shared" si="30"/>
        <v>SER00021</v>
      </c>
      <c r="B154" s="102" t="s">
        <v>380</v>
      </c>
      <c r="C154" s="102"/>
      <c r="D154" s="102"/>
      <c r="E154" s="97">
        <v>0</v>
      </c>
      <c r="F154" s="98" t="s">
        <v>214</v>
      </c>
      <c r="G154" s="99" t="s">
        <v>215</v>
      </c>
      <c r="H154" s="99"/>
      <c r="I154" s="99"/>
      <c r="J154" s="99"/>
      <c r="K154" s="37" t="s">
        <v>359</v>
      </c>
      <c r="L154" s="37">
        <v>21</v>
      </c>
      <c r="M154" s="37">
        <v>4</v>
      </c>
      <c r="N154" s="38">
        <f>IF(COUNTIF(ScenarioTag,
IF(ScenarioSelected=$G$2,$G154,
IF(ScenarioSelected=$H$2,$H154,
IF(ScenarioSelected=$I$2,$I154,
IF(ScenarioSelected=$J$2,$J154,""))))
)&gt;0,$E154,0)</f>
        <v>0</v>
      </c>
      <c r="Q154" s="31"/>
    </row>
    <row r="155" spans="1:17" ht="25.15" customHeight="1" x14ac:dyDescent="0.2">
      <c r="A155" s="28" t="str">
        <f t="shared" si="30"/>
        <v>RES00000</v>
      </c>
      <c r="B155" s="86" t="s">
        <v>381</v>
      </c>
      <c r="C155" s="87"/>
      <c r="D155" s="87"/>
      <c r="E155" s="87"/>
      <c r="F155" s="88"/>
      <c r="G155" s="89"/>
      <c r="H155" s="89"/>
      <c r="I155" s="89"/>
      <c r="J155" s="89"/>
      <c r="K155" s="29" t="s">
        <v>382</v>
      </c>
      <c r="L155" s="29">
        <v>0</v>
      </c>
      <c r="M155" s="29">
        <v>1</v>
      </c>
      <c r="N155" s="30">
        <f ca="1">SUBTOTAL(9,N156:(OFFSET(INDIRECT(N$1 &amp; $O155),-1,0)))</f>
        <v>0</v>
      </c>
      <c r="O155" s="21">
        <f>ROW($A193)</f>
        <v>193</v>
      </c>
      <c r="Q155" s="31"/>
    </row>
    <row r="156" spans="1:17" s="112" customFormat="1" ht="4.1500000000000004" customHeight="1" outlineLevel="1" x14ac:dyDescent="0.2">
      <c r="A156" s="107"/>
      <c r="B156" s="113"/>
      <c r="C156" s="114"/>
      <c r="D156" s="114"/>
      <c r="E156" s="114"/>
      <c r="F156" s="109"/>
      <c r="G156" s="115"/>
      <c r="H156" s="115"/>
      <c r="I156" s="115"/>
      <c r="J156" s="115"/>
      <c r="K156" s="109"/>
      <c r="L156" s="109"/>
      <c r="M156" s="109">
        <v>-1</v>
      </c>
      <c r="N156" s="104"/>
      <c r="O156" s="111"/>
      <c r="Q156" s="31"/>
    </row>
    <row r="157" spans="1:17" outlineLevel="1" x14ac:dyDescent="0.2">
      <c r="A157" s="33" t="str">
        <f t="shared" ref="A157:A193" si="31">K157 &amp; TEXT(L157,"00000")</f>
        <v>RES00001</v>
      </c>
      <c r="B157" s="100" t="s">
        <v>383</v>
      </c>
      <c r="C157" s="100"/>
      <c r="D157" s="100"/>
      <c r="E157" s="100"/>
      <c r="F157" s="91"/>
      <c r="G157" s="92"/>
      <c r="H157" s="92"/>
      <c r="I157" s="92"/>
      <c r="J157" s="92"/>
      <c r="K157" s="34" t="s">
        <v>382</v>
      </c>
      <c r="L157" s="34">
        <v>1</v>
      </c>
      <c r="M157" s="34">
        <v>2</v>
      </c>
      <c r="N157" s="35">
        <f ca="1">SUBTOTAL(9,N158:(OFFSET(INDIRECT(N$1 &amp; $O157),-1,0)))</f>
        <v>0</v>
      </c>
      <c r="O157" s="21">
        <f>ROW($A160)</f>
        <v>160</v>
      </c>
      <c r="Q157" s="31"/>
    </row>
    <row r="158" spans="1:17" outlineLevel="2" x14ac:dyDescent="0.2">
      <c r="A158" s="50" t="str">
        <f t="shared" si="31"/>
        <v>RES00002</v>
      </c>
      <c r="B158" s="101" t="s">
        <v>384</v>
      </c>
      <c r="C158" s="101"/>
      <c r="D158" s="101"/>
      <c r="E158" s="101"/>
      <c r="F158" s="94"/>
      <c r="G158" s="95"/>
      <c r="H158" s="95"/>
      <c r="I158" s="95"/>
      <c r="J158" s="95"/>
      <c r="K158" s="51" t="s">
        <v>382</v>
      </c>
      <c r="L158" s="51">
        <v>2</v>
      </c>
      <c r="M158" s="51">
        <v>3</v>
      </c>
      <c r="N158" s="52">
        <f ca="1">SUBTOTAL(9,N159:(OFFSET(INDIRECT(N$1 &amp; $O158),-1,0)))</f>
        <v>0</v>
      </c>
      <c r="O158" s="21">
        <f>ROW($A160)</f>
        <v>160</v>
      </c>
      <c r="Q158" s="31"/>
    </row>
    <row r="159" spans="1:17" outlineLevel="3" x14ac:dyDescent="0.2">
      <c r="A159" s="36" t="str">
        <f t="shared" si="31"/>
        <v>RES00003</v>
      </c>
      <c r="B159" s="102" t="s">
        <v>385</v>
      </c>
      <c r="C159" s="102"/>
      <c r="D159" s="102"/>
      <c r="E159" s="97">
        <v>0</v>
      </c>
      <c r="F159" s="98" t="s">
        <v>214</v>
      </c>
      <c r="G159" s="99" t="s">
        <v>215</v>
      </c>
      <c r="H159" s="99"/>
      <c r="I159" s="99"/>
      <c r="J159" s="99"/>
      <c r="K159" s="37" t="s">
        <v>382</v>
      </c>
      <c r="L159" s="37">
        <v>3</v>
      </c>
      <c r="M159" s="37">
        <v>4</v>
      </c>
      <c r="N159" s="38">
        <f>IF(COUNTIF(ScenarioTag,
IF(ScenarioSelected=$G$2,$G159,
IF(ScenarioSelected=$H$2,$H159,
IF(ScenarioSelected=$I$2,$I159,
IF(ScenarioSelected=$J$2,$J159,""))))
)&gt;0,$E159,0)</f>
        <v>0</v>
      </c>
      <c r="Q159" s="31"/>
    </row>
    <row r="160" spans="1:17" outlineLevel="1" x14ac:dyDescent="0.2">
      <c r="A160" s="33" t="str">
        <f t="shared" si="31"/>
        <v>RES00004</v>
      </c>
      <c r="B160" s="100" t="s">
        <v>386</v>
      </c>
      <c r="C160" s="100"/>
      <c r="D160" s="100"/>
      <c r="E160" s="100"/>
      <c r="F160" s="91"/>
      <c r="G160" s="92"/>
      <c r="H160" s="92"/>
      <c r="I160" s="92"/>
      <c r="J160" s="92"/>
      <c r="K160" s="34" t="s">
        <v>382</v>
      </c>
      <c r="L160" s="34">
        <v>4</v>
      </c>
      <c r="M160" s="34">
        <v>2</v>
      </c>
      <c r="N160" s="35">
        <f ca="1">SUBTOTAL(9,N161:(OFFSET(INDIRECT(N$1 &amp; $O160),-1,0)))</f>
        <v>0</v>
      </c>
      <c r="O160" s="21">
        <f>ROW($A163)</f>
        <v>163</v>
      </c>
      <c r="Q160" s="31"/>
    </row>
    <row r="161" spans="1:17" outlineLevel="2" x14ac:dyDescent="0.2">
      <c r="A161" s="50" t="str">
        <f t="shared" si="31"/>
        <v>RES00005</v>
      </c>
      <c r="B161" s="101" t="s">
        <v>387</v>
      </c>
      <c r="C161" s="101"/>
      <c r="D161" s="101"/>
      <c r="E161" s="101"/>
      <c r="F161" s="94"/>
      <c r="G161" s="95"/>
      <c r="H161" s="95"/>
      <c r="I161" s="95"/>
      <c r="J161" s="95"/>
      <c r="K161" s="51" t="s">
        <v>382</v>
      </c>
      <c r="L161" s="51">
        <v>5</v>
      </c>
      <c r="M161" s="51">
        <v>3</v>
      </c>
      <c r="N161" s="52">
        <f ca="1">SUBTOTAL(9,N162:(OFFSET(INDIRECT(N$1 &amp; $O161),-1,0)))</f>
        <v>0</v>
      </c>
      <c r="O161" s="21">
        <f>ROW($A163)</f>
        <v>163</v>
      </c>
      <c r="Q161" s="31"/>
    </row>
    <row r="162" spans="1:17" outlineLevel="3" x14ac:dyDescent="0.2">
      <c r="A162" s="36" t="str">
        <f t="shared" si="31"/>
        <v>RES00006</v>
      </c>
      <c r="B162" s="102" t="s">
        <v>388</v>
      </c>
      <c r="C162" s="102"/>
      <c r="D162" s="102"/>
      <c r="E162" s="97">
        <v>0</v>
      </c>
      <c r="F162" s="98" t="s">
        <v>214</v>
      </c>
      <c r="G162" s="99" t="s">
        <v>215</v>
      </c>
      <c r="H162" s="99"/>
      <c r="I162" s="99"/>
      <c r="J162" s="99"/>
      <c r="K162" s="37" t="s">
        <v>382</v>
      </c>
      <c r="L162" s="37">
        <v>6</v>
      </c>
      <c r="M162" s="37">
        <v>4</v>
      </c>
      <c r="N162" s="38">
        <f>IF(COUNTIF(ScenarioTag,
IF(ScenarioSelected=$G$2,$G162,
IF(ScenarioSelected=$H$2,$H162,
IF(ScenarioSelected=$I$2,$I162,
IF(ScenarioSelected=$J$2,$J162,""))))
)&gt;0,$E162,0)</f>
        <v>0</v>
      </c>
      <c r="Q162" s="31"/>
    </row>
    <row r="163" spans="1:17" outlineLevel="1" x14ac:dyDescent="0.2">
      <c r="A163" s="33" t="str">
        <f t="shared" si="31"/>
        <v>RES00007</v>
      </c>
      <c r="B163" s="100" t="s">
        <v>389</v>
      </c>
      <c r="C163" s="100"/>
      <c r="D163" s="100"/>
      <c r="E163" s="100"/>
      <c r="F163" s="91"/>
      <c r="G163" s="92"/>
      <c r="H163" s="92"/>
      <c r="I163" s="92"/>
      <c r="J163" s="92"/>
      <c r="K163" s="34" t="s">
        <v>382</v>
      </c>
      <c r="L163" s="34">
        <v>7</v>
      </c>
      <c r="M163" s="34">
        <v>2</v>
      </c>
      <c r="N163" s="35">
        <f ca="1">SUBTOTAL(9,N164:(OFFSET(INDIRECT(N$1 &amp; $O163),-1,0)))</f>
        <v>0</v>
      </c>
      <c r="O163" s="21">
        <f>ROW($A166)</f>
        <v>166</v>
      </c>
      <c r="Q163" s="31"/>
    </row>
    <row r="164" spans="1:17" outlineLevel="2" x14ac:dyDescent="0.2">
      <c r="A164" s="50" t="str">
        <f t="shared" si="31"/>
        <v>RES00008</v>
      </c>
      <c r="B164" s="101" t="s">
        <v>390</v>
      </c>
      <c r="C164" s="101"/>
      <c r="D164" s="101"/>
      <c r="E164" s="101"/>
      <c r="F164" s="94"/>
      <c r="G164" s="95"/>
      <c r="H164" s="95"/>
      <c r="I164" s="95"/>
      <c r="J164" s="95"/>
      <c r="K164" s="51" t="s">
        <v>382</v>
      </c>
      <c r="L164" s="51">
        <v>8</v>
      </c>
      <c r="M164" s="51">
        <v>3</v>
      </c>
      <c r="N164" s="52">
        <f ca="1">SUBTOTAL(9,N165:(OFFSET(INDIRECT(N$1 &amp; $O164),-1,0)))</f>
        <v>0</v>
      </c>
      <c r="O164" s="21">
        <f>ROW($A166)</f>
        <v>166</v>
      </c>
      <c r="Q164" s="31"/>
    </row>
    <row r="165" spans="1:17" outlineLevel="3" x14ac:dyDescent="0.2">
      <c r="A165" s="36" t="str">
        <f t="shared" si="31"/>
        <v>RES00009</v>
      </c>
      <c r="B165" s="102" t="s">
        <v>391</v>
      </c>
      <c r="C165" s="102"/>
      <c r="D165" s="102"/>
      <c r="E165" s="97">
        <v>0</v>
      </c>
      <c r="F165" s="98" t="s">
        <v>214</v>
      </c>
      <c r="G165" s="99" t="s">
        <v>215</v>
      </c>
      <c r="H165" s="99"/>
      <c r="I165" s="99"/>
      <c r="J165" s="99"/>
      <c r="K165" s="37" t="s">
        <v>382</v>
      </c>
      <c r="L165" s="37">
        <v>9</v>
      </c>
      <c r="M165" s="37">
        <v>4</v>
      </c>
      <c r="N165" s="38">
        <f>IF(COUNTIF(ScenarioTag,
IF(ScenarioSelected=$G$2,$G165,
IF(ScenarioSelected=$H$2,$H165,
IF(ScenarioSelected=$I$2,$I165,
IF(ScenarioSelected=$J$2,$J165,""))))
)&gt;0,$E165,0)</f>
        <v>0</v>
      </c>
      <c r="Q165" s="31"/>
    </row>
    <row r="166" spans="1:17" outlineLevel="1" x14ac:dyDescent="0.2">
      <c r="A166" s="33" t="str">
        <f t="shared" si="31"/>
        <v>RES00010</v>
      </c>
      <c r="B166" s="100" t="s">
        <v>392</v>
      </c>
      <c r="C166" s="100"/>
      <c r="D166" s="100"/>
      <c r="E166" s="100"/>
      <c r="F166" s="91"/>
      <c r="G166" s="92"/>
      <c r="H166" s="92"/>
      <c r="I166" s="92"/>
      <c r="J166" s="92"/>
      <c r="K166" s="34" t="s">
        <v>382</v>
      </c>
      <c r="L166" s="34">
        <v>10</v>
      </c>
      <c r="M166" s="34">
        <v>2</v>
      </c>
      <c r="N166" s="35">
        <f ca="1">SUBTOTAL(9,N167:(OFFSET(INDIRECT(N$1 &amp; $O166),-1,0)))</f>
        <v>0</v>
      </c>
      <c r="O166" s="21">
        <f>ROW($A169)</f>
        <v>169</v>
      </c>
      <c r="Q166" s="31"/>
    </row>
    <row r="167" spans="1:17" outlineLevel="2" x14ac:dyDescent="0.2">
      <c r="A167" s="50" t="str">
        <f t="shared" si="31"/>
        <v>RES00011</v>
      </c>
      <c r="B167" s="101" t="s">
        <v>393</v>
      </c>
      <c r="C167" s="101"/>
      <c r="D167" s="101"/>
      <c r="E167" s="101"/>
      <c r="F167" s="94"/>
      <c r="G167" s="95"/>
      <c r="H167" s="95"/>
      <c r="I167" s="95"/>
      <c r="J167" s="95"/>
      <c r="K167" s="51" t="s">
        <v>382</v>
      </c>
      <c r="L167" s="51">
        <v>11</v>
      </c>
      <c r="M167" s="51">
        <v>3</v>
      </c>
      <c r="N167" s="52">
        <f ca="1">SUBTOTAL(9,N168:(OFFSET(INDIRECT(N$1 &amp; $O167),-1,0)))</f>
        <v>0</v>
      </c>
      <c r="O167" s="21">
        <f>ROW($A169)</f>
        <v>169</v>
      </c>
      <c r="Q167" s="31"/>
    </row>
    <row r="168" spans="1:17" outlineLevel="3" x14ac:dyDescent="0.2">
      <c r="A168" s="36" t="str">
        <f t="shared" si="31"/>
        <v>RES00012</v>
      </c>
      <c r="B168" s="102" t="s">
        <v>394</v>
      </c>
      <c r="C168" s="102"/>
      <c r="D168" s="102"/>
      <c r="E168" s="97">
        <v>0</v>
      </c>
      <c r="F168" s="98" t="s">
        <v>214</v>
      </c>
      <c r="G168" s="99" t="s">
        <v>215</v>
      </c>
      <c r="H168" s="99"/>
      <c r="I168" s="99"/>
      <c r="J168" s="99"/>
      <c r="K168" s="37" t="s">
        <v>382</v>
      </c>
      <c r="L168" s="37">
        <v>12</v>
      </c>
      <c r="M168" s="37">
        <v>4</v>
      </c>
      <c r="N168" s="38">
        <f>IF(COUNTIF(ScenarioTag,
IF(ScenarioSelected=$G$2,$G168,
IF(ScenarioSelected=$H$2,$H168,
IF(ScenarioSelected=$I$2,$I168,
IF(ScenarioSelected=$J$2,$J168,""))))
)&gt;0,$E168,0)</f>
        <v>0</v>
      </c>
      <c r="Q168" s="31"/>
    </row>
    <row r="169" spans="1:17" outlineLevel="1" x14ac:dyDescent="0.2">
      <c r="A169" s="33" t="str">
        <f t="shared" si="31"/>
        <v>RES00013</v>
      </c>
      <c r="B169" s="100" t="s">
        <v>395</v>
      </c>
      <c r="C169" s="100"/>
      <c r="D169" s="100"/>
      <c r="E169" s="100"/>
      <c r="F169" s="91"/>
      <c r="G169" s="92"/>
      <c r="H169" s="92"/>
      <c r="I169" s="92"/>
      <c r="J169" s="92"/>
      <c r="K169" s="34" t="s">
        <v>382</v>
      </c>
      <c r="L169" s="34">
        <v>13</v>
      </c>
      <c r="M169" s="34">
        <v>2</v>
      </c>
      <c r="N169" s="35">
        <f ca="1">SUBTOTAL(9,N170:(OFFSET(INDIRECT(N$1 &amp; $O169),-1,0)))</f>
        <v>0</v>
      </c>
      <c r="O169" s="21">
        <f>ROW($A172)</f>
        <v>172</v>
      </c>
      <c r="Q169" s="31"/>
    </row>
    <row r="170" spans="1:17" outlineLevel="2" x14ac:dyDescent="0.2">
      <c r="A170" s="50" t="str">
        <f t="shared" si="31"/>
        <v>RES00014</v>
      </c>
      <c r="B170" s="101" t="s">
        <v>396</v>
      </c>
      <c r="C170" s="101"/>
      <c r="D170" s="101"/>
      <c r="E170" s="101"/>
      <c r="F170" s="94"/>
      <c r="G170" s="95"/>
      <c r="H170" s="95"/>
      <c r="I170" s="95"/>
      <c r="J170" s="95"/>
      <c r="K170" s="51" t="s">
        <v>382</v>
      </c>
      <c r="L170" s="51">
        <v>14</v>
      </c>
      <c r="M170" s="51">
        <v>3</v>
      </c>
      <c r="N170" s="52">
        <f ca="1">SUBTOTAL(9,N171:(OFFSET(INDIRECT(N$1 &amp; $O170),-1,0)))</f>
        <v>0</v>
      </c>
      <c r="O170" s="21">
        <f>ROW($A172)</f>
        <v>172</v>
      </c>
      <c r="Q170" s="31"/>
    </row>
    <row r="171" spans="1:17" outlineLevel="3" x14ac:dyDescent="0.2">
      <c r="A171" s="36" t="str">
        <f t="shared" si="31"/>
        <v>RES00015</v>
      </c>
      <c r="B171" s="102" t="s">
        <v>397</v>
      </c>
      <c r="C171" s="102"/>
      <c r="D171" s="102"/>
      <c r="E171" s="97">
        <v>0</v>
      </c>
      <c r="F171" s="98" t="s">
        <v>214</v>
      </c>
      <c r="G171" s="99" t="s">
        <v>215</v>
      </c>
      <c r="H171" s="99"/>
      <c r="I171" s="99"/>
      <c r="J171" s="99"/>
      <c r="K171" s="37" t="s">
        <v>382</v>
      </c>
      <c r="L171" s="37">
        <v>15</v>
      </c>
      <c r="M171" s="37">
        <v>4</v>
      </c>
      <c r="N171" s="38">
        <f>IF(COUNTIF(ScenarioTag,
IF(ScenarioSelected=$G$2,$G171,
IF(ScenarioSelected=$H$2,$H171,
IF(ScenarioSelected=$I$2,$I171,
IF(ScenarioSelected=$J$2,$J171,""))))
)&gt;0,$E171,0)</f>
        <v>0</v>
      </c>
      <c r="Q171" s="31"/>
    </row>
    <row r="172" spans="1:17" outlineLevel="1" x14ac:dyDescent="0.2">
      <c r="A172" s="33" t="str">
        <f t="shared" si="31"/>
        <v>RES00016</v>
      </c>
      <c r="B172" s="100" t="s">
        <v>398</v>
      </c>
      <c r="C172" s="100"/>
      <c r="D172" s="100"/>
      <c r="E172" s="100"/>
      <c r="F172" s="91"/>
      <c r="G172" s="92"/>
      <c r="H172" s="92"/>
      <c r="I172" s="92"/>
      <c r="J172" s="92"/>
      <c r="K172" s="34" t="s">
        <v>382</v>
      </c>
      <c r="L172" s="34">
        <v>16</v>
      </c>
      <c r="M172" s="34">
        <v>2</v>
      </c>
      <c r="N172" s="35">
        <f ca="1">SUBTOTAL(9,N173:(OFFSET(INDIRECT(N$1 &amp; $O172),-1,0)))</f>
        <v>0</v>
      </c>
      <c r="O172" s="21">
        <f>ROW($A175)</f>
        <v>175</v>
      </c>
      <c r="Q172" s="31"/>
    </row>
    <row r="173" spans="1:17" outlineLevel="2" x14ac:dyDescent="0.2">
      <c r="A173" s="50" t="str">
        <f t="shared" si="31"/>
        <v>RES00017</v>
      </c>
      <c r="B173" s="101" t="s">
        <v>399</v>
      </c>
      <c r="C173" s="101"/>
      <c r="D173" s="101"/>
      <c r="E173" s="101"/>
      <c r="F173" s="94"/>
      <c r="G173" s="95"/>
      <c r="H173" s="95"/>
      <c r="I173" s="95"/>
      <c r="J173" s="95"/>
      <c r="K173" s="51" t="s">
        <v>382</v>
      </c>
      <c r="L173" s="51">
        <v>17</v>
      </c>
      <c r="M173" s="51">
        <v>3</v>
      </c>
      <c r="N173" s="52">
        <f ca="1">SUBTOTAL(9,N174:(OFFSET(INDIRECT(N$1 &amp; $O173),-1,0)))</f>
        <v>0</v>
      </c>
      <c r="O173" s="21">
        <f>ROW($A175)</f>
        <v>175</v>
      </c>
      <c r="Q173" s="31"/>
    </row>
    <row r="174" spans="1:17" outlineLevel="3" x14ac:dyDescent="0.2">
      <c r="A174" s="36" t="str">
        <f t="shared" si="31"/>
        <v>RES00018</v>
      </c>
      <c r="B174" s="102" t="s">
        <v>400</v>
      </c>
      <c r="C174" s="102"/>
      <c r="D174" s="102"/>
      <c r="E174" s="97">
        <v>0</v>
      </c>
      <c r="F174" s="98" t="s">
        <v>214</v>
      </c>
      <c r="G174" s="99" t="s">
        <v>215</v>
      </c>
      <c r="H174" s="99"/>
      <c r="I174" s="99"/>
      <c r="J174" s="99"/>
      <c r="K174" s="37" t="s">
        <v>382</v>
      </c>
      <c r="L174" s="37">
        <v>18</v>
      </c>
      <c r="M174" s="37">
        <v>4</v>
      </c>
      <c r="N174" s="38">
        <f>IF(COUNTIF(ScenarioTag,
IF(ScenarioSelected=$G$2,$G174,
IF(ScenarioSelected=$H$2,$H174,
IF(ScenarioSelected=$I$2,$I174,
IF(ScenarioSelected=$J$2,$J174,""))))
)&gt;0,$E174,0)</f>
        <v>0</v>
      </c>
      <c r="Q174" s="31"/>
    </row>
    <row r="175" spans="1:17" ht="22.5" outlineLevel="1" x14ac:dyDescent="0.2">
      <c r="A175" s="33" t="str">
        <f t="shared" si="31"/>
        <v>RES00019</v>
      </c>
      <c r="B175" s="100" t="s">
        <v>401</v>
      </c>
      <c r="C175" s="100"/>
      <c r="D175" s="100"/>
      <c r="E175" s="100"/>
      <c r="F175" s="91"/>
      <c r="G175" s="92"/>
      <c r="H175" s="92"/>
      <c r="I175" s="92"/>
      <c r="J175" s="92"/>
      <c r="K175" s="34" t="s">
        <v>382</v>
      </c>
      <c r="L175" s="34">
        <v>19</v>
      </c>
      <c r="M175" s="34">
        <v>2</v>
      </c>
      <c r="N175" s="35">
        <f ca="1">SUBTOTAL(9,N176:(OFFSET(INDIRECT(N$1 &amp; $O175),-1,0)))</f>
        <v>0</v>
      </c>
      <c r="O175" s="21">
        <f>ROW($A178)</f>
        <v>178</v>
      </c>
      <c r="Q175" s="31"/>
    </row>
    <row r="176" spans="1:17" ht="22.5" outlineLevel="2" x14ac:dyDescent="0.2">
      <c r="A176" s="50" t="str">
        <f>K176 &amp; TEXT(L176,"00000")</f>
        <v>RES00020</v>
      </c>
      <c r="B176" s="101" t="s">
        <v>402</v>
      </c>
      <c r="C176" s="101"/>
      <c r="D176" s="101"/>
      <c r="E176" s="101"/>
      <c r="F176" s="94"/>
      <c r="G176" s="95"/>
      <c r="H176" s="95"/>
      <c r="I176" s="95"/>
      <c r="J176" s="95"/>
      <c r="K176" s="51" t="s">
        <v>382</v>
      </c>
      <c r="L176" s="51">
        <v>20</v>
      </c>
      <c r="M176" s="51">
        <v>3</v>
      </c>
      <c r="N176" s="52">
        <f ca="1">SUBTOTAL(9,N177:(OFFSET(INDIRECT(N$1 &amp; $O176),-1,0)))</f>
        <v>0</v>
      </c>
      <c r="O176" s="21">
        <f>ROW($A178)</f>
        <v>178</v>
      </c>
      <c r="Q176" s="31"/>
    </row>
    <row r="177" spans="1:17" ht="22.5" outlineLevel="3" x14ac:dyDescent="0.2">
      <c r="A177" s="36" t="str">
        <f t="shared" si="31"/>
        <v>RES00021</v>
      </c>
      <c r="B177" s="102" t="s">
        <v>403</v>
      </c>
      <c r="C177" s="102"/>
      <c r="D177" s="102"/>
      <c r="E177" s="97">
        <v>0</v>
      </c>
      <c r="F177" s="98" t="s">
        <v>214</v>
      </c>
      <c r="G177" s="99" t="s">
        <v>215</v>
      </c>
      <c r="H177" s="99"/>
      <c r="I177" s="99"/>
      <c r="J177" s="99"/>
      <c r="K177" s="37" t="s">
        <v>382</v>
      </c>
      <c r="L177" s="37">
        <v>21</v>
      </c>
      <c r="M177" s="37">
        <v>4</v>
      </c>
      <c r="N177" s="38">
        <f>IF(COUNTIF(ScenarioTag,
IF(ScenarioSelected=$G$2,$G177,
IF(ScenarioSelected=$H$2,$H177,
IF(ScenarioSelected=$I$2,$I177,
IF(ScenarioSelected=$J$2,$J177,""))))
)&gt;0,$E177,0)</f>
        <v>0</v>
      </c>
      <c r="Q177" s="31"/>
    </row>
    <row r="178" spans="1:17" outlineLevel="1" x14ac:dyDescent="0.2">
      <c r="A178" s="33" t="str">
        <f t="shared" si="31"/>
        <v>RES00022</v>
      </c>
      <c r="B178" s="100" t="s">
        <v>404</v>
      </c>
      <c r="C178" s="100"/>
      <c r="D178" s="100"/>
      <c r="E178" s="100"/>
      <c r="F178" s="91"/>
      <c r="G178" s="92"/>
      <c r="H178" s="92"/>
      <c r="I178" s="92"/>
      <c r="J178" s="92"/>
      <c r="K178" s="34" t="s">
        <v>382</v>
      </c>
      <c r="L178" s="34">
        <v>22</v>
      </c>
      <c r="M178" s="34">
        <v>2</v>
      </c>
      <c r="N178" s="35">
        <f ca="1">SUBTOTAL(9,N179:(OFFSET(INDIRECT(N$1 &amp; $O178),-1,0)))</f>
        <v>0</v>
      </c>
      <c r="O178" s="21">
        <f>ROW($A181)</f>
        <v>181</v>
      </c>
      <c r="Q178" s="31"/>
    </row>
    <row r="179" spans="1:17" outlineLevel="2" x14ac:dyDescent="0.2">
      <c r="A179" s="50" t="str">
        <f t="shared" si="31"/>
        <v>RES00023</v>
      </c>
      <c r="B179" s="101" t="s">
        <v>405</v>
      </c>
      <c r="C179" s="101"/>
      <c r="D179" s="101"/>
      <c r="E179" s="101"/>
      <c r="F179" s="94"/>
      <c r="G179" s="95"/>
      <c r="H179" s="95"/>
      <c r="I179" s="95"/>
      <c r="J179" s="95"/>
      <c r="K179" s="51" t="s">
        <v>382</v>
      </c>
      <c r="L179" s="51">
        <v>23</v>
      </c>
      <c r="M179" s="51">
        <v>3</v>
      </c>
      <c r="N179" s="52">
        <f ca="1">SUBTOTAL(9,N180:(OFFSET(INDIRECT(N$1 &amp; $O179),-1,0)))</f>
        <v>0</v>
      </c>
      <c r="O179" s="21">
        <f>ROW($A181)</f>
        <v>181</v>
      </c>
      <c r="Q179" s="31"/>
    </row>
    <row r="180" spans="1:17" outlineLevel="3" x14ac:dyDescent="0.2">
      <c r="A180" s="36" t="str">
        <f t="shared" si="31"/>
        <v>RES00024</v>
      </c>
      <c r="B180" s="102" t="s">
        <v>406</v>
      </c>
      <c r="C180" s="102"/>
      <c r="D180" s="102"/>
      <c r="E180" s="97">
        <v>0</v>
      </c>
      <c r="F180" s="98" t="s">
        <v>214</v>
      </c>
      <c r="G180" s="99" t="s">
        <v>215</v>
      </c>
      <c r="H180" s="99"/>
      <c r="I180" s="99"/>
      <c r="J180" s="99"/>
      <c r="K180" s="37" t="s">
        <v>382</v>
      </c>
      <c r="L180" s="37">
        <v>24</v>
      </c>
      <c r="M180" s="37">
        <v>4</v>
      </c>
      <c r="N180" s="38">
        <f>IF(COUNTIF(ScenarioTag,
IF(ScenarioSelected=$G$2,$G180,
IF(ScenarioSelected=$H$2,$H180,
IF(ScenarioSelected=$I$2,$I180,
IF(ScenarioSelected=$J$2,$J180,""))))
)&gt;0,$E180,0)</f>
        <v>0</v>
      </c>
      <c r="Q180" s="31"/>
    </row>
    <row r="181" spans="1:17" outlineLevel="1" x14ac:dyDescent="0.2">
      <c r="A181" s="33" t="str">
        <f t="shared" ref="A181:A192" si="32">K181 &amp; TEXT(L181,"00000")</f>
        <v>RES00025</v>
      </c>
      <c r="B181" s="100" t="s">
        <v>407</v>
      </c>
      <c r="C181" s="100"/>
      <c r="D181" s="100"/>
      <c r="E181" s="100"/>
      <c r="F181" s="91"/>
      <c r="G181" s="92"/>
      <c r="H181" s="92"/>
      <c r="I181" s="92"/>
      <c r="J181" s="92"/>
      <c r="K181" s="34" t="s">
        <v>382</v>
      </c>
      <c r="L181" s="34">
        <v>25</v>
      </c>
      <c r="M181" s="34">
        <v>2</v>
      </c>
      <c r="N181" s="35">
        <f ca="1">SUBTOTAL(9,N182:(OFFSET(INDIRECT(N$1 &amp; $O181),-1,0)))</f>
        <v>0</v>
      </c>
      <c r="O181" s="21">
        <f>ROW($A184)</f>
        <v>184</v>
      </c>
      <c r="Q181" s="31"/>
    </row>
    <row r="182" spans="1:17" outlineLevel="2" x14ac:dyDescent="0.2">
      <c r="A182" s="50" t="str">
        <f t="shared" si="32"/>
        <v>RES00026</v>
      </c>
      <c r="B182" s="101" t="s">
        <v>408</v>
      </c>
      <c r="C182" s="101"/>
      <c r="D182" s="101"/>
      <c r="E182" s="101"/>
      <c r="F182" s="94"/>
      <c r="G182" s="95"/>
      <c r="H182" s="95"/>
      <c r="I182" s="95"/>
      <c r="J182" s="95"/>
      <c r="K182" s="51" t="s">
        <v>382</v>
      </c>
      <c r="L182" s="51">
        <v>26</v>
      </c>
      <c r="M182" s="51">
        <v>3</v>
      </c>
      <c r="N182" s="52">
        <f ca="1">SUBTOTAL(9,N183:(OFFSET(INDIRECT(N$1 &amp; $O182),-1,0)))</f>
        <v>0</v>
      </c>
      <c r="O182" s="21">
        <f>ROW($A184)</f>
        <v>184</v>
      </c>
      <c r="Q182" s="31"/>
    </row>
    <row r="183" spans="1:17" outlineLevel="3" x14ac:dyDescent="0.2">
      <c r="A183" s="36" t="str">
        <f t="shared" si="32"/>
        <v>RES00027</v>
      </c>
      <c r="B183" s="102" t="s">
        <v>409</v>
      </c>
      <c r="C183" s="102"/>
      <c r="D183" s="102"/>
      <c r="E183" s="97">
        <v>0</v>
      </c>
      <c r="F183" s="98" t="s">
        <v>214</v>
      </c>
      <c r="G183" s="99" t="s">
        <v>215</v>
      </c>
      <c r="H183" s="99"/>
      <c r="I183" s="99"/>
      <c r="J183" s="99"/>
      <c r="K183" s="37" t="s">
        <v>382</v>
      </c>
      <c r="L183" s="37">
        <v>27</v>
      </c>
      <c r="M183" s="37">
        <v>4</v>
      </c>
      <c r="N183" s="38">
        <f>IF(COUNTIF(ScenarioTag,
IF(ScenarioSelected=$G$2,$G183,
IF(ScenarioSelected=$H$2,$H183,
IF(ScenarioSelected=$I$2,$I183,
IF(ScenarioSelected=$J$2,$J183,""))))
)&gt;0,$E183,0)</f>
        <v>0</v>
      </c>
      <c r="Q183" s="31"/>
    </row>
    <row r="184" spans="1:17" outlineLevel="1" x14ac:dyDescent="0.2">
      <c r="A184" s="33" t="str">
        <f t="shared" si="32"/>
        <v>RES00028</v>
      </c>
      <c r="B184" s="100" t="s">
        <v>410</v>
      </c>
      <c r="C184" s="100"/>
      <c r="D184" s="100"/>
      <c r="E184" s="100"/>
      <c r="F184" s="91"/>
      <c r="G184" s="92"/>
      <c r="H184" s="92"/>
      <c r="I184" s="92"/>
      <c r="J184" s="92"/>
      <c r="K184" s="34" t="s">
        <v>382</v>
      </c>
      <c r="L184" s="34">
        <v>28</v>
      </c>
      <c r="M184" s="34">
        <v>2</v>
      </c>
      <c r="N184" s="35">
        <f ca="1">SUBTOTAL(9,N185:(OFFSET(INDIRECT(N$1 &amp; $O184),-1,0)))</f>
        <v>0</v>
      </c>
      <c r="O184" s="21">
        <f>ROW($A187)</f>
        <v>187</v>
      </c>
      <c r="Q184" s="31"/>
    </row>
    <row r="185" spans="1:17" outlineLevel="2" x14ac:dyDescent="0.2">
      <c r="A185" s="50" t="str">
        <f t="shared" si="32"/>
        <v>RES00029</v>
      </c>
      <c r="B185" s="101" t="s">
        <v>411</v>
      </c>
      <c r="C185" s="101"/>
      <c r="D185" s="101"/>
      <c r="E185" s="101"/>
      <c r="F185" s="94"/>
      <c r="G185" s="95"/>
      <c r="H185" s="95"/>
      <c r="I185" s="95"/>
      <c r="J185" s="95"/>
      <c r="K185" s="51" t="s">
        <v>382</v>
      </c>
      <c r="L185" s="51">
        <v>29</v>
      </c>
      <c r="M185" s="51">
        <v>3</v>
      </c>
      <c r="N185" s="52">
        <f ca="1">SUBTOTAL(9,N186:(OFFSET(INDIRECT(N$1 &amp; $O185),-1,0)))</f>
        <v>0</v>
      </c>
      <c r="O185" s="21">
        <f>ROW($A187)</f>
        <v>187</v>
      </c>
      <c r="Q185" s="31"/>
    </row>
    <row r="186" spans="1:17" outlineLevel="3" x14ac:dyDescent="0.2">
      <c r="A186" s="36" t="str">
        <f t="shared" si="32"/>
        <v>RES00030</v>
      </c>
      <c r="B186" s="102" t="s">
        <v>412</v>
      </c>
      <c r="C186" s="102"/>
      <c r="D186" s="102"/>
      <c r="E186" s="97">
        <v>0</v>
      </c>
      <c r="F186" s="98" t="s">
        <v>214</v>
      </c>
      <c r="G186" s="99" t="s">
        <v>215</v>
      </c>
      <c r="H186" s="99"/>
      <c r="I186" s="99"/>
      <c r="J186" s="99"/>
      <c r="K186" s="37" t="s">
        <v>382</v>
      </c>
      <c r="L186" s="37">
        <v>30</v>
      </c>
      <c r="M186" s="37">
        <v>4</v>
      </c>
      <c r="N186" s="38">
        <f>IF(COUNTIF(ScenarioTag,
IF(ScenarioSelected=$G$2,$G186,
IF(ScenarioSelected=$H$2,$H186,
IF(ScenarioSelected=$I$2,$I186,
IF(ScenarioSelected=$J$2,$J186,""))))
)&gt;0,$E186,0)</f>
        <v>0</v>
      </c>
      <c r="Q186" s="31"/>
    </row>
    <row r="187" spans="1:17" outlineLevel="1" x14ac:dyDescent="0.2">
      <c r="A187" s="33" t="str">
        <f t="shared" si="32"/>
        <v>RES00031</v>
      </c>
      <c r="B187" s="100" t="s">
        <v>413</v>
      </c>
      <c r="C187" s="100"/>
      <c r="D187" s="100"/>
      <c r="E187" s="100"/>
      <c r="F187" s="91"/>
      <c r="G187" s="92"/>
      <c r="H187" s="92"/>
      <c r="I187" s="92"/>
      <c r="J187" s="92"/>
      <c r="K187" s="34" t="s">
        <v>382</v>
      </c>
      <c r="L187" s="34">
        <v>31</v>
      </c>
      <c r="M187" s="34">
        <v>2</v>
      </c>
      <c r="N187" s="35">
        <f ca="1">SUBTOTAL(9,N188:(OFFSET(INDIRECT(N$1 &amp; $O187),-1,0)))</f>
        <v>0</v>
      </c>
      <c r="O187" s="21">
        <f>ROW($A190)</f>
        <v>190</v>
      </c>
      <c r="Q187" s="31"/>
    </row>
    <row r="188" spans="1:17" outlineLevel="2" x14ac:dyDescent="0.2">
      <c r="A188" s="50" t="str">
        <f t="shared" si="32"/>
        <v>RES00032</v>
      </c>
      <c r="B188" s="101" t="s">
        <v>414</v>
      </c>
      <c r="C188" s="101"/>
      <c r="D188" s="101"/>
      <c r="E188" s="101"/>
      <c r="F188" s="94"/>
      <c r="G188" s="95"/>
      <c r="H188" s="95"/>
      <c r="I188" s="95"/>
      <c r="J188" s="95"/>
      <c r="K188" s="51" t="s">
        <v>382</v>
      </c>
      <c r="L188" s="51">
        <v>32</v>
      </c>
      <c r="M188" s="51">
        <v>3</v>
      </c>
      <c r="N188" s="52">
        <f ca="1">SUBTOTAL(9,N189:(OFFSET(INDIRECT(N$1 &amp; $O188),-1,0)))</f>
        <v>0</v>
      </c>
      <c r="O188" s="21">
        <f>ROW($A190)</f>
        <v>190</v>
      </c>
      <c r="Q188" s="31"/>
    </row>
    <row r="189" spans="1:17" outlineLevel="3" x14ac:dyDescent="0.2">
      <c r="A189" s="36" t="str">
        <f t="shared" si="32"/>
        <v>RES00033</v>
      </c>
      <c r="B189" s="102" t="s">
        <v>415</v>
      </c>
      <c r="C189" s="102"/>
      <c r="D189" s="102"/>
      <c r="E189" s="97">
        <v>0</v>
      </c>
      <c r="F189" s="98" t="s">
        <v>214</v>
      </c>
      <c r="G189" s="99" t="s">
        <v>215</v>
      </c>
      <c r="H189" s="99"/>
      <c r="I189" s="99"/>
      <c r="J189" s="99"/>
      <c r="K189" s="37" t="s">
        <v>382</v>
      </c>
      <c r="L189" s="37">
        <v>33</v>
      </c>
      <c r="M189" s="37">
        <v>4</v>
      </c>
      <c r="N189" s="38">
        <f>IF(COUNTIF(ScenarioTag,
IF(ScenarioSelected=$G$2,$G189,
IF(ScenarioSelected=$H$2,$H189,
IF(ScenarioSelected=$I$2,$I189,
IF(ScenarioSelected=$J$2,$J189,""))))
)&gt;0,$E189,0)</f>
        <v>0</v>
      </c>
      <c r="Q189" s="31"/>
    </row>
    <row r="190" spans="1:17" outlineLevel="1" x14ac:dyDescent="0.2">
      <c r="A190" s="33" t="str">
        <f t="shared" si="32"/>
        <v>RES00034</v>
      </c>
      <c r="B190" s="100" t="s">
        <v>416</v>
      </c>
      <c r="C190" s="100"/>
      <c r="D190" s="100"/>
      <c r="E190" s="100"/>
      <c r="F190" s="91"/>
      <c r="G190" s="92"/>
      <c r="H190" s="92"/>
      <c r="I190" s="92"/>
      <c r="J190" s="92"/>
      <c r="K190" s="34" t="s">
        <v>382</v>
      </c>
      <c r="L190" s="34">
        <v>34</v>
      </c>
      <c r="M190" s="34">
        <v>2</v>
      </c>
      <c r="N190" s="35">
        <f ca="1">SUBTOTAL(9,N191:(OFFSET(INDIRECT(N$1 &amp; $O190),-1,0)))</f>
        <v>0</v>
      </c>
      <c r="O190" s="21">
        <f>ROW($A193)</f>
        <v>193</v>
      </c>
      <c r="Q190" s="31"/>
    </row>
    <row r="191" spans="1:17" outlineLevel="2" x14ac:dyDescent="0.2">
      <c r="A191" s="50" t="str">
        <f t="shared" si="32"/>
        <v>RES00035</v>
      </c>
      <c r="B191" s="101" t="s">
        <v>417</v>
      </c>
      <c r="C191" s="101"/>
      <c r="D191" s="101"/>
      <c r="E191" s="101"/>
      <c r="F191" s="94"/>
      <c r="G191" s="95"/>
      <c r="H191" s="95"/>
      <c r="I191" s="95"/>
      <c r="J191" s="95"/>
      <c r="K191" s="51" t="s">
        <v>382</v>
      </c>
      <c r="L191" s="51">
        <v>35</v>
      </c>
      <c r="M191" s="51">
        <v>3</v>
      </c>
      <c r="N191" s="52">
        <f ca="1">SUBTOTAL(9,N192:(OFFSET(INDIRECT(N$1 &amp; $O191),-1,0)))</f>
        <v>0</v>
      </c>
      <c r="O191" s="21">
        <f>ROW($A193)</f>
        <v>193</v>
      </c>
      <c r="Q191" s="31"/>
    </row>
    <row r="192" spans="1:17" outlineLevel="3" x14ac:dyDescent="0.2">
      <c r="A192" s="36" t="str">
        <f t="shared" si="32"/>
        <v>RES00036</v>
      </c>
      <c r="B192" s="102" t="s">
        <v>418</v>
      </c>
      <c r="C192" s="102"/>
      <c r="D192" s="102"/>
      <c r="E192" s="97">
        <v>0</v>
      </c>
      <c r="F192" s="98" t="s">
        <v>214</v>
      </c>
      <c r="G192" s="99" t="s">
        <v>215</v>
      </c>
      <c r="H192" s="99"/>
      <c r="I192" s="99"/>
      <c r="J192" s="99"/>
      <c r="K192" s="37" t="s">
        <v>382</v>
      </c>
      <c r="L192" s="37">
        <v>36</v>
      </c>
      <c r="M192" s="37">
        <v>4</v>
      </c>
      <c r="N192" s="38">
        <f>IF(COUNTIF(ScenarioTag,
IF(ScenarioSelected=$G$2,$G192,
IF(ScenarioSelected=$H$2,$H192,
IF(ScenarioSelected=$I$2,$I192,
IF(ScenarioSelected=$J$2,$J192,""))))
)&gt;0,$E192,0)</f>
        <v>0</v>
      </c>
      <c r="Q192" s="31"/>
    </row>
    <row r="193" spans="1:17" ht="25.15" customHeight="1" x14ac:dyDescent="0.2">
      <c r="A193" s="28" t="str">
        <f t="shared" si="31"/>
        <v>SUP00000</v>
      </c>
      <c r="B193" s="86" t="s">
        <v>419</v>
      </c>
      <c r="C193" s="87"/>
      <c r="D193" s="87"/>
      <c r="E193" s="87"/>
      <c r="F193" s="88"/>
      <c r="G193" s="89"/>
      <c r="H193" s="89"/>
      <c r="I193" s="89"/>
      <c r="J193" s="89"/>
      <c r="K193" s="29" t="s">
        <v>420</v>
      </c>
      <c r="L193" s="29">
        <v>0</v>
      </c>
      <c r="M193" s="29">
        <v>1</v>
      </c>
      <c r="N193" s="30">
        <f ca="1">SUBTOTAL(9,N194:(OFFSET(INDIRECT(N$1 &amp; $O193),-1,0)))</f>
        <v>0</v>
      </c>
      <c r="O193" s="21">
        <f>ROW($A201)</f>
        <v>201</v>
      </c>
      <c r="Q193" s="31"/>
    </row>
    <row r="194" spans="1:17" s="112" customFormat="1" ht="4.1500000000000004" customHeight="1" outlineLevel="1" x14ac:dyDescent="0.2">
      <c r="A194" s="107"/>
      <c r="B194" s="113"/>
      <c r="C194" s="114"/>
      <c r="D194" s="114"/>
      <c r="E194" s="114"/>
      <c r="F194" s="109"/>
      <c r="G194" s="115"/>
      <c r="H194" s="115"/>
      <c r="I194" s="115"/>
      <c r="J194" s="115"/>
      <c r="K194" s="109"/>
      <c r="L194" s="109"/>
      <c r="M194" s="109">
        <v>-1</v>
      </c>
      <c r="N194" s="104"/>
      <c r="O194" s="111"/>
      <c r="Q194" s="31"/>
    </row>
    <row r="195" spans="1:17" outlineLevel="1" x14ac:dyDescent="0.2">
      <c r="A195" s="33" t="str">
        <f t="shared" ref="A195:A201" si="33">K195 &amp; TEXT(L195,"00000")</f>
        <v>SUP00001</v>
      </c>
      <c r="B195" s="100" t="s">
        <v>421</v>
      </c>
      <c r="C195" s="100"/>
      <c r="D195" s="100"/>
      <c r="E195" s="100"/>
      <c r="F195" s="91"/>
      <c r="G195" s="92"/>
      <c r="H195" s="92"/>
      <c r="I195" s="92"/>
      <c r="J195" s="92"/>
      <c r="K195" s="34" t="s">
        <v>420</v>
      </c>
      <c r="L195" s="34">
        <v>1</v>
      </c>
      <c r="M195" s="34">
        <v>2</v>
      </c>
      <c r="N195" s="35">
        <f ca="1">SUBTOTAL(9,N196:(OFFSET(INDIRECT(N$1 &amp; $O195),-1,0)))</f>
        <v>0</v>
      </c>
      <c r="O195" s="21">
        <f>ROW($A198)</f>
        <v>198</v>
      </c>
      <c r="Q195" s="31"/>
    </row>
    <row r="196" spans="1:17" outlineLevel="2" x14ac:dyDescent="0.2">
      <c r="A196" s="50" t="str">
        <f t="shared" si="33"/>
        <v>SUP00002</v>
      </c>
      <c r="B196" s="101" t="s">
        <v>422</v>
      </c>
      <c r="C196" s="101"/>
      <c r="D196" s="101"/>
      <c r="E196" s="101"/>
      <c r="F196" s="94"/>
      <c r="G196" s="95"/>
      <c r="H196" s="95"/>
      <c r="I196" s="95"/>
      <c r="J196" s="95"/>
      <c r="K196" s="51" t="s">
        <v>420</v>
      </c>
      <c r="L196" s="51">
        <v>2</v>
      </c>
      <c r="M196" s="51">
        <v>3</v>
      </c>
      <c r="N196" s="52">
        <f ca="1">SUBTOTAL(9,N197:(OFFSET(INDIRECT(N$1 &amp; $O196),-1,0)))</f>
        <v>0</v>
      </c>
      <c r="O196" s="21">
        <f>ROW($A198)</f>
        <v>198</v>
      </c>
      <c r="Q196" s="31"/>
    </row>
    <row r="197" spans="1:17" outlineLevel="3" x14ac:dyDescent="0.2">
      <c r="A197" s="36" t="str">
        <f t="shared" si="33"/>
        <v>SUP00003</v>
      </c>
      <c r="B197" s="102" t="s">
        <v>423</v>
      </c>
      <c r="C197" s="102"/>
      <c r="D197" s="102"/>
      <c r="E197" s="97">
        <v>0</v>
      </c>
      <c r="F197" s="98" t="s">
        <v>214</v>
      </c>
      <c r="G197" s="99" t="s">
        <v>215</v>
      </c>
      <c r="H197" s="99"/>
      <c r="I197" s="99"/>
      <c r="J197" s="99"/>
      <c r="K197" s="37" t="s">
        <v>420</v>
      </c>
      <c r="L197" s="37">
        <v>3</v>
      </c>
      <c r="M197" s="37">
        <v>4</v>
      </c>
      <c r="N197" s="38">
        <f>IF(COUNTIF(ScenarioTag,
IF(ScenarioSelected=$G$2,$G197,
IF(ScenarioSelected=$H$2,$H197,
IF(ScenarioSelected=$I$2,$I197,
IF(ScenarioSelected=$J$2,$J197,""))))
)&gt;0,$E197,0)</f>
        <v>0</v>
      </c>
      <c r="Q197" s="31"/>
    </row>
    <row r="198" spans="1:17" outlineLevel="1" x14ac:dyDescent="0.2">
      <c r="A198" s="33" t="str">
        <f t="shared" si="33"/>
        <v>SUP00004</v>
      </c>
      <c r="B198" s="100" t="s">
        <v>424</v>
      </c>
      <c r="C198" s="100"/>
      <c r="D198" s="100"/>
      <c r="E198" s="100"/>
      <c r="F198" s="91"/>
      <c r="G198" s="92"/>
      <c r="H198" s="92"/>
      <c r="I198" s="92"/>
      <c r="J198" s="92"/>
      <c r="K198" s="34" t="s">
        <v>420</v>
      </c>
      <c r="L198" s="34">
        <v>4</v>
      </c>
      <c r="M198" s="34">
        <v>2</v>
      </c>
      <c r="N198" s="35">
        <f ca="1">SUBTOTAL(9,N199:(OFFSET(INDIRECT(N$1 &amp; $O198),-1,0)))</f>
        <v>0</v>
      </c>
      <c r="O198" s="21">
        <f>ROW($A201)</f>
        <v>201</v>
      </c>
      <c r="Q198" s="31"/>
    </row>
    <row r="199" spans="1:17" outlineLevel="2" x14ac:dyDescent="0.2">
      <c r="A199" s="50" t="str">
        <f t="shared" si="33"/>
        <v>SUP00005</v>
      </c>
      <c r="B199" s="101" t="s">
        <v>425</v>
      </c>
      <c r="C199" s="101"/>
      <c r="D199" s="101"/>
      <c r="E199" s="101"/>
      <c r="F199" s="94"/>
      <c r="G199" s="95"/>
      <c r="H199" s="95"/>
      <c r="I199" s="95"/>
      <c r="J199" s="95"/>
      <c r="K199" s="51" t="s">
        <v>420</v>
      </c>
      <c r="L199" s="51">
        <v>5</v>
      </c>
      <c r="M199" s="51">
        <v>3</v>
      </c>
      <c r="N199" s="52">
        <f ca="1">SUBTOTAL(9,N200:(OFFSET(INDIRECT(N$1 &amp; $O199),-1,0)))</f>
        <v>0</v>
      </c>
      <c r="O199" s="21">
        <f>ROW($A201)</f>
        <v>201</v>
      </c>
      <c r="Q199" s="31"/>
    </row>
    <row r="200" spans="1:17" outlineLevel="3" x14ac:dyDescent="0.2">
      <c r="A200" s="36" t="str">
        <f t="shared" si="33"/>
        <v>SUP00006</v>
      </c>
      <c r="B200" s="102" t="s">
        <v>426</v>
      </c>
      <c r="C200" s="102"/>
      <c r="D200" s="102"/>
      <c r="E200" s="97">
        <v>0</v>
      </c>
      <c r="F200" s="98" t="s">
        <v>214</v>
      </c>
      <c r="G200" s="99" t="s">
        <v>215</v>
      </c>
      <c r="H200" s="99"/>
      <c r="I200" s="99"/>
      <c r="J200" s="99"/>
      <c r="K200" s="37" t="s">
        <v>420</v>
      </c>
      <c r="L200" s="37">
        <v>6</v>
      </c>
      <c r="M200" s="37">
        <v>4</v>
      </c>
      <c r="N200" s="38">
        <f>IF(COUNTIF(ScenarioTag,
IF(ScenarioSelected=$G$2,$G200,
IF(ScenarioSelected=$H$2,$H200,
IF(ScenarioSelected=$I$2,$I200,
IF(ScenarioSelected=$J$2,$J200,""))))
)&gt;0,$E200,0)</f>
        <v>0</v>
      </c>
      <c r="Q200" s="31"/>
    </row>
    <row r="201" spans="1:17" ht="25.15" customHeight="1" x14ac:dyDescent="0.2">
      <c r="A201" s="28" t="str">
        <f t="shared" si="33"/>
        <v>ENT00000</v>
      </c>
      <c r="B201" s="86" t="s">
        <v>427</v>
      </c>
      <c r="C201" s="87"/>
      <c r="D201" s="87"/>
      <c r="E201" s="87"/>
      <c r="F201" s="88"/>
      <c r="G201" s="89"/>
      <c r="H201" s="89"/>
      <c r="I201" s="89"/>
      <c r="J201" s="89"/>
      <c r="K201" s="29" t="s">
        <v>428</v>
      </c>
      <c r="L201" s="29">
        <v>0</v>
      </c>
      <c r="M201" s="29">
        <v>1</v>
      </c>
      <c r="N201" s="30">
        <f ca="1">SUBTOTAL(9,N202:(OFFSET(INDIRECT(N$1 &amp; $O201),-1,0)))</f>
        <v>9</v>
      </c>
      <c r="O201" s="21">
        <f>ROW($A235)</f>
        <v>235</v>
      </c>
      <c r="Q201" s="31"/>
    </row>
    <row r="202" spans="1:17" s="112" customFormat="1" ht="4.1500000000000004" customHeight="1" outlineLevel="1" x14ac:dyDescent="0.2">
      <c r="A202" s="107"/>
      <c r="B202" s="113"/>
      <c r="C202" s="114"/>
      <c r="D202" s="114"/>
      <c r="E202" s="114"/>
      <c r="F202" s="109"/>
      <c r="G202" s="115"/>
      <c r="H202" s="115"/>
      <c r="I202" s="115"/>
      <c r="J202" s="115"/>
      <c r="K202" s="109"/>
      <c r="L202" s="109"/>
      <c r="M202" s="109">
        <v>-1</v>
      </c>
      <c r="N202" s="104"/>
      <c r="O202" s="111"/>
      <c r="Q202" s="31"/>
    </row>
    <row r="203" spans="1:17" outlineLevel="1" x14ac:dyDescent="0.2">
      <c r="A203" s="33" t="str">
        <f t="shared" ref="A203:A235" si="34">K203 &amp; TEXT(L203,"00000")</f>
        <v>ENT00001</v>
      </c>
      <c r="B203" s="100" t="s">
        <v>429</v>
      </c>
      <c r="C203" s="100"/>
      <c r="D203" s="100"/>
      <c r="E203" s="100"/>
      <c r="F203" s="91"/>
      <c r="G203" s="92"/>
      <c r="H203" s="92"/>
      <c r="I203" s="92"/>
      <c r="J203" s="92"/>
      <c r="K203" s="34" t="s">
        <v>428</v>
      </c>
      <c r="L203" s="34">
        <v>1</v>
      </c>
      <c r="M203" s="34">
        <v>2</v>
      </c>
      <c r="N203" s="35">
        <f ca="1">SUBTOTAL(9,N204:(OFFSET(INDIRECT(N$1 &amp; $O203),-1,0)))</f>
        <v>0</v>
      </c>
      <c r="O203" s="21">
        <f>ROW($A206)</f>
        <v>206</v>
      </c>
      <c r="Q203" s="31"/>
    </row>
    <row r="204" spans="1:17" outlineLevel="2" x14ac:dyDescent="0.2">
      <c r="A204" s="50" t="str">
        <f t="shared" si="34"/>
        <v>ENT00002</v>
      </c>
      <c r="B204" s="101" t="s">
        <v>430</v>
      </c>
      <c r="C204" s="101"/>
      <c r="D204" s="101"/>
      <c r="E204" s="101"/>
      <c r="F204" s="94"/>
      <c r="G204" s="95"/>
      <c r="H204" s="95"/>
      <c r="I204" s="95"/>
      <c r="J204" s="95"/>
      <c r="K204" s="51" t="s">
        <v>428</v>
      </c>
      <c r="L204" s="51">
        <v>2</v>
      </c>
      <c r="M204" s="51">
        <v>3</v>
      </c>
      <c r="N204" s="52">
        <f ca="1">SUBTOTAL(9,N205:(OFFSET(INDIRECT(N$1 &amp; $O204),-1,0)))</f>
        <v>0</v>
      </c>
      <c r="O204" s="21">
        <f>ROW($A206)</f>
        <v>206</v>
      </c>
      <c r="Q204" s="31"/>
    </row>
    <row r="205" spans="1:17" outlineLevel="3" x14ac:dyDescent="0.2">
      <c r="A205" s="36" t="str">
        <f t="shared" si="34"/>
        <v>ENT00003</v>
      </c>
      <c r="B205" s="102" t="s">
        <v>431</v>
      </c>
      <c r="C205" s="102"/>
      <c r="D205" s="102"/>
      <c r="E205" s="97">
        <v>0</v>
      </c>
      <c r="F205" s="98" t="s">
        <v>214</v>
      </c>
      <c r="G205" s="99" t="s">
        <v>215</v>
      </c>
      <c r="H205" s="99"/>
      <c r="I205" s="99"/>
      <c r="J205" s="99"/>
      <c r="K205" s="37" t="s">
        <v>428</v>
      </c>
      <c r="L205" s="37">
        <v>3</v>
      </c>
      <c r="M205" s="37">
        <v>4</v>
      </c>
      <c r="N205" s="38">
        <f>IF(COUNTIF(ScenarioTag,
IF(ScenarioSelected=$G$2,$G205,
IF(ScenarioSelected=$H$2,$H205,
IF(ScenarioSelected=$I$2,$I205,
IF(ScenarioSelected=$J$2,$J205,""))))
)&gt;0,$E205,0)</f>
        <v>0</v>
      </c>
      <c r="Q205" s="31"/>
    </row>
    <row r="206" spans="1:17" outlineLevel="1" x14ac:dyDescent="0.2">
      <c r="A206" s="33" t="str">
        <f t="shared" si="34"/>
        <v>ENT00004</v>
      </c>
      <c r="B206" s="100" t="s">
        <v>432</v>
      </c>
      <c r="C206" s="100"/>
      <c r="D206" s="100"/>
      <c r="E206" s="100"/>
      <c r="F206" s="91"/>
      <c r="G206" s="92"/>
      <c r="H206" s="92"/>
      <c r="I206" s="92"/>
      <c r="J206" s="92"/>
      <c r="K206" s="34" t="s">
        <v>428</v>
      </c>
      <c r="L206" s="34">
        <v>4</v>
      </c>
      <c r="M206" s="34">
        <v>2</v>
      </c>
      <c r="N206" s="35">
        <f ca="1">SUBTOTAL(9,N207:(OFFSET(INDIRECT(N$1 &amp; $O206),-1,0)))</f>
        <v>0</v>
      </c>
      <c r="O206" s="21">
        <f>ROW($A209)</f>
        <v>209</v>
      </c>
      <c r="Q206" s="31"/>
    </row>
    <row r="207" spans="1:17" outlineLevel="2" x14ac:dyDescent="0.2">
      <c r="A207" s="50" t="str">
        <f t="shared" si="34"/>
        <v>ENT00005</v>
      </c>
      <c r="B207" s="101" t="s">
        <v>433</v>
      </c>
      <c r="C207" s="101"/>
      <c r="D207" s="101"/>
      <c r="E207" s="101"/>
      <c r="F207" s="94"/>
      <c r="G207" s="95"/>
      <c r="H207" s="95"/>
      <c r="I207" s="95"/>
      <c r="J207" s="95"/>
      <c r="K207" s="51" t="s">
        <v>428</v>
      </c>
      <c r="L207" s="51">
        <v>5</v>
      </c>
      <c r="M207" s="51">
        <v>3</v>
      </c>
      <c r="N207" s="52">
        <f ca="1">SUBTOTAL(9,N208:(OFFSET(INDIRECT(N$1 &amp; $O207),-1,0)))</f>
        <v>0</v>
      </c>
      <c r="O207" s="21">
        <f>ROW($A209)</f>
        <v>209</v>
      </c>
      <c r="Q207" s="31"/>
    </row>
    <row r="208" spans="1:17" outlineLevel="3" x14ac:dyDescent="0.2">
      <c r="A208" s="36" t="str">
        <f t="shared" si="34"/>
        <v>ENT00006</v>
      </c>
      <c r="B208" s="102" t="s">
        <v>434</v>
      </c>
      <c r="C208" s="102"/>
      <c r="D208" s="102"/>
      <c r="E208" s="97">
        <v>0</v>
      </c>
      <c r="F208" s="98" t="s">
        <v>214</v>
      </c>
      <c r="G208" s="99" t="s">
        <v>215</v>
      </c>
      <c r="H208" s="99"/>
      <c r="I208" s="99"/>
      <c r="J208" s="99"/>
      <c r="K208" s="37" t="s">
        <v>428</v>
      </c>
      <c r="L208" s="37">
        <v>6</v>
      </c>
      <c r="M208" s="37">
        <v>4</v>
      </c>
      <c r="N208" s="38">
        <f>IF(COUNTIF(ScenarioTag,
IF(ScenarioSelected=$G$2,$G208,
IF(ScenarioSelected=$H$2,$H208,
IF(ScenarioSelected=$I$2,$I208,
IF(ScenarioSelected=$J$2,$J208,""))))
)&gt;0,$E208,0)</f>
        <v>0</v>
      </c>
      <c r="Q208" s="31"/>
    </row>
    <row r="209" spans="1:17" outlineLevel="1" x14ac:dyDescent="0.2">
      <c r="A209" s="33" t="str">
        <f t="shared" si="34"/>
        <v>ENT00007</v>
      </c>
      <c r="B209" s="100" t="s">
        <v>435</v>
      </c>
      <c r="C209" s="100"/>
      <c r="D209" s="100"/>
      <c r="E209" s="100"/>
      <c r="F209" s="91"/>
      <c r="G209" s="92"/>
      <c r="H209" s="92"/>
      <c r="I209" s="92"/>
      <c r="J209" s="92"/>
      <c r="K209" s="34" t="s">
        <v>428</v>
      </c>
      <c r="L209" s="34">
        <v>7</v>
      </c>
      <c r="M209" s="34">
        <v>2</v>
      </c>
      <c r="N209" s="35">
        <f ca="1">SUBTOTAL(9,N210:(OFFSET(INDIRECT(N$1 &amp; $O209),-1,0)))</f>
        <v>0</v>
      </c>
      <c r="O209" s="21">
        <f>ROW($A212)</f>
        <v>212</v>
      </c>
      <c r="Q209" s="31"/>
    </row>
    <row r="210" spans="1:17" outlineLevel="2" x14ac:dyDescent="0.2">
      <c r="A210" s="50" t="str">
        <f t="shared" si="34"/>
        <v>ENT00008</v>
      </c>
      <c r="B210" s="101" t="s">
        <v>436</v>
      </c>
      <c r="C210" s="101"/>
      <c r="D210" s="101"/>
      <c r="E210" s="101"/>
      <c r="F210" s="94"/>
      <c r="G210" s="95"/>
      <c r="H210" s="95"/>
      <c r="I210" s="95"/>
      <c r="J210" s="95"/>
      <c r="K210" s="51" t="s">
        <v>428</v>
      </c>
      <c r="L210" s="51">
        <v>8</v>
      </c>
      <c r="M210" s="51">
        <v>3</v>
      </c>
      <c r="N210" s="52">
        <f ca="1">SUBTOTAL(9,N211:(OFFSET(INDIRECT(N$1 &amp; $O210),-1,0)))</f>
        <v>0</v>
      </c>
      <c r="O210" s="21">
        <f>ROW($A212)</f>
        <v>212</v>
      </c>
      <c r="Q210" s="31"/>
    </row>
    <row r="211" spans="1:17" outlineLevel="3" x14ac:dyDescent="0.2">
      <c r="A211" s="36" t="str">
        <f t="shared" si="34"/>
        <v>ENT00009</v>
      </c>
      <c r="B211" s="102" t="s">
        <v>437</v>
      </c>
      <c r="C211" s="102"/>
      <c r="D211" s="102"/>
      <c r="E211" s="97">
        <v>0</v>
      </c>
      <c r="F211" s="98" t="s">
        <v>214</v>
      </c>
      <c r="G211" s="99" t="s">
        <v>215</v>
      </c>
      <c r="H211" s="99"/>
      <c r="I211" s="99"/>
      <c r="J211" s="99"/>
      <c r="K211" s="37" t="s">
        <v>428</v>
      </c>
      <c r="L211" s="37">
        <v>9</v>
      </c>
      <c r="M211" s="37">
        <v>4</v>
      </c>
      <c r="N211" s="38">
        <f>IF(COUNTIF(ScenarioTag,
IF(ScenarioSelected=$G$2,$G211,
IF(ScenarioSelected=$H$2,$H211,
IF(ScenarioSelected=$I$2,$I211,
IF(ScenarioSelected=$J$2,$J211,""))))
)&gt;0,$E211,0)</f>
        <v>0</v>
      </c>
      <c r="Q211" s="31"/>
    </row>
    <row r="212" spans="1:17" outlineLevel="1" x14ac:dyDescent="0.2">
      <c r="A212" s="33" t="str">
        <f t="shared" si="34"/>
        <v>ENT00010</v>
      </c>
      <c r="B212" s="100" t="s">
        <v>438</v>
      </c>
      <c r="C212" s="100"/>
      <c r="D212" s="100"/>
      <c r="E212" s="100"/>
      <c r="F212" s="91"/>
      <c r="G212" s="92"/>
      <c r="H212" s="92"/>
      <c r="I212" s="92"/>
      <c r="J212" s="92"/>
      <c r="K212" s="34" t="s">
        <v>428</v>
      </c>
      <c r="L212" s="34">
        <v>10</v>
      </c>
      <c r="M212" s="34">
        <v>2</v>
      </c>
      <c r="N212" s="35">
        <f ca="1">SUBTOTAL(9,N213:(OFFSET(INDIRECT(N$1 &amp; $O212),-1,0)))</f>
        <v>0</v>
      </c>
      <c r="O212" s="21">
        <f>ROW($A215)</f>
        <v>215</v>
      </c>
      <c r="Q212" s="31"/>
    </row>
    <row r="213" spans="1:17" outlineLevel="2" x14ac:dyDescent="0.2">
      <c r="A213" s="50" t="str">
        <f t="shared" si="34"/>
        <v>ENT00011</v>
      </c>
      <c r="B213" s="101" t="s">
        <v>439</v>
      </c>
      <c r="C213" s="101"/>
      <c r="D213" s="101"/>
      <c r="E213" s="101"/>
      <c r="F213" s="94"/>
      <c r="G213" s="95"/>
      <c r="H213" s="95"/>
      <c r="I213" s="95"/>
      <c r="J213" s="95"/>
      <c r="K213" s="51" t="s">
        <v>428</v>
      </c>
      <c r="L213" s="51">
        <v>11</v>
      </c>
      <c r="M213" s="51">
        <v>3</v>
      </c>
      <c r="N213" s="52">
        <f ca="1">SUBTOTAL(9,N214:(OFFSET(INDIRECT(N$1 &amp; $O213),-1,0)))</f>
        <v>0</v>
      </c>
      <c r="O213" s="21">
        <f>ROW($A215)</f>
        <v>215</v>
      </c>
      <c r="Q213" s="31"/>
    </row>
    <row r="214" spans="1:17" outlineLevel="3" x14ac:dyDescent="0.2">
      <c r="A214" s="36" t="str">
        <f t="shared" si="34"/>
        <v>ENT00012</v>
      </c>
      <c r="B214" s="102" t="s">
        <v>440</v>
      </c>
      <c r="C214" s="102"/>
      <c r="D214" s="102"/>
      <c r="E214" s="97">
        <v>0</v>
      </c>
      <c r="F214" s="98" t="s">
        <v>214</v>
      </c>
      <c r="G214" s="99" t="s">
        <v>215</v>
      </c>
      <c r="H214" s="99"/>
      <c r="I214" s="99"/>
      <c r="J214" s="99"/>
      <c r="K214" s="37" t="s">
        <v>428</v>
      </c>
      <c r="L214" s="37">
        <v>12</v>
      </c>
      <c r="M214" s="37">
        <v>4</v>
      </c>
      <c r="N214" s="38">
        <f>IF(COUNTIF(ScenarioTag,
IF(ScenarioSelected=$G$2,$G214,
IF(ScenarioSelected=$H$2,$H214,
IF(ScenarioSelected=$I$2,$I214,
IF(ScenarioSelected=$J$2,$J214,""))))
)&gt;0,$E214,0)</f>
        <v>0</v>
      </c>
      <c r="Q214" s="31"/>
    </row>
    <row r="215" spans="1:17" outlineLevel="1" x14ac:dyDescent="0.2">
      <c r="A215" s="33" t="str">
        <f t="shared" si="34"/>
        <v>ENT00013</v>
      </c>
      <c r="B215" s="100" t="s">
        <v>441</v>
      </c>
      <c r="C215" s="100"/>
      <c r="D215" s="100"/>
      <c r="E215" s="100"/>
      <c r="F215" s="91"/>
      <c r="G215" s="92"/>
      <c r="H215" s="92"/>
      <c r="I215" s="92"/>
      <c r="J215" s="92"/>
      <c r="K215" s="34" t="s">
        <v>428</v>
      </c>
      <c r="L215" s="34">
        <v>13</v>
      </c>
      <c r="M215" s="34">
        <v>2</v>
      </c>
      <c r="N215" s="35">
        <f ca="1">SUBTOTAL(9,N216:(OFFSET(INDIRECT(N$1 &amp; $O215),-1,0)))</f>
        <v>0</v>
      </c>
      <c r="O215" s="21">
        <f>ROW($A218)</f>
        <v>218</v>
      </c>
      <c r="Q215" s="31"/>
    </row>
    <row r="216" spans="1:17" outlineLevel="2" x14ac:dyDescent="0.2">
      <c r="A216" s="50" t="str">
        <f t="shared" si="34"/>
        <v>ENT00014</v>
      </c>
      <c r="B216" s="101" t="s">
        <v>442</v>
      </c>
      <c r="C216" s="101"/>
      <c r="D216" s="101"/>
      <c r="E216" s="101"/>
      <c r="F216" s="94"/>
      <c r="G216" s="95"/>
      <c r="H216" s="95"/>
      <c r="I216" s="95"/>
      <c r="J216" s="95"/>
      <c r="K216" s="51" t="s">
        <v>428</v>
      </c>
      <c r="L216" s="51">
        <v>14</v>
      </c>
      <c r="M216" s="51">
        <v>3</v>
      </c>
      <c r="N216" s="52">
        <f ca="1">SUBTOTAL(9,N217:(OFFSET(INDIRECT(N$1 &amp; $O216),-1,0)))</f>
        <v>0</v>
      </c>
      <c r="O216" s="21">
        <f>ROW($A218)</f>
        <v>218</v>
      </c>
      <c r="Q216" s="31"/>
    </row>
    <row r="217" spans="1:17" outlineLevel="3" x14ac:dyDescent="0.2">
      <c r="A217" s="36" t="str">
        <f t="shared" si="34"/>
        <v>ENT00015</v>
      </c>
      <c r="B217" s="102" t="s">
        <v>443</v>
      </c>
      <c r="C217" s="102"/>
      <c r="D217" s="102"/>
      <c r="E217" s="97">
        <v>0</v>
      </c>
      <c r="F217" s="98" t="s">
        <v>214</v>
      </c>
      <c r="G217" s="99" t="s">
        <v>215</v>
      </c>
      <c r="H217" s="99"/>
      <c r="I217" s="99"/>
      <c r="J217" s="99"/>
      <c r="K217" s="37" t="s">
        <v>428</v>
      </c>
      <c r="L217" s="37">
        <v>15</v>
      </c>
      <c r="M217" s="37">
        <v>4</v>
      </c>
      <c r="N217" s="38">
        <f>IF(COUNTIF(ScenarioTag,
IF(ScenarioSelected=$G$2,$G217,
IF(ScenarioSelected=$H$2,$H217,
IF(ScenarioSelected=$I$2,$I217,
IF(ScenarioSelected=$J$2,$J217,""))))
)&gt;0,$E217,0)</f>
        <v>0</v>
      </c>
      <c r="Q217" s="31"/>
    </row>
    <row r="218" spans="1:17" outlineLevel="1" x14ac:dyDescent="0.2">
      <c r="A218" s="33" t="str">
        <f t="shared" si="34"/>
        <v>ENT00016</v>
      </c>
      <c r="B218" s="100" t="s">
        <v>444</v>
      </c>
      <c r="C218" s="100"/>
      <c r="D218" s="100"/>
      <c r="E218" s="100"/>
      <c r="F218" s="91"/>
      <c r="G218" s="92"/>
      <c r="H218" s="92"/>
      <c r="I218" s="92"/>
      <c r="J218" s="92"/>
      <c r="K218" s="34" t="s">
        <v>428</v>
      </c>
      <c r="L218" s="34">
        <v>16</v>
      </c>
      <c r="M218" s="34">
        <v>2</v>
      </c>
      <c r="N218" s="35">
        <f ca="1">SUBTOTAL(9,N219:(OFFSET(INDIRECT(N$1 &amp; $O218),-1,0)))</f>
        <v>9</v>
      </c>
      <c r="O218" s="21">
        <f>ROW($A223)</f>
        <v>223</v>
      </c>
      <c r="Q218" s="31"/>
    </row>
    <row r="219" spans="1:17" outlineLevel="2" x14ac:dyDescent="0.2">
      <c r="A219" s="50" t="str">
        <f t="shared" si="34"/>
        <v>ENT00017</v>
      </c>
      <c r="B219" s="101" t="s">
        <v>445</v>
      </c>
      <c r="C219" s="101"/>
      <c r="D219" s="101"/>
      <c r="E219" s="101"/>
      <c r="F219" s="94"/>
      <c r="G219" s="95"/>
      <c r="H219" s="95"/>
      <c r="I219" s="95"/>
      <c r="J219" s="95"/>
      <c r="K219" s="51" t="s">
        <v>428</v>
      </c>
      <c r="L219" s="51">
        <v>17</v>
      </c>
      <c r="M219" s="51">
        <v>3</v>
      </c>
      <c r="N219" s="52">
        <f ca="1">SUBTOTAL(9,N220:(OFFSET(INDIRECT(N$1 &amp; $O219),-1,0)))</f>
        <v>9</v>
      </c>
      <c r="O219" s="21">
        <f>ROW($A223)</f>
        <v>223</v>
      </c>
      <c r="Q219" s="31"/>
    </row>
    <row r="220" spans="1:17" ht="22.5" outlineLevel="3" x14ac:dyDescent="0.2">
      <c r="A220" s="36" t="str">
        <f t="shared" si="34"/>
        <v>ENT00018</v>
      </c>
      <c r="B220" s="102" t="s">
        <v>446</v>
      </c>
      <c r="C220" s="102" t="s">
        <v>447</v>
      </c>
      <c r="D220" s="102" t="s">
        <v>448</v>
      </c>
      <c r="E220" s="97">
        <v>3</v>
      </c>
      <c r="F220" s="98" t="s">
        <v>214</v>
      </c>
      <c r="G220" s="99" t="s">
        <v>215</v>
      </c>
      <c r="H220" s="99"/>
      <c r="I220" s="99"/>
      <c r="J220" s="99"/>
      <c r="K220" s="37" t="s">
        <v>428</v>
      </c>
      <c r="L220" s="37">
        <v>18</v>
      </c>
      <c r="M220" s="37">
        <v>4</v>
      </c>
      <c r="N220" s="38">
        <f>IF(COUNTIF(ScenarioTag,
IF(ScenarioSelected=$G$2,$G220,
IF(ScenarioSelected=$H$2,$H220,
IF(ScenarioSelected=$I$2,$I220,
IF(ScenarioSelected=$J$2,$J220,""))))
)&gt;0,$E220,0)</f>
        <v>3</v>
      </c>
      <c r="Q220" s="31"/>
    </row>
    <row r="221" spans="1:17" outlineLevel="3" x14ac:dyDescent="0.2">
      <c r="A221" s="36" t="str">
        <f t="shared" ref="A221" si="35">K221 &amp; TEXT(L221,"00000")</f>
        <v>ENT00201</v>
      </c>
      <c r="B221" s="102" t="s">
        <v>449</v>
      </c>
      <c r="C221" s="102" t="s">
        <v>450</v>
      </c>
      <c r="D221" s="102" t="s">
        <v>451</v>
      </c>
      <c r="E221" s="97">
        <v>3</v>
      </c>
      <c r="F221" s="98" t="s">
        <v>250</v>
      </c>
      <c r="G221" s="99" t="s">
        <v>215</v>
      </c>
      <c r="H221" s="99"/>
      <c r="I221" s="99"/>
      <c r="J221" s="99"/>
      <c r="K221" s="37" t="s">
        <v>428</v>
      </c>
      <c r="L221" s="37">
        <v>201</v>
      </c>
      <c r="M221" s="37">
        <v>4</v>
      </c>
      <c r="N221" s="38">
        <f>IF(COUNTIF(ScenarioTag,
IF(ScenarioSelected=$G$2,$G221,
IF(ScenarioSelected=$H$2,$H221,
IF(ScenarioSelected=$I$2,$I221,
IF(ScenarioSelected=$J$2,$J221,""))))
)&gt;0,$E221,0)</f>
        <v>3</v>
      </c>
      <c r="Q221" s="31"/>
    </row>
    <row r="222" spans="1:17" ht="22.5" outlineLevel="3" x14ac:dyDescent="0.2">
      <c r="A222" s="36" t="str">
        <f t="shared" ref="A222" si="36">K222 &amp; TEXT(L222,"00000")</f>
        <v>ENT00202</v>
      </c>
      <c r="B222" s="102" t="s">
        <v>452</v>
      </c>
      <c r="C222" s="102" t="s">
        <v>453</v>
      </c>
      <c r="D222" s="102" t="s">
        <v>454</v>
      </c>
      <c r="E222" s="97">
        <v>3</v>
      </c>
      <c r="F222" s="98" t="s">
        <v>250</v>
      </c>
      <c r="G222" s="99" t="s">
        <v>215</v>
      </c>
      <c r="H222" s="99"/>
      <c r="I222" s="99"/>
      <c r="J222" s="99"/>
      <c r="K222" s="37" t="s">
        <v>428</v>
      </c>
      <c r="L222" s="37">
        <v>202</v>
      </c>
      <c r="M222" s="37">
        <v>4</v>
      </c>
      <c r="N222" s="38">
        <f>IF(COUNTIF(ScenarioTag,
IF(ScenarioSelected=$G$2,$G222,
IF(ScenarioSelected=$H$2,$H222,
IF(ScenarioSelected=$I$2,$I222,
IF(ScenarioSelected=$J$2,$J222,""))))
)&gt;0,$E222,0)</f>
        <v>3</v>
      </c>
      <c r="Q222" s="31"/>
    </row>
    <row r="223" spans="1:17" outlineLevel="1" x14ac:dyDescent="0.2">
      <c r="A223" s="33" t="str">
        <f t="shared" si="34"/>
        <v>ENT00019</v>
      </c>
      <c r="B223" s="100" t="s">
        <v>455</v>
      </c>
      <c r="C223" s="100"/>
      <c r="D223" s="100"/>
      <c r="E223" s="100"/>
      <c r="F223" s="91"/>
      <c r="G223" s="92"/>
      <c r="H223" s="92"/>
      <c r="I223" s="92"/>
      <c r="J223" s="92"/>
      <c r="K223" s="34" t="s">
        <v>428</v>
      </c>
      <c r="L223" s="34">
        <v>19</v>
      </c>
      <c r="M223" s="34">
        <v>2</v>
      </c>
      <c r="N223" s="35">
        <f ca="1">SUBTOTAL(9,N224:(OFFSET(INDIRECT(N$1 &amp; $O223),-1,0)))</f>
        <v>0</v>
      </c>
      <c r="O223" s="21">
        <f>ROW($A226)</f>
        <v>226</v>
      </c>
      <c r="Q223" s="31"/>
    </row>
    <row r="224" spans="1:17" outlineLevel="2" x14ac:dyDescent="0.2">
      <c r="A224" s="50" t="str">
        <f t="shared" si="34"/>
        <v>ENT00020</v>
      </c>
      <c r="B224" s="101" t="s">
        <v>456</v>
      </c>
      <c r="C224" s="101"/>
      <c r="D224" s="101"/>
      <c r="E224" s="101"/>
      <c r="F224" s="94"/>
      <c r="G224" s="95"/>
      <c r="H224" s="95"/>
      <c r="I224" s="95"/>
      <c r="J224" s="95"/>
      <c r="K224" s="51" t="s">
        <v>428</v>
      </c>
      <c r="L224" s="51">
        <v>20</v>
      </c>
      <c r="M224" s="51">
        <v>3</v>
      </c>
      <c r="N224" s="52">
        <f ca="1">SUBTOTAL(9,N225:(OFFSET(INDIRECT(N$1 &amp; $O224),-1,0)))</f>
        <v>0</v>
      </c>
      <c r="O224" s="21">
        <f>ROW($A226)</f>
        <v>226</v>
      </c>
      <c r="Q224" s="31"/>
    </row>
    <row r="225" spans="1:17" outlineLevel="3" x14ac:dyDescent="0.2">
      <c r="A225" s="36" t="str">
        <f t="shared" si="34"/>
        <v>ENT00021</v>
      </c>
      <c r="B225" s="102" t="s">
        <v>457</v>
      </c>
      <c r="C225" s="102"/>
      <c r="D225" s="102"/>
      <c r="E225" s="97">
        <v>0</v>
      </c>
      <c r="F225" s="98" t="s">
        <v>214</v>
      </c>
      <c r="G225" s="99" t="s">
        <v>215</v>
      </c>
      <c r="H225" s="99"/>
      <c r="I225" s="99"/>
      <c r="J225" s="99"/>
      <c r="K225" s="37" t="s">
        <v>428</v>
      </c>
      <c r="L225" s="37">
        <v>21</v>
      </c>
      <c r="M225" s="37">
        <v>4</v>
      </c>
      <c r="N225" s="38">
        <f>IF(COUNTIF(ScenarioTag,
IF(ScenarioSelected=$G$2,$G225,
IF(ScenarioSelected=$H$2,$H225,
IF(ScenarioSelected=$I$2,$I225,
IF(ScenarioSelected=$J$2,$J225,""))))
)&gt;0,$E225,0)</f>
        <v>0</v>
      </c>
      <c r="Q225" s="31"/>
    </row>
    <row r="226" spans="1:17" outlineLevel="1" x14ac:dyDescent="0.2">
      <c r="A226" s="33" t="str">
        <f t="shared" si="34"/>
        <v>ENT00022</v>
      </c>
      <c r="B226" s="100" t="s">
        <v>458</v>
      </c>
      <c r="C226" s="100"/>
      <c r="D226" s="100"/>
      <c r="E226" s="100"/>
      <c r="F226" s="91"/>
      <c r="G226" s="92"/>
      <c r="H226" s="92"/>
      <c r="I226" s="92"/>
      <c r="J226" s="92"/>
      <c r="K226" s="34" t="s">
        <v>428</v>
      </c>
      <c r="L226" s="34">
        <v>22</v>
      </c>
      <c r="M226" s="34">
        <v>2</v>
      </c>
      <c r="N226" s="35">
        <f ca="1">SUBTOTAL(9,N227:(OFFSET(INDIRECT(N$1 &amp; $O226),-1,0)))</f>
        <v>0</v>
      </c>
      <c r="O226" s="21">
        <f>ROW($A229)</f>
        <v>229</v>
      </c>
      <c r="Q226" s="31"/>
    </row>
    <row r="227" spans="1:17" outlineLevel="2" x14ac:dyDescent="0.2">
      <c r="A227" s="50" t="str">
        <f t="shared" si="34"/>
        <v>ENT00023</v>
      </c>
      <c r="B227" s="101" t="s">
        <v>459</v>
      </c>
      <c r="C227" s="101"/>
      <c r="D227" s="101"/>
      <c r="E227" s="101"/>
      <c r="F227" s="94"/>
      <c r="G227" s="95"/>
      <c r="H227" s="95"/>
      <c r="I227" s="95"/>
      <c r="J227" s="95"/>
      <c r="K227" s="51" t="s">
        <v>428</v>
      </c>
      <c r="L227" s="51">
        <v>23</v>
      </c>
      <c r="M227" s="51">
        <v>3</v>
      </c>
      <c r="N227" s="52">
        <f ca="1">SUBTOTAL(9,N228:(OFFSET(INDIRECT(N$1 &amp; $O227),-1,0)))</f>
        <v>0</v>
      </c>
      <c r="O227" s="21">
        <f>ROW($A229)</f>
        <v>229</v>
      </c>
      <c r="Q227" s="31"/>
    </row>
    <row r="228" spans="1:17" outlineLevel="3" x14ac:dyDescent="0.2">
      <c r="A228" s="36" t="str">
        <f t="shared" si="34"/>
        <v>ENT00024</v>
      </c>
      <c r="B228" s="102" t="s">
        <v>460</v>
      </c>
      <c r="C228" s="102"/>
      <c r="D228" s="102"/>
      <c r="E228" s="97">
        <v>0</v>
      </c>
      <c r="F228" s="98" t="s">
        <v>214</v>
      </c>
      <c r="G228" s="99" t="s">
        <v>215</v>
      </c>
      <c r="H228" s="99"/>
      <c r="I228" s="99"/>
      <c r="J228" s="99"/>
      <c r="K228" s="37" t="s">
        <v>428</v>
      </c>
      <c r="L228" s="37">
        <v>24</v>
      </c>
      <c r="M228" s="37">
        <v>4</v>
      </c>
      <c r="N228" s="38">
        <f>IF(COUNTIF(ScenarioTag,
IF(ScenarioSelected=$G$2,$G228,
IF(ScenarioSelected=$H$2,$H228,
IF(ScenarioSelected=$I$2,$I228,
IF(ScenarioSelected=$J$2,$J228,""))))
)&gt;0,$E228,0)</f>
        <v>0</v>
      </c>
      <c r="Q228" s="31"/>
    </row>
    <row r="229" spans="1:17" outlineLevel="1" x14ac:dyDescent="0.2">
      <c r="A229" s="33" t="str">
        <f t="shared" si="34"/>
        <v>ENT00025</v>
      </c>
      <c r="B229" s="100" t="s">
        <v>461</v>
      </c>
      <c r="C229" s="100"/>
      <c r="D229" s="100"/>
      <c r="E229" s="100"/>
      <c r="F229" s="91"/>
      <c r="G229" s="92"/>
      <c r="H229" s="92"/>
      <c r="I229" s="92"/>
      <c r="J229" s="92"/>
      <c r="K229" s="34" t="s">
        <v>428</v>
      </c>
      <c r="L229" s="34">
        <v>25</v>
      </c>
      <c r="M229" s="34">
        <v>2</v>
      </c>
      <c r="N229" s="35">
        <f ca="1">SUBTOTAL(9,N230:(OFFSET(INDIRECT(N$1 &amp; $O229),-1,0)))</f>
        <v>0</v>
      </c>
      <c r="O229" s="21">
        <f>ROW($A232)</f>
        <v>232</v>
      </c>
      <c r="Q229" s="31"/>
    </row>
    <row r="230" spans="1:17" outlineLevel="2" x14ac:dyDescent="0.2">
      <c r="A230" s="50" t="str">
        <f t="shared" si="34"/>
        <v>ENT00026</v>
      </c>
      <c r="B230" s="101" t="s">
        <v>462</v>
      </c>
      <c r="C230" s="101"/>
      <c r="D230" s="101"/>
      <c r="E230" s="101"/>
      <c r="F230" s="94"/>
      <c r="G230" s="95"/>
      <c r="H230" s="95"/>
      <c r="I230" s="95"/>
      <c r="J230" s="95"/>
      <c r="K230" s="51" t="s">
        <v>428</v>
      </c>
      <c r="L230" s="51">
        <v>26</v>
      </c>
      <c r="M230" s="51">
        <v>3</v>
      </c>
      <c r="N230" s="52">
        <f ca="1">SUBTOTAL(9,N231:(OFFSET(INDIRECT(N$1 &amp; $O230),-1,0)))</f>
        <v>0</v>
      </c>
      <c r="O230" s="21">
        <f>ROW($A232)</f>
        <v>232</v>
      </c>
      <c r="Q230" s="31"/>
    </row>
    <row r="231" spans="1:17" outlineLevel="3" x14ac:dyDescent="0.2">
      <c r="A231" s="36" t="str">
        <f t="shared" si="34"/>
        <v>ENT00027</v>
      </c>
      <c r="B231" s="102" t="s">
        <v>463</v>
      </c>
      <c r="C231" s="102"/>
      <c r="D231" s="102"/>
      <c r="E231" s="97">
        <v>0</v>
      </c>
      <c r="F231" s="98" t="s">
        <v>214</v>
      </c>
      <c r="G231" s="99" t="s">
        <v>215</v>
      </c>
      <c r="H231" s="99"/>
      <c r="I231" s="99"/>
      <c r="J231" s="99"/>
      <c r="K231" s="37" t="s">
        <v>428</v>
      </c>
      <c r="L231" s="37">
        <v>27</v>
      </c>
      <c r="M231" s="37">
        <v>4</v>
      </c>
      <c r="N231" s="38">
        <f>IF(COUNTIF(ScenarioTag,
IF(ScenarioSelected=$G$2,$G231,
IF(ScenarioSelected=$H$2,$H231,
IF(ScenarioSelected=$I$2,$I231,
IF(ScenarioSelected=$J$2,$J231,""))))
)&gt;0,$E231,0)</f>
        <v>0</v>
      </c>
      <c r="Q231" s="31"/>
    </row>
    <row r="232" spans="1:17" outlineLevel="1" x14ac:dyDescent="0.2">
      <c r="A232" s="33" t="str">
        <f>K232 &amp; TEXT(L232,"00000")</f>
        <v>ENT00028</v>
      </c>
      <c r="B232" s="100" t="s">
        <v>464</v>
      </c>
      <c r="C232" s="100"/>
      <c r="D232" s="100"/>
      <c r="E232" s="100"/>
      <c r="F232" s="91"/>
      <c r="G232" s="92"/>
      <c r="H232" s="92"/>
      <c r="I232" s="92"/>
      <c r="J232" s="92"/>
      <c r="K232" s="34" t="s">
        <v>428</v>
      </c>
      <c r="L232" s="34">
        <v>28</v>
      </c>
      <c r="M232" s="34">
        <v>2</v>
      </c>
      <c r="N232" s="35">
        <f ca="1">SUBTOTAL(9,N233:(OFFSET(INDIRECT(N$1 &amp; $O232),-1,0)))</f>
        <v>0</v>
      </c>
      <c r="O232" s="21">
        <f>ROW($A235)</f>
        <v>235</v>
      </c>
      <c r="Q232" s="31"/>
    </row>
    <row r="233" spans="1:17" outlineLevel="2" x14ac:dyDescent="0.2">
      <c r="A233" s="50" t="str">
        <f>K233 &amp; TEXT(L233,"00000")</f>
        <v>ENT00029</v>
      </c>
      <c r="B233" s="101" t="s">
        <v>465</v>
      </c>
      <c r="C233" s="101"/>
      <c r="D233" s="101"/>
      <c r="E233" s="101"/>
      <c r="F233" s="94"/>
      <c r="G233" s="95"/>
      <c r="H233" s="95"/>
      <c r="I233" s="95"/>
      <c r="J233" s="95"/>
      <c r="K233" s="51" t="s">
        <v>428</v>
      </c>
      <c r="L233" s="51">
        <v>29</v>
      </c>
      <c r="M233" s="51">
        <v>3</v>
      </c>
      <c r="N233" s="52">
        <f ca="1">SUBTOTAL(9,N234:(OFFSET(INDIRECT(N$1 &amp; $O233),-1,0)))</f>
        <v>0</v>
      </c>
      <c r="O233" s="21">
        <f>ROW($A235)</f>
        <v>235</v>
      </c>
      <c r="Q233" s="31"/>
    </row>
    <row r="234" spans="1:17" outlineLevel="3" x14ac:dyDescent="0.2">
      <c r="A234" s="36" t="str">
        <f>K234 &amp; TEXT(L234,"00000")</f>
        <v>ENT00030</v>
      </c>
      <c r="B234" s="102" t="s">
        <v>466</v>
      </c>
      <c r="C234" s="102"/>
      <c r="D234" s="102"/>
      <c r="E234" s="97">
        <v>0</v>
      </c>
      <c r="F234" s="98" t="s">
        <v>214</v>
      </c>
      <c r="G234" s="99" t="s">
        <v>215</v>
      </c>
      <c r="H234" s="99"/>
      <c r="I234" s="99"/>
      <c r="J234" s="99"/>
      <c r="K234" s="37" t="s">
        <v>428</v>
      </c>
      <c r="L234" s="37">
        <v>30</v>
      </c>
      <c r="M234" s="37">
        <v>4</v>
      </c>
      <c r="N234" s="38">
        <f>IF(COUNTIF(ScenarioTag,
IF(ScenarioSelected=$G$2,$G234,
IF(ScenarioSelected=$H$2,$H234,
IF(ScenarioSelected=$I$2,$I234,
IF(ScenarioSelected=$J$2,$J234,""))))
)&gt;0,$E234,0)</f>
        <v>0</v>
      </c>
      <c r="Q234" s="31"/>
    </row>
    <row r="235" spans="1:17" ht="25.15" customHeight="1" x14ac:dyDescent="0.2">
      <c r="A235" s="28" t="str">
        <f t="shared" si="34"/>
        <v>INT00000</v>
      </c>
      <c r="B235" s="86" t="s">
        <v>467</v>
      </c>
      <c r="C235" s="87"/>
      <c r="D235" s="87"/>
      <c r="E235" s="87"/>
      <c r="F235" s="88"/>
      <c r="G235" s="89"/>
      <c r="H235" s="89"/>
      <c r="I235" s="89"/>
      <c r="J235" s="89"/>
      <c r="K235" s="29" t="s">
        <v>250</v>
      </c>
      <c r="L235" s="29">
        <v>0</v>
      </c>
      <c r="M235" s="29">
        <v>1</v>
      </c>
      <c r="N235" s="30">
        <f ca="1">SUBTOTAL(9,N236:(OFFSET(INDIRECT(N$1 &amp; $O235),-1,0)))</f>
        <v>27</v>
      </c>
      <c r="O235" s="21">
        <f>ROW($A252)</f>
        <v>252</v>
      </c>
      <c r="Q235" s="31"/>
    </row>
    <row r="236" spans="1:17" s="112" customFormat="1" ht="4.1500000000000004" customHeight="1" outlineLevel="1" x14ac:dyDescent="0.2">
      <c r="A236" s="107"/>
      <c r="B236" s="113"/>
      <c r="C236" s="114"/>
      <c r="D236" s="114"/>
      <c r="E236" s="114"/>
      <c r="F236" s="109"/>
      <c r="G236" s="115"/>
      <c r="H236" s="115"/>
      <c r="I236" s="115"/>
      <c r="J236" s="115"/>
      <c r="K236" s="109"/>
      <c r="L236" s="109"/>
      <c r="M236" s="109">
        <v>-1</v>
      </c>
      <c r="N236" s="104"/>
      <c r="O236" s="111"/>
      <c r="Q236" s="31"/>
    </row>
    <row r="237" spans="1:17" outlineLevel="1" x14ac:dyDescent="0.2">
      <c r="A237" s="33" t="str">
        <f t="shared" ref="A237:A252" si="37">K237 &amp; TEXT(L237,"00000")</f>
        <v>INT00001</v>
      </c>
      <c r="B237" s="100" t="s">
        <v>468</v>
      </c>
      <c r="C237" s="100"/>
      <c r="D237" s="100"/>
      <c r="E237" s="100"/>
      <c r="F237" s="91"/>
      <c r="G237" s="92"/>
      <c r="H237" s="92"/>
      <c r="I237" s="92"/>
      <c r="J237" s="92"/>
      <c r="K237" s="34" t="s">
        <v>250</v>
      </c>
      <c r="L237" s="34">
        <v>1</v>
      </c>
      <c r="M237" s="34">
        <v>2</v>
      </c>
      <c r="N237" s="35">
        <f ca="1">SUBTOTAL(9,N238:(OFFSET(INDIRECT(N$1 &amp; $O237),-1,0)))</f>
        <v>3</v>
      </c>
      <c r="O237" s="21">
        <f>ROW($A243)</f>
        <v>243</v>
      </c>
      <c r="Q237" s="31"/>
    </row>
    <row r="238" spans="1:17" outlineLevel="2" x14ac:dyDescent="0.2">
      <c r="A238" s="50" t="str">
        <f t="shared" si="37"/>
        <v>INT00002</v>
      </c>
      <c r="B238" s="101" t="s">
        <v>469</v>
      </c>
      <c r="C238" s="101"/>
      <c r="D238" s="101"/>
      <c r="E238" s="101"/>
      <c r="F238" s="94"/>
      <c r="G238" s="95"/>
      <c r="H238" s="95"/>
      <c r="I238" s="95"/>
      <c r="J238" s="95"/>
      <c r="K238" s="51" t="s">
        <v>250</v>
      </c>
      <c r="L238" s="51">
        <v>2</v>
      </c>
      <c r="M238" s="51">
        <v>3</v>
      </c>
      <c r="N238" s="52">
        <f ca="1">SUBTOTAL(9,N239:(OFFSET(INDIRECT(N$1 &amp; $O238),-1,0)))</f>
        <v>3</v>
      </c>
      <c r="O238" s="21">
        <f>ROW($A243)</f>
        <v>243</v>
      </c>
      <c r="Q238" s="31"/>
    </row>
    <row r="239" spans="1:17" ht="22.5" outlineLevel="3" x14ac:dyDescent="0.2">
      <c r="A239" s="36" t="str">
        <f t="shared" si="37"/>
        <v>INT00003</v>
      </c>
      <c r="B239" s="102" t="s">
        <v>470</v>
      </c>
      <c r="C239" s="102" t="s">
        <v>471</v>
      </c>
      <c r="D239" s="102" t="s">
        <v>472</v>
      </c>
      <c r="E239" s="97">
        <v>3</v>
      </c>
      <c r="F239" s="98" t="s">
        <v>214</v>
      </c>
      <c r="G239" s="99" t="s">
        <v>215</v>
      </c>
      <c r="H239" s="99"/>
      <c r="I239" s="99"/>
      <c r="J239" s="99"/>
      <c r="K239" s="37" t="s">
        <v>250</v>
      </c>
      <c r="L239" s="37">
        <v>3</v>
      </c>
      <c r="M239" s="37">
        <v>4</v>
      </c>
      <c r="N239" s="38">
        <f t="shared" ref="N239:N242" si="38">IF(COUNTIF(ScenarioTag,
IF(ScenarioSelected=$G$2,$G239,
IF(ScenarioSelected=$H$2,$H239,
IF(ScenarioSelected=$I$2,$I239,
IF(ScenarioSelected=$J$2,$J239,""))))
)&gt;0,$E239,0)</f>
        <v>3</v>
      </c>
      <c r="Q239" s="31"/>
    </row>
    <row r="240" spans="1:17" outlineLevel="3" x14ac:dyDescent="0.2">
      <c r="A240" s="36" t="str">
        <f t="shared" ref="A240" si="39">K240 &amp; TEXT(L240,"00000")</f>
        <v>INT00203</v>
      </c>
      <c r="B240" s="627" t="s">
        <v>473</v>
      </c>
      <c r="C240" s="627" t="s">
        <v>474</v>
      </c>
      <c r="D240" s="102"/>
      <c r="E240" s="97"/>
      <c r="F240" s="98" t="s">
        <v>250</v>
      </c>
      <c r="G240" s="99" t="s">
        <v>215</v>
      </c>
      <c r="H240" s="99"/>
      <c r="I240" s="99"/>
      <c r="J240" s="99"/>
      <c r="K240" s="37" t="s">
        <v>250</v>
      </c>
      <c r="L240" s="37">
        <v>203</v>
      </c>
      <c r="M240" s="37">
        <v>4</v>
      </c>
      <c r="N240" s="38">
        <f t="shared" si="38"/>
        <v>0</v>
      </c>
      <c r="Q240" s="31"/>
    </row>
    <row r="241" spans="1:17" outlineLevel="3" x14ac:dyDescent="0.2">
      <c r="A241" s="36" t="str">
        <f t="shared" ref="A241" si="40">K241 &amp; TEXT(L241,"00000")</f>
        <v>INT00204</v>
      </c>
      <c r="B241" s="627" t="s">
        <v>475</v>
      </c>
      <c r="C241" s="627" t="s">
        <v>474</v>
      </c>
      <c r="D241" s="102"/>
      <c r="E241" s="97"/>
      <c r="F241" s="98" t="s">
        <v>250</v>
      </c>
      <c r="G241" s="99" t="s">
        <v>215</v>
      </c>
      <c r="H241" s="99"/>
      <c r="I241" s="99"/>
      <c r="J241" s="99"/>
      <c r="K241" s="37" t="s">
        <v>250</v>
      </c>
      <c r="L241" s="37">
        <v>204</v>
      </c>
      <c r="M241" s="37">
        <v>4</v>
      </c>
      <c r="N241" s="38">
        <f t="shared" si="38"/>
        <v>0</v>
      </c>
      <c r="Q241" s="31"/>
    </row>
    <row r="242" spans="1:17" ht="22.5" outlineLevel="3" x14ac:dyDescent="0.2">
      <c r="A242" s="36" t="str">
        <f t="shared" ref="A242" si="41">K242 &amp; TEXT(L242,"00000")</f>
        <v>INT00202</v>
      </c>
      <c r="B242" s="627" t="s">
        <v>470</v>
      </c>
      <c r="C242" s="627" t="s">
        <v>471</v>
      </c>
      <c r="D242" s="102"/>
      <c r="E242" s="624"/>
      <c r="F242" s="98" t="s">
        <v>250</v>
      </c>
      <c r="G242" s="99" t="s">
        <v>215</v>
      </c>
      <c r="H242" s="99"/>
      <c r="I242" s="99"/>
      <c r="J242" s="99"/>
      <c r="K242" s="37" t="s">
        <v>250</v>
      </c>
      <c r="L242" s="37">
        <v>202</v>
      </c>
      <c r="M242" s="37">
        <v>4</v>
      </c>
      <c r="N242" s="38">
        <f t="shared" si="38"/>
        <v>0</v>
      </c>
      <c r="Q242" s="31"/>
    </row>
    <row r="243" spans="1:17" outlineLevel="1" x14ac:dyDescent="0.2">
      <c r="A243" s="33" t="str">
        <f t="shared" si="37"/>
        <v>INT00004</v>
      </c>
      <c r="B243" s="100" t="s">
        <v>476</v>
      </c>
      <c r="C243" s="100"/>
      <c r="D243" s="100"/>
      <c r="E243" s="100"/>
      <c r="F243" s="91"/>
      <c r="G243" s="92"/>
      <c r="H243" s="92"/>
      <c r="I243" s="92"/>
      <c r="J243" s="92"/>
      <c r="K243" s="34" t="s">
        <v>250</v>
      </c>
      <c r="L243" s="34">
        <v>4</v>
      </c>
      <c r="M243" s="34">
        <v>2</v>
      </c>
      <c r="N243" s="35">
        <f ca="1">SUBTOTAL(9,N244:(OFFSET(INDIRECT(N$1 &amp; $O243),-1,0)))</f>
        <v>0</v>
      </c>
      <c r="O243" s="21">
        <f>ROW($A246)</f>
        <v>246</v>
      </c>
      <c r="Q243" s="31"/>
    </row>
    <row r="244" spans="1:17" outlineLevel="2" x14ac:dyDescent="0.2">
      <c r="A244" s="50" t="str">
        <f t="shared" si="37"/>
        <v>INT00005</v>
      </c>
      <c r="B244" s="101" t="s">
        <v>477</v>
      </c>
      <c r="C244" s="101"/>
      <c r="D244" s="101"/>
      <c r="E244" s="101"/>
      <c r="F244" s="94"/>
      <c r="G244" s="95"/>
      <c r="H244" s="95"/>
      <c r="I244" s="95"/>
      <c r="J244" s="95"/>
      <c r="K244" s="51" t="s">
        <v>250</v>
      </c>
      <c r="L244" s="51">
        <v>5</v>
      </c>
      <c r="M244" s="51">
        <v>3</v>
      </c>
      <c r="N244" s="52">
        <f ca="1">SUBTOTAL(9,N245:(OFFSET(INDIRECT(N$1 &amp; $O244),-1,0)))</f>
        <v>0</v>
      </c>
      <c r="O244" s="21">
        <f>ROW($A246)</f>
        <v>246</v>
      </c>
      <c r="Q244" s="31"/>
    </row>
    <row r="245" spans="1:17" outlineLevel="3" x14ac:dyDescent="0.2">
      <c r="A245" s="36" t="str">
        <f t="shared" si="37"/>
        <v>INT00006</v>
      </c>
      <c r="B245" s="102" t="s">
        <v>478</v>
      </c>
      <c r="C245" s="102"/>
      <c r="D245" s="102"/>
      <c r="E245" s="97">
        <v>0</v>
      </c>
      <c r="F245" s="98" t="s">
        <v>214</v>
      </c>
      <c r="G245" s="99" t="s">
        <v>215</v>
      </c>
      <c r="H245" s="99"/>
      <c r="I245" s="99"/>
      <c r="J245" s="99"/>
      <c r="K245" s="37" t="s">
        <v>250</v>
      </c>
      <c r="L245" s="37">
        <v>6</v>
      </c>
      <c r="M245" s="37">
        <v>4</v>
      </c>
      <c r="N245" s="38">
        <f>IF(COUNTIF(ScenarioTag,
IF(ScenarioSelected=$G$2,$G245,
IF(ScenarioSelected=$H$2,$H245,
IF(ScenarioSelected=$I$2,$I245,
IF(ScenarioSelected=$J$2,$J245,""))))
)&gt;0,$E245,0)</f>
        <v>0</v>
      </c>
      <c r="Q245" s="31"/>
    </row>
    <row r="246" spans="1:17" outlineLevel="1" x14ac:dyDescent="0.2">
      <c r="A246" s="33" t="str">
        <f t="shared" si="37"/>
        <v>INT00007</v>
      </c>
      <c r="B246" s="100" t="s">
        <v>479</v>
      </c>
      <c r="C246" s="100"/>
      <c r="D246" s="100"/>
      <c r="E246" s="100"/>
      <c r="F246" s="91"/>
      <c r="G246" s="92"/>
      <c r="H246" s="92"/>
      <c r="I246" s="92"/>
      <c r="J246" s="92"/>
      <c r="K246" s="34" t="s">
        <v>250</v>
      </c>
      <c r="L246" s="34">
        <v>7</v>
      </c>
      <c r="M246" s="34">
        <v>2</v>
      </c>
      <c r="N246" s="35">
        <f ca="1">SUBTOTAL(9,N247:(OFFSET(INDIRECT(N$1 &amp; $O246),-1,0)))</f>
        <v>24</v>
      </c>
      <c r="O246" s="21">
        <f>ROW($A252)</f>
        <v>252</v>
      </c>
      <c r="Q246" s="31"/>
    </row>
    <row r="247" spans="1:17" outlineLevel="2" x14ac:dyDescent="0.2">
      <c r="A247" s="50" t="str">
        <f t="shared" si="37"/>
        <v>INT00008</v>
      </c>
      <c r="B247" s="101" t="s">
        <v>480</v>
      </c>
      <c r="C247" s="101"/>
      <c r="D247" s="101"/>
      <c r="E247" s="101"/>
      <c r="F247" s="94"/>
      <c r="G247" s="95"/>
      <c r="H247" s="95"/>
      <c r="I247" s="95"/>
      <c r="J247" s="95"/>
      <c r="K247" s="51" t="s">
        <v>250</v>
      </c>
      <c r="L247" s="51">
        <v>8</v>
      </c>
      <c r="M247" s="51">
        <v>3</v>
      </c>
      <c r="N247" s="52">
        <f ca="1">SUBTOTAL(9,N248:(OFFSET(INDIRECT(N$1 &amp; $O247),-1,0)))</f>
        <v>24</v>
      </c>
      <c r="O247" s="21">
        <f>ROW($A252)</f>
        <v>252</v>
      </c>
      <c r="Q247" s="31"/>
    </row>
    <row r="248" spans="1:17" ht="110.25" customHeight="1" outlineLevel="3" x14ac:dyDescent="0.2">
      <c r="A248" s="36" t="str">
        <f t="shared" si="37"/>
        <v>INT00009</v>
      </c>
      <c r="B248" s="102" t="s">
        <v>481</v>
      </c>
      <c r="C248" s="102" t="s">
        <v>482</v>
      </c>
      <c r="D248" s="102" t="s">
        <v>483</v>
      </c>
      <c r="E248" s="97">
        <v>10</v>
      </c>
      <c r="F248" s="98" t="s">
        <v>247</v>
      </c>
      <c r="G248" s="99" t="s">
        <v>215</v>
      </c>
      <c r="H248" s="99"/>
      <c r="I248" s="99"/>
      <c r="J248" s="99"/>
      <c r="K248" s="37" t="s">
        <v>250</v>
      </c>
      <c r="L248" s="37">
        <v>9</v>
      </c>
      <c r="M248" s="37">
        <v>4</v>
      </c>
      <c r="N248" s="38">
        <f>IF(COUNTIF(ScenarioTag,
IF(ScenarioSelected=$G$2,$G248,
IF(ScenarioSelected=$H$2,$H248,
IF(ScenarioSelected=$I$2,$I248,
IF(ScenarioSelected=$J$2,$J248,""))))
)&gt;0,$E248,0)</f>
        <v>10</v>
      </c>
      <c r="Q248" s="31"/>
    </row>
    <row r="249" spans="1:17" outlineLevel="3" x14ac:dyDescent="0.2">
      <c r="A249" s="36" t="str">
        <f t="shared" ref="A249" si="42">K249 &amp; TEXT(L249,"00000")</f>
        <v>INT00205</v>
      </c>
      <c r="B249" s="627" t="s">
        <v>484</v>
      </c>
      <c r="C249" s="627" t="s">
        <v>485</v>
      </c>
      <c r="D249" s="102"/>
      <c r="E249" s="97"/>
      <c r="F249" s="98" t="s">
        <v>250</v>
      </c>
      <c r="G249" s="99" t="s">
        <v>215</v>
      </c>
      <c r="H249" s="99"/>
      <c r="I249" s="99"/>
      <c r="J249" s="99"/>
      <c r="K249" s="37" t="s">
        <v>250</v>
      </c>
      <c r="L249" s="37">
        <v>205</v>
      </c>
      <c r="M249" s="37">
        <v>4</v>
      </c>
      <c r="N249" s="38">
        <f>IF(COUNTIF(ScenarioTag,
IF(ScenarioSelected=$G$2,$G249,
IF(ScenarioSelected=$H$2,$H249,
IF(ScenarioSelected=$I$2,$I249,
IF(ScenarioSelected=$J$2,$J249,""))))
)&gt;0,$E249,0)</f>
        <v>0</v>
      </c>
      <c r="Q249" s="31"/>
    </row>
    <row r="250" spans="1:17" outlineLevel="3" x14ac:dyDescent="0.2">
      <c r="A250" s="36" t="str">
        <f t="shared" ref="A250" si="43">K250 &amp; TEXT(L250,"00000")</f>
        <v>INT00206</v>
      </c>
      <c r="B250" s="627" t="s">
        <v>486</v>
      </c>
      <c r="C250" s="627" t="s">
        <v>487</v>
      </c>
      <c r="D250" s="102" t="s">
        <v>488</v>
      </c>
      <c r="E250" s="97">
        <v>4</v>
      </c>
      <c r="F250" s="98" t="s">
        <v>250</v>
      </c>
      <c r="G250" s="99" t="s">
        <v>215</v>
      </c>
      <c r="H250" s="99"/>
      <c r="I250" s="99"/>
      <c r="J250" s="99"/>
      <c r="K250" s="37" t="s">
        <v>250</v>
      </c>
      <c r="L250" s="37">
        <v>206</v>
      </c>
      <c r="M250" s="37">
        <v>4</v>
      </c>
      <c r="N250" s="38">
        <f>IF(COUNTIF(ScenarioTag,
IF(ScenarioSelected=$G$2,$G250,
IF(ScenarioSelected=$H$2,$H250,
IF(ScenarioSelected=$I$2,$I250,
IF(ScenarioSelected=$J$2,$J250,""))))
)&gt;0,$E250,0)</f>
        <v>4</v>
      </c>
      <c r="Q250" s="31"/>
    </row>
    <row r="251" spans="1:17" ht="22.5" outlineLevel="3" x14ac:dyDescent="0.2">
      <c r="A251" s="36" t="str">
        <f t="shared" ref="A251" si="44">K251 &amp; TEXT(L251,"00000")</f>
        <v>INT00201</v>
      </c>
      <c r="B251" s="102" t="s">
        <v>489</v>
      </c>
      <c r="C251" s="102" t="s">
        <v>490</v>
      </c>
      <c r="D251" s="102" t="s">
        <v>491</v>
      </c>
      <c r="E251" s="97">
        <v>10</v>
      </c>
      <c r="F251" s="98" t="s">
        <v>250</v>
      </c>
      <c r="G251" s="99" t="s">
        <v>215</v>
      </c>
      <c r="H251" s="99"/>
      <c r="I251" s="99"/>
      <c r="J251" s="99"/>
      <c r="K251" s="37" t="s">
        <v>250</v>
      </c>
      <c r="L251" s="37">
        <v>201</v>
      </c>
      <c r="M251" s="37">
        <v>4</v>
      </c>
      <c r="N251" s="38">
        <f>IF(COUNTIF(ScenarioTag,
IF(ScenarioSelected=$G$2,$G251,
IF(ScenarioSelected=$H$2,$H251,
IF(ScenarioSelected=$I$2,$I251,
IF(ScenarioSelected=$J$2,$J251,""))))
)&gt;0,$E251,0)</f>
        <v>10</v>
      </c>
      <c r="Q251" s="31"/>
    </row>
    <row r="252" spans="1:17" ht="25.15" customHeight="1" x14ac:dyDescent="0.2">
      <c r="A252" s="28" t="str">
        <f t="shared" si="37"/>
        <v>OTH00000</v>
      </c>
      <c r="B252" s="86" t="s">
        <v>492</v>
      </c>
      <c r="C252" s="87"/>
      <c r="D252" s="87"/>
      <c r="E252" s="87"/>
      <c r="F252" s="88"/>
      <c r="G252" s="89"/>
      <c r="H252" s="89"/>
      <c r="I252" s="89"/>
      <c r="J252" s="89"/>
      <c r="K252" s="29" t="s">
        <v>493</v>
      </c>
      <c r="L252" s="29">
        <v>0</v>
      </c>
      <c r="M252" s="29">
        <v>1</v>
      </c>
      <c r="N252" s="30">
        <f ca="1">SUBTOTAL(9,N253:(OFFSET(INDIRECT(N$1 &amp; $O252),-1,0)))</f>
        <v>115</v>
      </c>
      <c r="O252" s="21">
        <f>ROW($A268)</f>
        <v>268</v>
      </c>
      <c r="Q252" s="31"/>
    </row>
    <row r="253" spans="1:17" s="112" customFormat="1" ht="4.1500000000000004" customHeight="1" outlineLevel="1" x14ac:dyDescent="0.2">
      <c r="A253" s="107"/>
      <c r="B253" s="113"/>
      <c r="C253" s="114"/>
      <c r="D253" s="114"/>
      <c r="E253" s="114"/>
      <c r="F253" s="109"/>
      <c r="G253" s="115"/>
      <c r="H253" s="115"/>
      <c r="I253" s="115"/>
      <c r="J253" s="115"/>
      <c r="K253" s="109"/>
      <c r="L253" s="109"/>
      <c r="M253" s="109">
        <v>-1</v>
      </c>
      <c r="N253" s="104"/>
      <c r="O253" s="111"/>
      <c r="Q253" s="31"/>
    </row>
    <row r="254" spans="1:17" outlineLevel="1" x14ac:dyDescent="0.2">
      <c r="A254" s="33" t="str">
        <f t="shared" ref="A254:A265" si="45">K254 &amp; TEXT(L254,"00000")</f>
        <v>OTH00001</v>
      </c>
      <c r="B254" s="100" t="s">
        <v>494</v>
      </c>
      <c r="C254" s="100"/>
      <c r="D254" s="100"/>
      <c r="E254" s="100"/>
      <c r="F254" s="91"/>
      <c r="G254" s="92"/>
      <c r="H254" s="92"/>
      <c r="I254" s="92"/>
      <c r="J254" s="92"/>
      <c r="K254" s="34" t="s">
        <v>493</v>
      </c>
      <c r="L254" s="34">
        <v>1</v>
      </c>
      <c r="M254" s="34">
        <v>2</v>
      </c>
      <c r="N254" s="35">
        <f ca="1">SUBTOTAL(9,N255:(OFFSET(INDIRECT(N$1 &amp; $O254),-1,0)))</f>
        <v>115</v>
      </c>
      <c r="O254" s="21">
        <f>ROW($A263)</f>
        <v>263</v>
      </c>
      <c r="Q254" s="31"/>
    </row>
    <row r="255" spans="1:17" outlineLevel="2" x14ac:dyDescent="0.2">
      <c r="A255" s="50" t="str">
        <f t="shared" si="45"/>
        <v>OTH00002</v>
      </c>
      <c r="B255" s="101" t="s">
        <v>495</v>
      </c>
      <c r="C255" s="101"/>
      <c r="D255" s="101"/>
      <c r="E255" s="101"/>
      <c r="F255" s="94"/>
      <c r="G255" s="95"/>
      <c r="H255" s="95"/>
      <c r="I255" s="95"/>
      <c r="J255" s="95"/>
      <c r="K255" s="51" t="s">
        <v>493</v>
      </c>
      <c r="L255" s="51">
        <v>2</v>
      </c>
      <c r="M255" s="51">
        <v>3</v>
      </c>
      <c r="N255" s="52">
        <f ca="1">SUBTOTAL(9,N256:(OFFSET(INDIRECT(N$1 &amp; $O255),-1,0)))</f>
        <v>115</v>
      </c>
      <c r="O255" s="21">
        <f>ROW($A263)</f>
        <v>263</v>
      </c>
      <c r="Q255" s="31"/>
    </row>
    <row r="256" spans="1:17" ht="56.25" outlineLevel="3" x14ac:dyDescent="0.2">
      <c r="A256" s="36" t="str">
        <f t="shared" si="45"/>
        <v>OTH00003</v>
      </c>
      <c r="B256" s="102" t="s">
        <v>496</v>
      </c>
      <c r="C256" s="102" t="s">
        <v>497</v>
      </c>
      <c r="D256" s="102" t="s">
        <v>498</v>
      </c>
      <c r="E256" s="97">
        <v>20</v>
      </c>
      <c r="F256" s="98" t="s">
        <v>250</v>
      </c>
      <c r="G256" s="99" t="s">
        <v>215</v>
      </c>
      <c r="H256" s="99"/>
      <c r="I256" s="99"/>
      <c r="J256" s="99"/>
      <c r="K256" s="37" t="s">
        <v>493</v>
      </c>
      <c r="L256" s="37">
        <v>3</v>
      </c>
      <c r="M256" s="37">
        <v>4</v>
      </c>
      <c r="N256" s="38">
        <f t="shared" ref="N256:N262" si="46">IF(COUNTIF(ScenarioTag,
IF(ScenarioSelected=$G$2,$G256,
IF(ScenarioSelected=$H$2,$H256,
IF(ScenarioSelected=$I$2,$I256,
IF(ScenarioSelected=$J$2,$J256,""))))
)&gt;0,$E256,0)</f>
        <v>20</v>
      </c>
      <c r="Q256" s="31"/>
    </row>
    <row r="257" spans="1:17" ht="191.25" outlineLevel="3" x14ac:dyDescent="0.2">
      <c r="A257" s="36" t="str">
        <f t="shared" si="45"/>
        <v>OTH00201</v>
      </c>
      <c r="B257" s="102" t="s">
        <v>499</v>
      </c>
      <c r="C257" s="102" t="s">
        <v>500</v>
      </c>
      <c r="D257" s="102" t="s">
        <v>501</v>
      </c>
      <c r="E257" s="97">
        <v>40</v>
      </c>
      <c r="F257" s="98" t="s">
        <v>250</v>
      </c>
      <c r="G257" s="99" t="s">
        <v>215</v>
      </c>
      <c r="H257" s="99"/>
      <c r="I257" s="99"/>
      <c r="J257" s="99"/>
      <c r="K257" s="37" t="s">
        <v>493</v>
      </c>
      <c r="L257" s="37">
        <v>201</v>
      </c>
      <c r="M257" s="37">
        <v>4</v>
      </c>
      <c r="N257" s="38">
        <f t="shared" si="46"/>
        <v>40</v>
      </c>
      <c r="Q257" s="31"/>
    </row>
    <row r="258" spans="1:17" ht="22.5" outlineLevel="3" x14ac:dyDescent="0.2">
      <c r="A258" s="36" t="str">
        <f t="shared" si="45"/>
        <v>OTH00202</v>
      </c>
      <c r="B258" s="102" t="s">
        <v>502</v>
      </c>
      <c r="C258" s="102" t="s">
        <v>503</v>
      </c>
      <c r="D258" s="102" t="s">
        <v>504</v>
      </c>
      <c r="E258" s="97">
        <v>20</v>
      </c>
      <c r="F258" s="98" t="s">
        <v>250</v>
      </c>
      <c r="G258" s="99" t="s">
        <v>215</v>
      </c>
      <c r="H258" s="99"/>
      <c r="I258" s="99"/>
      <c r="J258" s="99"/>
      <c r="K258" s="37" t="s">
        <v>493</v>
      </c>
      <c r="L258" s="37">
        <v>202</v>
      </c>
      <c r="M258" s="37">
        <v>4</v>
      </c>
      <c r="N258" s="38">
        <f t="shared" si="46"/>
        <v>20</v>
      </c>
      <c r="Q258" s="31"/>
    </row>
    <row r="259" spans="1:17" ht="33.75" outlineLevel="3" x14ac:dyDescent="0.2">
      <c r="A259" s="36" t="str">
        <f t="shared" ref="A259" si="47">K259 &amp; TEXT(L259,"00000")</f>
        <v>OTH00208</v>
      </c>
      <c r="B259" s="102" t="s">
        <v>505</v>
      </c>
      <c r="C259" s="102" t="s">
        <v>506</v>
      </c>
      <c r="D259" s="102" t="s">
        <v>507</v>
      </c>
      <c r="E259" s="97">
        <v>15</v>
      </c>
      <c r="F259" s="98" t="s">
        <v>250</v>
      </c>
      <c r="G259" s="99" t="s">
        <v>215</v>
      </c>
      <c r="H259" s="99"/>
      <c r="I259" s="99"/>
      <c r="J259" s="99"/>
      <c r="K259" s="37" t="s">
        <v>493</v>
      </c>
      <c r="L259" s="37">
        <v>208</v>
      </c>
      <c r="M259" s="37">
        <v>4</v>
      </c>
      <c r="N259" s="38">
        <f t="shared" si="46"/>
        <v>15</v>
      </c>
      <c r="Q259" s="31"/>
    </row>
    <row r="260" spans="1:17" outlineLevel="3" x14ac:dyDescent="0.2">
      <c r="A260" s="36" t="str">
        <f t="shared" ref="A260" si="48">K260 &amp; TEXT(L260,"00000")</f>
        <v>OTH00207</v>
      </c>
      <c r="B260" s="627" t="s">
        <v>508</v>
      </c>
      <c r="C260" s="627" t="s">
        <v>509</v>
      </c>
      <c r="D260" s="102"/>
      <c r="E260" s="97">
        <v>0</v>
      </c>
      <c r="F260" s="98" t="s">
        <v>250</v>
      </c>
      <c r="G260" s="99" t="s">
        <v>215</v>
      </c>
      <c r="H260" s="99"/>
      <c r="I260" s="99"/>
      <c r="J260" s="99"/>
      <c r="K260" s="37" t="s">
        <v>493</v>
      </c>
      <c r="L260" s="37">
        <v>207</v>
      </c>
      <c r="M260" s="37">
        <v>4</v>
      </c>
      <c r="N260" s="38">
        <f t="shared" si="46"/>
        <v>0</v>
      </c>
      <c r="Q260" s="31"/>
    </row>
    <row r="261" spans="1:17" outlineLevel="3" x14ac:dyDescent="0.2">
      <c r="A261" s="36" t="str">
        <f t="shared" ref="A261" si="49">K261 &amp; TEXT(L261,"00000")</f>
        <v>OTH00209</v>
      </c>
      <c r="B261" s="627" t="s">
        <v>510</v>
      </c>
      <c r="C261" s="627" t="s">
        <v>511</v>
      </c>
      <c r="D261" s="102"/>
      <c r="E261" s="97">
        <v>0</v>
      </c>
      <c r="F261" s="98" t="s">
        <v>250</v>
      </c>
      <c r="G261" s="99" t="s">
        <v>215</v>
      </c>
      <c r="H261" s="99"/>
      <c r="I261" s="99"/>
      <c r="J261" s="99"/>
      <c r="K261" s="37" t="s">
        <v>493</v>
      </c>
      <c r="L261" s="37">
        <v>209</v>
      </c>
      <c r="M261" s="37">
        <v>4</v>
      </c>
      <c r="N261" s="38">
        <f t="shared" si="46"/>
        <v>0</v>
      </c>
      <c r="Q261" s="31"/>
    </row>
    <row r="262" spans="1:17" outlineLevel="3" x14ac:dyDescent="0.2">
      <c r="A262" s="36" t="str">
        <f t="shared" ref="A262" si="50">K262 &amp; TEXT(L262,"00000")</f>
        <v>OTH00210</v>
      </c>
      <c r="B262" s="102" t="s">
        <v>1198</v>
      </c>
      <c r="C262" s="102" t="s">
        <v>1199</v>
      </c>
      <c r="D262" s="102" t="s">
        <v>316</v>
      </c>
      <c r="E262" s="97">
        <v>20</v>
      </c>
      <c r="F262" s="98" t="s">
        <v>250</v>
      </c>
      <c r="G262" s="99" t="s">
        <v>215</v>
      </c>
      <c r="H262" s="99"/>
      <c r="I262" s="99"/>
      <c r="J262" s="99"/>
      <c r="K262" s="37" t="s">
        <v>493</v>
      </c>
      <c r="L262" s="37">
        <v>210</v>
      </c>
      <c r="M262" s="37">
        <v>4</v>
      </c>
      <c r="N262" s="38">
        <f t="shared" si="46"/>
        <v>20</v>
      </c>
      <c r="Q262" s="31"/>
    </row>
    <row r="263" spans="1:17" outlineLevel="1" x14ac:dyDescent="0.2">
      <c r="A263" s="33" t="str">
        <f t="shared" si="45"/>
        <v>OTH00203</v>
      </c>
      <c r="B263" s="100" t="s">
        <v>512</v>
      </c>
      <c r="C263" s="100"/>
      <c r="D263" s="100"/>
      <c r="E263" s="100"/>
      <c r="F263" s="91"/>
      <c r="G263" s="92"/>
      <c r="H263" s="92"/>
      <c r="I263" s="92"/>
      <c r="J263" s="92"/>
      <c r="K263" s="34" t="s">
        <v>493</v>
      </c>
      <c r="L263" s="34">
        <v>203</v>
      </c>
      <c r="M263" s="34">
        <v>2</v>
      </c>
      <c r="N263" s="35">
        <f ca="1">SUBTOTAL(9,N264:(OFFSET(INDIRECT(N$1 &amp; $O263),-1,0)))</f>
        <v>0</v>
      </c>
      <c r="O263" s="21">
        <f>ROW($A268)</f>
        <v>268</v>
      </c>
      <c r="Q263" s="31"/>
    </row>
    <row r="264" spans="1:17" outlineLevel="2" x14ac:dyDescent="0.2">
      <c r="A264" s="50" t="str">
        <f t="shared" si="45"/>
        <v>OTH00204</v>
      </c>
      <c r="B264" s="101" t="s">
        <v>513</v>
      </c>
      <c r="C264" s="101"/>
      <c r="D264" s="101"/>
      <c r="E264" s="101"/>
      <c r="F264" s="94"/>
      <c r="G264" s="95"/>
      <c r="H264" s="95"/>
      <c r="I264" s="95"/>
      <c r="J264" s="95"/>
      <c r="K264" s="51" t="s">
        <v>493</v>
      </c>
      <c r="L264" s="51">
        <v>204</v>
      </c>
      <c r="M264" s="51">
        <v>3</v>
      </c>
      <c r="N264" s="52">
        <f ca="1">SUBTOTAL(9,N265:(OFFSET(INDIRECT(N$1 &amp; $O264),-1,0)))</f>
        <v>0</v>
      </c>
      <c r="O264" s="21">
        <f>ROW($A268)</f>
        <v>268</v>
      </c>
      <c r="Q264" s="31"/>
    </row>
    <row r="265" spans="1:17" ht="22.5" outlineLevel="3" x14ac:dyDescent="0.2">
      <c r="A265" s="36" t="str">
        <f t="shared" si="45"/>
        <v>OTH00205</v>
      </c>
      <c r="B265" s="631" t="s">
        <v>514</v>
      </c>
      <c r="C265" s="631" t="s">
        <v>515</v>
      </c>
      <c r="D265" s="102" t="s">
        <v>516</v>
      </c>
      <c r="E265" s="97">
        <v>0</v>
      </c>
      <c r="F265" s="98" t="s">
        <v>250</v>
      </c>
      <c r="G265" s="99" t="s">
        <v>215</v>
      </c>
      <c r="H265" s="99"/>
      <c r="I265" s="99"/>
      <c r="J265" s="99"/>
      <c r="K265" s="37" t="s">
        <v>493</v>
      </c>
      <c r="L265" s="37">
        <v>205</v>
      </c>
      <c r="M265" s="37">
        <v>4</v>
      </c>
      <c r="N265" s="38">
        <f>IF(COUNTIF(ScenarioTag,
IF(ScenarioSelected=$G$2,$G265,
IF(ScenarioSelected=$H$2,$H265,
IF(ScenarioSelected=$I$2,$I265,
IF(ScenarioSelected=$J$2,$J265,""))))
)&gt;0,$E265,0)</f>
        <v>0</v>
      </c>
      <c r="Q265" s="31"/>
    </row>
    <row r="266" spans="1:17" outlineLevel="3" x14ac:dyDescent="0.2">
      <c r="A266" s="36" t="str">
        <f t="shared" ref="A266" si="51">K266 &amp; TEXT(L266,"00000")</f>
        <v>OTH00206</v>
      </c>
      <c r="B266" s="631" t="s">
        <v>517</v>
      </c>
      <c r="C266" s="631" t="s">
        <v>517</v>
      </c>
      <c r="D266" s="102" t="s">
        <v>516</v>
      </c>
      <c r="E266" s="97">
        <v>0</v>
      </c>
      <c r="F266" s="98" t="s">
        <v>250</v>
      </c>
      <c r="G266" s="99" t="s">
        <v>215</v>
      </c>
      <c r="H266" s="99"/>
      <c r="I266" s="99"/>
      <c r="J266" s="99"/>
      <c r="K266" s="37" t="s">
        <v>493</v>
      </c>
      <c r="L266" s="37">
        <v>206</v>
      </c>
      <c r="M266" s="37">
        <v>4</v>
      </c>
      <c r="N266" s="38">
        <f>IF(COUNTIF(ScenarioTag,
IF(ScenarioSelected=$G$2,$G266,
IF(ScenarioSelected=$H$2,$H266,
IF(ScenarioSelected=$I$2,$I266,
IF(ScenarioSelected=$J$2,$J266,""))))
)&gt;0,$E266,0)</f>
        <v>0</v>
      </c>
      <c r="Q266" s="31"/>
    </row>
    <row r="267" spans="1:17" outlineLevel="3" x14ac:dyDescent="0.2">
      <c r="A267" s="36" t="str">
        <f t="shared" ref="A267" si="52">K267 &amp; TEXT(L267,"00000")</f>
        <v>OTH00211</v>
      </c>
      <c r="B267" s="102"/>
      <c r="C267" s="631"/>
      <c r="D267" s="102"/>
      <c r="E267" s="97"/>
      <c r="F267" s="98" t="s">
        <v>250</v>
      </c>
      <c r="G267" s="99" t="s">
        <v>215</v>
      </c>
      <c r="H267" s="99"/>
      <c r="I267" s="99"/>
      <c r="J267" s="99"/>
      <c r="K267" s="37" t="s">
        <v>493</v>
      </c>
      <c r="L267" s="37">
        <v>211</v>
      </c>
      <c r="M267" s="37">
        <v>4</v>
      </c>
      <c r="N267" s="38">
        <f>IF(COUNTIF(ScenarioTag,
IF(ScenarioSelected=$G$2,$G267,
IF(ScenarioSelected=$H$2,$H267,
IF(ScenarioSelected=$I$2,$I267,
IF(ScenarioSelected=$J$2,$J267,""))))
)&gt;0,$E267,0)</f>
        <v>0</v>
      </c>
      <c r="Q267" s="31"/>
    </row>
    <row r="268" spans="1:17" s="112" customFormat="1" ht="4.1500000000000004" customHeight="1" x14ac:dyDescent="0.2">
      <c r="B268" s="117"/>
      <c r="C268" s="117"/>
      <c r="D268" s="117"/>
      <c r="E268" s="117"/>
      <c r="F268" s="105"/>
      <c r="G268" s="118"/>
      <c r="H268" s="118"/>
      <c r="I268" s="118"/>
      <c r="J268" s="118"/>
      <c r="K268" s="105"/>
      <c r="L268" s="105"/>
      <c r="M268" s="105">
        <v>-1</v>
      </c>
      <c r="N268" s="105"/>
      <c r="O268" s="111"/>
      <c r="Q268" s="31"/>
    </row>
    <row r="269" spans="1:17" ht="12.75" customHeight="1" x14ac:dyDescent="0.2">
      <c r="A269" s="56"/>
      <c r="B269" s="57"/>
      <c r="C269" s="57" t="str">
        <f ca="1">Copyright &amp; " - END OF DETAIL SHEET - Do Not Enter Anything Below this Line"</f>
        <v>Encompass Estimation Tool v4.0 Copyright © 2016-2025 CSG International - INTERNAL USE ONLY - END OF DETAIL SHEET - Do Not Enter Anything Below this Line</v>
      </c>
      <c r="D269" s="134"/>
      <c r="E269" s="57"/>
      <c r="F269" s="58"/>
      <c r="G269" s="42"/>
      <c r="H269" s="42"/>
      <c r="I269" s="42"/>
      <c r="J269" s="42"/>
      <c r="K269" s="58"/>
      <c r="L269" s="58"/>
      <c r="M269" s="58"/>
      <c r="N269" s="59"/>
    </row>
  </sheetData>
  <sheetProtection formatCells="0" formatColumns="0" formatRows="0" insertHyperlinks="0" autoFilter="0"/>
  <mergeCells count="12">
    <mergeCell ref="N2:N3"/>
    <mergeCell ref="J2:J3"/>
    <mergeCell ref="F2:F3"/>
    <mergeCell ref="K2:K3"/>
    <mergeCell ref="L2:L3"/>
    <mergeCell ref="M2:M3"/>
    <mergeCell ref="A3:B3"/>
    <mergeCell ref="E2:E3"/>
    <mergeCell ref="G2:G3"/>
    <mergeCell ref="H2:H3"/>
    <mergeCell ref="I2:I3"/>
    <mergeCell ref="A2:B2"/>
  </mergeCells>
  <conditionalFormatting sqref="G2:J4">
    <cfRule type="expression" dxfId="94" priority="4">
      <formula>G$2=ScenarioSelected</formula>
    </cfRule>
  </conditionalFormatting>
  <conditionalFormatting sqref="A5:N268">
    <cfRule type="expression" dxfId="93" priority="2">
      <formula>AND(HighlightScenarioEffort=1,$M5=4, COUNTIF(ScenarioTag, IF(ScenarioSelected=$G$2,$G5, IF(ScenarioSelected=$H$2,$H5, IF(ScenarioSelected=$I$2,$I5, IF(ScenarioSelected=$J$2,$J5,"")))) )=0)</formula>
    </cfRule>
  </conditionalFormatting>
  <conditionalFormatting sqref="G5:J268">
    <cfRule type="expression" dxfId="92" priority="1">
      <formula>AND(HighlightEffortNoScenario=1, $M5=4, ISBLANK($G5), ISBLANK($H5), ISBLANK($I5), ISBLANK($J5))</formula>
    </cfRule>
  </conditionalFormatting>
  <dataValidations count="3">
    <dataValidation type="list" allowBlank="1" showInputMessage="1" showErrorMessage="1" sqref="F49 F131 F154 F192 F200 F234 F30 F33 F18 F21 F24 F27 F265:F267 F248:F251 F43 F46 F54:F57 F60 F63 F256:F262 F85:F94 F220:F222 F97 F100 F103:F104 F107 F110 F113 F116 F119 F122 F125 F128 F136 F139 F142 F145 F148 F151 F159 F162 F165 F168 F171 F174 F177 F180 F183 F186 F189 F197 F205 F208 F211 F214 F217 F79:F82 F225 F228 F231 F12 F245 F15 F9 F71:F76 F239:F242 F66:F68 F38:F40" xr:uid="{00000000-0002-0000-0300-000000000000}">
      <formula1>SolutionComponent</formula1>
    </dataValidation>
    <dataValidation type="list" allowBlank="1" showInputMessage="1" showErrorMessage="1" sqref="G49:J49 G131:J131 G154:J154 G192:J192 G200:J200 G234:J234 G30:J30 G33:J33 G18:J18 G21:J21 G24:J24 G27:J27 G265:J267 G248:J251 G43:J43 G46:J46 G54:J57 G60:J60 G63:J63 G256:J262 G85:J94 G220:J222 G97:J97 G100:J100 G103:J104 G107:J107 G110:J110 G113:J113 G116:J116 G119:J119 G122:J122 G125:J125 G128:J128 G136:J136 G139:J139 G142:J142 G145:J145 G148:J148 G151:J151 G159:J159 G162:J162 G165:J165 G168:J168 G171:J171 G174:J174 G177:J177 G180:J180 G183:J183 G186:J186 G189:J189 G197:J197 G205:J205 G208:J208 G211:J211 G214:J214 G217:J217 G79:J82 G225:J225 G228:J228 G231:J231 G12:J12 G245:J245 G15:J15 G9:J9 G71:J76 G239:J242 G66:J68 G38:J40" xr:uid="{00000000-0002-0000-0300-000001000000}">
      <formula1>ScenarioTag</formula1>
    </dataValidation>
    <dataValidation type="custom" allowBlank="1" showInputMessage="1" showErrorMessage="1" errorTitle="Number of CUT Days" error="You must enter a number of CUT days._x000a__x000a_The value you entered is not a number._x000a_" sqref="E5:E268" xr:uid="{00000000-0002-0000-0300-000002000000}">
      <formula1>OR( $M5&lt;&gt;4, ISNUMBER(E5)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etailNonCutSheet">
    <tabColor theme="7" tint="0.59999389629810485"/>
    <outlinePr summaryBelow="0"/>
  </sheetPr>
  <dimension ref="A1:O248"/>
  <sheetViews>
    <sheetView showGridLines="0" defaultGridColor="0" colorId="55" zoomScaleNormal="100" workbookViewId="0">
      <pane ySplit="4" topLeftCell="A241" activePane="bottomLeft" state="frozen"/>
      <selection activeCell="E34" sqref="E34"/>
      <selection pane="bottomLeft" activeCell="C197" sqref="C197:C271"/>
    </sheetView>
  </sheetViews>
  <sheetFormatPr defaultColWidth="9.28515625" defaultRowHeight="11.25" outlineLevelRow="3" x14ac:dyDescent="0.2"/>
  <cols>
    <col min="1" max="1" width="8.5703125" style="32" customWidth="1"/>
    <col min="2" max="2" width="45.5703125" style="39" customWidth="1"/>
    <col min="3" max="3" width="80.5703125" style="39" customWidth="1"/>
    <col min="4" max="5" width="10.5703125" style="39" customWidth="1"/>
    <col min="6" max="6" width="8.5703125" style="41" customWidth="1"/>
    <col min="7" max="10" width="4.5703125" style="40" customWidth="1"/>
    <col min="11" max="11" width="5.5703125" style="41" hidden="1" customWidth="1"/>
    <col min="12" max="12" width="6.5703125" style="41" hidden="1" customWidth="1"/>
    <col min="13" max="13" width="5" style="41" hidden="1" customWidth="1"/>
    <col min="14" max="14" width="9.28515625" style="41"/>
    <col min="15" max="15" width="6.5703125" style="21" hidden="1" customWidth="1"/>
    <col min="16" max="16384" width="9.28515625" style="32"/>
  </cols>
  <sheetData>
    <row r="1" spans="1:15" s="123" customFormat="1" hidden="1" x14ac:dyDescent="0.2">
      <c r="A1" s="123" t="s">
        <v>193</v>
      </c>
      <c r="B1" s="124"/>
      <c r="C1" s="124" t="str">
        <f>SUBSTITUTE(ADDRESS(1,COLUMN(),4),"1","")</f>
        <v>C</v>
      </c>
      <c r="D1" s="124" t="str">
        <f t="shared" ref="D1:O1" si="0">SUBSTITUTE(ADDRESS(1,COLUMN(),4),"1","")</f>
        <v>D</v>
      </c>
      <c r="E1" s="124" t="str">
        <f t="shared" si="0"/>
        <v>E</v>
      </c>
      <c r="F1" s="123" t="str">
        <f t="shared" si="0"/>
        <v>F</v>
      </c>
      <c r="G1" s="123" t="str">
        <f t="shared" si="0"/>
        <v>G</v>
      </c>
      <c r="H1" s="123" t="str">
        <f t="shared" si="0"/>
        <v>H</v>
      </c>
      <c r="I1" s="123" t="str">
        <f t="shared" si="0"/>
        <v>I</v>
      </c>
      <c r="J1" s="123" t="str">
        <f t="shared" si="0"/>
        <v>J</v>
      </c>
      <c r="K1" s="123" t="str">
        <f t="shared" si="0"/>
        <v>K</v>
      </c>
      <c r="L1" s="123" t="str">
        <f t="shared" si="0"/>
        <v>L</v>
      </c>
      <c r="M1" s="123" t="str">
        <f t="shared" si="0"/>
        <v>M</v>
      </c>
      <c r="N1" s="123" t="str">
        <f t="shared" si="0"/>
        <v>N</v>
      </c>
      <c r="O1" s="123" t="str">
        <f t="shared" si="0"/>
        <v>O</v>
      </c>
    </row>
    <row r="2" spans="1:15" s="20" customFormat="1" ht="90" customHeight="1" x14ac:dyDescent="0.2">
      <c r="A2" s="674" t="str">
        <f>Customer &amp; CHAR(10) &amp; Project</f>
        <v>Optus
BoSS Proposal</v>
      </c>
      <c r="B2" s="675"/>
      <c r="C2" s="234" t="s">
        <v>518</v>
      </c>
      <c r="D2" s="135"/>
      <c r="E2" s="669" t="s">
        <v>519</v>
      </c>
      <c r="F2" s="669" t="s">
        <v>196</v>
      </c>
      <c r="G2" s="672" t="str">
        <f>Attributes!C4</f>
        <v>Phase 1</v>
      </c>
      <c r="H2" s="672" t="str">
        <f>Attributes!D4</f>
        <v>&lt;Scenario 2&gt;</v>
      </c>
      <c r="I2" s="672" t="str">
        <f>Attributes!E4</f>
        <v>&lt;Scenario 3&gt;</v>
      </c>
      <c r="J2" s="672" t="str">
        <f>Attributes!F4</f>
        <v>&lt;Template Scenario&gt;</v>
      </c>
      <c r="K2" s="667" t="s">
        <v>197</v>
      </c>
      <c r="L2" s="667" t="s">
        <v>198</v>
      </c>
      <c r="M2" s="667" t="s">
        <v>199</v>
      </c>
      <c r="N2" s="669" t="s">
        <v>520</v>
      </c>
      <c r="O2" s="19" t="s">
        <v>201</v>
      </c>
    </row>
    <row r="3" spans="1:15" s="22" customFormat="1" ht="12.75" customHeight="1" x14ac:dyDescent="0.25">
      <c r="A3" s="671" t="str">
        <f>"Selected Scenario: " &amp; ScenarioSelected</f>
        <v>Selected Scenario: Phase 1</v>
      </c>
      <c r="B3" s="671"/>
      <c r="C3" s="60" t="s">
        <v>521</v>
      </c>
      <c r="D3" s="133">
        <f ca="1">N4</f>
        <v>906</v>
      </c>
      <c r="E3" s="670"/>
      <c r="F3" s="670"/>
      <c r="G3" s="673"/>
      <c r="H3" s="673"/>
      <c r="I3" s="673"/>
      <c r="J3" s="673"/>
      <c r="K3" s="668"/>
      <c r="L3" s="668"/>
      <c r="M3" s="668"/>
      <c r="N3" s="670"/>
      <c r="O3" s="21"/>
    </row>
    <row r="4" spans="1:15" s="27" customFormat="1" ht="35.1" customHeight="1" x14ac:dyDescent="0.25">
      <c r="A4" s="61" t="s">
        <v>203</v>
      </c>
      <c r="B4" s="62" t="s">
        <v>204</v>
      </c>
      <c r="C4" s="62" t="s">
        <v>205</v>
      </c>
      <c r="D4" s="62" t="s">
        <v>206</v>
      </c>
      <c r="E4" s="62"/>
      <c r="F4" s="62"/>
      <c r="G4" s="63">
        <f>SUM(SUMIF(G5:G247,"A",$E5:$E247), SUMIF(G5:G247,"B",$E5:$E247), SUMIF(G5:G247,"C",$E5:$E247), SUMIF(G5:G247,"D",$E5:$E247))</f>
        <v>906</v>
      </c>
      <c r="H4" s="63">
        <f>SUM(SUMIF(H5:H247,"A",$E5:$E247), SUMIF(H5:H247,"B",$E5:$E247), SUMIF(H5:H247,"C",$E5:$E247), SUMIF(H5:H247,"D",$E5:$E247))</f>
        <v>0</v>
      </c>
      <c r="I4" s="63">
        <f>SUM(SUMIF(I5:I247,"A",$E5:$E247), SUMIF(I5:I247,"B",$E5:$E247), SUMIF(I5:I247,"C",$E5:$E247), SUMIF(I5:I247,"D",$E5:$E247))</f>
        <v>0</v>
      </c>
      <c r="J4" s="63">
        <f>SUM(SUMIF(J5:J247,"A",$E5:$E247), SUMIF(J5:J247,"B",$E5:$E247), SUMIF(J5:J247,"C",$E5:$E247), SUMIF(J5:J247,"D",$E5:$E247))</f>
        <v>0</v>
      </c>
      <c r="K4" s="128" t="s">
        <v>207</v>
      </c>
      <c r="L4" s="128" t="s">
        <v>207</v>
      </c>
      <c r="M4" s="128" t="s">
        <v>208</v>
      </c>
      <c r="N4" s="103">
        <f ca="1">SUBTOTAL(9,N5:(OFFSET(INDIRECT(N$1 &amp; $O4),-1,0)))</f>
        <v>906</v>
      </c>
      <c r="O4" s="21">
        <f>ROW($A247)</f>
        <v>247</v>
      </c>
    </row>
    <row r="5" spans="1:15" s="31" customFormat="1" ht="25.15" customHeight="1" x14ac:dyDescent="0.25">
      <c r="A5" s="28" t="str">
        <f>K5 &amp; TEXT(L5,"00000")</f>
        <v>MAS60000</v>
      </c>
      <c r="B5" s="86" t="s">
        <v>209</v>
      </c>
      <c r="C5" s="87"/>
      <c r="D5" s="87"/>
      <c r="E5" s="87"/>
      <c r="F5" s="88"/>
      <c r="G5" s="89"/>
      <c r="H5" s="89"/>
      <c r="I5" s="89"/>
      <c r="J5" s="89"/>
      <c r="K5" s="29" t="s">
        <v>210</v>
      </c>
      <c r="L5" s="29">
        <v>60000</v>
      </c>
      <c r="M5" s="29">
        <v>1</v>
      </c>
      <c r="N5" s="30">
        <f ca="1">SUBTOTAL(9,N6:(OFFSET(INDIRECT(N$1 &amp; $O5),-1,0)))</f>
        <v>0</v>
      </c>
      <c r="O5" s="21">
        <f>ROW($A34)</f>
        <v>34</v>
      </c>
    </row>
    <row r="6" spans="1:15" s="112" customFormat="1" ht="3.75" customHeight="1" outlineLevel="1" x14ac:dyDescent="0.2">
      <c r="A6" s="106"/>
      <c r="B6" s="108"/>
      <c r="C6" s="108"/>
      <c r="D6" s="108"/>
      <c r="E6" s="108"/>
      <c r="F6" s="109"/>
      <c r="G6" s="110"/>
      <c r="H6" s="110"/>
      <c r="I6" s="110"/>
      <c r="J6" s="110"/>
      <c r="K6" s="109"/>
      <c r="L6" s="109"/>
      <c r="M6" s="109">
        <v>-1</v>
      </c>
      <c r="N6" s="104"/>
      <c r="O6" s="111"/>
    </row>
    <row r="7" spans="1:15" outlineLevel="1" x14ac:dyDescent="0.2">
      <c r="A7" s="33" t="str">
        <f>K7 &amp; TEXT(L7,"00000")</f>
        <v>MAS60001</v>
      </c>
      <c r="B7" s="90" t="s">
        <v>211</v>
      </c>
      <c r="C7" s="90"/>
      <c r="D7" s="90"/>
      <c r="E7" s="90"/>
      <c r="F7" s="91"/>
      <c r="G7" s="92"/>
      <c r="H7" s="92"/>
      <c r="I7" s="92"/>
      <c r="J7" s="92"/>
      <c r="K7" s="34" t="s">
        <v>210</v>
      </c>
      <c r="L7" s="34">
        <v>60001</v>
      </c>
      <c r="M7" s="34">
        <v>2</v>
      </c>
      <c r="N7" s="35">
        <f ca="1">SUBTOTAL(9,N8:(OFFSET(INDIRECT(N$1 &amp; $O7),-1,0)))</f>
        <v>0</v>
      </c>
      <c r="O7" s="21">
        <f>ROW($A10)</f>
        <v>10</v>
      </c>
    </row>
    <row r="8" spans="1:15" outlineLevel="2" x14ac:dyDescent="0.2">
      <c r="A8" s="50" t="str">
        <f t="shared" ref="A8:A34" si="1">K8 &amp; TEXT(L8,"00000")</f>
        <v>MAS60002</v>
      </c>
      <c r="B8" s="93" t="s">
        <v>212</v>
      </c>
      <c r="C8" s="93"/>
      <c r="D8" s="93"/>
      <c r="E8" s="93"/>
      <c r="F8" s="94"/>
      <c r="G8" s="95"/>
      <c r="H8" s="95"/>
      <c r="I8" s="95"/>
      <c r="J8" s="95"/>
      <c r="K8" s="51" t="s">
        <v>210</v>
      </c>
      <c r="L8" s="51">
        <v>60002</v>
      </c>
      <c r="M8" s="51">
        <v>3</v>
      </c>
      <c r="N8" s="52">
        <f ca="1">SUBTOTAL(9,N9:(OFFSET(INDIRECT(N$1 &amp; $O8),-1,0)))</f>
        <v>0</v>
      </c>
      <c r="O8" s="21">
        <f>ROW($A10)</f>
        <v>10</v>
      </c>
    </row>
    <row r="9" spans="1:15" outlineLevel="3" x14ac:dyDescent="0.2">
      <c r="A9" s="36" t="str">
        <f t="shared" si="1"/>
        <v>MAS60003</v>
      </c>
      <c r="B9" s="96" t="s">
        <v>213</v>
      </c>
      <c r="C9" s="96"/>
      <c r="D9" s="96"/>
      <c r="E9" s="97"/>
      <c r="F9" s="98" t="s">
        <v>214</v>
      </c>
      <c r="G9" s="99" t="s">
        <v>215</v>
      </c>
      <c r="H9" s="99"/>
      <c r="I9" s="99"/>
      <c r="J9" s="99"/>
      <c r="K9" s="37" t="s">
        <v>210</v>
      </c>
      <c r="L9" s="37">
        <v>60003</v>
      </c>
      <c r="M9" s="37">
        <v>4</v>
      </c>
      <c r="N9" s="38">
        <f>IF(COUNTIF(ScenarioTag,
IF(ScenarioSelected=$G$2,$G9,
IF(ScenarioSelected=$H$2,$H9,
IF(ScenarioSelected=$I$2,$I9,
IF(ScenarioSelected=$J$2,$J9,""))))
)&gt;0,$E9,0)</f>
        <v>0</v>
      </c>
    </row>
    <row r="10" spans="1:15" outlineLevel="1" x14ac:dyDescent="0.2">
      <c r="A10" s="33" t="str">
        <f t="shared" si="1"/>
        <v>MAS60004</v>
      </c>
      <c r="B10" s="90" t="s">
        <v>216</v>
      </c>
      <c r="C10" s="90"/>
      <c r="D10" s="90"/>
      <c r="E10" s="90"/>
      <c r="F10" s="91"/>
      <c r="G10" s="92"/>
      <c r="H10" s="92"/>
      <c r="I10" s="92"/>
      <c r="J10" s="92"/>
      <c r="K10" s="34" t="s">
        <v>210</v>
      </c>
      <c r="L10" s="34">
        <v>60004</v>
      </c>
      <c r="M10" s="34">
        <v>2</v>
      </c>
      <c r="N10" s="35">
        <f ca="1">SUBTOTAL(9,N11:(OFFSET(INDIRECT(N$1 &amp; $O10),-1,0)))</f>
        <v>0</v>
      </c>
      <c r="O10" s="21">
        <f>ROW($A13)</f>
        <v>13</v>
      </c>
    </row>
    <row r="11" spans="1:15" outlineLevel="2" x14ac:dyDescent="0.2">
      <c r="A11" s="50" t="str">
        <f t="shared" si="1"/>
        <v>MAS60005</v>
      </c>
      <c r="B11" s="93" t="s">
        <v>217</v>
      </c>
      <c r="C11" s="93"/>
      <c r="D11" s="93"/>
      <c r="E11" s="93"/>
      <c r="F11" s="94"/>
      <c r="G11" s="95"/>
      <c r="H11" s="95"/>
      <c r="I11" s="95"/>
      <c r="J11" s="95"/>
      <c r="K11" s="51" t="s">
        <v>210</v>
      </c>
      <c r="L11" s="51">
        <v>60005</v>
      </c>
      <c r="M11" s="51">
        <v>3</v>
      </c>
      <c r="N11" s="52">
        <f ca="1">SUBTOTAL(9,N12:(OFFSET(INDIRECT(N$1 &amp; $O11),-1,0)))</f>
        <v>0</v>
      </c>
      <c r="O11" s="21">
        <f>ROW($A13)</f>
        <v>13</v>
      </c>
    </row>
    <row r="12" spans="1:15" outlineLevel="3" x14ac:dyDescent="0.2">
      <c r="A12" s="36" t="str">
        <f t="shared" si="1"/>
        <v>MAS60006</v>
      </c>
      <c r="B12" s="96" t="s">
        <v>218</v>
      </c>
      <c r="C12" s="96"/>
      <c r="D12" s="96"/>
      <c r="E12" s="97"/>
      <c r="F12" s="98" t="s">
        <v>214</v>
      </c>
      <c r="G12" s="99" t="s">
        <v>215</v>
      </c>
      <c r="H12" s="99"/>
      <c r="I12" s="99"/>
      <c r="J12" s="99"/>
      <c r="K12" s="37" t="s">
        <v>210</v>
      </c>
      <c r="L12" s="37">
        <v>60006</v>
      </c>
      <c r="M12" s="37">
        <v>4</v>
      </c>
      <c r="N12" s="38">
        <f>IF(COUNTIF(ScenarioTag,
IF(ScenarioSelected=$G$2,$G12,
IF(ScenarioSelected=$H$2,$H12,
IF(ScenarioSelected=$I$2,$I12,
IF(ScenarioSelected=$J$2,$J12,""))))
)&gt;0,$E12,0)</f>
        <v>0</v>
      </c>
    </row>
    <row r="13" spans="1:15" outlineLevel="1" x14ac:dyDescent="0.2">
      <c r="A13" s="33" t="str">
        <f t="shared" si="1"/>
        <v>MAS60007</v>
      </c>
      <c r="B13" s="90" t="s">
        <v>219</v>
      </c>
      <c r="C13" s="90"/>
      <c r="D13" s="90"/>
      <c r="E13" s="90"/>
      <c r="F13" s="91"/>
      <c r="G13" s="92"/>
      <c r="H13" s="92"/>
      <c r="I13" s="92"/>
      <c r="J13" s="92"/>
      <c r="K13" s="34" t="s">
        <v>210</v>
      </c>
      <c r="L13" s="34">
        <v>60007</v>
      </c>
      <c r="M13" s="34">
        <v>2</v>
      </c>
      <c r="N13" s="35">
        <f ca="1">SUBTOTAL(9,N14:(OFFSET(INDIRECT(N$1 &amp; $O13),-1,0)))</f>
        <v>0</v>
      </c>
      <c r="O13" s="21">
        <f>ROW($A16)</f>
        <v>16</v>
      </c>
    </row>
    <row r="14" spans="1:15" outlineLevel="2" x14ac:dyDescent="0.2">
      <c r="A14" s="50" t="str">
        <f t="shared" si="1"/>
        <v>MAS60008</v>
      </c>
      <c r="B14" s="93" t="s">
        <v>220</v>
      </c>
      <c r="C14" s="93"/>
      <c r="D14" s="93"/>
      <c r="E14" s="93"/>
      <c r="F14" s="94"/>
      <c r="G14" s="95"/>
      <c r="H14" s="95"/>
      <c r="I14" s="95"/>
      <c r="J14" s="95"/>
      <c r="K14" s="51" t="s">
        <v>210</v>
      </c>
      <c r="L14" s="51">
        <v>60008</v>
      </c>
      <c r="M14" s="51">
        <v>3</v>
      </c>
      <c r="N14" s="52">
        <f ca="1">SUBTOTAL(9,N15:(OFFSET(INDIRECT(N$1 &amp; $O14),-1,0)))</f>
        <v>0</v>
      </c>
      <c r="O14" s="21">
        <f>ROW($A16)</f>
        <v>16</v>
      </c>
    </row>
    <row r="15" spans="1:15" outlineLevel="3" x14ac:dyDescent="0.2">
      <c r="A15" s="36" t="str">
        <f t="shared" si="1"/>
        <v>MAS60009</v>
      </c>
      <c r="B15" s="96" t="s">
        <v>221</v>
      </c>
      <c r="C15" s="96"/>
      <c r="D15" s="96"/>
      <c r="E15" s="97"/>
      <c r="F15" s="98" t="s">
        <v>214</v>
      </c>
      <c r="G15" s="99" t="s">
        <v>215</v>
      </c>
      <c r="H15" s="99"/>
      <c r="I15" s="99"/>
      <c r="J15" s="99"/>
      <c r="K15" s="37" t="s">
        <v>210</v>
      </c>
      <c r="L15" s="37">
        <v>60009</v>
      </c>
      <c r="M15" s="37">
        <v>4</v>
      </c>
      <c r="N15" s="38">
        <f>IF(COUNTIF(ScenarioTag,
IF(ScenarioSelected=$G$2,$G15,
IF(ScenarioSelected=$H$2,$H15,
IF(ScenarioSelected=$I$2,$I15,
IF(ScenarioSelected=$J$2,$J15,""))))
)&gt;0,$E15,0)</f>
        <v>0</v>
      </c>
    </row>
    <row r="16" spans="1:15" outlineLevel="1" x14ac:dyDescent="0.2">
      <c r="A16" s="33" t="str">
        <f t="shared" si="1"/>
        <v>MAS60010</v>
      </c>
      <c r="B16" s="90" t="s">
        <v>222</v>
      </c>
      <c r="C16" s="90"/>
      <c r="D16" s="90"/>
      <c r="E16" s="90"/>
      <c r="F16" s="91"/>
      <c r="G16" s="92"/>
      <c r="H16" s="92"/>
      <c r="I16" s="92"/>
      <c r="J16" s="92"/>
      <c r="K16" s="34" t="s">
        <v>210</v>
      </c>
      <c r="L16" s="34">
        <v>60010</v>
      </c>
      <c r="M16" s="34">
        <v>2</v>
      </c>
      <c r="N16" s="35">
        <f ca="1">SUBTOTAL(9,N17:(OFFSET(INDIRECT(N$1 &amp; $O16),-1,0)))</f>
        <v>0</v>
      </c>
      <c r="O16" s="21">
        <f>ROW($A19)</f>
        <v>19</v>
      </c>
    </row>
    <row r="17" spans="1:15" outlineLevel="2" x14ac:dyDescent="0.2">
      <c r="A17" s="50" t="str">
        <f t="shared" si="1"/>
        <v>MAS60011</v>
      </c>
      <c r="B17" s="93" t="s">
        <v>223</v>
      </c>
      <c r="C17" s="93"/>
      <c r="D17" s="93"/>
      <c r="E17" s="93"/>
      <c r="F17" s="94"/>
      <c r="G17" s="95"/>
      <c r="H17" s="95"/>
      <c r="I17" s="95"/>
      <c r="J17" s="95"/>
      <c r="K17" s="51" t="s">
        <v>210</v>
      </c>
      <c r="L17" s="51">
        <v>60011</v>
      </c>
      <c r="M17" s="51">
        <v>3</v>
      </c>
      <c r="N17" s="52">
        <f ca="1">SUBTOTAL(9,N18:(OFFSET(INDIRECT(N$1 &amp; $O17),-1,0)))</f>
        <v>0</v>
      </c>
      <c r="O17" s="21">
        <f>ROW($A19)</f>
        <v>19</v>
      </c>
    </row>
    <row r="18" spans="1:15" outlineLevel="3" x14ac:dyDescent="0.2">
      <c r="A18" s="36" t="str">
        <f t="shared" si="1"/>
        <v>MAS60012</v>
      </c>
      <c r="B18" s="96" t="s">
        <v>224</v>
      </c>
      <c r="C18" s="96"/>
      <c r="D18" s="96"/>
      <c r="E18" s="97"/>
      <c r="F18" s="98" t="s">
        <v>214</v>
      </c>
      <c r="G18" s="99" t="s">
        <v>215</v>
      </c>
      <c r="H18" s="99"/>
      <c r="I18" s="99"/>
      <c r="J18" s="99"/>
      <c r="K18" s="37" t="s">
        <v>210</v>
      </c>
      <c r="L18" s="37">
        <v>60012</v>
      </c>
      <c r="M18" s="37">
        <v>4</v>
      </c>
      <c r="N18" s="38">
        <f>IF(COUNTIF(ScenarioTag,
IF(ScenarioSelected=$G$2,$G18,
IF(ScenarioSelected=$H$2,$H18,
IF(ScenarioSelected=$I$2,$I18,
IF(ScenarioSelected=$J$2,$J18,""))))
)&gt;0,$E18,0)</f>
        <v>0</v>
      </c>
    </row>
    <row r="19" spans="1:15" outlineLevel="1" x14ac:dyDescent="0.2">
      <c r="A19" s="33" t="str">
        <f t="shared" si="1"/>
        <v>MAS60013</v>
      </c>
      <c r="B19" s="90" t="s">
        <v>226</v>
      </c>
      <c r="C19" s="90"/>
      <c r="D19" s="90"/>
      <c r="E19" s="90"/>
      <c r="F19" s="91"/>
      <c r="G19" s="92"/>
      <c r="H19" s="92"/>
      <c r="I19" s="92"/>
      <c r="J19" s="92"/>
      <c r="K19" s="34" t="s">
        <v>210</v>
      </c>
      <c r="L19" s="34">
        <v>60013</v>
      </c>
      <c r="M19" s="34">
        <v>2</v>
      </c>
      <c r="N19" s="35">
        <f ca="1">SUBTOTAL(9,N20:(OFFSET(INDIRECT(N$1 &amp; $O19),-1,0)))</f>
        <v>0</v>
      </c>
      <c r="O19" s="21">
        <f>ROW($A22)</f>
        <v>22</v>
      </c>
    </row>
    <row r="20" spans="1:15" outlineLevel="2" x14ac:dyDescent="0.2">
      <c r="A20" s="50" t="str">
        <f t="shared" si="1"/>
        <v>MAS60014</v>
      </c>
      <c r="B20" s="93" t="s">
        <v>227</v>
      </c>
      <c r="C20" s="93"/>
      <c r="D20" s="93"/>
      <c r="E20" s="93"/>
      <c r="F20" s="94"/>
      <c r="G20" s="95"/>
      <c r="H20" s="95"/>
      <c r="I20" s="95"/>
      <c r="J20" s="95"/>
      <c r="K20" s="51" t="s">
        <v>210</v>
      </c>
      <c r="L20" s="51">
        <v>60014</v>
      </c>
      <c r="M20" s="51">
        <v>3</v>
      </c>
      <c r="N20" s="52">
        <f ca="1">SUBTOTAL(9,N21:(OFFSET(INDIRECT(N$1 &amp; $O20),-1,0)))</f>
        <v>0</v>
      </c>
      <c r="O20" s="21">
        <f>ROW($A22)</f>
        <v>22</v>
      </c>
    </row>
    <row r="21" spans="1:15" outlineLevel="3" x14ac:dyDescent="0.2">
      <c r="A21" s="36" t="str">
        <f t="shared" si="1"/>
        <v>MAS60015</v>
      </c>
      <c r="B21" s="96" t="s">
        <v>228</v>
      </c>
      <c r="C21" s="96"/>
      <c r="D21" s="96"/>
      <c r="E21" s="97"/>
      <c r="F21" s="98" t="s">
        <v>214</v>
      </c>
      <c r="G21" s="99" t="s">
        <v>215</v>
      </c>
      <c r="H21" s="99"/>
      <c r="I21" s="99"/>
      <c r="J21" s="99"/>
      <c r="K21" s="37" t="s">
        <v>210</v>
      </c>
      <c r="L21" s="37">
        <v>60015</v>
      </c>
      <c r="M21" s="37">
        <v>4</v>
      </c>
      <c r="N21" s="38">
        <f>IF(COUNTIF(ScenarioTag,
IF(ScenarioSelected=$G$2,$G21,
IF(ScenarioSelected=$H$2,$H21,
IF(ScenarioSelected=$I$2,$I21,
IF(ScenarioSelected=$J$2,$J21,""))))
)&gt;0,$E21,0)</f>
        <v>0</v>
      </c>
    </row>
    <row r="22" spans="1:15" outlineLevel="1" x14ac:dyDescent="0.2">
      <c r="A22" s="33" t="str">
        <f t="shared" si="1"/>
        <v>MAS60016</v>
      </c>
      <c r="B22" s="90" t="s">
        <v>229</v>
      </c>
      <c r="C22" s="90"/>
      <c r="D22" s="90"/>
      <c r="E22" s="90"/>
      <c r="F22" s="91"/>
      <c r="G22" s="92"/>
      <c r="H22" s="92"/>
      <c r="I22" s="92"/>
      <c r="J22" s="92"/>
      <c r="K22" s="34" t="s">
        <v>210</v>
      </c>
      <c r="L22" s="34">
        <v>60016</v>
      </c>
      <c r="M22" s="34">
        <v>2</v>
      </c>
      <c r="N22" s="35">
        <f ca="1">SUBTOTAL(9,N23:(OFFSET(INDIRECT(N$1 &amp; $O22),-1,0)))</f>
        <v>0</v>
      </c>
      <c r="O22" s="21">
        <f>ROW($A25)</f>
        <v>25</v>
      </c>
    </row>
    <row r="23" spans="1:15" outlineLevel="2" x14ac:dyDescent="0.2">
      <c r="A23" s="50" t="str">
        <f t="shared" si="1"/>
        <v>MAS60017</v>
      </c>
      <c r="B23" s="93" t="s">
        <v>230</v>
      </c>
      <c r="C23" s="93"/>
      <c r="D23" s="93"/>
      <c r="E23" s="93"/>
      <c r="F23" s="94"/>
      <c r="G23" s="95"/>
      <c r="H23" s="95"/>
      <c r="I23" s="95"/>
      <c r="J23" s="95"/>
      <c r="K23" s="51" t="s">
        <v>210</v>
      </c>
      <c r="L23" s="51">
        <v>60017</v>
      </c>
      <c r="M23" s="51">
        <v>3</v>
      </c>
      <c r="N23" s="52">
        <f ca="1">SUBTOTAL(9,N24:(OFFSET(INDIRECT(N$1 &amp; $O23),-1,0)))</f>
        <v>0</v>
      </c>
      <c r="O23" s="21">
        <f>ROW($A25)</f>
        <v>25</v>
      </c>
    </row>
    <row r="24" spans="1:15" outlineLevel="3" x14ac:dyDescent="0.2">
      <c r="A24" s="36" t="str">
        <f t="shared" si="1"/>
        <v>MAS60018</v>
      </c>
      <c r="B24" s="96" t="s">
        <v>231</v>
      </c>
      <c r="C24" s="96"/>
      <c r="D24" s="96"/>
      <c r="E24" s="97">
        <v>0</v>
      </c>
      <c r="F24" s="98" t="s">
        <v>214</v>
      </c>
      <c r="G24" s="99" t="s">
        <v>215</v>
      </c>
      <c r="H24" s="99"/>
      <c r="I24" s="99"/>
      <c r="J24" s="99"/>
      <c r="K24" s="37" t="s">
        <v>210</v>
      </c>
      <c r="L24" s="37">
        <v>60018</v>
      </c>
      <c r="M24" s="37">
        <v>4</v>
      </c>
      <c r="N24" s="38">
        <f>IF(COUNTIF(ScenarioTag,
IF(ScenarioSelected=$G$2,$G24,
IF(ScenarioSelected=$H$2,$H24,
IF(ScenarioSelected=$I$2,$I24,
IF(ScenarioSelected=$J$2,$J24,""))))
)&gt;0,$E24,0)</f>
        <v>0</v>
      </c>
    </row>
    <row r="25" spans="1:15" outlineLevel="1" x14ac:dyDescent="0.2">
      <c r="A25" s="33" t="str">
        <f t="shared" si="1"/>
        <v>MAS60019</v>
      </c>
      <c r="B25" s="90" t="s">
        <v>232</v>
      </c>
      <c r="C25" s="90"/>
      <c r="D25" s="90"/>
      <c r="E25" s="90"/>
      <c r="F25" s="91"/>
      <c r="G25" s="92"/>
      <c r="H25" s="92"/>
      <c r="I25" s="92"/>
      <c r="J25" s="92"/>
      <c r="K25" s="34" t="s">
        <v>210</v>
      </c>
      <c r="L25" s="34">
        <v>60019</v>
      </c>
      <c r="M25" s="34">
        <v>2</v>
      </c>
      <c r="N25" s="35">
        <f ca="1">SUBTOTAL(9,N26:(OFFSET(INDIRECT(N$1 &amp; $O25),-1,0)))</f>
        <v>0</v>
      </c>
      <c r="O25" s="21">
        <f>ROW($A28)</f>
        <v>28</v>
      </c>
    </row>
    <row r="26" spans="1:15" outlineLevel="2" x14ac:dyDescent="0.2">
      <c r="A26" s="50" t="str">
        <f t="shared" si="1"/>
        <v>MAS60020</v>
      </c>
      <c r="B26" s="93" t="s">
        <v>233</v>
      </c>
      <c r="C26" s="93"/>
      <c r="D26" s="93"/>
      <c r="E26" s="93"/>
      <c r="F26" s="94"/>
      <c r="G26" s="95"/>
      <c r="H26" s="95"/>
      <c r="I26" s="95"/>
      <c r="J26" s="95"/>
      <c r="K26" s="51" t="s">
        <v>210</v>
      </c>
      <c r="L26" s="51">
        <v>60020</v>
      </c>
      <c r="M26" s="51">
        <v>3</v>
      </c>
      <c r="N26" s="52">
        <f ca="1">SUBTOTAL(9,N27:(OFFSET(INDIRECT(N$1 &amp; $O26),-1,0)))</f>
        <v>0</v>
      </c>
      <c r="O26" s="21">
        <f>ROW($A28)</f>
        <v>28</v>
      </c>
    </row>
    <row r="27" spans="1:15" outlineLevel="3" x14ac:dyDescent="0.2">
      <c r="A27" s="36" t="str">
        <f t="shared" si="1"/>
        <v>MAS60021</v>
      </c>
      <c r="B27" s="96" t="s">
        <v>234</v>
      </c>
      <c r="C27" s="96"/>
      <c r="D27" s="96"/>
      <c r="E27" s="97">
        <v>0</v>
      </c>
      <c r="F27" s="98" t="s">
        <v>214</v>
      </c>
      <c r="G27" s="99" t="s">
        <v>215</v>
      </c>
      <c r="H27" s="99"/>
      <c r="I27" s="99"/>
      <c r="J27" s="99"/>
      <c r="K27" s="37" t="s">
        <v>210</v>
      </c>
      <c r="L27" s="37">
        <v>60021</v>
      </c>
      <c r="M27" s="37">
        <v>4</v>
      </c>
      <c r="N27" s="38">
        <f>IF(COUNTIF(ScenarioTag,
IF(ScenarioSelected=$G$2,$G27,
IF(ScenarioSelected=$H$2,$H27,
IF(ScenarioSelected=$I$2,$I27,
IF(ScenarioSelected=$J$2,$J27,""))))
)&gt;0,$E27,0)</f>
        <v>0</v>
      </c>
    </row>
    <row r="28" spans="1:15" outlineLevel="1" x14ac:dyDescent="0.2">
      <c r="A28" s="33" t="str">
        <f t="shared" si="1"/>
        <v>MAS60022</v>
      </c>
      <c r="B28" s="90" t="s">
        <v>235</v>
      </c>
      <c r="C28" s="90"/>
      <c r="D28" s="90"/>
      <c r="E28" s="90"/>
      <c r="F28" s="91"/>
      <c r="G28" s="92"/>
      <c r="H28" s="92"/>
      <c r="I28" s="92"/>
      <c r="J28" s="92"/>
      <c r="K28" s="34" t="s">
        <v>210</v>
      </c>
      <c r="L28" s="34">
        <v>60022</v>
      </c>
      <c r="M28" s="34">
        <v>2</v>
      </c>
      <c r="N28" s="35">
        <f ca="1">SUBTOTAL(9,N29:(OFFSET(INDIRECT(N$1 &amp; $O28),-1,0)))</f>
        <v>0</v>
      </c>
      <c r="O28" s="21">
        <f>ROW($A31)</f>
        <v>31</v>
      </c>
    </row>
    <row r="29" spans="1:15" outlineLevel="2" x14ac:dyDescent="0.2">
      <c r="A29" s="50" t="str">
        <f t="shared" si="1"/>
        <v>MAS60023</v>
      </c>
      <c r="B29" s="93" t="s">
        <v>236</v>
      </c>
      <c r="C29" s="93"/>
      <c r="D29" s="93"/>
      <c r="E29" s="93"/>
      <c r="F29" s="94"/>
      <c r="G29" s="95"/>
      <c r="H29" s="95"/>
      <c r="I29" s="95"/>
      <c r="J29" s="95"/>
      <c r="K29" s="51" t="s">
        <v>210</v>
      </c>
      <c r="L29" s="51">
        <v>60023</v>
      </c>
      <c r="M29" s="51">
        <v>3</v>
      </c>
      <c r="N29" s="52">
        <f ca="1">SUBTOTAL(9,N30:(OFFSET(INDIRECT(N$1 &amp; $O29),-1,0)))</f>
        <v>0</v>
      </c>
      <c r="O29" s="21">
        <f>ROW($A31)</f>
        <v>31</v>
      </c>
    </row>
    <row r="30" spans="1:15" outlineLevel="3" x14ac:dyDescent="0.2">
      <c r="A30" s="36" t="str">
        <f t="shared" si="1"/>
        <v>MAS60024</v>
      </c>
      <c r="B30" s="96" t="s">
        <v>237</v>
      </c>
      <c r="C30" s="96"/>
      <c r="D30" s="96"/>
      <c r="E30" s="97">
        <v>0</v>
      </c>
      <c r="F30" s="98" t="s">
        <v>214</v>
      </c>
      <c r="G30" s="99" t="s">
        <v>215</v>
      </c>
      <c r="H30" s="99"/>
      <c r="I30" s="99"/>
      <c r="J30" s="99"/>
      <c r="K30" s="37" t="s">
        <v>210</v>
      </c>
      <c r="L30" s="37">
        <v>60024</v>
      </c>
      <c r="M30" s="37">
        <v>4</v>
      </c>
      <c r="N30" s="38">
        <f>IF(COUNTIF(ScenarioTag,
IF(ScenarioSelected=$G$2,$G30,
IF(ScenarioSelected=$H$2,$H30,
IF(ScenarioSelected=$I$2,$I30,
IF(ScenarioSelected=$J$2,$J30,""))))
)&gt;0,$E30,0)</f>
        <v>0</v>
      </c>
    </row>
    <row r="31" spans="1:15" outlineLevel="1" x14ac:dyDescent="0.2">
      <c r="A31" s="33" t="str">
        <f t="shared" si="1"/>
        <v>MAS60025</v>
      </c>
      <c r="B31" s="90" t="s">
        <v>238</v>
      </c>
      <c r="C31" s="90"/>
      <c r="D31" s="90"/>
      <c r="E31" s="90"/>
      <c r="F31" s="91"/>
      <c r="G31" s="92"/>
      <c r="H31" s="92"/>
      <c r="I31" s="92"/>
      <c r="J31" s="92"/>
      <c r="K31" s="34" t="s">
        <v>210</v>
      </c>
      <c r="L31" s="34">
        <v>60025</v>
      </c>
      <c r="M31" s="34">
        <v>2</v>
      </c>
      <c r="N31" s="35">
        <f ca="1">SUBTOTAL(9,N32:(OFFSET(INDIRECT(N$1 &amp; $O31),-1,0)))</f>
        <v>0</v>
      </c>
      <c r="O31" s="21">
        <f>ROW($A34)</f>
        <v>34</v>
      </c>
    </row>
    <row r="32" spans="1:15" outlineLevel="2" x14ac:dyDescent="0.2">
      <c r="A32" s="50" t="str">
        <f t="shared" si="1"/>
        <v>MAS60026</v>
      </c>
      <c r="B32" s="93" t="s">
        <v>239</v>
      </c>
      <c r="C32" s="93"/>
      <c r="D32" s="93"/>
      <c r="E32" s="93"/>
      <c r="F32" s="94"/>
      <c r="G32" s="95"/>
      <c r="H32" s="95"/>
      <c r="I32" s="95"/>
      <c r="J32" s="95"/>
      <c r="K32" s="51" t="s">
        <v>210</v>
      </c>
      <c r="L32" s="51">
        <v>60026</v>
      </c>
      <c r="M32" s="51">
        <v>3</v>
      </c>
      <c r="N32" s="52">
        <f ca="1">SUBTOTAL(9,N33:(OFFSET(INDIRECT(N$1 &amp; $O32),-1,0)))</f>
        <v>0</v>
      </c>
      <c r="O32" s="21">
        <f>ROW($A34)</f>
        <v>34</v>
      </c>
    </row>
    <row r="33" spans="1:15" outlineLevel="3" x14ac:dyDescent="0.2">
      <c r="A33" s="36" t="str">
        <f t="shared" si="1"/>
        <v>MAS60027</v>
      </c>
      <c r="B33" s="96" t="s">
        <v>240</v>
      </c>
      <c r="C33" s="96"/>
      <c r="D33" s="96"/>
      <c r="E33" s="97">
        <v>0</v>
      </c>
      <c r="F33" s="98" t="s">
        <v>214</v>
      </c>
      <c r="G33" s="99" t="s">
        <v>215</v>
      </c>
      <c r="H33" s="99"/>
      <c r="I33" s="99"/>
      <c r="J33" s="99"/>
      <c r="K33" s="37" t="s">
        <v>210</v>
      </c>
      <c r="L33" s="37">
        <v>60027</v>
      </c>
      <c r="M33" s="37">
        <v>4</v>
      </c>
      <c r="N33" s="38">
        <f>IF(COUNTIF(ScenarioTag,
IF(ScenarioSelected=$G$2,$G33,
IF(ScenarioSelected=$H$2,$H33,
IF(ScenarioSelected=$I$2,$I33,
IF(ScenarioSelected=$J$2,$J33,""))))
)&gt;0,$E33,0)</f>
        <v>0</v>
      </c>
    </row>
    <row r="34" spans="1:15" s="31" customFormat="1" ht="25.15" customHeight="1" x14ac:dyDescent="0.25">
      <c r="A34" s="28" t="str">
        <f t="shared" si="1"/>
        <v>PRD60000</v>
      </c>
      <c r="B34" s="86" t="s">
        <v>241</v>
      </c>
      <c r="C34" s="87"/>
      <c r="D34" s="87"/>
      <c r="E34" s="87"/>
      <c r="F34" s="88"/>
      <c r="G34" s="89"/>
      <c r="H34" s="89"/>
      <c r="I34" s="89"/>
      <c r="J34" s="89"/>
      <c r="K34" s="29" t="s">
        <v>242</v>
      </c>
      <c r="L34" s="29">
        <v>60000</v>
      </c>
      <c r="M34" s="29">
        <v>1</v>
      </c>
      <c r="N34" s="30">
        <f ca="1">SUBTOTAL(9,N35:(OFFSET(INDIRECT(N$1 &amp; $O34),-1,0)))</f>
        <v>250</v>
      </c>
      <c r="O34" s="21">
        <f>ROW($A49)</f>
        <v>49</v>
      </c>
    </row>
    <row r="35" spans="1:15" s="116" customFormat="1" ht="4.1500000000000004" customHeight="1" outlineLevel="1" x14ac:dyDescent="0.25">
      <c r="A35" s="107"/>
      <c r="B35" s="113"/>
      <c r="C35" s="114"/>
      <c r="D35" s="114"/>
      <c r="E35" s="114"/>
      <c r="F35" s="109"/>
      <c r="G35" s="115"/>
      <c r="H35" s="115"/>
      <c r="I35" s="115"/>
      <c r="J35" s="115"/>
      <c r="K35" s="109"/>
      <c r="L35" s="109"/>
      <c r="M35" s="109">
        <v>-1</v>
      </c>
      <c r="N35" s="104"/>
      <c r="O35" s="111"/>
    </row>
    <row r="36" spans="1:15" outlineLevel="1" x14ac:dyDescent="0.2">
      <c r="A36" s="33" t="str">
        <f t="shared" ref="A36:A49" si="2">K36 &amp; TEXT(L36,"00000")</f>
        <v>PRD60001</v>
      </c>
      <c r="B36" s="100" t="s">
        <v>243</v>
      </c>
      <c r="C36" s="100"/>
      <c r="D36" s="100"/>
      <c r="E36" s="100"/>
      <c r="F36" s="91"/>
      <c r="G36" s="92"/>
      <c r="H36" s="92"/>
      <c r="I36" s="92"/>
      <c r="J36" s="92"/>
      <c r="K36" s="34" t="s">
        <v>242</v>
      </c>
      <c r="L36" s="34">
        <v>60001</v>
      </c>
      <c r="M36" s="34">
        <v>2</v>
      </c>
      <c r="N36" s="35">
        <f ca="1">SUBTOTAL(9,N37:(OFFSET(INDIRECT(N$1 &amp; $O36),-1,0)))</f>
        <v>250</v>
      </c>
      <c r="O36" s="21">
        <f>ROW($A40)</f>
        <v>40</v>
      </c>
    </row>
    <row r="37" spans="1:15" outlineLevel="2" x14ac:dyDescent="0.2">
      <c r="A37" s="50" t="str">
        <f t="shared" si="2"/>
        <v>PRD60002</v>
      </c>
      <c r="B37" s="101" t="s">
        <v>244</v>
      </c>
      <c r="C37" s="101"/>
      <c r="D37" s="101"/>
      <c r="E37" s="101"/>
      <c r="F37" s="94"/>
      <c r="G37" s="95"/>
      <c r="H37" s="95"/>
      <c r="I37" s="95"/>
      <c r="J37" s="95"/>
      <c r="K37" s="51" t="s">
        <v>242</v>
      </c>
      <c r="L37" s="51">
        <v>60002</v>
      </c>
      <c r="M37" s="51">
        <v>3</v>
      </c>
      <c r="N37" s="52">
        <f ca="1">SUBTOTAL(9,N38:(OFFSET(INDIRECT(N$1 &amp; $O37),-1,0)))</f>
        <v>250</v>
      </c>
      <c r="O37" s="21">
        <f>ROW($A40)</f>
        <v>40</v>
      </c>
    </row>
    <row r="38" spans="1:15" ht="33.75" outlineLevel="3" x14ac:dyDescent="0.2">
      <c r="A38" s="36" t="str">
        <f t="shared" si="2"/>
        <v>PRD60003</v>
      </c>
      <c r="B38" s="102" t="s">
        <v>522</v>
      </c>
      <c r="C38" s="102" t="s">
        <v>523</v>
      </c>
      <c r="D38" s="102"/>
      <c r="E38" s="97">
        <v>150</v>
      </c>
      <c r="F38" s="98" t="s">
        <v>524</v>
      </c>
      <c r="G38" s="99" t="s">
        <v>215</v>
      </c>
      <c r="H38" s="99"/>
      <c r="I38" s="99"/>
      <c r="J38" s="99"/>
      <c r="K38" s="37" t="s">
        <v>242</v>
      </c>
      <c r="L38" s="37">
        <v>60003</v>
      </c>
      <c r="M38" s="37">
        <v>4</v>
      </c>
      <c r="N38" s="38">
        <f>IF(COUNTIF(ScenarioTag,
IF(ScenarioSelected=$G$2,$G38,
IF(ScenarioSelected=$H$2,$H38,
IF(ScenarioSelected=$I$2,$I38,
IF(ScenarioSelected=$J$2,$J38,""))))
)&gt;0,$E38,0)</f>
        <v>150</v>
      </c>
    </row>
    <row r="39" spans="1:15" ht="33.75" outlineLevel="3" x14ac:dyDescent="0.2">
      <c r="A39" s="36" t="str">
        <f t="shared" ref="A39" si="3">K39 &amp; TEXT(L39,"00000")</f>
        <v>PRD60201</v>
      </c>
      <c r="B39" s="102" t="s">
        <v>525</v>
      </c>
      <c r="C39" s="102" t="s">
        <v>526</v>
      </c>
      <c r="D39" s="102"/>
      <c r="E39" s="97">
        <v>100</v>
      </c>
      <c r="F39" s="98" t="s">
        <v>524</v>
      </c>
      <c r="G39" s="99" t="s">
        <v>215</v>
      </c>
      <c r="H39" s="99"/>
      <c r="I39" s="99"/>
      <c r="J39" s="99"/>
      <c r="K39" s="37" t="s">
        <v>242</v>
      </c>
      <c r="L39" s="37">
        <v>60201</v>
      </c>
      <c r="M39" s="37">
        <v>4</v>
      </c>
      <c r="N39" s="38">
        <f>IF(COUNTIF(ScenarioTag,
IF(ScenarioSelected=$G$2,$G39,
IF(ScenarioSelected=$H$2,$H39,
IF(ScenarioSelected=$I$2,$I39,
IF(ScenarioSelected=$J$2,$J39,""))))
)&gt;0,$E39,0)</f>
        <v>100</v>
      </c>
    </row>
    <row r="40" spans="1:15" outlineLevel="1" x14ac:dyDescent="0.2">
      <c r="A40" s="33" t="str">
        <f t="shared" si="2"/>
        <v>PRD60004</v>
      </c>
      <c r="B40" s="100" t="s">
        <v>251</v>
      </c>
      <c r="C40" s="100"/>
      <c r="D40" s="100"/>
      <c r="E40" s="100"/>
      <c r="F40" s="91"/>
      <c r="G40" s="92"/>
      <c r="H40" s="92"/>
      <c r="I40" s="92"/>
      <c r="J40" s="92"/>
      <c r="K40" s="34" t="s">
        <v>242</v>
      </c>
      <c r="L40" s="34">
        <v>60004</v>
      </c>
      <c r="M40" s="34">
        <v>2</v>
      </c>
      <c r="N40" s="35">
        <f ca="1">SUBTOTAL(9,N41:(OFFSET(INDIRECT(N$1 &amp; $O40),-1,0)))</f>
        <v>0</v>
      </c>
      <c r="O40" s="21">
        <f>ROW($A43)</f>
        <v>43</v>
      </c>
    </row>
    <row r="41" spans="1:15" outlineLevel="2" x14ac:dyDescent="0.2">
      <c r="A41" s="50" t="str">
        <f t="shared" si="2"/>
        <v>PRD60005</v>
      </c>
      <c r="B41" s="101" t="s">
        <v>252</v>
      </c>
      <c r="C41" s="101"/>
      <c r="D41" s="101"/>
      <c r="E41" s="101"/>
      <c r="F41" s="94"/>
      <c r="G41" s="95"/>
      <c r="H41" s="95"/>
      <c r="I41" s="95"/>
      <c r="J41" s="95"/>
      <c r="K41" s="51" t="s">
        <v>242</v>
      </c>
      <c r="L41" s="51">
        <v>60005</v>
      </c>
      <c r="M41" s="51">
        <v>3</v>
      </c>
      <c r="N41" s="52">
        <f ca="1">SUBTOTAL(9,N42:(OFFSET(INDIRECT(N$1 &amp; $O41),-1,0)))</f>
        <v>0</v>
      </c>
      <c r="O41" s="21">
        <f>ROW($A43)</f>
        <v>43</v>
      </c>
    </row>
    <row r="42" spans="1:15" outlineLevel="3" x14ac:dyDescent="0.2">
      <c r="A42" s="36" t="str">
        <f t="shared" si="2"/>
        <v>PRD60006</v>
      </c>
      <c r="B42" s="102" t="s">
        <v>253</v>
      </c>
      <c r="C42" s="102"/>
      <c r="D42" s="102"/>
      <c r="E42" s="97">
        <v>0</v>
      </c>
      <c r="F42" s="98" t="s">
        <v>214</v>
      </c>
      <c r="G42" s="99" t="s">
        <v>215</v>
      </c>
      <c r="H42" s="99"/>
      <c r="I42" s="99"/>
      <c r="J42" s="99"/>
      <c r="K42" s="37" t="s">
        <v>242</v>
      </c>
      <c r="L42" s="37">
        <v>60006</v>
      </c>
      <c r="M42" s="37">
        <v>4</v>
      </c>
      <c r="N42" s="38">
        <f>IF(COUNTIF(ScenarioTag,
IF(ScenarioSelected=$G$2,$G42,
IF(ScenarioSelected=$H$2,$H42,
IF(ScenarioSelected=$I$2,$I42,
IF(ScenarioSelected=$J$2,$J42,""))))
)&gt;0,$E42,0)</f>
        <v>0</v>
      </c>
    </row>
    <row r="43" spans="1:15" outlineLevel="1" x14ac:dyDescent="0.2">
      <c r="A43" s="33" t="str">
        <f t="shared" si="2"/>
        <v>PRD60007</v>
      </c>
      <c r="B43" s="100" t="s">
        <v>254</v>
      </c>
      <c r="C43" s="100"/>
      <c r="D43" s="100"/>
      <c r="E43" s="100"/>
      <c r="F43" s="91"/>
      <c r="G43" s="92"/>
      <c r="H43" s="92"/>
      <c r="I43" s="92"/>
      <c r="J43" s="92"/>
      <c r="K43" s="34" t="s">
        <v>242</v>
      </c>
      <c r="L43" s="34">
        <v>60007</v>
      </c>
      <c r="M43" s="34">
        <v>2</v>
      </c>
      <c r="N43" s="35">
        <f ca="1">SUBTOTAL(9,N44:(OFFSET(INDIRECT(N$1 &amp; $O43),-1,0)))</f>
        <v>0</v>
      </c>
      <c r="O43" s="21">
        <f>ROW($A46)</f>
        <v>46</v>
      </c>
    </row>
    <row r="44" spans="1:15" outlineLevel="2" x14ac:dyDescent="0.2">
      <c r="A44" s="50" t="str">
        <f t="shared" si="2"/>
        <v>PRD60008</v>
      </c>
      <c r="B44" s="101" t="s">
        <v>255</v>
      </c>
      <c r="C44" s="101"/>
      <c r="D44" s="101"/>
      <c r="E44" s="101"/>
      <c r="F44" s="94"/>
      <c r="G44" s="95"/>
      <c r="H44" s="95"/>
      <c r="I44" s="95"/>
      <c r="J44" s="95"/>
      <c r="K44" s="51" t="s">
        <v>242</v>
      </c>
      <c r="L44" s="51">
        <v>60008</v>
      </c>
      <c r="M44" s="51">
        <v>3</v>
      </c>
      <c r="N44" s="52">
        <f ca="1">SUBTOTAL(9,N45:(OFFSET(INDIRECT(N$1 &amp; $O44),-1,0)))</f>
        <v>0</v>
      </c>
      <c r="O44" s="21">
        <f>ROW($A46)</f>
        <v>46</v>
      </c>
    </row>
    <row r="45" spans="1:15" outlineLevel="3" x14ac:dyDescent="0.2">
      <c r="A45" s="36" t="str">
        <f t="shared" si="2"/>
        <v>PRD60009</v>
      </c>
      <c r="B45" s="102" t="s">
        <v>256</v>
      </c>
      <c r="C45" s="102"/>
      <c r="D45" s="102"/>
      <c r="E45" s="97">
        <v>0</v>
      </c>
      <c r="F45" s="98" t="s">
        <v>214</v>
      </c>
      <c r="G45" s="99" t="s">
        <v>215</v>
      </c>
      <c r="H45" s="99"/>
      <c r="I45" s="99"/>
      <c r="J45" s="99"/>
      <c r="K45" s="37" t="s">
        <v>242</v>
      </c>
      <c r="L45" s="37">
        <v>60009</v>
      </c>
      <c r="M45" s="37">
        <v>4</v>
      </c>
      <c r="N45" s="38">
        <f>IF(COUNTIF(ScenarioTag,
IF(ScenarioSelected=$G$2,$G45,
IF(ScenarioSelected=$H$2,$H45,
IF(ScenarioSelected=$I$2,$I45,
IF(ScenarioSelected=$J$2,$J45,""))))
)&gt;0,$E45,0)</f>
        <v>0</v>
      </c>
    </row>
    <row r="46" spans="1:15" outlineLevel="1" x14ac:dyDescent="0.2">
      <c r="A46" s="33" t="str">
        <f t="shared" si="2"/>
        <v>PRD60010</v>
      </c>
      <c r="B46" s="100" t="s">
        <v>257</v>
      </c>
      <c r="C46" s="100"/>
      <c r="D46" s="100"/>
      <c r="E46" s="100"/>
      <c r="F46" s="91"/>
      <c r="G46" s="92"/>
      <c r="H46" s="92"/>
      <c r="I46" s="92"/>
      <c r="J46" s="92"/>
      <c r="K46" s="34" t="s">
        <v>242</v>
      </c>
      <c r="L46" s="34">
        <v>60010</v>
      </c>
      <c r="M46" s="34">
        <v>2</v>
      </c>
      <c r="N46" s="35">
        <f ca="1">SUBTOTAL(9,N47:(OFFSET(INDIRECT(N$1 &amp; $O46),-1,0)))</f>
        <v>0</v>
      </c>
      <c r="O46" s="21">
        <f>ROW($A49)</f>
        <v>49</v>
      </c>
    </row>
    <row r="47" spans="1:15" outlineLevel="2" x14ac:dyDescent="0.2">
      <c r="A47" s="50" t="str">
        <f t="shared" si="2"/>
        <v>PRD60011</v>
      </c>
      <c r="B47" s="101" t="s">
        <v>258</v>
      </c>
      <c r="C47" s="101"/>
      <c r="D47" s="101"/>
      <c r="E47" s="101"/>
      <c r="F47" s="94"/>
      <c r="G47" s="95"/>
      <c r="H47" s="95"/>
      <c r="I47" s="95"/>
      <c r="J47" s="95"/>
      <c r="K47" s="51" t="s">
        <v>242</v>
      </c>
      <c r="L47" s="51">
        <v>60011</v>
      </c>
      <c r="M47" s="51">
        <v>3</v>
      </c>
      <c r="N47" s="52">
        <f ca="1">SUBTOTAL(9,N48:(OFFSET(INDIRECT(N$1 &amp; $O47),-1,0)))</f>
        <v>0</v>
      </c>
      <c r="O47" s="21">
        <f>ROW($A49)</f>
        <v>49</v>
      </c>
    </row>
    <row r="48" spans="1:15" outlineLevel="3" x14ac:dyDescent="0.2">
      <c r="A48" s="36" t="str">
        <f t="shared" si="2"/>
        <v>PRD60012</v>
      </c>
      <c r="B48" s="102" t="s">
        <v>259</v>
      </c>
      <c r="C48" s="102"/>
      <c r="D48" s="102"/>
      <c r="E48" s="97">
        <v>0</v>
      </c>
      <c r="F48" s="98" t="s">
        <v>214</v>
      </c>
      <c r="G48" s="99" t="s">
        <v>215</v>
      </c>
      <c r="H48" s="99"/>
      <c r="I48" s="99"/>
      <c r="J48" s="99"/>
      <c r="K48" s="37" t="s">
        <v>242</v>
      </c>
      <c r="L48" s="37">
        <v>60012</v>
      </c>
      <c r="M48" s="37">
        <v>4</v>
      </c>
      <c r="N48" s="38">
        <f>IF(COUNTIF(ScenarioTag,
IF(ScenarioSelected=$G$2,$G48,
IF(ScenarioSelected=$H$2,$H48,
IF(ScenarioSelected=$I$2,$I48,
IF(ScenarioSelected=$J$2,$J48,""))))
)&gt;0,$E48,0)</f>
        <v>0</v>
      </c>
    </row>
    <row r="49" spans="1:15" ht="25.15" customHeight="1" x14ac:dyDescent="0.2">
      <c r="A49" s="28" t="str">
        <f t="shared" si="2"/>
        <v>CUS60000</v>
      </c>
      <c r="B49" s="86" t="s">
        <v>260</v>
      </c>
      <c r="C49" s="87"/>
      <c r="D49" s="87"/>
      <c r="E49" s="87"/>
      <c r="F49" s="88"/>
      <c r="G49" s="89"/>
      <c r="H49" s="89"/>
      <c r="I49" s="89"/>
      <c r="J49" s="89"/>
      <c r="K49" s="29" t="s">
        <v>261</v>
      </c>
      <c r="L49" s="29">
        <v>60000</v>
      </c>
      <c r="M49" s="29">
        <v>1</v>
      </c>
      <c r="N49" s="30">
        <f ca="1">SUBTOTAL(9,N50:(OFFSET(INDIRECT(N$1 &amp; $O49),-1,0)))</f>
        <v>110</v>
      </c>
      <c r="O49" s="21">
        <f>ROW($A109)</f>
        <v>109</v>
      </c>
    </row>
    <row r="50" spans="1:15" s="112" customFormat="1" ht="4.1500000000000004" customHeight="1" outlineLevel="1" x14ac:dyDescent="0.2">
      <c r="A50" s="107"/>
      <c r="B50" s="113"/>
      <c r="C50" s="114"/>
      <c r="D50" s="114"/>
      <c r="E50" s="114"/>
      <c r="F50" s="109"/>
      <c r="G50" s="115"/>
      <c r="H50" s="115"/>
      <c r="I50" s="115"/>
      <c r="J50" s="115"/>
      <c r="K50" s="109"/>
      <c r="L50" s="109"/>
      <c r="M50" s="109">
        <v>-1</v>
      </c>
      <c r="N50" s="104"/>
      <c r="O50" s="111"/>
    </row>
    <row r="51" spans="1:15" outlineLevel="1" x14ac:dyDescent="0.2">
      <c r="A51" s="33" t="str">
        <f t="shared" ref="A51:A109" si="4">K51 &amp; TEXT(L51,"00000")</f>
        <v>CUS60001</v>
      </c>
      <c r="B51" s="100" t="s">
        <v>262</v>
      </c>
      <c r="C51" s="100"/>
      <c r="D51" s="100"/>
      <c r="E51" s="100"/>
      <c r="F51" s="91"/>
      <c r="G51" s="92"/>
      <c r="H51" s="92"/>
      <c r="I51" s="92"/>
      <c r="J51" s="92"/>
      <c r="K51" s="34" t="s">
        <v>261</v>
      </c>
      <c r="L51" s="34">
        <v>60001</v>
      </c>
      <c r="M51" s="34">
        <v>2</v>
      </c>
      <c r="N51" s="35">
        <f ca="1">SUBTOTAL(9,N52:(OFFSET(INDIRECT(N$1 &amp; $O51),-1,0)))</f>
        <v>20</v>
      </c>
      <c r="O51" s="21">
        <f>ROW($A54)</f>
        <v>54</v>
      </c>
    </row>
    <row r="52" spans="1:15" outlineLevel="2" x14ac:dyDescent="0.2">
      <c r="A52" s="50" t="str">
        <f t="shared" si="4"/>
        <v>CUS60002</v>
      </c>
      <c r="B52" s="101" t="s">
        <v>263</v>
      </c>
      <c r="C52" s="101"/>
      <c r="D52" s="101"/>
      <c r="E52" s="101"/>
      <c r="F52" s="94"/>
      <c r="G52" s="95"/>
      <c r="H52" s="95"/>
      <c r="I52" s="95"/>
      <c r="J52" s="95"/>
      <c r="K52" s="51" t="s">
        <v>261</v>
      </c>
      <c r="L52" s="51">
        <v>60002</v>
      </c>
      <c r="M52" s="51">
        <v>3</v>
      </c>
      <c r="N52" s="52">
        <f ca="1">SUBTOTAL(9,N53:(OFFSET(INDIRECT(N$1 &amp; $O52),-1,0)))</f>
        <v>20</v>
      </c>
      <c r="O52" s="21">
        <f>ROW($A54)</f>
        <v>54</v>
      </c>
    </row>
    <row r="53" spans="1:15" outlineLevel="3" x14ac:dyDescent="0.2">
      <c r="A53" s="36" t="str">
        <f t="shared" si="4"/>
        <v>CUS60003</v>
      </c>
      <c r="B53" s="102" t="s">
        <v>527</v>
      </c>
      <c r="C53" s="102" t="s">
        <v>528</v>
      </c>
      <c r="D53" s="102"/>
      <c r="E53" s="97">
        <v>20</v>
      </c>
      <c r="F53" s="98" t="s">
        <v>247</v>
      </c>
      <c r="G53" s="99" t="s">
        <v>215</v>
      </c>
      <c r="H53" s="99"/>
      <c r="I53" s="99"/>
      <c r="J53" s="99"/>
      <c r="K53" s="37" t="s">
        <v>261</v>
      </c>
      <c r="L53" s="37">
        <v>60003</v>
      </c>
      <c r="M53" s="37">
        <v>4</v>
      </c>
      <c r="N53" s="38">
        <f>IF(COUNTIF(ScenarioTag,
IF(ScenarioSelected=$G$2,$G53,
IF(ScenarioSelected=$H$2,$H53,
IF(ScenarioSelected=$I$2,$I53,
IF(ScenarioSelected=$J$2,$J53,""))))
)&gt;0,$E53,0)</f>
        <v>20</v>
      </c>
    </row>
    <row r="54" spans="1:15" outlineLevel="1" x14ac:dyDescent="0.2">
      <c r="A54" s="33" t="str">
        <f t="shared" si="4"/>
        <v>CUS60004</v>
      </c>
      <c r="B54" s="100" t="s">
        <v>270</v>
      </c>
      <c r="C54" s="100"/>
      <c r="D54" s="100"/>
      <c r="E54" s="100"/>
      <c r="F54" s="91"/>
      <c r="G54" s="92"/>
      <c r="H54" s="92"/>
      <c r="I54" s="92"/>
      <c r="J54" s="92"/>
      <c r="K54" s="34" t="s">
        <v>261</v>
      </c>
      <c r="L54" s="34">
        <v>60004</v>
      </c>
      <c r="M54" s="34">
        <v>2</v>
      </c>
      <c r="N54" s="35">
        <f ca="1">SUBTOTAL(9,N55:(OFFSET(INDIRECT(N$1 &amp; $O54),-1,0)))</f>
        <v>0</v>
      </c>
      <c r="O54" s="21">
        <f>ROW($A57)</f>
        <v>57</v>
      </c>
    </row>
    <row r="55" spans="1:15" outlineLevel="2" x14ac:dyDescent="0.2">
      <c r="A55" s="50" t="str">
        <f t="shared" si="4"/>
        <v>CUS60005</v>
      </c>
      <c r="B55" s="101" t="s">
        <v>271</v>
      </c>
      <c r="C55" s="101"/>
      <c r="D55" s="101"/>
      <c r="E55" s="101"/>
      <c r="F55" s="94"/>
      <c r="G55" s="95"/>
      <c r="H55" s="95"/>
      <c r="I55" s="95"/>
      <c r="J55" s="95"/>
      <c r="K55" s="51" t="s">
        <v>261</v>
      </c>
      <c r="L55" s="51">
        <v>60005</v>
      </c>
      <c r="M55" s="51">
        <v>3</v>
      </c>
      <c r="N55" s="52">
        <f ca="1">SUBTOTAL(9,N56:(OFFSET(INDIRECT(N$1 &amp; $O55),-1,0)))</f>
        <v>0</v>
      </c>
      <c r="O55" s="21">
        <f>ROW($A57)</f>
        <v>57</v>
      </c>
    </row>
    <row r="56" spans="1:15" outlineLevel="3" x14ac:dyDescent="0.2">
      <c r="A56" s="36" t="str">
        <f t="shared" si="4"/>
        <v>CUS60006</v>
      </c>
      <c r="B56" s="102" t="s">
        <v>272</v>
      </c>
      <c r="C56" s="102"/>
      <c r="D56" s="102"/>
      <c r="E56" s="97">
        <v>0</v>
      </c>
      <c r="F56" s="98" t="s">
        <v>214</v>
      </c>
      <c r="G56" s="99" t="s">
        <v>215</v>
      </c>
      <c r="H56" s="99"/>
      <c r="I56" s="99"/>
      <c r="J56" s="99"/>
      <c r="K56" s="37" t="s">
        <v>261</v>
      </c>
      <c r="L56" s="37">
        <v>60006</v>
      </c>
      <c r="M56" s="37">
        <v>4</v>
      </c>
      <c r="N56" s="38">
        <f>IF(COUNTIF(ScenarioTag,
IF(ScenarioSelected=$G$2,$G56,
IF(ScenarioSelected=$H$2,$H56,
IF(ScenarioSelected=$I$2,$I56,
IF(ScenarioSelected=$J$2,$J56,""))))
)&gt;0,$E56,0)</f>
        <v>0</v>
      </c>
    </row>
    <row r="57" spans="1:15" outlineLevel="1" x14ac:dyDescent="0.2">
      <c r="A57" s="33" t="str">
        <f t="shared" si="4"/>
        <v>CUS60007</v>
      </c>
      <c r="B57" s="100" t="s">
        <v>273</v>
      </c>
      <c r="C57" s="100"/>
      <c r="D57" s="100"/>
      <c r="E57" s="100"/>
      <c r="F57" s="91"/>
      <c r="G57" s="92"/>
      <c r="H57" s="92"/>
      <c r="I57" s="92"/>
      <c r="J57" s="92"/>
      <c r="K57" s="34" t="s">
        <v>261</v>
      </c>
      <c r="L57" s="34">
        <v>60007</v>
      </c>
      <c r="M57" s="34">
        <v>2</v>
      </c>
      <c r="N57" s="35">
        <f ca="1">SUBTOTAL(9,N58:(OFFSET(INDIRECT(N$1 &amp; $O57),-1,0)))</f>
        <v>0</v>
      </c>
      <c r="O57" s="21">
        <f>ROW($A60)</f>
        <v>60</v>
      </c>
    </row>
    <row r="58" spans="1:15" outlineLevel="2" x14ac:dyDescent="0.2">
      <c r="A58" s="50" t="str">
        <f t="shared" si="4"/>
        <v>CUS60008</v>
      </c>
      <c r="B58" s="101" t="s">
        <v>274</v>
      </c>
      <c r="C58" s="101"/>
      <c r="D58" s="101"/>
      <c r="E58" s="101"/>
      <c r="F58" s="94"/>
      <c r="G58" s="95"/>
      <c r="H58" s="95"/>
      <c r="I58" s="95"/>
      <c r="J58" s="95"/>
      <c r="K58" s="51" t="s">
        <v>261</v>
      </c>
      <c r="L58" s="51">
        <v>60008</v>
      </c>
      <c r="M58" s="51">
        <v>3</v>
      </c>
      <c r="N58" s="52">
        <f ca="1">SUBTOTAL(9,N59:(OFFSET(INDIRECT(N$1 &amp; $O58),-1,0)))</f>
        <v>0</v>
      </c>
      <c r="O58" s="21">
        <f>ROW($A60)</f>
        <v>60</v>
      </c>
    </row>
    <row r="59" spans="1:15" outlineLevel="3" x14ac:dyDescent="0.2">
      <c r="A59" s="36" t="str">
        <f t="shared" si="4"/>
        <v>CUS60009</v>
      </c>
      <c r="B59" s="102" t="s">
        <v>275</v>
      </c>
      <c r="C59" s="102"/>
      <c r="D59" s="102"/>
      <c r="E59" s="97">
        <v>0</v>
      </c>
      <c r="F59" s="98" t="s">
        <v>214</v>
      </c>
      <c r="G59" s="99" t="s">
        <v>215</v>
      </c>
      <c r="H59" s="99"/>
      <c r="I59" s="99"/>
      <c r="J59" s="99"/>
      <c r="K59" s="37" t="s">
        <v>261</v>
      </c>
      <c r="L59" s="37">
        <v>60009</v>
      </c>
      <c r="M59" s="37">
        <v>4</v>
      </c>
      <c r="N59" s="38">
        <f>IF(COUNTIF(ScenarioTag,
IF(ScenarioSelected=$G$2,$G59,
IF(ScenarioSelected=$H$2,$H59,
IF(ScenarioSelected=$I$2,$I59,
IF(ScenarioSelected=$J$2,$J59,""))))
)&gt;0,$E59,0)</f>
        <v>0</v>
      </c>
    </row>
    <row r="60" spans="1:15" outlineLevel="1" x14ac:dyDescent="0.2">
      <c r="A60" s="33" t="str">
        <f t="shared" si="4"/>
        <v>CUS60010</v>
      </c>
      <c r="B60" s="100" t="s">
        <v>276</v>
      </c>
      <c r="C60" s="100"/>
      <c r="D60" s="100"/>
      <c r="E60" s="100"/>
      <c r="F60" s="91"/>
      <c r="G60" s="92"/>
      <c r="H60" s="92"/>
      <c r="I60" s="92"/>
      <c r="J60" s="92"/>
      <c r="K60" s="34" t="s">
        <v>261</v>
      </c>
      <c r="L60" s="34">
        <v>60010</v>
      </c>
      <c r="M60" s="34">
        <v>2</v>
      </c>
      <c r="N60" s="35">
        <f ca="1">SUBTOTAL(9,N61:(OFFSET(INDIRECT(N$1 &amp; $O60),-1,0)))</f>
        <v>0</v>
      </c>
      <c r="O60" s="21">
        <f>ROW($A63)</f>
        <v>63</v>
      </c>
    </row>
    <row r="61" spans="1:15" outlineLevel="2" x14ac:dyDescent="0.2">
      <c r="A61" s="50" t="str">
        <f t="shared" si="4"/>
        <v>CUS60011</v>
      </c>
      <c r="B61" s="101" t="s">
        <v>277</v>
      </c>
      <c r="C61" s="101"/>
      <c r="D61" s="101"/>
      <c r="E61" s="101"/>
      <c r="F61" s="94"/>
      <c r="G61" s="95"/>
      <c r="H61" s="95"/>
      <c r="I61" s="95"/>
      <c r="J61" s="95"/>
      <c r="K61" s="51" t="s">
        <v>261</v>
      </c>
      <c r="L61" s="51">
        <v>60011</v>
      </c>
      <c r="M61" s="51">
        <v>3</v>
      </c>
      <c r="N61" s="52">
        <f ca="1">SUBTOTAL(9,N62:(OFFSET(INDIRECT(N$1 &amp; $O61),-1,0)))</f>
        <v>0</v>
      </c>
      <c r="O61" s="21">
        <f>ROW($A63)</f>
        <v>63</v>
      </c>
    </row>
    <row r="62" spans="1:15" outlineLevel="3" x14ac:dyDescent="0.2">
      <c r="A62" s="36" t="str">
        <f t="shared" si="4"/>
        <v>CUS60012</v>
      </c>
      <c r="B62" s="102" t="s">
        <v>529</v>
      </c>
      <c r="C62" s="102"/>
      <c r="D62" s="102"/>
      <c r="E62" s="97">
        <v>0</v>
      </c>
      <c r="F62" s="98" t="s">
        <v>214</v>
      </c>
      <c r="G62" s="99" t="s">
        <v>215</v>
      </c>
      <c r="H62" s="99"/>
      <c r="I62" s="99"/>
      <c r="J62" s="99"/>
      <c r="K62" s="37" t="s">
        <v>261</v>
      </c>
      <c r="L62" s="37">
        <v>60012</v>
      </c>
      <c r="M62" s="37">
        <v>4</v>
      </c>
      <c r="N62" s="38">
        <f>IF(COUNTIF(ScenarioTag,
IF(ScenarioSelected=$G$2,$G62,
IF(ScenarioSelected=$H$2,$H62,
IF(ScenarioSelected=$I$2,$I62,
IF(ScenarioSelected=$J$2,$J62,""))))
)&gt;0,$E62,0)</f>
        <v>0</v>
      </c>
    </row>
    <row r="63" spans="1:15" outlineLevel="1" x14ac:dyDescent="0.2">
      <c r="A63" s="33" t="str">
        <f t="shared" si="4"/>
        <v>CUS60013</v>
      </c>
      <c r="B63" s="100" t="s">
        <v>281</v>
      </c>
      <c r="C63" s="100"/>
      <c r="D63" s="100"/>
      <c r="E63" s="100"/>
      <c r="F63" s="91"/>
      <c r="G63" s="92"/>
      <c r="H63" s="92"/>
      <c r="I63" s="92"/>
      <c r="J63" s="92"/>
      <c r="K63" s="34" t="s">
        <v>261</v>
      </c>
      <c r="L63" s="34">
        <v>60013</v>
      </c>
      <c r="M63" s="34">
        <v>2</v>
      </c>
      <c r="N63" s="35">
        <f ca="1">SUBTOTAL(9,N64:(OFFSET(INDIRECT(N$1 &amp; $O63),-1,0)))</f>
        <v>30</v>
      </c>
      <c r="O63" s="21">
        <f>ROW($A66)</f>
        <v>66</v>
      </c>
    </row>
    <row r="64" spans="1:15" outlineLevel="2" x14ac:dyDescent="0.2">
      <c r="A64" s="50" t="str">
        <f t="shared" si="4"/>
        <v>CUS60014</v>
      </c>
      <c r="B64" s="101" t="s">
        <v>282</v>
      </c>
      <c r="C64" s="101"/>
      <c r="D64" s="101"/>
      <c r="E64" s="101"/>
      <c r="F64" s="94"/>
      <c r="G64" s="95"/>
      <c r="H64" s="95"/>
      <c r="I64" s="95"/>
      <c r="J64" s="95"/>
      <c r="K64" s="51" t="s">
        <v>261</v>
      </c>
      <c r="L64" s="51">
        <v>60014</v>
      </c>
      <c r="M64" s="51">
        <v>3</v>
      </c>
      <c r="N64" s="52">
        <f ca="1">SUBTOTAL(9,N65:(OFFSET(INDIRECT(N$1 &amp; $O64),-1,0)))</f>
        <v>30</v>
      </c>
      <c r="O64" s="21">
        <f>ROW($A66)</f>
        <v>66</v>
      </c>
    </row>
    <row r="65" spans="1:15" ht="22.5" outlineLevel="3" x14ac:dyDescent="0.2">
      <c r="A65" s="36" t="str">
        <f t="shared" si="4"/>
        <v>CUS60015</v>
      </c>
      <c r="B65" s="102" t="s">
        <v>530</v>
      </c>
      <c r="C65" s="102" t="s">
        <v>531</v>
      </c>
      <c r="D65" s="102"/>
      <c r="E65" s="97">
        <v>30</v>
      </c>
      <c r="F65" s="98" t="s">
        <v>247</v>
      </c>
      <c r="G65" s="99" t="s">
        <v>215</v>
      </c>
      <c r="H65" s="99"/>
      <c r="I65" s="99"/>
      <c r="J65" s="99"/>
      <c r="K65" s="37" t="s">
        <v>261</v>
      </c>
      <c r="L65" s="37">
        <v>60015</v>
      </c>
      <c r="M65" s="37">
        <v>4</v>
      </c>
      <c r="N65" s="38">
        <f>IF(COUNTIF(ScenarioTag,
IF(ScenarioSelected=$G$2,$G65,
IF(ScenarioSelected=$H$2,$H65,
IF(ScenarioSelected=$I$2,$I65,
IF(ScenarioSelected=$J$2,$J65,""))))
)&gt;0,$E65,0)</f>
        <v>30</v>
      </c>
    </row>
    <row r="66" spans="1:15" outlineLevel="1" x14ac:dyDescent="0.2">
      <c r="A66" s="33" t="str">
        <f t="shared" si="4"/>
        <v>CUS60016</v>
      </c>
      <c r="B66" s="100" t="s">
        <v>295</v>
      </c>
      <c r="C66" s="100"/>
      <c r="D66" s="100"/>
      <c r="E66" s="100"/>
      <c r="F66" s="91"/>
      <c r="G66" s="92"/>
      <c r="H66" s="92"/>
      <c r="I66" s="92"/>
      <c r="J66" s="92"/>
      <c r="K66" s="34" t="s">
        <v>261</v>
      </c>
      <c r="L66" s="34">
        <v>60016</v>
      </c>
      <c r="M66" s="34">
        <v>2</v>
      </c>
      <c r="N66" s="35">
        <f ca="1">SUBTOTAL(9,N67:(OFFSET(INDIRECT(N$1 &amp; $O66),-1,0)))</f>
        <v>40</v>
      </c>
      <c r="O66" s="21">
        <f>ROW($A69)</f>
        <v>69</v>
      </c>
    </row>
    <row r="67" spans="1:15" outlineLevel="2" x14ac:dyDescent="0.2">
      <c r="A67" s="50" t="str">
        <f t="shared" si="4"/>
        <v>CUS60017</v>
      </c>
      <c r="B67" s="101" t="s">
        <v>296</v>
      </c>
      <c r="C67" s="101"/>
      <c r="D67" s="101"/>
      <c r="E67" s="101"/>
      <c r="F67" s="94"/>
      <c r="G67" s="95"/>
      <c r="H67" s="95"/>
      <c r="I67" s="95"/>
      <c r="J67" s="95"/>
      <c r="K67" s="51" t="s">
        <v>261</v>
      </c>
      <c r="L67" s="51">
        <v>60017</v>
      </c>
      <c r="M67" s="51">
        <v>3</v>
      </c>
      <c r="N67" s="52">
        <f ca="1">SUBTOTAL(9,N68:(OFFSET(INDIRECT(N$1 &amp; $O67),-1,0)))</f>
        <v>40</v>
      </c>
      <c r="O67" s="21">
        <f>ROW($A69)</f>
        <v>69</v>
      </c>
    </row>
    <row r="68" spans="1:15" outlineLevel="3" x14ac:dyDescent="0.2">
      <c r="A68" s="36" t="str">
        <f t="shared" si="4"/>
        <v>CUS60018</v>
      </c>
      <c r="B68" s="102" t="s">
        <v>297</v>
      </c>
      <c r="C68" s="102" t="s">
        <v>532</v>
      </c>
      <c r="D68" s="102"/>
      <c r="E68" s="97">
        <v>40</v>
      </c>
      <c r="F68" s="98" t="s">
        <v>247</v>
      </c>
      <c r="G68" s="99" t="s">
        <v>215</v>
      </c>
      <c r="H68" s="99"/>
      <c r="I68" s="99"/>
      <c r="J68" s="99"/>
      <c r="K68" s="37" t="s">
        <v>261</v>
      </c>
      <c r="L68" s="37">
        <v>60018</v>
      </c>
      <c r="M68" s="37">
        <v>4</v>
      </c>
      <c r="N68" s="38">
        <f>IF(COUNTIF(ScenarioTag,
IF(ScenarioSelected=$G$2,$G68,
IF(ScenarioSelected=$H$2,$H68,
IF(ScenarioSelected=$I$2,$I68,
IF(ScenarioSelected=$J$2,$J68,""))))
)&gt;0,$E68,0)</f>
        <v>40</v>
      </c>
    </row>
    <row r="69" spans="1:15" outlineLevel="1" x14ac:dyDescent="0.2">
      <c r="A69" s="33" t="str">
        <f t="shared" si="4"/>
        <v>CUS60019</v>
      </c>
      <c r="B69" s="100" t="s">
        <v>304</v>
      </c>
      <c r="C69" s="100"/>
      <c r="D69" s="100"/>
      <c r="E69" s="100"/>
      <c r="F69" s="91"/>
      <c r="G69" s="92"/>
      <c r="H69" s="92"/>
      <c r="I69" s="92"/>
      <c r="J69" s="92"/>
      <c r="K69" s="34" t="s">
        <v>261</v>
      </c>
      <c r="L69" s="34">
        <v>60019</v>
      </c>
      <c r="M69" s="34">
        <v>2</v>
      </c>
      <c r="N69" s="35">
        <f ca="1">SUBTOTAL(9,N70:(OFFSET(INDIRECT(N$1 &amp; $O69),-1,0)))</f>
        <v>20</v>
      </c>
      <c r="O69" s="21">
        <f>ROW($A73)</f>
        <v>73</v>
      </c>
    </row>
    <row r="70" spans="1:15" outlineLevel="2" x14ac:dyDescent="0.2">
      <c r="A70" s="50" t="str">
        <f t="shared" si="4"/>
        <v>CUS60020</v>
      </c>
      <c r="B70" s="101" t="s">
        <v>305</v>
      </c>
      <c r="C70" s="101"/>
      <c r="D70" s="101"/>
      <c r="E70" s="101"/>
      <c r="F70" s="94"/>
      <c r="G70" s="95"/>
      <c r="H70" s="95"/>
      <c r="I70" s="95"/>
      <c r="J70" s="95"/>
      <c r="K70" s="51" t="s">
        <v>261</v>
      </c>
      <c r="L70" s="51">
        <v>60020</v>
      </c>
      <c r="M70" s="51">
        <v>3</v>
      </c>
      <c r="N70" s="52">
        <f ca="1">SUBTOTAL(9,N71:(OFFSET(INDIRECT(N$1 &amp; $O70),-1,0)))</f>
        <v>20</v>
      </c>
      <c r="O70" s="21">
        <f>ROW($A73)</f>
        <v>73</v>
      </c>
    </row>
    <row r="71" spans="1:15" outlineLevel="3" x14ac:dyDescent="0.2">
      <c r="A71" s="36" t="str">
        <f t="shared" si="4"/>
        <v>CUS60021</v>
      </c>
      <c r="B71" s="102" t="s">
        <v>533</v>
      </c>
      <c r="C71" s="102" t="s">
        <v>534</v>
      </c>
      <c r="D71" s="102"/>
      <c r="E71" s="97">
        <v>10</v>
      </c>
      <c r="F71" s="98" t="s">
        <v>214</v>
      </c>
      <c r="G71" s="99" t="s">
        <v>215</v>
      </c>
      <c r="H71" s="99"/>
      <c r="I71" s="99"/>
      <c r="J71" s="99"/>
      <c r="K71" s="37" t="s">
        <v>261</v>
      </c>
      <c r="L71" s="37">
        <v>60021</v>
      </c>
      <c r="M71" s="37">
        <v>4</v>
      </c>
      <c r="N71" s="38">
        <f>IF(COUNTIF(ScenarioTag,
IF(ScenarioSelected=$G$2,$G71,
IF(ScenarioSelected=$H$2,$H71,
IF(ScenarioSelected=$I$2,$I71,
IF(ScenarioSelected=$J$2,$J71,""))))
)&gt;0,$E71,0)</f>
        <v>10</v>
      </c>
    </row>
    <row r="72" spans="1:15" outlineLevel="3" x14ac:dyDescent="0.2">
      <c r="A72" s="36" t="str">
        <f t="shared" ref="A72" si="5">K72 &amp; TEXT(L72,"00000")</f>
        <v>CUS60201</v>
      </c>
      <c r="B72" s="102" t="s">
        <v>535</v>
      </c>
      <c r="C72" s="102" t="s">
        <v>536</v>
      </c>
      <c r="D72" s="102"/>
      <c r="E72" s="97">
        <v>10</v>
      </c>
      <c r="F72" s="98" t="s">
        <v>250</v>
      </c>
      <c r="G72" s="99" t="s">
        <v>215</v>
      </c>
      <c r="H72" s="99"/>
      <c r="I72" s="99"/>
      <c r="J72" s="99"/>
      <c r="K72" s="37" t="s">
        <v>261</v>
      </c>
      <c r="L72" s="37">
        <v>60201</v>
      </c>
      <c r="M72" s="37">
        <v>4</v>
      </c>
      <c r="N72" s="38">
        <f>IF(COUNTIF(ScenarioTag,
IF(ScenarioSelected=$G$2,$G72,
IF(ScenarioSelected=$H$2,$H72,
IF(ScenarioSelected=$I$2,$I72,
IF(ScenarioSelected=$J$2,$J72,""))))
)&gt;0,$E72,0)</f>
        <v>10</v>
      </c>
    </row>
    <row r="73" spans="1:15" outlineLevel="1" x14ac:dyDescent="0.2">
      <c r="A73" s="33" t="str">
        <f t="shared" si="4"/>
        <v>CUS60022</v>
      </c>
      <c r="B73" s="100" t="s">
        <v>321</v>
      </c>
      <c r="C73" s="100"/>
      <c r="D73" s="100"/>
      <c r="E73" s="100"/>
      <c r="F73" s="91"/>
      <c r="G73" s="92"/>
      <c r="H73" s="92"/>
      <c r="I73" s="92"/>
      <c r="J73" s="92"/>
      <c r="K73" s="34" t="s">
        <v>261</v>
      </c>
      <c r="L73" s="34">
        <v>60022</v>
      </c>
      <c r="M73" s="34">
        <v>2</v>
      </c>
      <c r="N73" s="35">
        <f ca="1">SUBTOTAL(9,N74:(OFFSET(INDIRECT(N$1 &amp; $O73),-1,0)))</f>
        <v>0</v>
      </c>
      <c r="O73" s="21">
        <f>ROW($A76)</f>
        <v>76</v>
      </c>
    </row>
    <row r="74" spans="1:15" outlineLevel="2" x14ac:dyDescent="0.2">
      <c r="A74" s="50" t="str">
        <f t="shared" si="4"/>
        <v>CUS60023</v>
      </c>
      <c r="B74" s="101" t="s">
        <v>322</v>
      </c>
      <c r="C74" s="101"/>
      <c r="D74" s="101"/>
      <c r="E74" s="101"/>
      <c r="F74" s="94"/>
      <c r="G74" s="95"/>
      <c r="H74" s="95"/>
      <c r="I74" s="95"/>
      <c r="J74" s="95"/>
      <c r="K74" s="51" t="s">
        <v>261</v>
      </c>
      <c r="L74" s="51">
        <v>60023</v>
      </c>
      <c r="M74" s="51">
        <v>3</v>
      </c>
      <c r="N74" s="52">
        <f ca="1">SUBTOTAL(9,N75:(OFFSET(INDIRECT(N$1 &amp; $O74),-1,0)))</f>
        <v>0</v>
      </c>
      <c r="O74" s="21">
        <f>ROW($A76)</f>
        <v>76</v>
      </c>
    </row>
    <row r="75" spans="1:15" outlineLevel="3" x14ac:dyDescent="0.2">
      <c r="A75" s="36" t="str">
        <f t="shared" si="4"/>
        <v>CUS60024</v>
      </c>
      <c r="B75" s="102" t="s">
        <v>323</v>
      </c>
      <c r="C75" s="102"/>
      <c r="D75" s="102"/>
      <c r="E75" s="97">
        <v>0</v>
      </c>
      <c r="F75" s="98" t="s">
        <v>214</v>
      </c>
      <c r="G75" s="99" t="s">
        <v>215</v>
      </c>
      <c r="H75" s="99"/>
      <c r="I75" s="99"/>
      <c r="J75" s="99"/>
      <c r="K75" s="37" t="s">
        <v>261</v>
      </c>
      <c r="L75" s="37">
        <v>60024</v>
      </c>
      <c r="M75" s="37">
        <v>4</v>
      </c>
      <c r="N75" s="38">
        <f>IF(COUNTIF(ScenarioTag,
IF(ScenarioSelected=$G$2,$G75,
IF(ScenarioSelected=$H$2,$H75,
IF(ScenarioSelected=$I$2,$I75,
IF(ScenarioSelected=$J$2,$J75,""))))
)&gt;0,$E75,0)</f>
        <v>0</v>
      </c>
    </row>
    <row r="76" spans="1:15" outlineLevel="1" x14ac:dyDescent="0.2">
      <c r="A76" s="33" t="str">
        <f t="shared" si="4"/>
        <v>CUS60025</v>
      </c>
      <c r="B76" s="100" t="s">
        <v>324</v>
      </c>
      <c r="C76" s="100"/>
      <c r="D76" s="100"/>
      <c r="E76" s="100"/>
      <c r="F76" s="91"/>
      <c r="G76" s="92"/>
      <c r="H76" s="92"/>
      <c r="I76" s="92"/>
      <c r="J76" s="92"/>
      <c r="K76" s="34" t="s">
        <v>261</v>
      </c>
      <c r="L76" s="34">
        <v>60025</v>
      </c>
      <c r="M76" s="34">
        <v>2</v>
      </c>
      <c r="N76" s="35">
        <f ca="1">SUBTOTAL(9,N77:(OFFSET(INDIRECT(N$1 &amp; $O76),-1,0)))</f>
        <v>0</v>
      </c>
      <c r="O76" s="21">
        <f>ROW($A79)</f>
        <v>79</v>
      </c>
    </row>
    <row r="77" spans="1:15" outlineLevel="2" x14ac:dyDescent="0.2">
      <c r="A77" s="50" t="str">
        <f t="shared" si="4"/>
        <v>CUS60026</v>
      </c>
      <c r="B77" s="101" t="s">
        <v>325</v>
      </c>
      <c r="C77" s="101"/>
      <c r="D77" s="101"/>
      <c r="E77" s="101"/>
      <c r="F77" s="94"/>
      <c r="G77" s="95"/>
      <c r="H77" s="95"/>
      <c r="I77" s="95"/>
      <c r="J77" s="95"/>
      <c r="K77" s="51" t="s">
        <v>261</v>
      </c>
      <c r="L77" s="51">
        <v>60026</v>
      </c>
      <c r="M77" s="51">
        <v>3</v>
      </c>
      <c r="N77" s="52">
        <f ca="1">SUBTOTAL(9,N78:(OFFSET(INDIRECT(N$1 &amp; $O77),-1,0)))</f>
        <v>0</v>
      </c>
      <c r="O77" s="21">
        <f>ROW($A79)</f>
        <v>79</v>
      </c>
    </row>
    <row r="78" spans="1:15" outlineLevel="3" x14ac:dyDescent="0.2">
      <c r="A78" s="36" t="str">
        <f t="shared" si="4"/>
        <v>CUS60027</v>
      </c>
      <c r="B78" s="102" t="s">
        <v>326</v>
      </c>
      <c r="C78" s="102"/>
      <c r="D78" s="102"/>
      <c r="E78" s="97">
        <v>0</v>
      </c>
      <c r="F78" s="98" t="s">
        <v>214</v>
      </c>
      <c r="G78" s="99" t="s">
        <v>215</v>
      </c>
      <c r="H78" s="99"/>
      <c r="I78" s="99"/>
      <c r="J78" s="99"/>
      <c r="K78" s="37" t="s">
        <v>261</v>
      </c>
      <c r="L78" s="37">
        <v>60027</v>
      </c>
      <c r="M78" s="37">
        <v>4</v>
      </c>
      <c r="N78" s="38">
        <f>IF(COUNTIF(ScenarioTag,
IF(ScenarioSelected=$G$2,$G78,
IF(ScenarioSelected=$H$2,$H78,
IF(ScenarioSelected=$I$2,$I78,
IF(ScenarioSelected=$J$2,$J78,""))))
)&gt;0,$E78,0)</f>
        <v>0</v>
      </c>
    </row>
    <row r="79" spans="1:15" outlineLevel="1" x14ac:dyDescent="0.2">
      <c r="A79" s="33" t="str">
        <f t="shared" si="4"/>
        <v>CUS60028</v>
      </c>
      <c r="B79" s="100" t="s">
        <v>327</v>
      </c>
      <c r="C79" s="100"/>
      <c r="D79" s="100"/>
      <c r="E79" s="100"/>
      <c r="F79" s="91"/>
      <c r="G79" s="92"/>
      <c r="H79" s="92"/>
      <c r="I79" s="92"/>
      <c r="J79" s="92"/>
      <c r="K79" s="34" t="s">
        <v>261</v>
      </c>
      <c r="L79" s="34">
        <v>60028</v>
      </c>
      <c r="M79" s="34">
        <v>2</v>
      </c>
      <c r="N79" s="35">
        <f ca="1">SUBTOTAL(9,N80:(OFFSET(INDIRECT(N$1 &amp; $O79),-1,0)))</f>
        <v>0</v>
      </c>
      <c r="O79" s="21">
        <f>ROW($A82)</f>
        <v>82</v>
      </c>
    </row>
    <row r="80" spans="1:15" outlineLevel="2" x14ac:dyDescent="0.2">
      <c r="A80" s="50" t="str">
        <f t="shared" si="4"/>
        <v>CUS60029</v>
      </c>
      <c r="B80" s="101" t="s">
        <v>328</v>
      </c>
      <c r="C80" s="101"/>
      <c r="D80" s="101"/>
      <c r="E80" s="101"/>
      <c r="F80" s="94"/>
      <c r="G80" s="95"/>
      <c r="H80" s="95"/>
      <c r="I80" s="95"/>
      <c r="J80" s="95"/>
      <c r="K80" s="51" t="s">
        <v>261</v>
      </c>
      <c r="L80" s="51">
        <v>60029</v>
      </c>
      <c r="M80" s="51">
        <v>3</v>
      </c>
      <c r="N80" s="52">
        <f ca="1">SUBTOTAL(9,N81:(OFFSET(INDIRECT(N$1 &amp; $O80),-1,0)))</f>
        <v>0</v>
      </c>
      <c r="O80" s="21">
        <f>ROW($A82)</f>
        <v>82</v>
      </c>
    </row>
    <row r="81" spans="1:15" outlineLevel="3" x14ac:dyDescent="0.2">
      <c r="A81" s="36" t="str">
        <f t="shared" si="4"/>
        <v>CUS60030</v>
      </c>
      <c r="B81" s="102" t="s">
        <v>537</v>
      </c>
      <c r="C81" s="102"/>
      <c r="D81" s="102"/>
      <c r="E81" s="97">
        <v>0</v>
      </c>
      <c r="F81" s="98" t="s">
        <v>214</v>
      </c>
      <c r="G81" s="99" t="s">
        <v>215</v>
      </c>
      <c r="H81" s="99"/>
      <c r="I81" s="99"/>
      <c r="J81" s="99"/>
      <c r="K81" s="37" t="s">
        <v>261</v>
      </c>
      <c r="L81" s="37">
        <v>60030</v>
      </c>
      <c r="M81" s="37">
        <v>4</v>
      </c>
      <c r="N81" s="38">
        <f>IF(COUNTIF(ScenarioTag,
IF(ScenarioSelected=$G$2,$G81,
IF(ScenarioSelected=$H$2,$H81,
IF(ScenarioSelected=$I$2,$I81,
IF(ScenarioSelected=$J$2,$J81,""))))
)&gt;0,$E81,0)</f>
        <v>0</v>
      </c>
    </row>
    <row r="82" spans="1:15" outlineLevel="1" x14ac:dyDescent="0.2">
      <c r="A82" s="33" t="str">
        <f t="shared" si="4"/>
        <v>CUS60031</v>
      </c>
      <c r="B82" s="100" t="s">
        <v>331</v>
      </c>
      <c r="C82" s="100"/>
      <c r="D82" s="100"/>
      <c r="E82" s="100"/>
      <c r="F82" s="91"/>
      <c r="G82" s="92"/>
      <c r="H82" s="92"/>
      <c r="I82" s="92"/>
      <c r="J82" s="92"/>
      <c r="K82" s="34" t="s">
        <v>261</v>
      </c>
      <c r="L82" s="34">
        <v>60031</v>
      </c>
      <c r="M82" s="34">
        <v>2</v>
      </c>
      <c r="N82" s="35">
        <f ca="1">SUBTOTAL(9,N83:(OFFSET(INDIRECT(N$1 &amp; $O82),-1,0)))</f>
        <v>0</v>
      </c>
      <c r="O82" s="21">
        <f>ROW($A85)</f>
        <v>85</v>
      </c>
    </row>
    <row r="83" spans="1:15" outlineLevel="2" x14ac:dyDescent="0.2">
      <c r="A83" s="50" t="str">
        <f t="shared" si="4"/>
        <v>CUS60032</v>
      </c>
      <c r="B83" s="101" t="s">
        <v>332</v>
      </c>
      <c r="C83" s="101"/>
      <c r="D83" s="101"/>
      <c r="E83" s="101"/>
      <c r="F83" s="94"/>
      <c r="G83" s="95"/>
      <c r="H83" s="95"/>
      <c r="I83" s="95"/>
      <c r="J83" s="95"/>
      <c r="K83" s="51" t="s">
        <v>261</v>
      </c>
      <c r="L83" s="51">
        <v>60032</v>
      </c>
      <c r="M83" s="51">
        <v>3</v>
      </c>
      <c r="N83" s="52">
        <f ca="1">SUBTOTAL(9,N84:(OFFSET(INDIRECT(N$1 &amp; $O83),-1,0)))</f>
        <v>0</v>
      </c>
      <c r="O83" s="21">
        <f>ROW($A85)</f>
        <v>85</v>
      </c>
    </row>
    <row r="84" spans="1:15" outlineLevel="3" x14ac:dyDescent="0.2">
      <c r="A84" s="36" t="str">
        <f t="shared" si="4"/>
        <v>CUS60033</v>
      </c>
      <c r="B84" s="102" t="s">
        <v>333</v>
      </c>
      <c r="C84" s="102"/>
      <c r="D84" s="102"/>
      <c r="E84" s="97">
        <v>0</v>
      </c>
      <c r="F84" s="98" t="s">
        <v>214</v>
      </c>
      <c r="G84" s="99" t="s">
        <v>215</v>
      </c>
      <c r="H84" s="99"/>
      <c r="I84" s="99"/>
      <c r="J84" s="99"/>
      <c r="K84" s="37" t="s">
        <v>261</v>
      </c>
      <c r="L84" s="37">
        <v>60033</v>
      </c>
      <c r="M84" s="37">
        <v>4</v>
      </c>
      <c r="N84" s="38">
        <f>IF(COUNTIF(ScenarioTag,
IF(ScenarioSelected=$G$2,$G84,
IF(ScenarioSelected=$H$2,$H84,
IF(ScenarioSelected=$I$2,$I84,
IF(ScenarioSelected=$J$2,$J84,""))))
)&gt;0,$E84,0)</f>
        <v>0</v>
      </c>
    </row>
    <row r="85" spans="1:15" outlineLevel="1" x14ac:dyDescent="0.2">
      <c r="A85" s="33" t="str">
        <f t="shared" si="4"/>
        <v>CUS60034</v>
      </c>
      <c r="B85" s="100" t="s">
        <v>334</v>
      </c>
      <c r="C85" s="100"/>
      <c r="D85" s="100"/>
      <c r="E85" s="100"/>
      <c r="F85" s="91"/>
      <c r="G85" s="92"/>
      <c r="H85" s="92"/>
      <c r="I85" s="92"/>
      <c r="J85" s="92"/>
      <c r="K85" s="34" t="s">
        <v>261</v>
      </c>
      <c r="L85" s="34">
        <v>60034</v>
      </c>
      <c r="M85" s="34">
        <v>2</v>
      </c>
      <c r="N85" s="35">
        <f ca="1">SUBTOTAL(9,N86:(OFFSET(INDIRECT(N$1 &amp; $O85),-1,0)))</f>
        <v>0</v>
      </c>
      <c r="O85" s="21">
        <f>ROW($A88)</f>
        <v>88</v>
      </c>
    </row>
    <row r="86" spans="1:15" outlineLevel="2" x14ac:dyDescent="0.2">
      <c r="A86" s="50" t="str">
        <f t="shared" si="4"/>
        <v>CUS60035</v>
      </c>
      <c r="B86" s="101" t="s">
        <v>335</v>
      </c>
      <c r="C86" s="101"/>
      <c r="D86" s="101"/>
      <c r="E86" s="101"/>
      <c r="F86" s="94"/>
      <c r="G86" s="95"/>
      <c r="H86" s="95"/>
      <c r="I86" s="95"/>
      <c r="J86" s="95"/>
      <c r="K86" s="51" t="s">
        <v>261</v>
      </c>
      <c r="L86" s="51">
        <v>60035</v>
      </c>
      <c r="M86" s="51">
        <v>3</v>
      </c>
      <c r="N86" s="52">
        <f ca="1">SUBTOTAL(9,N87:(OFFSET(INDIRECT(N$1 &amp; $O86),-1,0)))</f>
        <v>0</v>
      </c>
      <c r="O86" s="21">
        <f>ROW($A88)</f>
        <v>88</v>
      </c>
    </row>
    <row r="87" spans="1:15" outlineLevel="3" x14ac:dyDescent="0.2">
      <c r="A87" s="36" t="str">
        <f t="shared" si="4"/>
        <v>CUS60036</v>
      </c>
      <c r="B87" s="102" t="s">
        <v>336</v>
      </c>
      <c r="C87" s="102"/>
      <c r="D87" s="102"/>
      <c r="E87" s="97">
        <v>0</v>
      </c>
      <c r="F87" s="98" t="s">
        <v>214</v>
      </c>
      <c r="G87" s="99" t="s">
        <v>215</v>
      </c>
      <c r="H87" s="99"/>
      <c r="I87" s="99"/>
      <c r="J87" s="99"/>
      <c r="K87" s="37" t="s">
        <v>261</v>
      </c>
      <c r="L87" s="37">
        <v>60036</v>
      </c>
      <c r="M87" s="37">
        <v>4</v>
      </c>
      <c r="N87" s="38">
        <f>IF(COUNTIF(ScenarioTag,
IF(ScenarioSelected=$G$2,$G87,
IF(ScenarioSelected=$H$2,$H87,
IF(ScenarioSelected=$I$2,$I87,
IF(ScenarioSelected=$J$2,$J87,""))))
)&gt;0,$E87,0)</f>
        <v>0</v>
      </c>
    </row>
    <row r="88" spans="1:15" outlineLevel="1" x14ac:dyDescent="0.2">
      <c r="A88" s="33" t="str">
        <f t="shared" si="4"/>
        <v>CUS60037</v>
      </c>
      <c r="B88" s="100" t="s">
        <v>337</v>
      </c>
      <c r="C88" s="100"/>
      <c r="D88" s="100"/>
      <c r="E88" s="100"/>
      <c r="F88" s="91"/>
      <c r="G88" s="92"/>
      <c r="H88" s="92"/>
      <c r="I88" s="92"/>
      <c r="J88" s="92"/>
      <c r="K88" s="34" t="s">
        <v>261</v>
      </c>
      <c r="L88" s="34">
        <v>60037</v>
      </c>
      <c r="M88" s="34">
        <v>2</v>
      </c>
      <c r="N88" s="35">
        <f ca="1">SUBTOTAL(9,N89:(OFFSET(INDIRECT(N$1 &amp; $O88),-1,0)))</f>
        <v>0</v>
      </c>
      <c r="O88" s="21">
        <f>ROW($A91)</f>
        <v>91</v>
      </c>
    </row>
    <row r="89" spans="1:15" outlineLevel="2" x14ac:dyDescent="0.2">
      <c r="A89" s="50" t="str">
        <f t="shared" si="4"/>
        <v>CUS60038</v>
      </c>
      <c r="B89" s="101" t="s">
        <v>338</v>
      </c>
      <c r="C89" s="101"/>
      <c r="D89" s="101"/>
      <c r="E89" s="101"/>
      <c r="F89" s="94"/>
      <c r="G89" s="95"/>
      <c r="H89" s="95"/>
      <c r="I89" s="95"/>
      <c r="J89" s="95"/>
      <c r="K89" s="51" t="s">
        <v>261</v>
      </c>
      <c r="L89" s="51">
        <v>60038</v>
      </c>
      <c r="M89" s="51">
        <v>3</v>
      </c>
      <c r="N89" s="52">
        <f ca="1">SUBTOTAL(9,N90:(OFFSET(INDIRECT(N$1 &amp; $O89),-1,0)))</f>
        <v>0</v>
      </c>
      <c r="O89" s="21">
        <f>ROW($A91)</f>
        <v>91</v>
      </c>
    </row>
    <row r="90" spans="1:15" outlineLevel="3" x14ac:dyDescent="0.2">
      <c r="A90" s="36" t="str">
        <f t="shared" si="4"/>
        <v>CUS60039</v>
      </c>
      <c r="B90" s="102" t="s">
        <v>339</v>
      </c>
      <c r="C90" s="102"/>
      <c r="D90" s="102"/>
      <c r="E90" s="97">
        <v>0</v>
      </c>
      <c r="F90" s="98" t="s">
        <v>214</v>
      </c>
      <c r="G90" s="99" t="s">
        <v>215</v>
      </c>
      <c r="H90" s="99"/>
      <c r="I90" s="99"/>
      <c r="J90" s="99"/>
      <c r="K90" s="37" t="s">
        <v>261</v>
      </c>
      <c r="L90" s="37">
        <v>60039</v>
      </c>
      <c r="M90" s="37">
        <v>4</v>
      </c>
      <c r="N90" s="38">
        <f>IF(COUNTIF(ScenarioTag,
IF(ScenarioSelected=$G$2,$G90,
IF(ScenarioSelected=$H$2,$H90,
IF(ScenarioSelected=$I$2,$I90,
IF(ScenarioSelected=$J$2,$J90,""))))
)&gt;0,$E90,0)</f>
        <v>0</v>
      </c>
    </row>
    <row r="91" spans="1:15" outlineLevel="1" x14ac:dyDescent="0.2">
      <c r="A91" s="33" t="str">
        <f t="shared" si="4"/>
        <v>CUS60040</v>
      </c>
      <c r="B91" s="100" t="s">
        <v>340</v>
      </c>
      <c r="C91" s="100"/>
      <c r="D91" s="100"/>
      <c r="E91" s="100"/>
      <c r="F91" s="91"/>
      <c r="G91" s="92"/>
      <c r="H91" s="92"/>
      <c r="I91" s="92"/>
      <c r="J91" s="92"/>
      <c r="K91" s="34" t="s">
        <v>261</v>
      </c>
      <c r="L91" s="34">
        <v>60040</v>
      </c>
      <c r="M91" s="34">
        <v>2</v>
      </c>
      <c r="N91" s="35">
        <f ca="1">SUBTOTAL(9,N92:(OFFSET(INDIRECT(N$1 &amp; $O91),-1,0)))</f>
        <v>0</v>
      </c>
      <c r="O91" s="21">
        <f>ROW($A94)</f>
        <v>94</v>
      </c>
    </row>
    <row r="92" spans="1:15" outlineLevel="2" x14ac:dyDescent="0.2">
      <c r="A92" s="50" t="str">
        <f t="shared" si="4"/>
        <v>CUS60041</v>
      </c>
      <c r="B92" s="101" t="s">
        <v>341</v>
      </c>
      <c r="C92" s="101"/>
      <c r="D92" s="101"/>
      <c r="E92" s="101"/>
      <c r="F92" s="94"/>
      <c r="G92" s="95"/>
      <c r="H92" s="95"/>
      <c r="I92" s="95"/>
      <c r="J92" s="95"/>
      <c r="K92" s="51" t="s">
        <v>261</v>
      </c>
      <c r="L92" s="51">
        <v>60041</v>
      </c>
      <c r="M92" s="51">
        <v>3</v>
      </c>
      <c r="N92" s="52">
        <f ca="1">SUBTOTAL(9,N93:(OFFSET(INDIRECT(N$1 &amp; $O92),-1,0)))</f>
        <v>0</v>
      </c>
      <c r="O92" s="21">
        <f>ROW($A94)</f>
        <v>94</v>
      </c>
    </row>
    <row r="93" spans="1:15" outlineLevel="3" x14ac:dyDescent="0.2">
      <c r="A93" s="36" t="str">
        <f t="shared" si="4"/>
        <v>CUS60042</v>
      </c>
      <c r="B93" s="102" t="s">
        <v>342</v>
      </c>
      <c r="C93" s="102"/>
      <c r="D93" s="102"/>
      <c r="E93" s="97">
        <v>0</v>
      </c>
      <c r="F93" s="98" t="s">
        <v>214</v>
      </c>
      <c r="G93" s="99" t="s">
        <v>215</v>
      </c>
      <c r="H93" s="99"/>
      <c r="I93" s="99"/>
      <c r="J93" s="99"/>
      <c r="K93" s="37" t="s">
        <v>261</v>
      </c>
      <c r="L93" s="37">
        <v>60042</v>
      </c>
      <c r="M93" s="37">
        <v>4</v>
      </c>
      <c r="N93" s="38">
        <f>IF(COUNTIF(ScenarioTag,
IF(ScenarioSelected=$G$2,$G93,
IF(ScenarioSelected=$H$2,$H93,
IF(ScenarioSelected=$I$2,$I93,
IF(ScenarioSelected=$J$2,$J93,""))))
)&gt;0,$E93,0)</f>
        <v>0</v>
      </c>
    </row>
    <row r="94" spans="1:15" outlineLevel="1" x14ac:dyDescent="0.2">
      <c r="A94" s="33" t="str">
        <f t="shared" si="4"/>
        <v>CUS60043</v>
      </c>
      <c r="B94" s="100" t="s">
        <v>343</v>
      </c>
      <c r="C94" s="100"/>
      <c r="D94" s="100"/>
      <c r="E94" s="100"/>
      <c r="F94" s="91"/>
      <c r="G94" s="92"/>
      <c r="H94" s="92"/>
      <c r="I94" s="92"/>
      <c r="J94" s="92"/>
      <c r="K94" s="34" t="s">
        <v>261</v>
      </c>
      <c r="L94" s="34">
        <v>60043</v>
      </c>
      <c r="M94" s="34">
        <v>2</v>
      </c>
      <c r="N94" s="35">
        <f ca="1">SUBTOTAL(9,N95:(OFFSET(INDIRECT(N$1 &amp; $O94),-1,0)))</f>
        <v>0</v>
      </c>
      <c r="O94" s="21">
        <f>ROW($A97)</f>
        <v>97</v>
      </c>
    </row>
    <row r="95" spans="1:15" outlineLevel="2" x14ac:dyDescent="0.2">
      <c r="A95" s="50" t="str">
        <f t="shared" si="4"/>
        <v>CUS60044</v>
      </c>
      <c r="B95" s="101" t="s">
        <v>344</v>
      </c>
      <c r="C95" s="101"/>
      <c r="D95" s="101"/>
      <c r="E95" s="101"/>
      <c r="F95" s="94"/>
      <c r="G95" s="95"/>
      <c r="H95" s="95"/>
      <c r="I95" s="95"/>
      <c r="J95" s="95"/>
      <c r="K95" s="51" t="s">
        <v>261</v>
      </c>
      <c r="L95" s="51">
        <v>60044</v>
      </c>
      <c r="M95" s="51">
        <v>3</v>
      </c>
      <c r="N95" s="52">
        <f ca="1">SUBTOTAL(9,N96:(OFFSET(INDIRECT(N$1 &amp; $O95),-1,0)))</f>
        <v>0</v>
      </c>
      <c r="O95" s="21">
        <f>ROW($A97)</f>
        <v>97</v>
      </c>
    </row>
    <row r="96" spans="1:15" outlineLevel="3" x14ac:dyDescent="0.2">
      <c r="A96" s="36" t="str">
        <f t="shared" si="4"/>
        <v>CUS60045</v>
      </c>
      <c r="B96" s="102" t="s">
        <v>345</v>
      </c>
      <c r="C96" s="102"/>
      <c r="D96" s="102"/>
      <c r="E96" s="97">
        <v>0</v>
      </c>
      <c r="F96" s="98" t="s">
        <v>214</v>
      </c>
      <c r="G96" s="99" t="s">
        <v>215</v>
      </c>
      <c r="H96" s="99"/>
      <c r="I96" s="99"/>
      <c r="J96" s="99"/>
      <c r="K96" s="37" t="s">
        <v>261</v>
      </c>
      <c r="L96" s="37">
        <v>60045</v>
      </c>
      <c r="M96" s="37">
        <v>4</v>
      </c>
      <c r="N96" s="38">
        <f>IF(COUNTIF(ScenarioTag,
IF(ScenarioSelected=$G$2,$G96,
IF(ScenarioSelected=$H$2,$H96,
IF(ScenarioSelected=$I$2,$I96,
IF(ScenarioSelected=$J$2,$J96,""))))
)&gt;0,$E96,0)</f>
        <v>0</v>
      </c>
    </row>
    <row r="97" spans="1:15" outlineLevel="1" x14ac:dyDescent="0.2">
      <c r="A97" s="33" t="str">
        <f t="shared" si="4"/>
        <v>CUS60046</v>
      </c>
      <c r="B97" s="100" t="s">
        <v>346</v>
      </c>
      <c r="C97" s="100"/>
      <c r="D97" s="100"/>
      <c r="E97" s="100"/>
      <c r="F97" s="91"/>
      <c r="G97" s="92"/>
      <c r="H97" s="92"/>
      <c r="I97" s="92"/>
      <c r="J97" s="92"/>
      <c r="K97" s="34" t="s">
        <v>261</v>
      </c>
      <c r="L97" s="34">
        <v>60046</v>
      </c>
      <c r="M97" s="34">
        <v>2</v>
      </c>
      <c r="N97" s="35">
        <f ca="1">SUBTOTAL(9,N98:(OFFSET(INDIRECT(N$1 &amp; $O97),-1,0)))</f>
        <v>0</v>
      </c>
      <c r="O97" s="21">
        <f>ROW($A100)</f>
        <v>100</v>
      </c>
    </row>
    <row r="98" spans="1:15" outlineLevel="2" x14ac:dyDescent="0.2">
      <c r="A98" s="50" t="str">
        <f t="shared" si="4"/>
        <v>CUS60047</v>
      </c>
      <c r="B98" s="101" t="s">
        <v>347</v>
      </c>
      <c r="C98" s="101"/>
      <c r="D98" s="101"/>
      <c r="E98" s="101"/>
      <c r="F98" s="94"/>
      <c r="G98" s="95"/>
      <c r="H98" s="95"/>
      <c r="I98" s="95"/>
      <c r="J98" s="95"/>
      <c r="K98" s="51" t="s">
        <v>261</v>
      </c>
      <c r="L98" s="51">
        <v>60047</v>
      </c>
      <c r="M98" s="51">
        <v>3</v>
      </c>
      <c r="N98" s="52">
        <f ca="1">SUBTOTAL(9,N99:(OFFSET(INDIRECT(N$1 &amp; $O98),-1,0)))</f>
        <v>0</v>
      </c>
      <c r="O98" s="21">
        <f>ROW($A100)</f>
        <v>100</v>
      </c>
    </row>
    <row r="99" spans="1:15" outlineLevel="3" x14ac:dyDescent="0.2">
      <c r="A99" s="36" t="str">
        <f t="shared" si="4"/>
        <v>CUS60048</v>
      </c>
      <c r="B99" s="102" t="s">
        <v>348</v>
      </c>
      <c r="C99" s="102"/>
      <c r="D99" s="102"/>
      <c r="E99" s="97">
        <v>0</v>
      </c>
      <c r="F99" s="98" t="s">
        <v>214</v>
      </c>
      <c r="G99" s="99" t="s">
        <v>215</v>
      </c>
      <c r="H99" s="99"/>
      <c r="I99" s="99"/>
      <c r="J99" s="99"/>
      <c r="K99" s="37" t="s">
        <v>261</v>
      </c>
      <c r="L99" s="37">
        <v>60048</v>
      </c>
      <c r="M99" s="37">
        <v>4</v>
      </c>
      <c r="N99" s="38">
        <f>IF(COUNTIF(ScenarioTag,
IF(ScenarioSelected=$G$2,$G99,
IF(ScenarioSelected=$H$2,$H99,
IF(ScenarioSelected=$I$2,$I99,
IF(ScenarioSelected=$J$2,$J99,""))))
)&gt;0,$E99,0)</f>
        <v>0</v>
      </c>
    </row>
    <row r="100" spans="1:15" outlineLevel="1" x14ac:dyDescent="0.2">
      <c r="A100" s="33" t="str">
        <f t="shared" si="4"/>
        <v>CUS60049</v>
      </c>
      <c r="B100" s="100" t="s">
        <v>349</v>
      </c>
      <c r="C100" s="100"/>
      <c r="D100" s="100"/>
      <c r="E100" s="100"/>
      <c r="F100" s="91"/>
      <c r="G100" s="92"/>
      <c r="H100" s="92"/>
      <c r="I100" s="92"/>
      <c r="J100" s="92"/>
      <c r="K100" s="34" t="s">
        <v>261</v>
      </c>
      <c r="L100" s="34">
        <v>60049</v>
      </c>
      <c r="M100" s="34">
        <v>2</v>
      </c>
      <c r="N100" s="35">
        <f ca="1">SUBTOTAL(9,N101:(OFFSET(INDIRECT(N$1 &amp; $O100),-1,0)))</f>
        <v>0</v>
      </c>
      <c r="O100" s="21">
        <f>ROW($A103)</f>
        <v>103</v>
      </c>
    </row>
    <row r="101" spans="1:15" outlineLevel="2" x14ac:dyDescent="0.2">
      <c r="A101" s="50" t="str">
        <f t="shared" si="4"/>
        <v>CUS60050</v>
      </c>
      <c r="B101" s="101" t="s">
        <v>350</v>
      </c>
      <c r="C101" s="101"/>
      <c r="D101" s="101"/>
      <c r="E101" s="101"/>
      <c r="F101" s="94"/>
      <c r="G101" s="95"/>
      <c r="H101" s="95"/>
      <c r="I101" s="95"/>
      <c r="J101" s="95"/>
      <c r="K101" s="51" t="s">
        <v>261</v>
      </c>
      <c r="L101" s="51">
        <v>60050</v>
      </c>
      <c r="M101" s="51">
        <v>3</v>
      </c>
      <c r="N101" s="52">
        <f ca="1">SUBTOTAL(9,N102:(OFFSET(INDIRECT(N$1 &amp; $O101),-1,0)))</f>
        <v>0</v>
      </c>
      <c r="O101" s="21">
        <f>ROW($A103)</f>
        <v>103</v>
      </c>
    </row>
    <row r="102" spans="1:15" outlineLevel="3" x14ac:dyDescent="0.2">
      <c r="A102" s="36" t="str">
        <f t="shared" si="4"/>
        <v>CUS60051</v>
      </c>
      <c r="B102" s="102" t="s">
        <v>351</v>
      </c>
      <c r="C102" s="102"/>
      <c r="D102" s="102"/>
      <c r="E102" s="97">
        <v>0</v>
      </c>
      <c r="F102" s="98" t="s">
        <v>214</v>
      </c>
      <c r="G102" s="99" t="s">
        <v>215</v>
      </c>
      <c r="H102" s="99"/>
      <c r="I102" s="99"/>
      <c r="J102" s="99"/>
      <c r="K102" s="37" t="s">
        <v>261</v>
      </c>
      <c r="L102" s="37">
        <v>60051</v>
      </c>
      <c r="M102" s="37">
        <v>4</v>
      </c>
      <c r="N102" s="38">
        <f>IF(COUNTIF(ScenarioTag,
IF(ScenarioSelected=$G$2,$G102,
IF(ScenarioSelected=$H$2,$H102,
IF(ScenarioSelected=$I$2,$I102,
IF(ScenarioSelected=$J$2,$J102,""))))
)&gt;0,$E102,0)</f>
        <v>0</v>
      </c>
    </row>
    <row r="103" spans="1:15" outlineLevel="1" x14ac:dyDescent="0.2">
      <c r="A103" s="33" t="str">
        <f t="shared" si="4"/>
        <v>CUS60052</v>
      </c>
      <c r="B103" s="100" t="s">
        <v>352</v>
      </c>
      <c r="C103" s="100"/>
      <c r="D103" s="100"/>
      <c r="E103" s="100"/>
      <c r="F103" s="91"/>
      <c r="G103" s="92"/>
      <c r="H103" s="92"/>
      <c r="I103" s="92"/>
      <c r="J103" s="92"/>
      <c r="K103" s="34" t="s">
        <v>261</v>
      </c>
      <c r="L103" s="34">
        <v>60052</v>
      </c>
      <c r="M103" s="34">
        <v>2</v>
      </c>
      <c r="N103" s="35">
        <f ca="1">SUBTOTAL(9,N104:(OFFSET(INDIRECT(N$1 &amp; $O103),-1,0)))</f>
        <v>0</v>
      </c>
      <c r="O103" s="21">
        <f>ROW($A106)</f>
        <v>106</v>
      </c>
    </row>
    <row r="104" spans="1:15" outlineLevel="2" x14ac:dyDescent="0.2">
      <c r="A104" s="50" t="str">
        <f t="shared" si="4"/>
        <v>CUS60053</v>
      </c>
      <c r="B104" s="101" t="s">
        <v>353</v>
      </c>
      <c r="C104" s="101"/>
      <c r="D104" s="101"/>
      <c r="E104" s="101"/>
      <c r="F104" s="94"/>
      <c r="G104" s="95"/>
      <c r="H104" s="95"/>
      <c r="I104" s="95"/>
      <c r="J104" s="95"/>
      <c r="K104" s="51" t="s">
        <v>261</v>
      </c>
      <c r="L104" s="51">
        <v>60053</v>
      </c>
      <c r="M104" s="51">
        <v>3</v>
      </c>
      <c r="N104" s="52">
        <f ca="1">SUBTOTAL(9,N105:(OFFSET(INDIRECT(N$1 &amp; $O104),-1,0)))</f>
        <v>0</v>
      </c>
      <c r="O104" s="21">
        <f>ROW($A106)</f>
        <v>106</v>
      </c>
    </row>
    <row r="105" spans="1:15" outlineLevel="3" x14ac:dyDescent="0.2">
      <c r="A105" s="36" t="str">
        <f t="shared" si="4"/>
        <v>CUS60054</v>
      </c>
      <c r="B105" s="102" t="s">
        <v>354</v>
      </c>
      <c r="C105" s="102"/>
      <c r="D105" s="102"/>
      <c r="E105" s="97">
        <v>0</v>
      </c>
      <c r="F105" s="98" t="s">
        <v>214</v>
      </c>
      <c r="G105" s="99" t="s">
        <v>215</v>
      </c>
      <c r="H105" s="99"/>
      <c r="I105" s="99"/>
      <c r="J105" s="99"/>
      <c r="K105" s="37" t="s">
        <v>261</v>
      </c>
      <c r="L105" s="37">
        <v>60054</v>
      </c>
      <c r="M105" s="37">
        <v>4</v>
      </c>
      <c r="N105" s="38">
        <f>IF(COUNTIF(ScenarioTag,
IF(ScenarioSelected=$G$2,$G105,
IF(ScenarioSelected=$H$2,$H105,
IF(ScenarioSelected=$I$2,$I105,
IF(ScenarioSelected=$J$2,$J105,""))))
)&gt;0,$E105,0)</f>
        <v>0</v>
      </c>
    </row>
    <row r="106" spans="1:15" outlineLevel="1" x14ac:dyDescent="0.2">
      <c r="A106" s="33" t="str">
        <f t="shared" si="4"/>
        <v>CUS60055</v>
      </c>
      <c r="B106" s="100" t="s">
        <v>355</v>
      </c>
      <c r="C106" s="100"/>
      <c r="D106" s="100"/>
      <c r="E106" s="100"/>
      <c r="F106" s="91"/>
      <c r="G106" s="92"/>
      <c r="H106" s="92"/>
      <c r="I106" s="92"/>
      <c r="J106" s="92"/>
      <c r="K106" s="34" t="s">
        <v>261</v>
      </c>
      <c r="L106" s="34">
        <v>60055</v>
      </c>
      <c r="M106" s="34">
        <v>2</v>
      </c>
      <c r="N106" s="35">
        <f ca="1">SUBTOTAL(9,N107:(OFFSET(INDIRECT(N$1 &amp; $O106),-1,0)))</f>
        <v>0</v>
      </c>
      <c r="O106" s="21">
        <f>ROW($A109)</f>
        <v>109</v>
      </c>
    </row>
    <row r="107" spans="1:15" outlineLevel="2" x14ac:dyDescent="0.2">
      <c r="A107" s="50" t="str">
        <f t="shared" si="4"/>
        <v>CUS60056</v>
      </c>
      <c r="B107" s="101" t="s">
        <v>356</v>
      </c>
      <c r="C107" s="101"/>
      <c r="D107" s="101"/>
      <c r="E107" s="101"/>
      <c r="F107" s="94"/>
      <c r="G107" s="95"/>
      <c r="H107" s="95"/>
      <c r="I107" s="95"/>
      <c r="J107" s="95"/>
      <c r="K107" s="51" t="s">
        <v>261</v>
      </c>
      <c r="L107" s="51">
        <v>60056</v>
      </c>
      <c r="M107" s="51">
        <v>3</v>
      </c>
      <c r="N107" s="52">
        <f ca="1">SUBTOTAL(9,N108:(OFFSET(INDIRECT(N$1 &amp; $O107),-1,0)))</f>
        <v>0</v>
      </c>
      <c r="O107" s="21">
        <f>ROW($A109)</f>
        <v>109</v>
      </c>
    </row>
    <row r="108" spans="1:15" outlineLevel="3" x14ac:dyDescent="0.2">
      <c r="A108" s="36" t="str">
        <f t="shared" si="4"/>
        <v>CUS60057</v>
      </c>
      <c r="B108" s="102" t="s">
        <v>357</v>
      </c>
      <c r="C108" s="102"/>
      <c r="D108" s="102"/>
      <c r="E108" s="97">
        <v>0</v>
      </c>
      <c r="F108" s="98" t="s">
        <v>214</v>
      </c>
      <c r="G108" s="99" t="s">
        <v>215</v>
      </c>
      <c r="H108" s="99"/>
      <c r="I108" s="99"/>
      <c r="J108" s="99"/>
      <c r="K108" s="37" t="s">
        <v>261</v>
      </c>
      <c r="L108" s="37">
        <v>60057</v>
      </c>
      <c r="M108" s="37">
        <v>4</v>
      </c>
      <c r="N108" s="38">
        <f>IF(COUNTIF(ScenarioTag,
IF(ScenarioSelected=$G$2,$G108,
IF(ScenarioSelected=$H$2,$H108,
IF(ScenarioSelected=$I$2,$I108,
IF(ScenarioSelected=$J$2,$J108,""))))
)&gt;0,$E108,0)</f>
        <v>0</v>
      </c>
    </row>
    <row r="109" spans="1:15" ht="25.15" customHeight="1" x14ac:dyDescent="0.2">
      <c r="A109" s="28" t="str">
        <f t="shared" si="4"/>
        <v>SER60000</v>
      </c>
      <c r="B109" s="86" t="s">
        <v>358</v>
      </c>
      <c r="C109" s="87"/>
      <c r="D109" s="87"/>
      <c r="E109" s="87"/>
      <c r="F109" s="88"/>
      <c r="G109" s="89"/>
      <c r="H109" s="89"/>
      <c r="I109" s="89"/>
      <c r="J109" s="89"/>
      <c r="K109" s="29" t="s">
        <v>359</v>
      </c>
      <c r="L109" s="29">
        <v>60000</v>
      </c>
      <c r="M109" s="29">
        <v>1</v>
      </c>
      <c r="N109" s="30">
        <f ca="1">SUBTOTAL(9,N110:(OFFSET(INDIRECT(N$1 &amp; $O109),-1,0)))</f>
        <v>0</v>
      </c>
      <c r="O109" s="21">
        <f>ROW($A132)</f>
        <v>132</v>
      </c>
    </row>
    <row r="110" spans="1:15" s="112" customFormat="1" ht="4.1500000000000004" customHeight="1" outlineLevel="1" x14ac:dyDescent="0.2">
      <c r="A110" s="107"/>
      <c r="B110" s="113"/>
      <c r="C110" s="114"/>
      <c r="D110" s="114"/>
      <c r="E110" s="114"/>
      <c r="F110" s="109"/>
      <c r="G110" s="115"/>
      <c r="H110" s="115"/>
      <c r="I110" s="115"/>
      <c r="J110" s="115"/>
      <c r="K110" s="109"/>
      <c r="L110" s="109"/>
      <c r="M110" s="109">
        <v>-1</v>
      </c>
      <c r="N110" s="104"/>
      <c r="O110" s="111"/>
    </row>
    <row r="111" spans="1:15" outlineLevel="1" x14ac:dyDescent="0.2">
      <c r="A111" s="33" t="str">
        <f t="shared" ref="A111:A132" si="6">K111 &amp; TEXT(L111,"00000")</f>
        <v>SER60001</v>
      </c>
      <c r="B111" s="100" t="s">
        <v>360</v>
      </c>
      <c r="C111" s="100"/>
      <c r="D111" s="100"/>
      <c r="E111" s="100"/>
      <c r="F111" s="91"/>
      <c r="G111" s="92"/>
      <c r="H111" s="92"/>
      <c r="I111" s="92"/>
      <c r="J111" s="92"/>
      <c r="K111" s="34" t="s">
        <v>359</v>
      </c>
      <c r="L111" s="34">
        <v>60001</v>
      </c>
      <c r="M111" s="34">
        <v>2</v>
      </c>
      <c r="N111" s="35">
        <f ca="1">SUBTOTAL(9,N112:(OFFSET(INDIRECT(N$1 &amp; $O111),-1,0)))</f>
        <v>0</v>
      </c>
      <c r="O111" s="21">
        <f>ROW($A114)</f>
        <v>114</v>
      </c>
    </row>
    <row r="112" spans="1:15" outlineLevel="2" x14ac:dyDescent="0.2">
      <c r="A112" s="50" t="str">
        <f t="shared" si="6"/>
        <v>SER60002</v>
      </c>
      <c r="B112" s="101" t="s">
        <v>361</v>
      </c>
      <c r="C112" s="101"/>
      <c r="D112" s="101"/>
      <c r="E112" s="101"/>
      <c r="F112" s="94"/>
      <c r="G112" s="95"/>
      <c r="H112" s="95"/>
      <c r="I112" s="95"/>
      <c r="J112" s="95"/>
      <c r="K112" s="51" t="s">
        <v>359</v>
      </c>
      <c r="L112" s="51">
        <v>60002</v>
      </c>
      <c r="M112" s="51">
        <v>3</v>
      </c>
      <c r="N112" s="52">
        <f ca="1">SUBTOTAL(9,N113:(OFFSET(INDIRECT(N$1 &amp; $O112),-1,0)))</f>
        <v>0</v>
      </c>
      <c r="O112" s="21">
        <f>ROW($A114)</f>
        <v>114</v>
      </c>
    </row>
    <row r="113" spans="1:15" outlineLevel="3" x14ac:dyDescent="0.2">
      <c r="A113" s="36" t="str">
        <f t="shared" si="6"/>
        <v>SER60003</v>
      </c>
      <c r="B113" s="102" t="s">
        <v>362</v>
      </c>
      <c r="C113" s="102"/>
      <c r="D113" s="102"/>
      <c r="E113" s="97">
        <v>0</v>
      </c>
      <c r="F113" s="98" t="s">
        <v>214</v>
      </c>
      <c r="G113" s="99" t="s">
        <v>215</v>
      </c>
      <c r="H113" s="99"/>
      <c r="I113" s="99"/>
      <c r="J113" s="99"/>
      <c r="K113" s="37" t="s">
        <v>359</v>
      </c>
      <c r="L113" s="37">
        <v>60003</v>
      </c>
      <c r="M113" s="37">
        <v>4</v>
      </c>
      <c r="N113" s="38">
        <f>IF(COUNTIF(ScenarioTag,
IF(ScenarioSelected=$G$2,$G113,
IF(ScenarioSelected=$H$2,$H113,
IF(ScenarioSelected=$I$2,$I113,
IF(ScenarioSelected=$J$2,$J113,""))))
)&gt;0,$E113,0)</f>
        <v>0</v>
      </c>
    </row>
    <row r="114" spans="1:15" outlineLevel="1" x14ac:dyDescent="0.2">
      <c r="A114" s="33" t="str">
        <f t="shared" si="6"/>
        <v>SER60004</v>
      </c>
      <c r="B114" s="100" t="s">
        <v>363</v>
      </c>
      <c r="C114" s="100"/>
      <c r="D114" s="100"/>
      <c r="E114" s="100"/>
      <c r="F114" s="91"/>
      <c r="G114" s="92"/>
      <c r="H114" s="92"/>
      <c r="I114" s="92"/>
      <c r="J114" s="92"/>
      <c r="K114" s="34" t="s">
        <v>359</v>
      </c>
      <c r="L114" s="34">
        <v>60004</v>
      </c>
      <c r="M114" s="34">
        <v>2</v>
      </c>
      <c r="N114" s="35">
        <f ca="1">SUBTOTAL(9,N115:(OFFSET(INDIRECT(N$1 &amp; $O114),-1,0)))</f>
        <v>0</v>
      </c>
      <c r="O114" s="21">
        <f>ROW($A117)</f>
        <v>117</v>
      </c>
    </row>
    <row r="115" spans="1:15" outlineLevel="2" x14ac:dyDescent="0.2">
      <c r="A115" s="50" t="str">
        <f t="shared" si="6"/>
        <v>SER60005</v>
      </c>
      <c r="B115" s="101" t="s">
        <v>364</v>
      </c>
      <c r="C115" s="101"/>
      <c r="D115" s="101"/>
      <c r="E115" s="101"/>
      <c r="F115" s="94"/>
      <c r="G115" s="95"/>
      <c r="H115" s="95"/>
      <c r="I115" s="95"/>
      <c r="J115" s="95"/>
      <c r="K115" s="51" t="s">
        <v>359</v>
      </c>
      <c r="L115" s="51">
        <v>60005</v>
      </c>
      <c r="M115" s="51">
        <v>3</v>
      </c>
      <c r="N115" s="52">
        <f ca="1">SUBTOTAL(9,N116:(OFFSET(INDIRECT(N$1 &amp; $O115),-1,0)))</f>
        <v>0</v>
      </c>
      <c r="O115" s="21">
        <f>ROW($A117)</f>
        <v>117</v>
      </c>
    </row>
    <row r="116" spans="1:15" outlineLevel="3" x14ac:dyDescent="0.2">
      <c r="A116" s="36" t="str">
        <f t="shared" si="6"/>
        <v>SER60006</v>
      </c>
      <c r="B116" s="102" t="s">
        <v>365</v>
      </c>
      <c r="C116" s="102"/>
      <c r="D116" s="102"/>
      <c r="E116" s="97">
        <v>0</v>
      </c>
      <c r="F116" s="98" t="s">
        <v>214</v>
      </c>
      <c r="G116" s="99" t="s">
        <v>215</v>
      </c>
      <c r="H116" s="99"/>
      <c r="I116" s="99"/>
      <c r="J116" s="99"/>
      <c r="K116" s="37" t="s">
        <v>359</v>
      </c>
      <c r="L116" s="37">
        <v>60006</v>
      </c>
      <c r="M116" s="37">
        <v>4</v>
      </c>
      <c r="N116" s="38">
        <f>IF(COUNTIF(ScenarioTag,
IF(ScenarioSelected=$G$2,$G116,
IF(ScenarioSelected=$H$2,$H116,
IF(ScenarioSelected=$I$2,$I116,
IF(ScenarioSelected=$J$2,$J116,""))))
)&gt;0,$E116,0)</f>
        <v>0</v>
      </c>
    </row>
    <row r="117" spans="1:15" outlineLevel="1" x14ac:dyDescent="0.2">
      <c r="A117" s="33" t="str">
        <f t="shared" si="6"/>
        <v>SER60007</v>
      </c>
      <c r="B117" s="100" t="s">
        <v>366</v>
      </c>
      <c r="C117" s="100"/>
      <c r="D117" s="100"/>
      <c r="E117" s="100"/>
      <c r="F117" s="91"/>
      <c r="G117" s="92"/>
      <c r="H117" s="92"/>
      <c r="I117" s="92"/>
      <c r="J117" s="92"/>
      <c r="K117" s="34" t="s">
        <v>359</v>
      </c>
      <c r="L117" s="34">
        <v>60007</v>
      </c>
      <c r="M117" s="34">
        <v>2</v>
      </c>
      <c r="N117" s="35">
        <f ca="1">SUBTOTAL(9,N118:(OFFSET(INDIRECT(N$1 &amp; $O117),-1,0)))</f>
        <v>0</v>
      </c>
      <c r="O117" s="21">
        <f>ROW($A120)</f>
        <v>120</v>
      </c>
    </row>
    <row r="118" spans="1:15" outlineLevel="2" x14ac:dyDescent="0.2">
      <c r="A118" s="50" t="str">
        <f t="shared" si="6"/>
        <v>SER60008</v>
      </c>
      <c r="B118" s="101" t="s">
        <v>367</v>
      </c>
      <c r="C118" s="101"/>
      <c r="D118" s="101"/>
      <c r="E118" s="101"/>
      <c r="F118" s="94"/>
      <c r="G118" s="95"/>
      <c r="H118" s="95"/>
      <c r="I118" s="95"/>
      <c r="J118" s="95"/>
      <c r="K118" s="51" t="s">
        <v>359</v>
      </c>
      <c r="L118" s="51">
        <v>60008</v>
      </c>
      <c r="M118" s="51">
        <v>3</v>
      </c>
      <c r="N118" s="52">
        <f ca="1">SUBTOTAL(9,N119:(OFFSET(INDIRECT(N$1 &amp; $O118),-1,0)))</f>
        <v>0</v>
      </c>
      <c r="O118" s="21">
        <f>ROW($A120)</f>
        <v>120</v>
      </c>
    </row>
    <row r="119" spans="1:15" outlineLevel="3" x14ac:dyDescent="0.2">
      <c r="A119" s="36" t="str">
        <f t="shared" si="6"/>
        <v>SER60009</v>
      </c>
      <c r="B119" s="102" t="s">
        <v>368</v>
      </c>
      <c r="C119" s="102"/>
      <c r="D119" s="102"/>
      <c r="E119" s="97">
        <v>0</v>
      </c>
      <c r="F119" s="98" t="s">
        <v>214</v>
      </c>
      <c r="G119" s="99" t="s">
        <v>215</v>
      </c>
      <c r="H119" s="99"/>
      <c r="I119" s="99"/>
      <c r="J119" s="99"/>
      <c r="K119" s="37" t="s">
        <v>359</v>
      </c>
      <c r="L119" s="37">
        <v>60009</v>
      </c>
      <c r="M119" s="37">
        <v>4</v>
      </c>
      <c r="N119" s="38">
        <f>IF(COUNTIF(ScenarioTag,
IF(ScenarioSelected=$G$2,$G119,
IF(ScenarioSelected=$H$2,$H119,
IF(ScenarioSelected=$I$2,$I119,
IF(ScenarioSelected=$J$2,$J119,""))))
)&gt;0,$E119,0)</f>
        <v>0</v>
      </c>
    </row>
    <row r="120" spans="1:15" outlineLevel="1" x14ac:dyDescent="0.2">
      <c r="A120" s="33" t="str">
        <f t="shared" si="6"/>
        <v>SER60010</v>
      </c>
      <c r="B120" s="100" t="s">
        <v>369</v>
      </c>
      <c r="C120" s="100"/>
      <c r="D120" s="100"/>
      <c r="E120" s="100"/>
      <c r="F120" s="91"/>
      <c r="G120" s="92"/>
      <c r="H120" s="92"/>
      <c r="I120" s="92"/>
      <c r="J120" s="92"/>
      <c r="K120" s="34" t="s">
        <v>359</v>
      </c>
      <c r="L120" s="34">
        <v>60010</v>
      </c>
      <c r="M120" s="34">
        <v>2</v>
      </c>
      <c r="N120" s="35">
        <f ca="1">SUBTOTAL(9,N121:(OFFSET(INDIRECT(N$1 &amp; $O120),-1,0)))</f>
        <v>0</v>
      </c>
      <c r="O120" s="21">
        <f>ROW($A123)</f>
        <v>123</v>
      </c>
    </row>
    <row r="121" spans="1:15" outlineLevel="2" x14ac:dyDescent="0.2">
      <c r="A121" s="50" t="str">
        <f t="shared" si="6"/>
        <v>SER60011</v>
      </c>
      <c r="B121" s="101" t="s">
        <v>370</v>
      </c>
      <c r="C121" s="101"/>
      <c r="D121" s="101"/>
      <c r="E121" s="101"/>
      <c r="F121" s="94"/>
      <c r="G121" s="95"/>
      <c r="H121" s="95"/>
      <c r="I121" s="95"/>
      <c r="J121" s="95"/>
      <c r="K121" s="51" t="s">
        <v>359</v>
      </c>
      <c r="L121" s="51">
        <v>60011</v>
      </c>
      <c r="M121" s="51">
        <v>3</v>
      </c>
      <c r="N121" s="52">
        <f ca="1">SUBTOTAL(9,N122:(OFFSET(INDIRECT(N$1 &amp; $O121),-1,0)))</f>
        <v>0</v>
      </c>
      <c r="O121" s="21">
        <f>ROW($A123)</f>
        <v>123</v>
      </c>
    </row>
    <row r="122" spans="1:15" outlineLevel="3" x14ac:dyDescent="0.2">
      <c r="A122" s="36" t="str">
        <f t="shared" si="6"/>
        <v>SER60012</v>
      </c>
      <c r="B122" s="102" t="s">
        <v>371</v>
      </c>
      <c r="C122" s="102"/>
      <c r="D122" s="102"/>
      <c r="E122" s="97">
        <v>0</v>
      </c>
      <c r="F122" s="98" t="s">
        <v>214</v>
      </c>
      <c r="G122" s="99" t="s">
        <v>215</v>
      </c>
      <c r="H122" s="99"/>
      <c r="I122" s="99"/>
      <c r="J122" s="99"/>
      <c r="K122" s="37" t="s">
        <v>359</v>
      </c>
      <c r="L122" s="37">
        <v>60012</v>
      </c>
      <c r="M122" s="37">
        <v>4</v>
      </c>
      <c r="N122" s="38">
        <f>IF(COUNTIF(ScenarioTag,
IF(ScenarioSelected=$G$2,$G122,
IF(ScenarioSelected=$H$2,$H122,
IF(ScenarioSelected=$I$2,$I122,
IF(ScenarioSelected=$J$2,$J122,""))))
)&gt;0,$E122,0)</f>
        <v>0</v>
      </c>
    </row>
    <row r="123" spans="1:15" outlineLevel="1" x14ac:dyDescent="0.2">
      <c r="A123" s="33" t="str">
        <f t="shared" si="6"/>
        <v>SER60013</v>
      </c>
      <c r="B123" s="100" t="s">
        <v>372</v>
      </c>
      <c r="C123" s="100"/>
      <c r="D123" s="100"/>
      <c r="E123" s="100"/>
      <c r="F123" s="91"/>
      <c r="G123" s="92"/>
      <c r="H123" s="92"/>
      <c r="I123" s="92"/>
      <c r="J123" s="92"/>
      <c r="K123" s="34" t="s">
        <v>359</v>
      </c>
      <c r="L123" s="34">
        <v>60013</v>
      </c>
      <c r="M123" s="34">
        <v>2</v>
      </c>
      <c r="N123" s="35">
        <f ca="1">SUBTOTAL(9,N124:(OFFSET(INDIRECT(N$1 &amp; $O123),-1,0)))</f>
        <v>0</v>
      </c>
      <c r="O123" s="21">
        <f>ROW($A126)</f>
        <v>126</v>
      </c>
    </row>
    <row r="124" spans="1:15" outlineLevel="2" x14ac:dyDescent="0.2">
      <c r="A124" s="50" t="str">
        <f t="shared" si="6"/>
        <v>SER60014</v>
      </c>
      <c r="B124" s="101" t="s">
        <v>373</v>
      </c>
      <c r="C124" s="101"/>
      <c r="D124" s="101"/>
      <c r="E124" s="101"/>
      <c r="F124" s="94"/>
      <c r="G124" s="95"/>
      <c r="H124" s="95"/>
      <c r="I124" s="95"/>
      <c r="J124" s="95"/>
      <c r="K124" s="51" t="s">
        <v>359</v>
      </c>
      <c r="L124" s="51">
        <v>60014</v>
      </c>
      <c r="M124" s="51">
        <v>3</v>
      </c>
      <c r="N124" s="52">
        <f ca="1">SUBTOTAL(9,N125:(OFFSET(INDIRECT(N$1 &amp; $O124),-1,0)))</f>
        <v>0</v>
      </c>
      <c r="O124" s="21">
        <f>ROW($A126)</f>
        <v>126</v>
      </c>
    </row>
    <row r="125" spans="1:15" outlineLevel="3" x14ac:dyDescent="0.2">
      <c r="A125" s="36" t="str">
        <f t="shared" si="6"/>
        <v>SER60015</v>
      </c>
      <c r="B125" s="102" t="s">
        <v>374</v>
      </c>
      <c r="C125" s="102"/>
      <c r="D125" s="102"/>
      <c r="E125" s="97">
        <v>0</v>
      </c>
      <c r="F125" s="98" t="s">
        <v>214</v>
      </c>
      <c r="G125" s="99" t="s">
        <v>215</v>
      </c>
      <c r="H125" s="99"/>
      <c r="I125" s="99"/>
      <c r="J125" s="99"/>
      <c r="K125" s="37" t="s">
        <v>359</v>
      </c>
      <c r="L125" s="37">
        <v>60015</v>
      </c>
      <c r="M125" s="37">
        <v>4</v>
      </c>
      <c r="N125" s="38">
        <f>IF(COUNTIF(ScenarioTag,
IF(ScenarioSelected=$G$2,$G125,
IF(ScenarioSelected=$H$2,$H125,
IF(ScenarioSelected=$I$2,$I125,
IF(ScenarioSelected=$J$2,$J125,""))))
)&gt;0,$E125,0)</f>
        <v>0</v>
      </c>
    </row>
    <row r="126" spans="1:15" outlineLevel="1" x14ac:dyDescent="0.2">
      <c r="A126" s="33" t="str">
        <f t="shared" si="6"/>
        <v>SER60016</v>
      </c>
      <c r="B126" s="100" t="s">
        <v>375</v>
      </c>
      <c r="C126" s="100"/>
      <c r="D126" s="100"/>
      <c r="E126" s="100"/>
      <c r="F126" s="91"/>
      <c r="G126" s="92"/>
      <c r="H126" s="92"/>
      <c r="I126" s="92"/>
      <c r="J126" s="92"/>
      <c r="K126" s="34" t="s">
        <v>359</v>
      </c>
      <c r="L126" s="34">
        <v>60016</v>
      </c>
      <c r="M126" s="34">
        <v>2</v>
      </c>
      <c r="N126" s="35">
        <f ca="1">SUBTOTAL(9,N127:(OFFSET(INDIRECT(N$1 &amp; $O126),-1,0)))</f>
        <v>0</v>
      </c>
      <c r="O126" s="21">
        <f>ROW($A129)</f>
        <v>129</v>
      </c>
    </row>
    <row r="127" spans="1:15" outlineLevel="2" x14ac:dyDescent="0.2">
      <c r="A127" s="50" t="str">
        <f t="shared" si="6"/>
        <v>SER60017</v>
      </c>
      <c r="B127" s="101" t="s">
        <v>376</v>
      </c>
      <c r="C127" s="101"/>
      <c r="D127" s="101"/>
      <c r="E127" s="101"/>
      <c r="F127" s="94"/>
      <c r="G127" s="95"/>
      <c r="H127" s="95"/>
      <c r="I127" s="95"/>
      <c r="J127" s="95"/>
      <c r="K127" s="51" t="s">
        <v>359</v>
      </c>
      <c r="L127" s="51">
        <v>60017</v>
      </c>
      <c r="M127" s="51">
        <v>3</v>
      </c>
      <c r="N127" s="52">
        <f ca="1">SUBTOTAL(9,N128:(OFFSET(INDIRECT(N$1 &amp; $O127),-1,0)))</f>
        <v>0</v>
      </c>
      <c r="O127" s="21">
        <f>ROW($A129)</f>
        <v>129</v>
      </c>
    </row>
    <row r="128" spans="1:15" outlineLevel="3" x14ac:dyDescent="0.2">
      <c r="A128" s="36" t="str">
        <f t="shared" si="6"/>
        <v>SER60018</v>
      </c>
      <c r="B128" s="102" t="s">
        <v>377</v>
      </c>
      <c r="C128" s="102"/>
      <c r="D128" s="102"/>
      <c r="E128" s="97">
        <v>0</v>
      </c>
      <c r="F128" s="98" t="s">
        <v>214</v>
      </c>
      <c r="G128" s="99" t="s">
        <v>215</v>
      </c>
      <c r="H128" s="99"/>
      <c r="I128" s="99"/>
      <c r="J128" s="99"/>
      <c r="K128" s="37" t="s">
        <v>359</v>
      </c>
      <c r="L128" s="37">
        <v>60018</v>
      </c>
      <c r="M128" s="37">
        <v>4</v>
      </c>
      <c r="N128" s="38">
        <f>IF(COUNTIF(ScenarioTag,
IF(ScenarioSelected=$G$2,$G128,
IF(ScenarioSelected=$H$2,$H128,
IF(ScenarioSelected=$I$2,$I128,
IF(ScenarioSelected=$J$2,$J128,""))))
)&gt;0,$E128,0)</f>
        <v>0</v>
      </c>
    </row>
    <row r="129" spans="1:15" outlineLevel="1" x14ac:dyDescent="0.2">
      <c r="A129" s="33" t="str">
        <f t="shared" si="6"/>
        <v>SER60019</v>
      </c>
      <c r="B129" s="100" t="s">
        <v>378</v>
      </c>
      <c r="C129" s="100"/>
      <c r="D129" s="100"/>
      <c r="E129" s="100"/>
      <c r="F129" s="91"/>
      <c r="G129" s="92"/>
      <c r="H129" s="92"/>
      <c r="I129" s="92"/>
      <c r="J129" s="92"/>
      <c r="K129" s="34" t="s">
        <v>359</v>
      </c>
      <c r="L129" s="34">
        <v>60019</v>
      </c>
      <c r="M129" s="34">
        <v>2</v>
      </c>
      <c r="N129" s="35">
        <f ca="1">SUBTOTAL(9,N130:(OFFSET(INDIRECT(N$1 &amp; $O129),-1,0)))</f>
        <v>0</v>
      </c>
      <c r="O129" s="21">
        <f>ROW($A132)</f>
        <v>132</v>
      </c>
    </row>
    <row r="130" spans="1:15" outlineLevel="2" x14ac:dyDescent="0.2">
      <c r="A130" s="50" t="str">
        <f t="shared" si="6"/>
        <v>SER60020</v>
      </c>
      <c r="B130" s="101" t="s">
        <v>379</v>
      </c>
      <c r="C130" s="101"/>
      <c r="D130" s="101"/>
      <c r="E130" s="101"/>
      <c r="F130" s="94"/>
      <c r="G130" s="95"/>
      <c r="H130" s="95"/>
      <c r="I130" s="95"/>
      <c r="J130" s="95"/>
      <c r="K130" s="51" t="s">
        <v>359</v>
      </c>
      <c r="L130" s="51">
        <v>60020</v>
      </c>
      <c r="M130" s="51">
        <v>3</v>
      </c>
      <c r="N130" s="52">
        <f ca="1">SUBTOTAL(9,N131:(OFFSET(INDIRECT(N$1 &amp; $O130),-1,0)))</f>
        <v>0</v>
      </c>
      <c r="O130" s="21">
        <f>ROW($A132)</f>
        <v>132</v>
      </c>
    </row>
    <row r="131" spans="1:15" outlineLevel="3" x14ac:dyDescent="0.2">
      <c r="A131" s="36" t="str">
        <f t="shared" si="6"/>
        <v>SER60021</v>
      </c>
      <c r="B131" s="102" t="s">
        <v>380</v>
      </c>
      <c r="C131" s="102"/>
      <c r="D131" s="102"/>
      <c r="E131" s="97">
        <v>0</v>
      </c>
      <c r="F131" s="98" t="s">
        <v>214</v>
      </c>
      <c r="G131" s="99" t="s">
        <v>215</v>
      </c>
      <c r="H131" s="99"/>
      <c r="I131" s="99"/>
      <c r="J131" s="99"/>
      <c r="K131" s="37" t="s">
        <v>359</v>
      </c>
      <c r="L131" s="37">
        <v>60021</v>
      </c>
      <c r="M131" s="37">
        <v>4</v>
      </c>
      <c r="N131" s="38">
        <f>IF(COUNTIF(ScenarioTag,
IF(ScenarioSelected=$G$2,$G131,
IF(ScenarioSelected=$H$2,$H131,
IF(ScenarioSelected=$I$2,$I131,
IF(ScenarioSelected=$J$2,$J131,""))))
)&gt;0,$E131,0)</f>
        <v>0</v>
      </c>
    </row>
    <row r="132" spans="1:15" ht="25.15" customHeight="1" x14ac:dyDescent="0.2">
      <c r="A132" s="28" t="str">
        <f t="shared" si="6"/>
        <v>RES60000</v>
      </c>
      <c r="B132" s="86" t="s">
        <v>381</v>
      </c>
      <c r="C132" s="87"/>
      <c r="D132" s="87"/>
      <c r="E132" s="87"/>
      <c r="F132" s="88"/>
      <c r="G132" s="89"/>
      <c r="H132" s="89"/>
      <c r="I132" s="89"/>
      <c r="J132" s="89"/>
      <c r="K132" s="29" t="s">
        <v>382</v>
      </c>
      <c r="L132" s="29">
        <v>60000</v>
      </c>
      <c r="M132" s="29">
        <v>1</v>
      </c>
      <c r="N132" s="30">
        <f ca="1">SUBTOTAL(9,N133:(OFFSET(INDIRECT(N$1 &amp; $O132),-1,0)))</f>
        <v>0</v>
      </c>
      <c r="O132" s="21">
        <f>ROW($A170)</f>
        <v>170</v>
      </c>
    </row>
    <row r="133" spans="1:15" s="112" customFormat="1" ht="4.1500000000000004" customHeight="1" outlineLevel="1" x14ac:dyDescent="0.2">
      <c r="A133" s="107"/>
      <c r="B133" s="113"/>
      <c r="C133" s="114"/>
      <c r="D133" s="114"/>
      <c r="E133" s="114"/>
      <c r="F133" s="109"/>
      <c r="G133" s="115"/>
      <c r="H133" s="115"/>
      <c r="I133" s="115"/>
      <c r="J133" s="115"/>
      <c r="K133" s="109"/>
      <c r="L133" s="109"/>
      <c r="M133" s="109">
        <v>-1</v>
      </c>
      <c r="N133" s="104"/>
      <c r="O133" s="111"/>
    </row>
    <row r="134" spans="1:15" outlineLevel="1" x14ac:dyDescent="0.2">
      <c r="A134" s="33" t="str">
        <f t="shared" ref="A134:A170" si="7">K134 &amp; TEXT(L134,"00000")</f>
        <v>RES60001</v>
      </c>
      <c r="B134" s="100" t="s">
        <v>383</v>
      </c>
      <c r="C134" s="100"/>
      <c r="D134" s="100"/>
      <c r="E134" s="100"/>
      <c r="F134" s="91"/>
      <c r="G134" s="92"/>
      <c r="H134" s="92"/>
      <c r="I134" s="92"/>
      <c r="J134" s="92"/>
      <c r="K134" s="34" t="s">
        <v>382</v>
      </c>
      <c r="L134" s="34">
        <v>60001</v>
      </c>
      <c r="M134" s="34">
        <v>2</v>
      </c>
      <c r="N134" s="35">
        <f ca="1">SUBTOTAL(9,N135:(OFFSET(INDIRECT(N$1 &amp; $O134),-1,0)))</f>
        <v>0</v>
      </c>
      <c r="O134" s="21">
        <f>ROW($A137)</f>
        <v>137</v>
      </c>
    </row>
    <row r="135" spans="1:15" outlineLevel="2" x14ac:dyDescent="0.2">
      <c r="A135" s="50" t="str">
        <f t="shared" si="7"/>
        <v>RES60002</v>
      </c>
      <c r="B135" s="101" t="s">
        <v>384</v>
      </c>
      <c r="C135" s="101"/>
      <c r="D135" s="101"/>
      <c r="E135" s="101"/>
      <c r="F135" s="94"/>
      <c r="G135" s="95"/>
      <c r="H135" s="95"/>
      <c r="I135" s="95"/>
      <c r="J135" s="95"/>
      <c r="K135" s="51" t="s">
        <v>382</v>
      </c>
      <c r="L135" s="51">
        <v>60002</v>
      </c>
      <c r="M135" s="51">
        <v>3</v>
      </c>
      <c r="N135" s="52">
        <f ca="1">SUBTOTAL(9,N136:(OFFSET(INDIRECT(N$1 &amp; $O135),-1,0)))</f>
        <v>0</v>
      </c>
      <c r="O135" s="21">
        <f>ROW($A137)</f>
        <v>137</v>
      </c>
    </row>
    <row r="136" spans="1:15" outlineLevel="3" x14ac:dyDescent="0.2">
      <c r="A136" s="36" t="str">
        <f t="shared" si="7"/>
        <v>RES60003</v>
      </c>
      <c r="B136" s="102" t="s">
        <v>385</v>
      </c>
      <c r="C136" s="102"/>
      <c r="D136" s="102"/>
      <c r="E136" s="97">
        <v>0</v>
      </c>
      <c r="F136" s="98" t="s">
        <v>214</v>
      </c>
      <c r="G136" s="99" t="s">
        <v>215</v>
      </c>
      <c r="H136" s="99"/>
      <c r="I136" s="99"/>
      <c r="J136" s="99"/>
      <c r="K136" s="37" t="s">
        <v>382</v>
      </c>
      <c r="L136" s="37">
        <v>60003</v>
      </c>
      <c r="M136" s="37">
        <v>4</v>
      </c>
      <c r="N136" s="38">
        <f>IF(COUNTIF(ScenarioTag,
IF(ScenarioSelected=$G$2,$G136,
IF(ScenarioSelected=$H$2,$H136,
IF(ScenarioSelected=$I$2,$I136,
IF(ScenarioSelected=$J$2,$J136,""))))
)&gt;0,$E136,0)</f>
        <v>0</v>
      </c>
    </row>
    <row r="137" spans="1:15" outlineLevel="1" x14ac:dyDescent="0.2">
      <c r="A137" s="33" t="str">
        <f t="shared" si="7"/>
        <v>RES60004</v>
      </c>
      <c r="B137" s="100" t="s">
        <v>386</v>
      </c>
      <c r="C137" s="100"/>
      <c r="D137" s="100"/>
      <c r="E137" s="100"/>
      <c r="F137" s="91"/>
      <c r="G137" s="92"/>
      <c r="H137" s="92"/>
      <c r="I137" s="92"/>
      <c r="J137" s="92"/>
      <c r="K137" s="34" t="s">
        <v>382</v>
      </c>
      <c r="L137" s="34">
        <v>60004</v>
      </c>
      <c r="M137" s="34">
        <v>2</v>
      </c>
      <c r="N137" s="35">
        <f ca="1">SUBTOTAL(9,N138:(OFFSET(INDIRECT(N$1 &amp; $O137),-1,0)))</f>
        <v>0</v>
      </c>
      <c r="O137" s="21">
        <f>ROW($A140)</f>
        <v>140</v>
      </c>
    </row>
    <row r="138" spans="1:15" outlineLevel="2" x14ac:dyDescent="0.2">
      <c r="A138" s="50" t="str">
        <f t="shared" si="7"/>
        <v>RES60005</v>
      </c>
      <c r="B138" s="101" t="s">
        <v>387</v>
      </c>
      <c r="C138" s="101"/>
      <c r="D138" s="101"/>
      <c r="E138" s="101"/>
      <c r="F138" s="94"/>
      <c r="G138" s="95"/>
      <c r="H138" s="95"/>
      <c r="I138" s="95"/>
      <c r="J138" s="95"/>
      <c r="K138" s="51" t="s">
        <v>382</v>
      </c>
      <c r="L138" s="51">
        <v>60005</v>
      </c>
      <c r="M138" s="51">
        <v>3</v>
      </c>
      <c r="N138" s="52">
        <f ca="1">SUBTOTAL(9,N139:(OFFSET(INDIRECT(N$1 &amp; $O138),-1,0)))</f>
        <v>0</v>
      </c>
      <c r="O138" s="21">
        <f>ROW($A140)</f>
        <v>140</v>
      </c>
    </row>
    <row r="139" spans="1:15" outlineLevel="3" x14ac:dyDescent="0.2">
      <c r="A139" s="36" t="str">
        <f t="shared" si="7"/>
        <v>RES60006</v>
      </c>
      <c r="B139" s="102" t="s">
        <v>388</v>
      </c>
      <c r="C139" s="102"/>
      <c r="D139" s="102"/>
      <c r="E139" s="97">
        <v>0</v>
      </c>
      <c r="F139" s="98" t="s">
        <v>214</v>
      </c>
      <c r="G139" s="99" t="s">
        <v>215</v>
      </c>
      <c r="H139" s="99"/>
      <c r="I139" s="99"/>
      <c r="J139" s="99"/>
      <c r="K139" s="37" t="s">
        <v>382</v>
      </c>
      <c r="L139" s="37">
        <v>60006</v>
      </c>
      <c r="M139" s="37">
        <v>4</v>
      </c>
      <c r="N139" s="38">
        <f>IF(COUNTIF(ScenarioTag,
IF(ScenarioSelected=$G$2,$G139,
IF(ScenarioSelected=$H$2,$H139,
IF(ScenarioSelected=$I$2,$I139,
IF(ScenarioSelected=$J$2,$J139,""))))
)&gt;0,$E139,0)</f>
        <v>0</v>
      </c>
    </row>
    <row r="140" spans="1:15" outlineLevel="1" x14ac:dyDescent="0.2">
      <c r="A140" s="33" t="str">
        <f t="shared" si="7"/>
        <v>RES60007</v>
      </c>
      <c r="B140" s="100" t="s">
        <v>389</v>
      </c>
      <c r="C140" s="100"/>
      <c r="D140" s="100"/>
      <c r="E140" s="100"/>
      <c r="F140" s="91"/>
      <c r="G140" s="92"/>
      <c r="H140" s="92"/>
      <c r="I140" s="92"/>
      <c r="J140" s="92"/>
      <c r="K140" s="34" t="s">
        <v>382</v>
      </c>
      <c r="L140" s="34">
        <v>60007</v>
      </c>
      <c r="M140" s="34">
        <v>2</v>
      </c>
      <c r="N140" s="35">
        <f ca="1">SUBTOTAL(9,N141:(OFFSET(INDIRECT(N$1 &amp; $O140),-1,0)))</f>
        <v>0</v>
      </c>
      <c r="O140" s="21">
        <f>ROW($A143)</f>
        <v>143</v>
      </c>
    </row>
    <row r="141" spans="1:15" outlineLevel="2" x14ac:dyDescent="0.2">
      <c r="A141" s="50" t="str">
        <f t="shared" si="7"/>
        <v>RES60008</v>
      </c>
      <c r="B141" s="101" t="s">
        <v>390</v>
      </c>
      <c r="C141" s="101"/>
      <c r="D141" s="101"/>
      <c r="E141" s="101"/>
      <c r="F141" s="94"/>
      <c r="G141" s="95"/>
      <c r="H141" s="95"/>
      <c r="I141" s="95"/>
      <c r="J141" s="95"/>
      <c r="K141" s="51" t="s">
        <v>382</v>
      </c>
      <c r="L141" s="51">
        <v>60008</v>
      </c>
      <c r="M141" s="51">
        <v>3</v>
      </c>
      <c r="N141" s="52">
        <f ca="1">SUBTOTAL(9,N142:(OFFSET(INDIRECT(N$1 &amp; $O141),-1,0)))</f>
        <v>0</v>
      </c>
      <c r="O141" s="21">
        <f>ROW($A143)</f>
        <v>143</v>
      </c>
    </row>
    <row r="142" spans="1:15" outlineLevel="3" x14ac:dyDescent="0.2">
      <c r="A142" s="36" t="str">
        <f t="shared" si="7"/>
        <v>RES60009</v>
      </c>
      <c r="B142" s="102" t="s">
        <v>391</v>
      </c>
      <c r="C142" s="102"/>
      <c r="D142" s="102"/>
      <c r="E142" s="97">
        <v>0</v>
      </c>
      <c r="F142" s="98" t="s">
        <v>214</v>
      </c>
      <c r="G142" s="99" t="s">
        <v>215</v>
      </c>
      <c r="H142" s="99"/>
      <c r="I142" s="99"/>
      <c r="J142" s="99"/>
      <c r="K142" s="37" t="s">
        <v>382</v>
      </c>
      <c r="L142" s="37">
        <v>60009</v>
      </c>
      <c r="M142" s="37">
        <v>4</v>
      </c>
      <c r="N142" s="38">
        <f>IF(COUNTIF(ScenarioTag,
IF(ScenarioSelected=$G$2,$G142,
IF(ScenarioSelected=$H$2,$H142,
IF(ScenarioSelected=$I$2,$I142,
IF(ScenarioSelected=$J$2,$J142,""))))
)&gt;0,$E142,0)</f>
        <v>0</v>
      </c>
    </row>
    <row r="143" spans="1:15" outlineLevel="1" x14ac:dyDescent="0.2">
      <c r="A143" s="33" t="str">
        <f t="shared" si="7"/>
        <v>RES60010</v>
      </c>
      <c r="B143" s="100" t="s">
        <v>392</v>
      </c>
      <c r="C143" s="100"/>
      <c r="D143" s="100"/>
      <c r="E143" s="100"/>
      <c r="F143" s="91"/>
      <c r="G143" s="92"/>
      <c r="H143" s="92"/>
      <c r="I143" s="92"/>
      <c r="J143" s="92"/>
      <c r="K143" s="34" t="s">
        <v>382</v>
      </c>
      <c r="L143" s="34">
        <v>60010</v>
      </c>
      <c r="M143" s="34">
        <v>2</v>
      </c>
      <c r="N143" s="35">
        <f ca="1">SUBTOTAL(9,N144:(OFFSET(INDIRECT(N$1 &amp; $O143),-1,0)))</f>
        <v>0</v>
      </c>
      <c r="O143" s="21">
        <f>ROW($A146)</f>
        <v>146</v>
      </c>
    </row>
    <row r="144" spans="1:15" outlineLevel="2" x14ac:dyDescent="0.2">
      <c r="A144" s="50" t="str">
        <f t="shared" si="7"/>
        <v>RES60011</v>
      </c>
      <c r="B144" s="101" t="s">
        <v>393</v>
      </c>
      <c r="C144" s="101"/>
      <c r="D144" s="101"/>
      <c r="E144" s="101"/>
      <c r="F144" s="94"/>
      <c r="G144" s="95"/>
      <c r="H144" s="95"/>
      <c r="I144" s="95"/>
      <c r="J144" s="95"/>
      <c r="K144" s="51" t="s">
        <v>382</v>
      </c>
      <c r="L144" s="51">
        <v>60011</v>
      </c>
      <c r="M144" s="51">
        <v>3</v>
      </c>
      <c r="N144" s="52">
        <f ca="1">SUBTOTAL(9,N145:(OFFSET(INDIRECT(N$1 &amp; $O144),-1,0)))</f>
        <v>0</v>
      </c>
      <c r="O144" s="21">
        <f>ROW($A146)</f>
        <v>146</v>
      </c>
    </row>
    <row r="145" spans="1:15" outlineLevel="3" x14ac:dyDescent="0.2">
      <c r="A145" s="36" t="str">
        <f t="shared" si="7"/>
        <v>RES60012</v>
      </c>
      <c r="B145" s="102" t="s">
        <v>394</v>
      </c>
      <c r="C145" s="102"/>
      <c r="D145" s="102"/>
      <c r="E145" s="97">
        <v>0</v>
      </c>
      <c r="F145" s="98" t="s">
        <v>214</v>
      </c>
      <c r="G145" s="99" t="s">
        <v>215</v>
      </c>
      <c r="H145" s="99"/>
      <c r="I145" s="99"/>
      <c r="J145" s="99"/>
      <c r="K145" s="37" t="s">
        <v>382</v>
      </c>
      <c r="L145" s="37">
        <v>60012</v>
      </c>
      <c r="M145" s="37">
        <v>4</v>
      </c>
      <c r="N145" s="38">
        <f>IF(COUNTIF(ScenarioTag,
IF(ScenarioSelected=$G$2,$G145,
IF(ScenarioSelected=$H$2,$H145,
IF(ScenarioSelected=$I$2,$I145,
IF(ScenarioSelected=$J$2,$J145,""))))
)&gt;0,$E145,0)</f>
        <v>0</v>
      </c>
    </row>
    <row r="146" spans="1:15" outlineLevel="1" x14ac:dyDescent="0.2">
      <c r="A146" s="33" t="str">
        <f t="shared" si="7"/>
        <v>RES60013</v>
      </c>
      <c r="B146" s="100" t="s">
        <v>395</v>
      </c>
      <c r="C146" s="100"/>
      <c r="D146" s="100"/>
      <c r="E146" s="100"/>
      <c r="F146" s="91"/>
      <c r="G146" s="92"/>
      <c r="H146" s="92"/>
      <c r="I146" s="92"/>
      <c r="J146" s="92"/>
      <c r="K146" s="34" t="s">
        <v>382</v>
      </c>
      <c r="L146" s="34">
        <v>60013</v>
      </c>
      <c r="M146" s="34">
        <v>2</v>
      </c>
      <c r="N146" s="35">
        <f ca="1">SUBTOTAL(9,N147:(OFFSET(INDIRECT(N$1 &amp; $O146),-1,0)))</f>
        <v>0</v>
      </c>
      <c r="O146" s="21">
        <f>ROW($A149)</f>
        <v>149</v>
      </c>
    </row>
    <row r="147" spans="1:15" outlineLevel="2" x14ac:dyDescent="0.2">
      <c r="A147" s="50" t="str">
        <f t="shared" si="7"/>
        <v>RES60014</v>
      </c>
      <c r="B147" s="101" t="s">
        <v>396</v>
      </c>
      <c r="C147" s="101"/>
      <c r="D147" s="101"/>
      <c r="E147" s="101"/>
      <c r="F147" s="94"/>
      <c r="G147" s="95"/>
      <c r="H147" s="95"/>
      <c r="I147" s="95"/>
      <c r="J147" s="95"/>
      <c r="K147" s="51" t="s">
        <v>382</v>
      </c>
      <c r="L147" s="51">
        <v>60014</v>
      </c>
      <c r="M147" s="51">
        <v>3</v>
      </c>
      <c r="N147" s="52">
        <f ca="1">SUBTOTAL(9,N148:(OFFSET(INDIRECT(N$1 &amp; $O147),-1,0)))</f>
        <v>0</v>
      </c>
      <c r="O147" s="21">
        <f>ROW($A149)</f>
        <v>149</v>
      </c>
    </row>
    <row r="148" spans="1:15" outlineLevel="3" x14ac:dyDescent="0.2">
      <c r="A148" s="36" t="str">
        <f t="shared" si="7"/>
        <v>RES60015</v>
      </c>
      <c r="B148" s="102" t="s">
        <v>397</v>
      </c>
      <c r="C148" s="102"/>
      <c r="D148" s="102"/>
      <c r="E148" s="97">
        <v>0</v>
      </c>
      <c r="F148" s="98" t="s">
        <v>214</v>
      </c>
      <c r="G148" s="99" t="s">
        <v>215</v>
      </c>
      <c r="H148" s="99"/>
      <c r="I148" s="99"/>
      <c r="J148" s="99"/>
      <c r="K148" s="37" t="s">
        <v>382</v>
      </c>
      <c r="L148" s="37">
        <v>60015</v>
      </c>
      <c r="M148" s="37">
        <v>4</v>
      </c>
      <c r="N148" s="38">
        <f>IF(COUNTIF(ScenarioTag,
IF(ScenarioSelected=$G$2,$G148,
IF(ScenarioSelected=$H$2,$H148,
IF(ScenarioSelected=$I$2,$I148,
IF(ScenarioSelected=$J$2,$J148,""))))
)&gt;0,$E148,0)</f>
        <v>0</v>
      </c>
    </row>
    <row r="149" spans="1:15" outlineLevel="1" x14ac:dyDescent="0.2">
      <c r="A149" s="33" t="str">
        <f t="shared" si="7"/>
        <v>RES60016</v>
      </c>
      <c r="B149" s="100" t="s">
        <v>398</v>
      </c>
      <c r="C149" s="100"/>
      <c r="D149" s="100"/>
      <c r="E149" s="100"/>
      <c r="F149" s="91"/>
      <c r="G149" s="92"/>
      <c r="H149" s="92"/>
      <c r="I149" s="92"/>
      <c r="J149" s="92"/>
      <c r="K149" s="34" t="s">
        <v>382</v>
      </c>
      <c r="L149" s="34">
        <v>60016</v>
      </c>
      <c r="M149" s="34">
        <v>2</v>
      </c>
      <c r="N149" s="35">
        <f ca="1">SUBTOTAL(9,N150:(OFFSET(INDIRECT(N$1 &amp; $O149),-1,0)))</f>
        <v>0</v>
      </c>
      <c r="O149" s="21">
        <f>ROW($A152)</f>
        <v>152</v>
      </c>
    </row>
    <row r="150" spans="1:15" outlineLevel="2" x14ac:dyDescent="0.2">
      <c r="A150" s="50" t="str">
        <f t="shared" si="7"/>
        <v>RES60017</v>
      </c>
      <c r="B150" s="101" t="s">
        <v>399</v>
      </c>
      <c r="C150" s="101"/>
      <c r="D150" s="101"/>
      <c r="E150" s="101"/>
      <c r="F150" s="94"/>
      <c r="G150" s="95"/>
      <c r="H150" s="95"/>
      <c r="I150" s="95"/>
      <c r="J150" s="95"/>
      <c r="K150" s="51" t="s">
        <v>382</v>
      </c>
      <c r="L150" s="51">
        <v>60017</v>
      </c>
      <c r="M150" s="51">
        <v>3</v>
      </c>
      <c r="N150" s="52">
        <f ca="1">SUBTOTAL(9,N151:(OFFSET(INDIRECT(N$1 &amp; $O150),-1,0)))</f>
        <v>0</v>
      </c>
      <c r="O150" s="21">
        <f>ROW($A152)</f>
        <v>152</v>
      </c>
    </row>
    <row r="151" spans="1:15" outlineLevel="3" x14ac:dyDescent="0.2">
      <c r="A151" s="36" t="str">
        <f t="shared" si="7"/>
        <v>RES60018</v>
      </c>
      <c r="B151" s="102" t="s">
        <v>400</v>
      </c>
      <c r="C151" s="102"/>
      <c r="D151" s="102"/>
      <c r="E151" s="97">
        <v>0</v>
      </c>
      <c r="F151" s="98" t="s">
        <v>214</v>
      </c>
      <c r="G151" s="99" t="s">
        <v>215</v>
      </c>
      <c r="H151" s="99"/>
      <c r="I151" s="99"/>
      <c r="J151" s="99"/>
      <c r="K151" s="37" t="s">
        <v>382</v>
      </c>
      <c r="L151" s="37">
        <v>60018</v>
      </c>
      <c r="M151" s="37">
        <v>4</v>
      </c>
      <c r="N151" s="38">
        <f>IF(COUNTIF(ScenarioTag,
IF(ScenarioSelected=$G$2,$G151,
IF(ScenarioSelected=$H$2,$H151,
IF(ScenarioSelected=$I$2,$I151,
IF(ScenarioSelected=$J$2,$J151,""))))
)&gt;0,$E151,0)</f>
        <v>0</v>
      </c>
    </row>
    <row r="152" spans="1:15" outlineLevel="1" x14ac:dyDescent="0.2">
      <c r="A152" s="33" t="str">
        <f t="shared" si="7"/>
        <v>RES60019</v>
      </c>
      <c r="B152" s="100" t="s">
        <v>401</v>
      </c>
      <c r="C152" s="100"/>
      <c r="D152" s="100"/>
      <c r="E152" s="100"/>
      <c r="F152" s="91"/>
      <c r="G152" s="92"/>
      <c r="H152" s="92"/>
      <c r="I152" s="92"/>
      <c r="J152" s="92"/>
      <c r="K152" s="34" t="s">
        <v>382</v>
      </c>
      <c r="L152" s="34">
        <v>60019</v>
      </c>
      <c r="M152" s="34">
        <v>2</v>
      </c>
      <c r="N152" s="35">
        <f ca="1">SUBTOTAL(9,N153:(OFFSET(INDIRECT(N$1 &amp; $O152),-1,0)))</f>
        <v>0</v>
      </c>
      <c r="O152" s="21">
        <f>ROW($A155)</f>
        <v>155</v>
      </c>
    </row>
    <row r="153" spans="1:15" outlineLevel="2" x14ac:dyDescent="0.2">
      <c r="A153" s="50" t="str">
        <f>K153 &amp; TEXT(L153,"00000")</f>
        <v>RES60020</v>
      </c>
      <c r="B153" s="101" t="s">
        <v>402</v>
      </c>
      <c r="C153" s="101"/>
      <c r="D153" s="101"/>
      <c r="E153" s="101"/>
      <c r="F153" s="94"/>
      <c r="G153" s="95"/>
      <c r="H153" s="95"/>
      <c r="I153" s="95"/>
      <c r="J153" s="95"/>
      <c r="K153" s="51" t="s">
        <v>382</v>
      </c>
      <c r="L153" s="51">
        <v>60020</v>
      </c>
      <c r="M153" s="51">
        <v>3</v>
      </c>
      <c r="N153" s="52">
        <f ca="1">SUBTOTAL(9,N154:(OFFSET(INDIRECT(N$1 &amp; $O153),-1,0)))</f>
        <v>0</v>
      </c>
      <c r="O153" s="21">
        <f>ROW($A155)</f>
        <v>155</v>
      </c>
    </row>
    <row r="154" spans="1:15" outlineLevel="3" x14ac:dyDescent="0.2">
      <c r="A154" s="36" t="str">
        <f t="shared" si="7"/>
        <v>RES60021</v>
      </c>
      <c r="B154" s="102" t="s">
        <v>403</v>
      </c>
      <c r="C154" s="102"/>
      <c r="D154" s="102"/>
      <c r="E154" s="97">
        <v>0</v>
      </c>
      <c r="F154" s="98" t="s">
        <v>214</v>
      </c>
      <c r="G154" s="99" t="s">
        <v>215</v>
      </c>
      <c r="H154" s="99"/>
      <c r="I154" s="99"/>
      <c r="J154" s="99"/>
      <c r="K154" s="37" t="s">
        <v>382</v>
      </c>
      <c r="L154" s="37">
        <v>60021</v>
      </c>
      <c r="M154" s="37">
        <v>4</v>
      </c>
      <c r="N154" s="38">
        <f>IF(COUNTIF(ScenarioTag,
IF(ScenarioSelected=$G$2,$G154,
IF(ScenarioSelected=$H$2,$H154,
IF(ScenarioSelected=$I$2,$I154,
IF(ScenarioSelected=$J$2,$J154,""))))
)&gt;0,$E154,0)</f>
        <v>0</v>
      </c>
    </row>
    <row r="155" spans="1:15" outlineLevel="1" x14ac:dyDescent="0.2">
      <c r="A155" s="33" t="str">
        <f t="shared" si="7"/>
        <v>RES60022</v>
      </c>
      <c r="B155" s="100" t="s">
        <v>404</v>
      </c>
      <c r="C155" s="100"/>
      <c r="D155" s="100"/>
      <c r="E155" s="100"/>
      <c r="F155" s="91"/>
      <c r="G155" s="92"/>
      <c r="H155" s="92"/>
      <c r="I155" s="92"/>
      <c r="J155" s="92"/>
      <c r="K155" s="34" t="s">
        <v>382</v>
      </c>
      <c r="L155" s="34">
        <v>60022</v>
      </c>
      <c r="M155" s="34">
        <v>2</v>
      </c>
      <c r="N155" s="35">
        <f ca="1">SUBTOTAL(9,N156:(OFFSET(INDIRECT(N$1 &amp; $O155),-1,0)))</f>
        <v>0</v>
      </c>
      <c r="O155" s="21">
        <f>ROW($A158)</f>
        <v>158</v>
      </c>
    </row>
    <row r="156" spans="1:15" outlineLevel="2" x14ac:dyDescent="0.2">
      <c r="A156" s="50" t="str">
        <f t="shared" si="7"/>
        <v>RES60023</v>
      </c>
      <c r="B156" s="101" t="s">
        <v>405</v>
      </c>
      <c r="C156" s="101"/>
      <c r="D156" s="101"/>
      <c r="E156" s="101"/>
      <c r="F156" s="94"/>
      <c r="G156" s="95"/>
      <c r="H156" s="95"/>
      <c r="I156" s="95"/>
      <c r="J156" s="95"/>
      <c r="K156" s="51" t="s">
        <v>382</v>
      </c>
      <c r="L156" s="51">
        <v>60023</v>
      </c>
      <c r="M156" s="51">
        <v>3</v>
      </c>
      <c r="N156" s="52">
        <f ca="1">SUBTOTAL(9,N157:(OFFSET(INDIRECT(N$1 &amp; $O156),-1,0)))</f>
        <v>0</v>
      </c>
      <c r="O156" s="21">
        <f>ROW($A158)</f>
        <v>158</v>
      </c>
    </row>
    <row r="157" spans="1:15" outlineLevel="3" x14ac:dyDescent="0.2">
      <c r="A157" s="36" t="str">
        <f t="shared" si="7"/>
        <v>RES60024</v>
      </c>
      <c r="B157" s="102" t="s">
        <v>406</v>
      </c>
      <c r="C157" s="102"/>
      <c r="D157" s="102"/>
      <c r="E157" s="97">
        <v>0</v>
      </c>
      <c r="F157" s="98" t="s">
        <v>214</v>
      </c>
      <c r="G157" s="99" t="s">
        <v>215</v>
      </c>
      <c r="H157" s="99"/>
      <c r="I157" s="99"/>
      <c r="J157" s="99"/>
      <c r="K157" s="37" t="s">
        <v>382</v>
      </c>
      <c r="L157" s="37">
        <v>60024</v>
      </c>
      <c r="M157" s="37">
        <v>4</v>
      </c>
      <c r="N157" s="38">
        <f>IF(COUNTIF(ScenarioTag,
IF(ScenarioSelected=$G$2,$G157,
IF(ScenarioSelected=$H$2,$H157,
IF(ScenarioSelected=$I$2,$I157,
IF(ScenarioSelected=$J$2,$J157,""))))
)&gt;0,$E157,0)</f>
        <v>0</v>
      </c>
    </row>
    <row r="158" spans="1:15" outlineLevel="1" x14ac:dyDescent="0.2">
      <c r="A158" s="33" t="str">
        <f t="shared" si="7"/>
        <v>RES60025</v>
      </c>
      <c r="B158" s="100" t="s">
        <v>407</v>
      </c>
      <c r="C158" s="100"/>
      <c r="D158" s="100"/>
      <c r="E158" s="100"/>
      <c r="F158" s="91"/>
      <c r="G158" s="92"/>
      <c r="H158" s="92"/>
      <c r="I158" s="92"/>
      <c r="J158" s="92"/>
      <c r="K158" s="34" t="s">
        <v>382</v>
      </c>
      <c r="L158" s="34">
        <v>60025</v>
      </c>
      <c r="M158" s="34">
        <v>2</v>
      </c>
      <c r="N158" s="35">
        <f ca="1">SUBTOTAL(9,N159:(OFFSET(INDIRECT(N$1 &amp; $O158),-1,0)))</f>
        <v>0</v>
      </c>
      <c r="O158" s="21">
        <f>ROW($A161)</f>
        <v>161</v>
      </c>
    </row>
    <row r="159" spans="1:15" outlineLevel="2" x14ac:dyDescent="0.2">
      <c r="A159" s="50" t="str">
        <f t="shared" si="7"/>
        <v>RES60026</v>
      </c>
      <c r="B159" s="101" t="s">
        <v>408</v>
      </c>
      <c r="C159" s="101"/>
      <c r="D159" s="101"/>
      <c r="E159" s="101"/>
      <c r="F159" s="94"/>
      <c r="G159" s="95"/>
      <c r="H159" s="95"/>
      <c r="I159" s="95"/>
      <c r="J159" s="95"/>
      <c r="K159" s="51" t="s">
        <v>382</v>
      </c>
      <c r="L159" s="51">
        <v>60026</v>
      </c>
      <c r="M159" s="51">
        <v>3</v>
      </c>
      <c r="N159" s="52">
        <f ca="1">SUBTOTAL(9,N160:(OFFSET(INDIRECT(N$1 &amp; $O159),-1,0)))</f>
        <v>0</v>
      </c>
      <c r="O159" s="21">
        <f>ROW($A161)</f>
        <v>161</v>
      </c>
    </row>
    <row r="160" spans="1:15" outlineLevel="3" x14ac:dyDescent="0.2">
      <c r="A160" s="36" t="str">
        <f t="shared" si="7"/>
        <v>RES60027</v>
      </c>
      <c r="B160" s="102" t="s">
        <v>409</v>
      </c>
      <c r="C160" s="102"/>
      <c r="D160" s="102"/>
      <c r="E160" s="97">
        <v>0</v>
      </c>
      <c r="F160" s="98" t="s">
        <v>214</v>
      </c>
      <c r="G160" s="99" t="s">
        <v>215</v>
      </c>
      <c r="H160" s="99"/>
      <c r="I160" s="99"/>
      <c r="J160" s="99"/>
      <c r="K160" s="37" t="s">
        <v>382</v>
      </c>
      <c r="L160" s="37">
        <v>60027</v>
      </c>
      <c r="M160" s="37">
        <v>4</v>
      </c>
      <c r="N160" s="38">
        <f>IF(COUNTIF(ScenarioTag,
IF(ScenarioSelected=$G$2,$G160,
IF(ScenarioSelected=$H$2,$H160,
IF(ScenarioSelected=$I$2,$I160,
IF(ScenarioSelected=$J$2,$J160,""))))
)&gt;0,$E160,0)</f>
        <v>0</v>
      </c>
    </row>
    <row r="161" spans="1:15" outlineLevel="1" x14ac:dyDescent="0.2">
      <c r="A161" s="33" t="str">
        <f t="shared" si="7"/>
        <v>RES60028</v>
      </c>
      <c r="B161" s="100" t="s">
        <v>410</v>
      </c>
      <c r="C161" s="100"/>
      <c r="D161" s="100"/>
      <c r="E161" s="100"/>
      <c r="F161" s="91"/>
      <c r="G161" s="92"/>
      <c r="H161" s="92"/>
      <c r="I161" s="92"/>
      <c r="J161" s="92"/>
      <c r="K161" s="34" t="s">
        <v>382</v>
      </c>
      <c r="L161" s="34">
        <v>60028</v>
      </c>
      <c r="M161" s="34">
        <v>2</v>
      </c>
      <c r="N161" s="35">
        <f ca="1">SUBTOTAL(9,N162:(OFFSET(INDIRECT(N$1 &amp; $O161),-1,0)))</f>
        <v>0</v>
      </c>
      <c r="O161" s="21">
        <f>ROW($A164)</f>
        <v>164</v>
      </c>
    </row>
    <row r="162" spans="1:15" outlineLevel="2" x14ac:dyDescent="0.2">
      <c r="A162" s="50" t="str">
        <f t="shared" si="7"/>
        <v>RES60029</v>
      </c>
      <c r="B162" s="101" t="s">
        <v>411</v>
      </c>
      <c r="C162" s="101"/>
      <c r="D162" s="101"/>
      <c r="E162" s="101"/>
      <c r="F162" s="94"/>
      <c r="G162" s="95"/>
      <c r="H162" s="95"/>
      <c r="I162" s="95"/>
      <c r="J162" s="95"/>
      <c r="K162" s="51" t="s">
        <v>382</v>
      </c>
      <c r="L162" s="51">
        <v>60029</v>
      </c>
      <c r="M162" s="51">
        <v>3</v>
      </c>
      <c r="N162" s="52">
        <f ca="1">SUBTOTAL(9,N163:(OFFSET(INDIRECT(N$1 &amp; $O162),-1,0)))</f>
        <v>0</v>
      </c>
      <c r="O162" s="21">
        <f>ROW($A164)</f>
        <v>164</v>
      </c>
    </row>
    <row r="163" spans="1:15" outlineLevel="3" x14ac:dyDescent="0.2">
      <c r="A163" s="36" t="str">
        <f t="shared" si="7"/>
        <v>RES60030</v>
      </c>
      <c r="B163" s="102" t="s">
        <v>412</v>
      </c>
      <c r="C163" s="102"/>
      <c r="D163" s="102"/>
      <c r="E163" s="97">
        <v>0</v>
      </c>
      <c r="F163" s="98" t="s">
        <v>214</v>
      </c>
      <c r="G163" s="99" t="s">
        <v>215</v>
      </c>
      <c r="H163" s="99"/>
      <c r="I163" s="99"/>
      <c r="J163" s="99"/>
      <c r="K163" s="37" t="s">
        <v>382</v>
      </c>
      <c r="L163" s="37">
        <v>60030</v>
      </c>
      <c r="M163" s="37">
        <v>4</v>
      </c>
      <c r="N163" s="38">
        <f>IF(COUNTIF(ScenarioTag,
IF(ScenarioSelected=$G$2,$G163,
IF(ScenarioSelected=$H$2,$H163,
IF(ScenarioSelected=$I$2,$I163,
IF(ScenarioSelected=$J$2,$J163,""))))
)&gt;0,$E163,0)</f>
        <v>0</v>
      </c>
    </row>
    <row r="164" spans="1:15" outlineLevel="1" x14ac:dyDescent="0.2">
      <c r="A164" s="33" t="str">
        <f t="shared" si="7"/>
        <v>RES60031</v>
      </c>
      <c r="B164" s="100" t="s">
        <v>413</v>
      </c>
      <c r="C164" s="100"/>
      <c r="D164" s="100"/>
      <c r="E164" s="100"/>
      <c r="F164" s="91"/>
      <c r="G164" s="92"/>
      <c r="H164" s="92"/>
      <c r="I164" s="92"/>
      <c r="J164" s="92"/>
      <c r="K164" s="34" t="s">
        <v>382</v>
      </c>
      <c r="L164" s="34">
        <v>60031</v>
      </c>
      <c r="M164" s="34">
        <v>2</v>
      </c>
      <c r="N164" s="35">
        <f ca="1">SUBTOTAL(9,N165:(OFFSET(INDIRECT(N$1 &amp; $O164),-1,0)))</f>
        <v>0</v>
      </c>
      <c r="O164" s="21">
        <f>ROW($A167)</f>
        <v>167</v>
      </c>
    </row>
    <row r="165" spans="1:15" outlineLevel="2" x14ac:dyDescent="0.2">
      <c r="A165" s="50" t="str">
        <f t="shared" si="7"/>
        <v>RES60032</v>
      </c>
      <c r="B165" s="101" t="s">
        <v>414</v>
      </c>
      <c r="C165" s="101"/>
      <c r="D165" s="101"/>
      <c r="E165" s="101"/>
      <c r="F165" s="94"/>
      <c r="G165" s="95"/>
      <c r="H165" s="95"/>
      <c r="I165" s="95"/>
      <c r="J165" s="95"/>
      <c r="K165" s="51" t="s">
        <v>382</v>
      </c>
      <c r="L165" s="51">
        <v>60032</v>
      </c>
      <c r="M165" s="51">
        <v>3</v>
      </c>
      <c r="N165" s="52">
        <f ca="1">SUBTOTAL(9,N166:(OFFSET(INDIRECT(N$1 &amp; $O165),-1,0)))</f>
        <v>0</v>
      </c>
      <c r="O165" s="21">
        <f>ROW($A167)</f>
        <v>167</v>
      </c>
    </row>
    <row r="166" spans="1:15" outlineLevel="3" x14ac:dyDescent="0.2">
      <c r="A166" s="36" t="str">
        <f t="shared" si="7"/>
        <v>RES60033</v>
      </c>
      <c r="B166" s="102" t="s">
        <v>415</v>
      </c>
      <c r="C166" s="102"/>
      <c r="D166" s="102"/>
      <c r="E166" s="97">
        <v>0</v>
      </c>
      <c r="F166" s="98" t="s">
        <v>214</v>
      </c>
      <c r="G166" s="99" t="s">
        <v>215</v>
      </c>
      <c r="H166" s="99"/>
      <c r="I166" s="99"/>
      <c r="J166" s="99"/>
      <c r="K166" s="37" t="s">
        <v>382</v>
      </c>
      <c r="L166" s="37">
        <v>60033</v>
      </c>
      <c r="M166" s="37">
        <v>4</v>
      </c>
      <c r="N166" s="38">
        <f>IF(COUNTIF(ScenarioTag,
IF(ScenarioSelected=$G$2,$G166,
IF(ScenarioSelected=$H$2,$H166,
IF(ScenarioSelected=$I$2,$I166,
IF(ScenarioSelected=$J$2,$J166,""))))
)&gt;0,$E166,0)</f>
        <v>0</v>
      </c>
    </row>
    <row r="167" spans="1:15" outlineLevel="1" x14ac:dyDescent="0.2">
      <c r="A167" s="33" t="str">
        <f t="shared" si="7"/>
        <v>RES60034</v>
      </c>
      <c r="B167" s="100" t="s">
        <v>416</v>
      </c>
      <c r="C167" s="100"/>
      <c r="D167" s="100"/>
      <c r="E167" s="100"/>
      <c r="F167" s="91"/>
      <c r="G167" s="92"/>
      <c r="H167" s="92"/>
      <c r="I167" s="92"/>
      <c r="J167" s="92"/>
      <c r="K167" s="34" t="s">
        <v>382</v>
      </c>
      <c r="L167" s="34">
        <v>60034</v>
      </c>
      <c r="M167" s="34">
        <v>2</v>
      </c>
      <c r="N167" s="35">
        <f ca="1">SUBTOTAL(9,N168:(OFFSET(INDIRECT(N$1 &amp; $O167),-1,0)))</f>
        <v>0</v>
      </c>
      <c r="O167" s="21">
        <f>ROW($A170)</f>
        <v>170</v>
      </c>
    </row>
    <row r="168" spans="1:15" outlineLevel="2" x14ac:dyDescent="0.2">
      <c r="A168" s="50" t="str">
        <f t="shared" si="7"/>
        <v>RES60035</v>
      </c>
      <c r="B168" s="101" t="s">
        <v>417</v>
      </c>
      <c r="C168" s="101"/>
      <c r="D168" s="101"/>
      <c r="E168" s="101"/>
      <c r="F168" s="94"/>
      <c r="G168" s="95"/>
      <c r="H168" s="95"/>
      <c r="I168" s="95"/>
      <c r="J168" s="95"/>
      <c r="K168" s="51" t="s">
        <v>382</v>
      </c>
      <c r="L168" s="51">
        <v>60035</v>
      </c>
      <c r="M168" s="51">
        <v>3</v>
      </c>
      <c r="N168" s="52">
        <f ca="1">SUBTOTAL(9,N169:(OFFSET(INDIRECT(N$1 &amp; $O168),-1,0)))</f>
        <v>0</v>
      </c>
      <c r="O168" s="21">
        <f>ROW($A170)</f>
        <v>170</v>
      </c>
    </row>
    <row r="169" spans="1:15" outlineLevel="3" x14ac:dyDescent="0.2">
      <c r="A169" s="36" t="str">
        <f t="shared" si="7"/>
        <v>RES60036</v>
      </c>
      <c r="B169" s="102" t="s">
        <v>418</v>
      </c>
      <c r="C169" s="102"/>
      <c r="D169" s="102"/>
      <c r="E169" s="97">
        <v>0</v>
      </c>
      <c r="F169" s="98" t="s">
        <v>214</v>
      </c>
      <c r="G169" s="99" t="s">
        <v>215</v>
      </c>
      <c r="H169" s="99"/>
      <c r="I169" s="99"/>
      <c r="J169" s="99"/>
      <c r="K169" s="37" t="s">
        <v>382</v>
      </c>
      <c r="L169" s="37">
        <v>60036</v>
      </c>
      <c r="M169" s="37">
        <v>4</v>
      </c>
      <c r="N169" s="38">
        <f>IF(COUNTIF(ScenarioTag,
IF(ScenarioSelected=$G$2,$G169,
IF(ScenarioSelected=$H$2,$H169,
IF(ScenarioSelected=$I$2,$I169,
IF(ScenarioSelected=$J$2,$J169,""))))
)&gt;0,$E169,0)</f>
        <v>0</v>
      </c>
    </row>
    <row r="170" spans="1:15" ht="25.15" customHeight="1" x14ac:dyDescent="0.2">
      <c r="A170" s="28" t="str">
        <f t="shared" si="7"/>
        <v>SUP60000</v>
      </c>
      <c r="B170" s="86" t="s">
        <v>419</v>
      </c>
      <c r="C170" s="87"/>
      <c r="D170" s="87"/>
      <c r="E170" s="87"/>
      <c r="F170" s="88"/>
      <c r="G170" s="89"/>
      <c r="H170" s="89"/>
      <c r="I170" s="89"/>
      <c r="J170" s="89"/>
      <c r="K170" s="29" t="s">
        <v>420</v>
      </c>
      <c r="L170" s="29">
        <v>60000</v>
      </c>
      <c r="M170" s="29">
        <v>1</v>
      </c>
      <c r="N170" s="30">
        <f ca="1">SUBTOTAL(9,N171:(OFFSET(INDIRECT(N$1 &amp; $O170),-1,0)))</f>
        <v>0</v>
      </c>
      <c r="O170" s="21">
        <f>ROW($A178)</f>
        <v>178</v>
      </c>
    </row>
    <row r="171" spans="1:15" s="112" customFormat="1" ht="4.1500000000000004" customHeight="1" outlineLevel="1" x14ac:dyDescent="0.2">
      <c r="A171" s="107"/>
      <c r="B171" s="113"/>
      <c r="C171" s="114"/>
      <c r="D171" s="114"/>
      <c r="E171" s="114"/>
      <c r="F171" s="109"/>
      <c r="G171" s="115"/>
      <c r="H171" s="115"/>
      <c r="I171" s="115"/>
      <c r="J171" s="115"/>
      <c r="K171" s="109"/>
      <c r="L171" s="109"/>
      <c r="M171" s="109">
        <v>-1</v>
      </c>
      <c r="N171" s="104"/>
      <c r="O171" s="111"/>
    </row>
    <row r="172" spans="1:15" outlineLevel="1" x14ac:dyDescent="0.2">
      <c r="A172" s="33" t="str">
        <f t="shared" ref="A172:A178" si="8">K172 &amp; TEXT(L172,"00000")</f>
        <v>SUP60001</v>
      </c>
      <c r="B172" s="100" t="s">
        <v>421</v>
      </c>
      <c r="C172" s="100"/>
      <c r="D172" s="100"/>
      <c r="E172" s="100"/>
      <c r="F172" s="91"/>
      <c r="G172" s="92"/>
      <c r="H172" s="92"/>
      <c r="I172" s="92"/>
      <c r="J172" s="92"/>
      <c r="K172" s="34" t="s">
        <v>420</v>
      </c>
      <c r="L172" s="34">
        <v>60001</v>
      </c>
      <c r="M172" s="34">
        <v>2</v>
      </c>
      <c r="N172" s="35">
        <f ca="1">SUBTOTAL(9,N173:(OFFSET(INDIRECT(N$1 &amp; $O172),-1,0)))</f>
        <v>0</v>
      </c>
      <c r="O172" s="21">
        <f>ROW($A175)</f>
        <v>175</v>
      </c>
    </row>
    <row r="173" spans="1:15" outlineLevel="2" x14ac:dyDescent="0.2">
      <c r="A173" s="50" t="str">
        <f t="shared" si="8"/>
        <v>SUP60002</v>
      </c>
      <c r="B173" s="101" t="s">
        <v>422</v>
      </c>
      <c r="C173" s="101"/>
      <c r="D173" s="101"/>
      <c r="E173" s="101"/>
      <c r="F173" s="94"/>
      <c r="G173" s="95"/>
      <c r="H173" s="95"/>
      <c r="I173" s="95"/>
      <c r="J173" s="95"/>
      <c r="K173" s="51" t="s">
        <v>420</v>
      </c>
      <c r="L173" s="51">
        <v>60002</v>
      </c>
      <c r="M173" s="51">
        <v>3</v>
      </c>
      <c r="N173" s="52">
        <f ca="1">SUBTOTAL(9,N174:(OFFSET(INDIRECT(N$1 &amp; $O173),-1,0)))</f>
        <v>0</v>
      </c>
      <c r="O173" s="21">
        <f>ROW($A175)</f>
        <v>175</v>
      </c>
    </row>
    <row r="174" spans="1:15" outlineLevel="3" x14ac:dyDescent="0.2">
      <c r="A174" s="36" t="str">
        <f t="shared" si="8"/>
        <v>SUP60003</v>
      </c>
      <c r="B174" s="102" t="s">
        <v>423</v>
      </c>
      <c r="C174" s="102"/>
      <c r="D174" s="102"/>
      <c r="E174" s="97">
        <v>0</v>
      </c>
      <c r="F174" s="98" t="s">
        <v>214</v>
      </c>
      <c r="G174" s="99" t="s">
        <v>215</v>
      </c>
      <c r="H174" s="99"/>
      <c r="I174" s="99"/>
      <c r="J174" s="99"/>
      <c r="K174" s="37" t="s">
        <v>420</v>
      </c>
      <c r="L174" s="37">
        <v>60003</v>
      </c>
      <c r="M174" s="37">
        <v>4</v>
      </c>
      <c r="N174" s="38">
        <f>IF(COUNTIF(ScenarioTag,
IF(ScenarioSelected=$G$2,$G174,
IF(ScenarioSelected=$H$2,$H174,
IF(ScenarioSelected=$I$2,$I174,
IF(ScenarioSelected=$J$2,$J174,""))))
)&gt;0,$E174,0)</f>
        <v>0</v>
      </c>
    </row>
    <row r="175" spans="1:15" outlineLevel="1" x14ac:dyDescent="0.2">
      <c r="A175" s="33" t="str">
        <f t="shared" si="8"/>
        <v>SUP60004</v>
      </c>
      <c r="B175" s="100" t="s">
        <v>424</v>
      </c>
      <c r="C175" s="100"/>
      <c r="D175" s="100"/>
      <c r="E175" s="100"/>
      <c r="F175" s="91"/>
      <c r="G175" s="92"/>
      <c r="H175" s="92"/>
      <c r="I175" s="92"/>
      <c r="J175" s="92"/>
      <c r="K175" s="34" t="s">
        <v>420</v>
      </c>
      <c r="L175" s="34">
        <v>60004</v>
      </c>
      <c r="M175" s="34">
        <v>2</v>
      </c>
      <c r="N175" s="35">
        <f ca="1">SUBTOTAL(9,N176:(OFFSET(INDIRECT(N$1 &amp; $O175),-1,0)))</f>
        <v>0</v>
      </c>
      <c r="O175" s="21">
        <f>ROW($A178)</f>
        <v>178</v>
      </c>
    </row>
    <row r="176" spans="1:15" outlineLevel="2" x14ac:dyDescent="0.2">
      <c r="A176" s="50" t="str">
        <f t="shared" si="8"/>
        <v>SUP60005</v>
      </c>
      <c r="B176" s="101" t="s">
        <v>425</v>
      </c>
      <c r="C176" s="101"/>
      <c r="D176" s="101"/>
      <c r="E176" s="101"/>
      <c r="F176" s="94"/>
      <c r="G176" s="95"/>
      <c r="H176" s="95"/>
      <c r="I176" s="95"/>
      <c r="J176" s="95"/>
      <c r="K176" s="51" t="s">
        <v>420</v>
      </c>
      <c r="L176" s="51">
        <v>60005</v>
      </c>
      <c r="M176" s="51">
        <v>3</v>
      </c>
      <c r="N176" s="52">
        <f ca="1">SUBTOTAL(9,N177:(OFFSET(INDIRECT(N$1 &amp; $O176),-1,0)))</f>
        <v>0</v>
      </c>
      <c r="O176" s="21">
        <f>ROW($A178)</f>
        <v>178</v>
      </c>
    </row>
    <row r="177" spans="1:15" outlineLevel="3" x14ac:dyDescent="0.2">
      <c r="A177" s="36" t="str">
        <f t="shared" si="8"/>
        <v>SUP60006</v>
      </c>
      <c r="B177" s="102" t="s">
        <v>426</v>
      </c>
      <c r="C177" s="102"/>
      <c r="D177" s="102"/>
      <c r="E177" s="97">
        <v>0</v>
      </c>
      <c r="F177" s="98" t="s">
        <v>214</v>
      </c>
      <c r="G177" s="99" t="s">
        <v>215</v>
      </c>
      <c r="H177" s="99"/>
      <c r="I177" s="99"/>
      <c r="J177" s="99"/>
      <c r="K177" s="37" t="s">
        <v>420</v>
      </c>
      <c r="L177" s="37">
        <v>60006</v>
      </c>
      <c r="M177" s="37">
        <v>4</v>
      </c>
      <c r="N177" s="38">
        <f>IF(COUNTIF(ScenarioTag,
IF(ScenarioSelected=$G$2,$G177,
IF(ScenarioSelected=$H$2,$H177,
IF(ScenarioSelected=$I$2,$I177,
IF(ScenarioSelected=$J$2,$J177,""))))
)&gt;0,$E177,0)</f>
        <v>0</v>
      </c>
    </row>
    <row r="178" spans="1:15" ht="25.15" customHeight="1" x14ac:dyDescent="0.2">
      <c r="A178" s="28" t="str">
        <f t="shared" si="8"/>
        <v>ENT60000</v>
      </c>
      <c r="B178" s="86" t="s">
        <v>427</v>
      </c>
      <c r="C178" s="87"/>
      <c r="D178" s="87"/>
      <c r="E178" s="87"/>
      <c r="F178" s="88"/>
      <c r="G178" s="89"/>
      <c r="H178" s="89"/>
      <c r="I178" s="89"/>
      <c r="J178" s="89"/>
      <c r="K178" s="29" t="s">
        <v>428</v>
      </c>
      <c r="L178" s="29">
        <v>60000</v>
      </c>
      <c r="M178" s="29">
        <v>1</v>
      </c>
      <c r="N178" s="30">
        <f ca="1">SUBTOTAL(9,N179:(OFFSET(INDIRECT(N$1 &amp; $O178),-1,0)))</f>
        <v>50</v>
      </c>
      <c r="O178" s="21">
        <f>ROW($A211)</f>
        <v>211</v>
      </c>
    </row>
    <row r="179" spans="1:15" s="112" customFormat="1" ht="4.1500000000000004" customHeight="1" outlineLevel="1" x14ac:dyDescent="0.2">
      <c r="A179" s="107"/>
      <c r="B179" s="113"/>
      <c r="C179" s="114"/>
      <c r="D179" s="114"/>
      <c r="E179" s="114"/>
      <c r="F179" s="109"/>
      <c r="G179" s="115"/>
      <c r="H179" s="115"/>
      <c r="I179" s="115"/>
      <c r="J179" s="115"/>
      <c r="K179" s="109"/>
      <c r="L179" s="109"/>
      <c r="M179" s="109">
        <v>-1</v>
      </c>
      <c r="N179" s="104"/>
      <c r="O179" s="111"/>
    </row>
    <row r="180" spans="1:15" outlineLevel="1" x14ac:dyDescent="0.2">
      <c r="A180" s="33" t="str">
        <f t="shared" ref="A180:A211" si="9">K180 &amp; TEXT(L180,"00000")</f>
        <v>ENT60001</v>
      </c>
      <c r="B180" s="100" t="s">
        <v>429</v>
      </c>
      <c r="C180" s="100"/>
      <c r="D180" s="100"/>
      <c r="E180" s="100"/>
      <c r="F180" s="91"/>
      <c r="G180" s="92"/>
      <c r="H180" s="92"/>
      <c r="I180" s="92"/>
      <c r="J180" s="92"/>
      <c r="K180" s="34" t="s">
        <v>428</v>
      </c>
      <c r="L180" s="34">
        <v>60001</v>
      </c>
      <c r="M180" s="34">
        <v>2</v>
      </c>
      <c r="N180" s="35">
        <f ca="1">SUBTOTAL(9,N181:(OFFSET(INDIRECT(N$1 &amp; $O180),-1,0)))</f>
        <v>0</v>
      </c>
      <c r="O180" s="21">
        <f>ROW($A183)</f>
        <v>183</v>
      </c>
    </row>
    <row r="181" spans="1:15" outlineLevel="2" x14ac:dyDescent="0.2">
      <c r="A181" s="50" t="str">
        <f t="shared" si="9"/>
        <v>ENT60002</v>
      </c>
      <c r="B181" s="101" t="s">
        <v>430</v>
      </c>
      <c r="C181" s="101"/>
      <c r="D181" s="101"/>
      <c r="E181" s="101"/>
      <c r="F181" s="94"/>
      <c r="G181" s="95"/>
      <c r="H181" s="95"/>
      <c r="I181" s="95"/>
      <c r="J181" s="95"/>
      <c r="K181" s="51" t="s">
        <v>428</v>
      </c>
      <c r="L181" s="51">
        <v>60002</v>
      </c>
      <c r="M181" s="51">
        <v>3</v>
      </c>
      <c r="N181" s="52">
        <f ca="1">SUBTOTAL(9,N182:(OFFSET(INDIRECT(N$1 &amp; $O181),-1,0)))</f>
        <v>0</v>
      </c>
      <c r="O181" s="21">
        <f>ROW($A183)</f>
        <v>183</v>
      </c>
    </row>
    <row r="182" spans="1:15" outlineLevel="3" x14ac:dyDescent="0.2">
      <c r="A182" s="36" t="str">
        <f t="shared" si="9"/>
        <v>ENT60003</v>
      </c>
      <c r="B182" s="102" t="s">
        <v>431</v>
      </c>
      <c r="C182" s="102"/>
      <c r="D182" s="102"/>
      <c r="E182" s="97">
        <v>0</v>
      </c>
      <c r="F182" s="98" t="s">
        <v>214</v>
      </c>
      <c r="G182" s="99" t="s">
        <v>215</v>
      </c>
      <c r="H182" s="99"/>
      <c r="I182" s="99"/>
      <c r="J182" s="99"/>
      <c r="K182" s="37" t="s">
        <v>428</v>
      </c>
      <c r="L182" s="37">
        <v>60003</v>
      </c>
      <c r="M182" s="37">
        <v>4</v>
      </c>
      <c r="N182" s="38">
        <f>IF(COUNTIF(ScenarioTag,
IF(ScenarioSelected=$G$2,$G182,
IF(ScenarioSelected=$H$2,$H182,
IF(ScenarioSelected=$I$2,$I182,
IF(ScenarioSelected=$J$2,$J182,""))))
)&gt;0,$E182,0)</f>
        <v>0</v>
      </c>
    </row>
    <row r="183" spans="1:15" outlineLevel="1" x14ac:dyDescent="0.2">
      <c r="A183" s="33" t="str">
        <f t="shared" si="9"/>
        <v>ENT60004</v>
      </c>
      <c r="B183" s="100" t="s">
        <v>432</v>
      </c>
      <c r="C183" s="100"/>
      <c r="D183" s="100"/>
      <c r="E183" s="100"/>
      <c r="F183" s="91"/>
      <c r="G183" s="92"/>
      <c r="H183" s="92"/>
      <c r="I183" s="92"/>
      <c r="J183" s="92"/>
      <c r="K183" s="34" t="s">
        <v>428</v>
      </c>
      <c r="L183" s="34">
        <v>60004</v>
      </c>
      <c r="M183" s="34">
        <v>2</v>
      </c>
      <c r="N183" s="35">
        <f ca="1">SUBTOTAL(9,N184:(OFFSET(INDIRECT(N$1 &amp; $O183),-1,0)))</f>
        <v>0</v>
      </c>
      <c r="O183" s="21">
        <f>ROW($A186)</f>
        <v>186</v>
      </c>
    </row>
    <row r="184" spans="1:15" outlineLevel="2" x14ac:dyDescent="0.2">
      <c r="A184" s="50" t="str">
        <f t="shared" si="9"/>
        <v>ENT60005</v>
      </c>
      <c r="B184" s="101" t="s">
        <v>433</v>
      </c>
      <c r="C184" s="101"/>
      <c r="D184" s="101"/>
      <c r="E184" s="101"/>
      <c r="F184" s="94"/>
      <c r="G184" s="95"/>
      <c r="H184" s="95"/>
      <c r="I184" s="95"/>
      <c r="J184" s="95"/>
      <c r="K184" s="51" t="s">
        <v>428</v>
      </c>
      <c r="L184" s="51">
        <v>60005</v>
      </c>
      <c r="M184" s="51">
        <v>3</v>
      </c>
      <c r="N184" s="52">
        <f ca="1">SUBTOTAL(9,N185:(OFFSET(INDIRECT(N$1 &amp; $O184),-1,0)))</f>
        <v>0</v>
      </c>
      <c r="O184" s="21">
        <f>ROW($A186)</f>
        <v>186</v>
      </c>
    </row>
    <row r="185" spans="1:15" outlineLevel="3" x14ac:dyDescent="0.2">
      <c r="A185" s="36" t="str">
        <f t="shared" si="9"/>
        <v>ENT60006</v>
      </c>
      <c r="B185" s="102" t="s">
        <v>434</v>
      </c>
      <c r="C185" s="102"/>
      <c r="D185" s="102"/>
      <c r="E185" s="97">
        <v>0</v>
      </c>
      <c r="F185" s="98" t="s">
        <v>214</v>
      </c>
      <c r="G185" s="99" t="s">
        <v>215</v>
      </c>
      <c r="H185" s="99"/>
      <c r="I185" s="99"/>
      <c r="J185" s="99"/>
      <c r="K185" s="37" t="s">
        <v>428</v>
      </c>
      <c r="L185" s="37">
        <v>60006</v>
      </c>
      <c r="M185" s="37">
        <v>4</v>
      </c>
      <c r="N185" s="38">
        <f>IF(COUNTIF(ScenarioTag,
IF(ScenarioSelected=$G$2,$G185,
IF(ScenarioSelected=$H$2,$H185,
IF(ScenarioSelected=$I$2,$I185,
IF(ScenarioSelected=$J$2,$J185,""))))
)&gt;0,$E185,0)</f>
        <v>0</v>
      </c>
    </row>
    <row r="186" spans="1:15" outlineLevel="1" x14ac:dyDescent="0.2">
      <c r="A186" s="33" t="str">
        <f t="shared" si="9"/>
        <v>ENT60007</v>
      </c>
      <c r="B186" s="100" t="s">
        <v>435</v>
      </c>
      <c r="C186" s="100"/>
      <c r="D186" s="100"/>
      <c r="E186" s="100"/>
      <c r="F186" s="91"/>
      <c r="G186" s="92"/>
      <c r="H186" s="92"/>
      <c r="I186" s="92"/>
      <c r="J186" s="92"/>
      <c r="K186" s="34" t="s">
        <v>428</v>
      </c>
      <c r="L186" s="34">
        <v>60007</v>
      </c>
      <c r="M186" s="34">
        <v>2</v>
      </c>
      <c r="N186" s="35">
        <f ca="1">SUBTOTAL(9,N187:(OFFSET(INDIRECT(N$1 &amp; $O186),-1,0)))</f>
        <v>0</v>
      </c>
      <c r="O186" s="21">
        <f>ROW($A189)</f>
        <v>189</v>
      </c>
    </row>
    <row r="187" spans="1:15" outlineLevel="2" x14ac:dyDescent="0.2">
      <c r="A187" s="50" t="str">
        <f t="shared" si="9"/>
        <v>ENT60008</v>
      </c>
      <c r="B187" s="101" t="s">
        <v>436</v>
      </c>
      <c r="C187" s="101"/>
      <c r="D187" s="101"/>
      <c r="E187" s="101"/>
      <c r="F187" s="94"/>
      <c r="G187" s="95"/>
      <c r="H187" s="95"/>
      <c r="I187" s="95"/>
      <c r="J187" s="95"/>
      <c r="K187" s="51" t="s">
        <v>428</v>
      </c>
      <c r="L187" s="51">
        <v>60008</v>
      </c>
      <c r="M187" s="51">
        <v>3</v>
      </c>
      <c r="N187" s="52">
        <f ca="1">SUBTOTAL(9,N188:(OFFSET(INDIRECT(N$1 &amp; $O187),-1,0)))</f>
        <v>0</v>
      </c>
      <c r="O187" s="21">
        <f>ROW($A189)</f>
        <v>189</v>
      </c>
    </row>
    <row r="188" spans="1:15" outlineLevel="3" x14ac:dyDescent="0.2">
      <c r="A188" s="36" t="str">
        <f t="shared" si="9"/>
        <v>ENT60009</v>
      </c>
      <c r="B188" s="102" t="s">
        <v>437</v>
      </c>
      <c r="C188" s="102"/>
      <c r="D188" s="102"/>
      <c r="E188" s="97">
        <v>0</v>
      </c>
      <c r="F188" s="98" t="s">
        <v>214</v>
      </c>
      <c r="G188" s="99" t="s">
        <v>215</v>
      </c>
      <c r="H188" s="99"/>
      <c r="I188" s="99"/>
      <c r="J188" s="99"/>
      <c r="K188" s="37" t="s">
        <v>428</v>
      </c>
      <c r="L188" s="37">
        <v>60009</v>
      </c>
      <c r="M188" s="37">
        <v>4</v>
      </c>
      <c r="N188" s="38">
        <f>IF(COUNTIF(ScenarioTag,
IF(ScenarioSelected=$G$2,$G188,
IF(ScenarioSelected=$H$2,$H188,
IF(ScenarioSelected=$I$2,$I188,
IF(ScenarioSelected=$J$2,$J188,""))))
)&gt;0,$E188,0)</f>
        <v>0</v>
      </c>
    </row>
    <row r="189" spans="1:15" outlineLevel="1" x14ac:dyDescent="0.2">
      <c r="A189" s="33" t="str">
        <f t="shared" si="9"/>
        <v>ENT60010</v>
      </c>
      <c r="B189" s="100" t="s">
        <v>438</v>
      </c>
      <c r="C189" s="100"/>
      <c r="D189" s="100"/>
      <c r="E189" s="100"/>
      <c r="F189" s="91"/>
      <c r="G189" s="92"/>
      <c r="H189" s="92"/>
      <c r="I189" s="92"/>
      <c r="J189" s="92"/>
      <c r="K189" s="34" t="s">
        <v>428</v>
      </c>
      <c r="L189" s="34">
        <v>60010</v>
      </c>
      <c r="M189" s="34">
        <v>2</v>
      </c>
      <c r="N189" s="35">
        <f ca="1">SUBTOTAL(9,N190:(OFFSET(INDIRECT(N$1 &amp; $O189),-1,0)))</f>
        <v>0</v>
      </c>
      <c r="O189" s="21">
        <f>ROW($A192)</f>
        <v>192</v>
      </c>
    </row>
    <row r="190" spans="1:15" outlineLevel="2" x14ac:dyDescent="0.2">
      <c r="A190" s="50" t="str">
        <f t="shared" si="9"/>
        <v>ENT60011</v>
      </c>
      <c r="B190" s="101" t="s">
        <v>439</v>
      </c>
      <c r="C190" s="101"/>
      <c r="D190" s="101"/>
      <c r="E190" s="101"/>
      <c r="F190" s="94"/>
      <c r="G190" s="95"/>
      <c r="H190" s="95"/>
      <c r="I190" s="95"/>
      <c r="J190" s="95"/>
      <c r="K190" s="51" t="s">
        <v>428</v>
      </c>
      <c r="L190" s="51">
        <v>60011</v>
      </c>
      <c r="M190" s="51">
        <v>3</v>
      </c>
      <c r="N190" s="52">
        <f ca="1">SUBTOTAL(9,N191:(OFFSET(INDIRECT(N$1 &amp; $O190),-1,0)))</f>
        <v>0</v>
      </c>
      <c r="O190" s="21">
        <f>ROW($A192)</f>
        <v>192</v>
      </c>
    </row>
    <row r="191" spans="1:15" outlineLevel="3" x14ac:dyDescent="0.2">
      <c r="A191" s="36" t="str">
        <f t="shared" si="9"/>
        <v>ENT60012</v>
      </c>
      <c r="B191" s="102" t="s">
        <v>440</v>
      </c>
      <c r="C191" s="102"/>
      <c r="D191" s="102"/>
      <c r="E191" s="97">
        <v>0</v>
      </c>
      <c r="F191" s="98" t="s">
        <v>214</v>
      </c>
      <c r="G191" s="99" t="s">
        <v>215</v>
      </c>
      <c r="H191" s="99"/>
      <c r="I191" s="99"/>
      <c r="J191" s="99"/>
      <c r="K191" s="37" t="s">
        <v>428</v>
      </c>
      <c r="L191" s="37">
        <v>60012</v>
      </c>
      <c r="M191" s="37">
        <v>4</v>
      </c>
      <c r="N191" s="38">
        <f>IF(COUNTIF(ScenarioTag,
IF(ScenarioSelected=$G$2,$G191,
IF(ScenarioSelected=$H$2,$H191,
IF(ScenarioSelected=$I$2,$I191,
IF(ScenarioSelected=$J$2,$J191,""))))
)&gt;0,$E191,0)</f>
        <v>0</v>
      </c>
    </row>
    <row r="192" spans="1:15" outlineLevel="1" x14ac:dyDescent="0.2">
      <c r="A192" s="33" t="str">
        <f t="shared" si="9"/>
        <v>ENT60013</v>
      </c>
      <c r="B192" s="100" t="s">
        <v>441</v>
      </c>
      <c r="C192" s="100"/>
      <c r="D192" s="100"/>
      <c r="E192" s="100"/>
      <c r="F192" s="91"/>
      <c r="G192" s="92"/>
      <c r="H192" s="92"/>
      <c r="I192" s="92"/>
      <c r="J192" s="92"/>
      <c r="K192" s="34" t="s">
        <v>428</v>
      </c>
      <c r="L192" s="34">
        <v>60013</v>
      </c>
      <c r="M192" s="34">
        <v>2</v>
      </c>
      <c r="N192" s="35">
        <f ca="1">SUBTOTAL(9,N193:(OFFSET(INDIRECT(N$1 &amp; $O192),-1,0)))</f>
        <v>0</v>
      </c>
      <c r="O192" s="21">
        <f>ROW($A195)</f>
        <v>195</v>
      </c>
    </row>
    <row r="193" spans="1:15" outlineLevel="2" x14ac:dyDescent="0.2">
      <c r="A193" s="50" t="str">
        <f t="shared" si="9"/>
        <v>ENT60014</v>
      </c>
      <c r="B193" s="101" t="s">
        <v>442</v>
      </c>
      <c r="C193" s="101"/>
      <c r="D193" s="101"/>
      <c r="E193" s="101"/>
      <c r="F193" s="94"/>
      <c r="G193" s="95"/>
      <c r="H193" s="95"/>
      <c r="I193" s="95"/>
      <c r="J193" s="95"/>
      <c r="K193" s="51" t="s">
        <v>428</v>
      </c>
      <c r="L193" s="51">
        <v>60014</v>
      </c>
      <c r="M193" s="51">
        <v>3</v>
      </c>
      <c r="N193" s="52">
        <f ca="1">SUBTOTAL(9,N194:(OFFSET(INDIRECT(N$1 &amp; $O193),-1,0)))</f>
        <v>0</v>
      </c>
      <c r="O193" s="21">
        <f>ROW($A195)</f>
        <v>195</v>
      </c>
    </row>
    <row r="194" spans="1:15" outlineLevel="3" x14ac:dyDescent="0.2">
      <c r="A194" s="36" t="str">
        <f t="shared" si="9"/>
        <v>ENT60015</v>
      </c>
      <c r="B194" s="102" t="s">
        <v>443</v>
      </c>
      <c r="C194" s="102"/>
      <c r="D194" s="102"/>
      <c r="E194" s="97">
        <v>0</v>
      </c>
      <c r="F194" s="98" t="s">
        <v>214</v>
      </c>
      <c r="G194" s="99" t="s">
        <v>215</v>
      </c>
      <c r="H194" s="99"/>
      <c r="I194" s="99"/>
      <c r="J194" s="99"/>
      <c r="K194" s="37" t="s">
        <v>428</v>
      </c>
      <c r="L194" s="37">
        <v>60015</v>
      </c>
      <c r="M194" s="37">
        <v>4</v>
      </c>
      <c r="N194" s="38">
        <f>IF(COUNTIF(ScenarioTag,
IF(ScenarioSelected=$G$2,$G194,
IF(ScenarioSelected=$H$2,$H194,
IF(ScenarioSelected=$I$2,$I194,
IF(ScenarioSelected=$J$2,$J194,""))))
)&gt;0,$E194,0)</f>
        <v>0</v>
      </c>
    </row>
    <row r="195" spans="1:15" outlineLevel="1" x14ac:dyDescent="0.2">
      <c r="A195" s="33" t="str">
        <f t="shared" si="9"/>
        <v>ENT60016</v>
      </c>
      <c r="B195" s="100" t="s">
        <v>444</v>
      </c>
      <c r="C195" s="100"/>
      <c r="D195" s="100"/>
      <c r="E195" s="100"/>
      <c r="F195" s="91"/>
      <c r="G195" s="92"/>
      <c r="H195" s="92"/>
      <c r="I195" s="92"/>
      <c r="J195" s="92"/>
      <c r="K195" s="34" t="s">
        <v>428</v>
      </c>
      <c r="L195" s="34">
        <v>60016</v>
      </c>
      <c r="M195" s="34">
        <v>2</v>
      </c>
      <c r="N195" s="35">
        <f ca="1">SUBTOTAL(9,N196:(OFFSET(INDIRECT(N$1 &amp; $O195),-1,0)))</f>
        <v>50</v>
      </c>
      <c r="O195" s="21">
        <f>ROW($A199)</f>
        <v>199</v>
      </c>
    </row>
    <row r="196" spans="1:15" outlineLevel="2" x14ac:dyDescent="0.2">
      <c r="A196" s="50" t="str">
        <f t="shared" si="9"/>
        <v>ENT60017</v>
      </c>
      <c r="B196" s="101" t="s">
        <v>445</v>
      </c>
      <c r="C196" s="101"/>
      <c r="D196" s="101"/>
      <c r="E196" s="101"/>
      <c r="F196" s="94"/>
      <c r="G196" s="95"/>
      <c r="H196" s="95"/>
      <c r="I196" s="95"/>
      <c r="J196" s="95"/>
      <c r="K196" s="51" t="s">
        <v>428</v>
      </c>
      <c r="L196" s="51">
        <v>60017</v>
      </c>
      <c r="M196" s="51">
        <v>3</v>
      </c>
      <c r="N196" s="52">
        <f ca="1">SUBTOTAL(9,N197:(OFFSET(INDIRECT(N$1 &amp; $O196),-1,0)))</f>
        <v>50</v>
      </c>
      <c r="O196" s="21">
        <f>ROW($A199)</f>
        <v>199</v>
      </c>
    </row>
    <row r="197" spans="1:15" outlineLevel="3" x14ac:dyDescent="0.2">
      <c r="A197" s="36" t="str">
        <f t="shared" si="9"/>
        <v>ENT60018</v>
      </c>
      <c r="B197" s="102" t="s">
        <v>538</v>
      </c>
      <c r="C197" s="102"/>
      <c r="D197" s="102"/>
      <c r="E197" s="97">
        <v>40</v>
      </c>
      <c r="F197" s="98" t="s">
        <v>247</v>
      </c>
      <c r="G197" s="99" t="s">
        <v>215</v>
      </c>
      <c r="H197" s="99"/>
      <c r="I197" s="99"/>
      <c r="J197" s="99"/>
      <c r="K197" s="37" t="s">
        <v>428</v>
      </c>
      <c r="L197" s="37">
        <v>60018</v>
      </c>
      <c r="M197" s="37">
        <v>4</v>
      </c>
      <c r="N197" s="38">
        <f>IF(COUNTIF(ScenarioTag,
IF(ScenarioSelected=$G$2,$G197,
IF(ScenarioSelected=$H$2,$H197,
IF(ScenarioSelected=$I$2,$I197,
IF(ScenarioSelected=$J$2,$J197,""))))
)&gt;0,$E197,0)</f>
        <v>40</v>
      </c>
    </row>
    <row r="198" spans="1:15" outlineLevel="3" x14ac:dyDescent="0.2">
      <c r="A198" s="36" t="str">
        <f t="shared" ref="A198" si="10">K198 &amp; TEXT(L198,"00000")</f>
        <v>ENT60201</v>
      </c>
      <c r="B198" s="102" t="s">
        <v>539</v>
      </c>
      <c r="C198" s="102"/>
      <c r="D198" s="102"/>
      <c r="E198" s="97">
        <v>10</v>
      </c>
      <c r="F198" s="98" t="s">
        <v>247</v>
      </c>
      <c r="G198" s="99" t="s">
        <v>215</v>
      </c>
      <c r="H198" s="99"/>
      <c r="I198" s="99"/>
      <c r="J198" s="99"/>
      <c r="K198" s="37" t="s">
        <v>428</v>
      </c>
      <c r="L198" s="37">
        <v>60201</v>
      </c>
      <c r="M198" s="37">
        <v>4</v>
      </c>
      <c r="N198" s="38">
        <f>IF(COUNTIF(ScenarioTag,
IF(ScenarioSelected=$G$2,$G198,
IF(ScenarioSelected=$H$2,$H198,
IF(ScenarioSelected=$I$2,$I198,
IF(ScenarioSelected=$J$2,$J198,""))))
)&gt;0,$E198,0)</f>
        <v>10</v>
      </c>
    </row>
    <row r="199" spans="1:15" outlineLevel="1" x14ac:dyDescent="0.2">
      <c r="A199" s="33" t="str">
        <f t="shared" si="9"/>
        <v>ENT60019</v>
      </c>
      <c r="B199" s="100" t="s">
        <v>455</v>
      </c>
      <c r="C199" s="100"/>
      <c r="D199" s="100"/>
      <c r="E199" s="100"/>
      <c r="F199" s="91"/>
      <c r="G199" s="92"/>
      <c r="H199" s="92"/>
      <c r="I199" s="92"/>
      <c r="J199" s="92"/>
      <c r="K199" s="34" t="s">
        <v>428</v>
      </c>
      <c r="L199" s="34">
        <v>60019</v>
      </c>
      <c r="M199" s="34">
        <v>2</v>
      </c>
      <c r="N199" s="35">
        <f ca="1">SUBTOTAL(9,N200:(OFFSET(INDIRECT(N$1 &amp; $O199),-1,0)))</f>
        <v>0</v>
      </c>
      <c r="O199" s="21">
        <f>ROW($A202)</f>
        <v>202</v>
      </c>
    </row>
    <row r="200" spans="1:15" outlineLevel="2" x14ac:dyDescent="0.2">
      <c r="A200" s="50" t="str">
        <f t="shared" si="9"/>
        <v>ENT60020</v>
      </c>
      <c r="B200" s="101" t="s">
        <v>456</v>
      </c>
      <c r="C200" s="101"/>
      <c r="D200" s="101"/>
      <c r="E200" s="101"/>
      <c r="F200" s="94"/>
      <c r="G200" s="95"/>
      <c r="H200" s="95"/>
      <c r="I200" s="95"/>
      <c r="J200" s="95"/>
      <c r="K200" s="51" t="s">
        <v>428</v>
      </c>
      <c r="L200" s="51">
        <v>60020</v>
      </c>
      <c r="M200" s="51">
        <v>3</v>
      </c>
      <c r="N200" s="52">
        <f ca="1">SUBTOTAL(9,N201:(OFFSET(INDIRECT(N$1 &amp; $O200),-1,0)))</f>
        <v>0</v>
      </c>
      <c r="O200" s="21">
        <f>ROW($A202)</f>
        <v>202</v>
      </c>
    </row>
    <row r="201" spans="1:15" outlineLevel="3" x14ac:dyDescent="0.2">
      <c r="A201" s="36" t="str">
        <f t="shared" si="9"/>
        <v>ENT60021</v>
      </c>
      <c r="B201" s="102" t="s">
        <v>457</v>
      </c>
      <c r="C201" s="102"/>
      <c r="D201" s="102"/>
      <c r="E201" s="97"/>
      <c r="F201" s="98" t="s">
        <v>214</v>
      </c>
      <c r="G201" s="99" t="s">
        <v>215</v>
      </c>
      <c r="H201" s="99"/>
      <c r="I201" s="99"/>
      <c r="J201" s="99"/>
      <c r="K201" s="37" t="s">
        <v>428</v>
      </c>
      <c r="L201" s="37">
        <v>60021</v>
      </c>
      <c r="M201" s="37">
        <v>4</v>
      </c>
      <c r="N201" s="38">
        <f>IF(COUNTIF(ScenarioTag,
IF(ScenarioSelected=$G$2,$G201,
IF(ScenarioSelected=$H$2,$H201,
IF(ScenarioSelected=$I$2,$I201,
IF(ScenarioSelected=$J$2,$J201,""))))
)&gt;0,$E201,0)</f>
        <v>0</v>
      </c>
    </row>
    <row r="202" spans="1:15" outlineLevel="1" x14ac:dyDescent="0.2">
      <c r="A202" s="33" t="str">
        <f t="shared" si="9"/>
        <v>ENT60022</v>
      </c>
      <c r="B202" s="100" t="s">
        <v>458</v>
      </c>
      <c r="C202" s="100"/>
      <c r="D202" s="100"/>
      <c r="E202" s="100"/>
      <c r="F202" s="91"/>
      <c r="G202" s="92"/>
      <c r="H202" s="92"/>
      <c r="I202" s="92"/>
      <c r="J202" s="92"/>
      <c r="K202" s="34" t="s">
        <v>428</v>
      </c>
      <c r="L202" s="34">
        <v>60022</v>
      </c>
      <c r="M202" s="34">
        <v>2</v>
      </c>
      <c r="N202" s="35">
        <f ca="1">SUBTOTAL(9,N203:(OFFSET(INDIRECT(N$1 &amp; $O202),-1,0)))</f>
        <v>0</v>
      </c>
      <c r="O202" s="21">
        <f>ROW($A205)</f>
        <v>205</v>
      </c>
    </row>
    <row r="203" spans="1:15" outlineLevel="2" x14ac:dyDescent="0.2">
      <c r="A203" s="50" t="str">
        <f t="shared" si="9"/>
        <v>ENT60023</v>
      </c>
      <c r="B203" s="101" t="s">
        <v>459</v>
      </c>
      <c r="C203" s="101"/>
      <c r="D203" s="101"/>
      <c r="E203" s="101"/>
      <c r="F203" s="94"/>
      <c r="G203" s="95"/>
      <c r="H203" s="95"/>
      <c r="I203" s="95"/>
      <c r="J203" s="95"/>
      <c r="K203" s="51" t="s">
        <v>428</v>
      </c>
      <c r="L203" s="51">
        <v>60023</v>
      </c>
      <c r="M203" s="51">
        <v>3</v>
      </c>
      <c r="N203" s="52">
        <f ca="1">SUBTOTAL(9,N204:(OFFSET(INDIRECT(N$1 &amp; $O203),-1,0)))</f>
        <v>0</v>
      </c>
      <c r="O203" s="21">
        <f>ROW($A205)</f>
        <v>205</v>
      </c>
    </row>
    <row r="204" spans="1:15" outlineLevel="3" x14ac:dyDescent="0.2">
      <c r="A204" s="36" t="str">
        <f t="shared" si="9"/>
        <v>ENT60024</v>
      </c>
      <c r="B204" s="102" t="s">
        <v>460</v>
      </c>
      <c r="C204" s="102"/>
      <c r="D204" s="102"/>
      <c r="E204" s="97">
        <v>0</v>
      </c>
      <c r="F204" s="98" t="s">
        <v>214</v>
      </c>
      <c r="G204" s="99" t="s">
        <v>215</v>
      </c>
      <c r="H204" s="99"/>
      <c r="I204" s="99"/>
      <c r="J204" s="99"/>
      <c r="K204" s="37" t="s">
        <v>428</v>
      </c>
      <c r="L204" s="37">
        <v>60024</v>
      </c>
      <c r="M204" s="37">
        <v>4</v>
      </c>
      <c r="N204" s="38">
        <f>IF(COUNTIF(ScenarioTag,
IF(ScenarioSelected=$G$2,$G204,
IF(ScenarioSelected=$H$2,$H204,
IF(ScenarioSelected=$I$2,$I204,
IF(ScenarioSelected=$J$2,$J204,""))))
)&gt;0,$E204,0)</f>
        <v>0</v>
      </c>
    </row>
    <row r="205" spans="1:15" outlineLevel="1" x14ac:dyDescent="0.2">
      <c r="A205" s="33" t="str">
        <f t="shared" si="9"/>
        <v>ENT60025</v>
      </c>
      <c r="B205" s="100" t="s">
        <v>461</v>
      </c>
      <c r="C205" s="100"/>
      <c r="D205" s="100"/>
      <c r="E205" s="100"/>
      <c r="F205" s="91"/>
      <c r="G205" s="92"/>
      <c r="H205" s="92"/>
      <c r="I205" s="92"/>
      <c r="J205" s="92"/>
      <c r="K205" s="34" t="s">
        <v>428</v>
      </c>
      <c r="L205" s="34">
        <v>60025</v>
      </c>
      <c r="M205" s="34">
        <v>2</v>
      </c>
      <c r="N205" s="35">
        <f ca="1">SUBTOTAL(9,N206:(OFFSET(INDIRECT(N$1 &amp; $O205),-1,0)))</f>
        <v>0</v>
      </c>
      <c r="O205" s="21">
        <f>ROW($A208)</f>
        <v>208</v>
      </c>
    </row>
    <row r="206" spans="1:15" outlineLevel="2" x14ac:dyDescent="0.2">
      <c r="A206" s="50" t="str">
        <f t="shared" si="9"/>
        <v>ENT60026</v>
      </c>
      <c r="B206" s="101" t="s">
        <v>462</v>
      </c>
      <c r="C206" s="101"/>
      <c r="D206" s="101"/>
      <c r="E206" s="101"/>
      <c r="F206" s="94"/>
      <c r="G206" s="95"/>
      <c r="H206" s="95"/>
      <c r="I206" s="95"/>
      <c r="J206" s="95"/>
      <c r="K206" s="51" t="s">
        <v>428</v>
      </c>
      <c r="L206" s="51">
        <v>60026</v>
      </c>
      <c r="M206" s="51">
        <v>3</v>
      </c>
      <c r="N206" s="52">
        <f ca="1">SUBTOTAL(9,N207:(OFFSET(INDIRECT(N$1 &amp; $O206),-1,0)))</f>
        <v>0</v>
      </c>
      <c r="O206" s="21">
        <f>ROW($A208)</f>
        <v>208</v>
      </c>
    </row>
    <row r="207" spans="1:15" outlineLevel="3" x14ac:dyDescent="0.2">
      <c r="A207" s="36" t="str">
        <f t="shared" si="9"/>
        <v>ENT60027</v>
      </c>
      <c r="B207" s="102" t="s">
        <v>463</v>
      </c>
      <c r="C207" s="102"/>
      <c r="D207" s="102"/>
      <c r="E207" s="97">
        <v>0</v>
      </c>
      <c r="F207" s="98" t="s">
        <v>214</v>
      </c>
      <c r="G207" s="99" t="s">
        <v>215</v>
      </c>
      <c r="H207" s="99"/>
      <c r="I207" s="99"/>
      <c r="J207" s="99"/>
      <c r="K207" s="37" t="s">
        <v>428</v>
      </c>
      <c r="L207" s="37">
        <v>60027</v>
      </c>
      <c r="M207" s="37">
        <v>4</v>
      </c>
      <c r="N207" s="38">
        <f>IF(COUNTIF(ScenarioTag,
IF(ScenarioSelected=$G$2,$G207,
IF(ScenarioSelected=$H$2,$H207,
IF(ScenarioSelected=$I$2,$I207,
IF(ScenarioSelected=$J$2,$J207,""))))
)&gt;0,$E207,0)</f>
        <v>0</v>
      </c>
    </row>
    <row r="208" spans="1:15" outlineLevel="1" x14ac:dyDescent="0.2">
      <c r="A208" s="33" t="str">
        <f t="shared" si="9"/>
        <v>ENT60028</v>
      </c>
      <c r="B208" s="100" t="s">
        <v>464</v>
      </c>
      <c r="C208" s="100"/>
      <c r="D208" s="100"/>
      <c r="E208" s="100"/>
      <c r="F208" s="91"/>
      <c r="G208" s="92"/>
      <c r="H208" s="92"/>
      <c r="I208" s="92"/>
      <c r="J208" s="92"/>
      <c r="K208" s="34" t="s">
        <v>428</v>
      </c>
      <c r="L208" s="34">
        <v>60028</v>
      </c>
      <c r="M208" s="34">
        <v>2</v>
      </c>
      <c r="N208" s="35">
        <f ca="1">SUBTOTAL(9,N209:(OFFSET(INDIRECT(N$1 &amp; $O208),-1,0)))</f>
        <v>0</v>
      </c>
      <c r="O208" s="21">
        <f>ROW($A211)</f>
        <v>211</v>
      </c>
    </row>
    <row r="209" spans="1:15" outlineLevel="2" x14ac:dyDescent="0.2">
      <c r="A209" s="50" t="str">
        <f t="shared" si="9"/>
        <v>ENT60029</v>
      </c>
      <c r="B209" s="101" t="s">
        <v>465</v>
      </c>
      <c r="C209" s="101"/>
      <c r="D209" s="101"/>
      <c r="E209" s="101"/>
      <c r="F209" s="94"/>
      <c r="G209" s="95"/>
      <c r="H209" s="95"/>
      <c r="I209" s="95"/>
      <c r="J209" s="95"/>
      <c r="K209" s="51" t="s">
        <v>428</v>
      </c>
      <c r="L209" s="51">
        <v>60029</v>
      </c>
      <c r="M209" s="51">
        <v>3</v>
      </c>
      <c r="N209" s="52">
        <f ca="1">SUBTOTAL(9,N210:(OFFSET(INDIRECT(N$1 &amp; $O209),-1,0)))</f>
        <v>0</v>
      </c>
      <c r="O209" s="21">
        <f>ROW($A211)</f>
        <v>211</v>
      </c>
    </row>
    <row r="210" spans="1:15" outlineLevel="3" x14ac:dyDescent="0.2">
      <c r="A210" s="36" t="str">
        <f t="shared" si="9"/>
        <v>ENT60030</v>
      </c>
      <c r="B210" s="102" t="s">
        <v>466</v>
      </c>
      <c r="C210" s="102"/>
      <c r="D210" s="102"/>
      <c r="E210" s="97">
        <v>0</v>
      </c>
      <c r="F210" s="98" t="s">
        <v>214</v>
      </c>
      <c r="G210" s="99" t="s">
        <v>215</v>
      </c>
      <c r="H210" s="99"/>
      <c r="I210" s="99"/>
      <c r="J210" s="99"/>
      <c r="K210" s="37" t="s">
        <v>428</v>
      </c>
      <c r="L210" s="37">
        <v>60030</v>
      </c>
      <c r="M210" s="37">
        <v>4</v>
      </c>
      <c r="N210" s="38">
        <f>IF(COUNTIF(ScenarioTag,
IF(ScenarioSelected=$G$2,$G210,
IF(ScenarioSelected=$H$2,$H210,
IF(ScenarioSelected=$I$2,$I210,
IF(ScenarioSelected=$J$2,$J210,""))))
)&gt;0,$E210,0)</f>
        <v>0</v>
      </c>
    </row>
    <row r="211" spans="1:15" ht="25.15" customHeight="1" x14ac:dyDescent="0.2">
      <c r="A211" s="28" t="str">
        <f t="shared" si="9"/>
        <v>INT60000</v>
      </c>
      <c r="B211" s="86" t="s">
        <v>467</v>
      </c>
      <c r="C211" s="87"/>
      <c r="D211" s="87"/>
      <c r="E211" s="87"/>
      <c r="F211" s="88"/>
      <c r="G211" s="89"/>
      <c r="H211" s="89"/>
      <c r="I211" s="89"/>
      <c r="J211" s="89"/>
      <c r="K211" s="29" t="s">
        <v>250</v>
      </c>
      <c r="L211" s="29">
        <v>60000</v>
      </c>
      <c r="M211" s="29">
        <v>1</v>
      </c>
      <c r="N211" s="30">
        <f ca="1">SUBTOTAL(9,N212:(OFFSET(INDIRECT(N$1 &amp; $O211),-1,0)))</f>
        <v>54</v>
      </c>
      <c r="O211" s="21">
        <f>ROW($A229)</f>
        <v>229</v>
      </c>
    </row>
    <row r="212" spans="1:15" s="112" customFormat="1" ht="4.1500000000000004" customHeight="1" outlineLevel="1" x14ac:dyDescent="0.2">
      <c r="A212" s="107"/>
      <c r="B212" s="113"/>
      <c r="C212" s="114"/>
      <c r="D212" s="114"/>
      <c r="E212" s="114"/>
      <c r="F212" s="109"/>
      <c r="G212" s="115"/>
      <c r="H212" s="115"/>
      <c r="I212" s="115"/>
      <c r="J212" s="115"/>
      <c r="K212" s="109"/>
      <c r="L212" s="109"/>
      <c r="M212" s="109">
        <v>-1</v>
      </c>
      <c r="N212" s="104"/>
      <c r="O212" s="111"/>
    </row>
    <row r="213" spans="1:15" outlineLevel="1" x14ac:dyDescent="0.2">
      <c r="A213" s="33" t="str">
        <f t="shared" ref="A213:A229" si="11">K213 &amp; TEXT(L213,"00000")</f>
        <v>INT60001</v>
      </c>
      <c r="B213" s="100" t="s">
        <v>468</v>
      </c>
      <c r="C213" s="100"/>
      <c r="D213" s="100"/>
      <c r="E213" s="100"/>
      <c r="F213" s="91"/>
      <c r="G213" s="92"/>
      <c r="H213" s="92"/>
      <c r="I213" s="92"/>
      <c r="J213" s="92"/>
      <c r="K213" s="34" t="s">
        <v>250</v>
      </c>
      <c r="L213" s="34">
        <v>60001</v>
      </c>
      <c r="M213" s="34">
        <v>2</v>
      </c>
      <c r="N213" s="35">
        <f ca="1">SUBTOTAL(9,N214:(OFFSET(INDIRECT(N$1 &amp; $O213),-1,0)))</f>
        <v>0</v>
      </c>
      <c r="O213" s="21">
        <f>ROW($A216)</f>
        <v>216</v>
      </c>
    </row>
    <row r="214" spans="1:15" outlineLevel="2" x14ac:dyDescent="0.2">
      <c r="A214" s="50" t="str">
        <f t="shared" si="11"/>
        <v>INT60002</v>
      </c>
      <c r="B214" s="101" t="s">
        <v>469</v>
      </c>
      <c r="C214" s="101"/>
      <c r="D214" s="101"/>
      <c r="E214" s="101"/>
      <c r="F214" s="94"/>
      <c r="G214" s="95"/>
      <c r="H214" s="95"/>
      <c r="I214" s="95"/>
      <c r="J214" s="95"/>
      <c r="K214" s="51" t="s">
        <v>250</v>
      </c>
      <c r="L214" s="51">
        <v>60002</v>
      </c>
      <c r="M214" s="51">
        <v>3</v>
      </c>
      <c r="N214" s="52">
        <f ca="1">SUBTOTAL(9,N215:(OFFSET(INDIRECT(N$1 &amp; $O214),-1,0)))</f>
        <v>0</v>
      </c>
      <c r="O214" s="21">
        <f>ROW($A216)</f>
        <v>216</v>
      </c>
    </row>
    <row r="215" spans="1:15" outlineLevel="3" x14ac:dyDescent="0.2">
      <c r="A215" s="36" t="str">
        <f t="shared" si="11"/>
        <v>INT60003</v>
      </c>
      <c r="B215" s="102" t="s">
        <v>540</v>
      </c>
      <c r="C215" s="102"/>
      <c r="D215" s="102"/>
      <c r="E215" s="97">
        <v>0</v>
      </c>
      <c r="F215" s="98" t="s">
        <v>214</v>
      </c>
      <c r="G215" s="99" t="s">
        <v>215</v>
      </c>
      <c r="H215" s="99"/>
      <c r="I215" s="99"/>
      <c r="J215" s="99"/>
      <c r="K215" s="37" t="s">
        <v>250</v>
      </c>
      <c r="L215" s="37">
        <v>60003</v>
      </c>
      <c r="M215" s="37">
        <v>4</v>
      </c>
      <c r="N215" s="38">
        <f>IF(COUNTIF(ScenarioTag,
IF(ScenarioSelected=$G$2,$G215,
IF(ScenarioSelected=$H$2,$H215,
IF(ScenarioSelected=$I$2,$I215,
IF(ScenarioSelected=$J$2,$J215,""))))
)&gt;0,$E215,0)</f>
        <v>0</v>
      </c>
    </row>
    <row r="216" spans="1:15" outlineLevel="1" x14ac:dyDescent="0.2">
      <c r="A216" s="33" t="str">
        <f t="shared" si="11"/>
        <v>INT60004</v>
      </c>
      <c r="B216" s="100" t="s">
        <v>476</v>
      </c>
      <c r="C216" s="100"/>
      <c r="D216" s="100"/>
      <c r="E216" s="100"/>
      <c r="F216" s="91"/>
      <c r="G216" s="92"/>
      <c r="H216" s="92"/>
      <c r="I216" s="92"/>
      <c r="J216" s="92"/>
      <c r="K216" s="34" t="s">
        <v>250</v>
      </c>
      <c r="L216" s="34">
        <v>60004</v>
      </c>
      <c r="M216" s="34">
        <v>2</v>
      </c>
      <c r="N216" s="35">
        <f ca="1">SUBTOTAL(9,N217:(OFFSET(INDIRECT(N$1 &amp; $O216),-1,0)))</f>
        <v>0</v>
      </c>
      <c r="O216" s="21">
        <f>ROW($A219)</f>
        <v>219</v>
      </c>
    </row>
    <row r="217" spans="1:15" outlineLevel="2" x14ac:dyDescent="0.2">
      <c r="A217" s="50" t="str">
        <f t="shared" si="11"/>
        <v>INT60005</v>
      </c>
      <c r="B217" s="101" t="s">
        <v>477</v>
      </c>
      <c r="C217" s="101"/>
      <c r="D217" s="101"/>
      <c r="E217" s="101"/>
      <c r="F217" s="94"/>
      <c r="G217" s="95"/>
      <c r="H217" s="95"/>
      <c r="I217" s="95"/>
      <c r="J217" s="95"/>
      <c r="K217" s="51" t="s">
        <v>250</v>
      </c>
      <c r="L217" s="51">
        <v>60005</v>
      </c>
      <c r="M217" s="51">
        <v>3</v>
      </c>
      <c r="N217" s="52">
        <f ca="1">SUBTOTAL(9,N218:(OFFSET(INDIRECT(N$1 &amp; $O217),-1,0)))</f>
        <v>0</v>
      </c>
      <c r="O217" s="21">
        <f>ROW($A219)</f>
        <v>219</v>
      </c>
    </row>
    <row r="218" spans="1:15" outlineLevel="3" x14ac:dyDescent="0.2">
      <c r="A218" s="36" t="str">
        <f t="shared" si="11"/>
        <v>INT60006</v>
      </c>
      <c r="B218" s="102" t="s">
        <v>478</v>
      </c>
      <c r="C218" s="102"/>
      <c r="D218" s="102"/>
      <c r="E218" s="97">
        <v>0</v>
      </c>
      <c r="F218" s="98" t="s">
        <v>214</v>
      </c>
      <c r="G218" s="99" t="s">
        <v>215</v>
      </c>
      <c r="H218" s="99"/>
      <c r="I218" s="99"/>
      <c r="J218" s="99"/>
      <c r="K218" s="37" t="s">
        <v>250</v>
      </c>
      <c r="L218" s="37">
        <v>60006</v>
      </c>
      <c r="M218" s="37">
        <v>4</v>
      </c>
      <c r="N218" s="38">
        <f>IF(COUNTIF(ScenarioTag,
IF(ScenarioSelected=$G$2,$G218,
IF(ScenarioSelected=$H$2,$H218,
IF(ScenarioSelected=$I$2,$I218,
IF(ScenarioSelected=$J$2,$J218,""))))
)&gt;0,$E218,0)</f>
        <v>0</v>
      </c>
    </row>
    <row r="219" spans="1:15" outlineLevel="1" x14ac:dyDescent="0.2">
      <c r="A219" s="33" t="str">
        <f t="shared" si="11"/>
        <v>INT60007</v>
      </c>
      <c r="B219" s="100" t="s">
        <v>479</v>
      </c>
      <c r="C219" s="100"/>
      <c r="D219" s="100"/>
      <c r="E219" s="100"/>
      <c r="F219" s="91"/>
      <c r="G219" s="92"/>
      <c r="H219" s="92"/>
      <c r="I219" s="92"/>
      <c r="J219" s="92"/>
      <c r="K219" s="34" t="s">
        <v>250</v>
      </c>
      <c r="L219" s="34">
        <v>60007</v>
      </c>
      <c r="M219" s="34">
        <v>2</v>
      </c>
      <c r="N219" s="35">
        <f ca="1">SUBTOTAL(9,N220:(OFFSET(INDIRECT(N$1 &amp; $O219),-1,0)))</f>
        <v>10</v>
      </c>
      <c r="O219" s="21">
        <f>ROW($A223)</f>
        <v>223</v>
      </c>
    </row>
    <row r="220" spans="1:15" outlineLevel="2" x14ac:dyDescent="0.2">
      <c r="A220" s="50" t="str">
        <f t="shared" si="11"/>
        <v>INT60008</v>
      </c>
      <c r="B220" s="101" t="s">
        <v>480</v>
      </c>
      <c r="C220" s="101"/>
      <c r="D220" s="101"/>
      <c r="E220" s="101"/>
      <c r="F220" s="94"/>
      <c r="G220" s="95"/>
      <c r="H220" s="95"/>
      <c r="I220" s="95"/>
      <c r="J220" s="95"/>
      <c r="K220" s="51" t="s">
        <v>250</v>
      </c>
      <c r="L220" s="51">
        <v>60008</v>
      </c>
      <c r="M220" s="51">
        <v>3</v>
      </c>
      <c r="N220" s="52">
        <f ca="1">SUBTOTAL(9,N221:(OFFSET(INDIRECT(N$1 &amp; $O220),-1,0)))</f>
        <v>10</v>
      </c>
      <c r="O220" s="21">
        <f>ROW($A223)</f>
        <v>223</v>
      </c>
    </row>
    <row r="221" spans="1:15" outlineLevel="3" x14ac:dyDescent="0.2">
      <c r="A221" s="36" t="str">
        <f t="shared" si="11"/>
        <v>INT60009</v>
      </c>
      <c r="B221" s="102" t="s">
        <v>541</v>
      </c>
      <c r="C221" s="102"/>
      <c r="D221" s="102"/>
      <c r="E221" s="97">
        <v>0</v>
      </c>
      <c r="F221" s="98" t="s">
        <v>214</v>
      </c>
      <c r="G221" s="99" t="s">
        <v>215</v>
      </c>
      <c r="H221" s="99"/>
      <c r="I221" s="99"/>
      <c r="J221" s="99"/>
      <c r="K221" s="37" t="s">
        <v>250</v>
      </c>
      <c r="L221" s="37">
        <v>60009</v>
      </c>
      <c r="M221" s="37">
        <v>4</v>
      </c>
      <c r="N221" s="38">
        <f>IF(COUNTIF(ScenarioTag,
IF(ScenarioSelected=$G$2,$G221,
IF(ScenarioSelected=$H$2,$H221,
IF(ScenarioSelected=$I$2,$I221,
IF(ScenarioSelected=$J$2,$J221,""))))
)&gt;0,$E221,0)</f>
        <v>0</v>
      </c>
    </row>
    <row r="222" spans="1:15" outlineLevel="3" x14ac:dyDescent="0.2">
      <c r="A222" s="36" t="str">
        <f t="shared" ref="A222:A225" si="12">K222 &amp; TEXT(L222,"00000")</f>
        <v>INT60201</v>
      </c>
      <c r="B222" s="102" t="s">
        <v>542</v>
      </c>
      <c r="C222" s="102"/>
      <c r="D222" s="102"/>
      <c r="E222" s="97">
        <v>10</v>
      </c>
      <c r="F222" s="98" t="s">
        <v>250</v>
      </c>
      <c r="G222" s="99" t="s">
        <v>215</v>
      </c>
      <c r="H222" s="99"/>
      <c r="I222" s="99"/>
      <c r="J222" s="99"/>
      <c r="K222" s="37" t="s">
        <v>250</v>
      </c>
      <c r="L222" s="37">
        <v>60201</v>
      </c>
      <c r="M222" s="37">
        <v>4</v>
      </c>
      <c r="N222" s="38">
        <f>IF(COUNTIF(ScenarioTag,
IF(ScenarioSelected=$G$2,$G222,
IF(ScenarioSelected=$H$2,$H222,
IF(ScenarioSelected=$I$2,$I222,
IF(ScenarioSelected=$J$2,$J222,""))))
)&gt;0,$E222,0)</f>
        <v>10</v>
      </c>
    </row>
    <row r="223" spans="1:15" outlineLevel="1" x14ac:dyDescent="0.2">
      <c r="A223" s="33" t="str">
        <f t="shared" si="12"/>
        <v>INT60202</v>
      </c>
      <c r="B223" s="100" t="s">
        <v>543</v>
      </c>
      <c r="C223" s="100"/>
      <c r="D223" s="100"/>
      <c r="E223" s="100"/>
      <c r="F223" s="91"/>
      <c r="G223" s="92"/>
      <c r="H223" s="92"/>
      <c r="I223" s="92"/>
      <c r="J223" s="92"/>
      <c r="K223" s="34" t="s">
        <v>250</v>
      </c>
      <c r="L223" s="34">
        <v>60202</v>
      </c>
      <c r="M223" s="34">
        <v>2</v>
      </c>
      <c r="N223" s="35">
        <f ca="1">SUBTOTAL(9,N224:(OFFSET(INDIRECT(N$1 &amp; $O223),-1,0)))</f>
        <v>44</v>
      </c>
      <c r="O223" s="21">
        <f>ROW($A229)</f>
        <v>229</v>
      </c>
    </row>
    <row r="224" spans="1:15" outlineLevel="2" x14ac:dyDescent="0.2">
      <c r="A224" s="50" t="str">
        <f t="shared" si="12"/>
        <v>INT60203</v>
      </c>
      <c r="B224" s="101" t="s">
        <v>543</v>
      </c>
      <c r="C224" s="101"/>
      <c r="D224" s="101"/>
      <c r="E224" s="101"/>
      <c r="F224" s="94"/>
      <c r="G224" s="95"/>
      <c r="H224" s="95"/>
      <c r="I224" s="95"/>
      <c r="J224" s="95"/>
      <c r="K224" s="51" t="s">
        <v>250</v>
      </c>
      <c r="L224" s="51">
        <v>60203</v>
      </c>
      <c r="M224" s="51">
        <v>3</v>
      </c>
      <c r="N224" s="52">
        <f ca="1">SUBTOTAL(9,N225:(OFFSET(INDIRECT(N$1 &amp; $O224),-1,0)))</f>
        <v>44</v>
      </c>
      <c r="O224" s="21">
        <f>ROW($A229)</f>
        <v>229</v>
      </c>
    </row>
    <row r="225" spans="1:15" outlineLevel="3" x14ac:dyDescent="0.2">
      <c r="A225" s="36" t="str">
        <f t="shared" si="12"/>
        <v>INT60204</v>
      </c>
      <c r="B225" s="102" t="s">
        <v>544</v>
      </c>
      <c r="C225" s="102"/>
      <c r="D225" s="102"/>
      <c r="E225" s="97">
        <v>10</v>
      </c>
      <c r="F225" s="98" t="s">
        <v>250</v>
      </c>
      <c r="G225" s="99" t="s">
        <v>215</v>
      </c>
      <c r="H225" s="99"/>
      <c r="I225" s="99"/>
      <c r="J225" s="99"/>
      <c r="K225" s="37" t="s">
        <v>250</v>
      </c>
      <c r="L225" s="37">
        <v>60204</v>
      </c>
      <c r="M225" s="37">
        <v>4</v>
      </c>
      <c r="N225" s="38">
        <f>IF(COUNTIF(ScenarioTag,
IF(ScenarioSelected=$G$2,$G225,
IF(ScenarioSelected=$H$2,$H225,
IF(ScenarioSelected=$I$2,$I225,
IF(ScenarioSelected=$J$2,$J225,""))))
)&gt;0,$E225,0)</f>
        <v>10</v>
      </c>
    </row>
    <row r="226" spans="1:15" outlineLevel="3" x14ac:dyDescent="0.2">
      <c r="A226" s="36" t="str">
        <f t="shared" ref="A226" si="13">K226 &amp; TEXT(L226,"00000")</f>
        <v>INT60205</v>
      </c>
      <c r="B226" s="102" t="s">
        <v>545</v>
      </c>
      <c r="C226" s="102"/>
      <c r="D226" s="102"/>
      <c r="E226" s="97">
        <v>10</v>
      </c>
      <c r="F226" s="98" t="s">
        <v>250</v>
      </c>
      <c r="G226" s="99" t="s">
        <v>215</v>
      </c>
      <c r="H226" s="99"/>
      <c r="I226" s="99"/>
      <c r="J226" s="99"/>
      <c r="K226" s="37" t="s">
        <v>250</v>
      </c>
      <c r="L226" s="37">
        <v>60205</v>
      </c>
      <c r="M226" s="37">
        <v>4</v>
      </c>
      <c r="N226" s="38">
        <f>IF(COUNTIF(ScenarioTag,
IF(ScenarioSelected=$G$2,$G226,
IF(ScenarioSelected=$H$2,$H226,
IF(ScenarioSelected=$I$2,$I226,
IF(ScenarioSelected=$J$2,$J226,""))))
)&gt;0,$E226,0)</f>
        <v>10</v>
      </c>
    </row>
    <row r="227" spans="1:15" outlineLevel="3" x14ac:dyDescent="0.2">
      <c r="A227" s="36" t="str">
        <f t="shared" ref="A227" si="14">K227 &amp; TEXT(L227,"00000")</f>
        <v>INT60206</v>
      </c>
      <c r="B227" s="102" t="s">
        <v>546</v>
      </c>
      <c r="C227" s="102"/>
      <c r="D227" s="102"/>
      <c r="E227" s="97">
        <v>20</v>
      </c>
      <c r="F227" s="98" t="s">
        <v>250</v>
      </c>
      <c r="G227" s="99" t="s">
        <v>215</v>
      </c>
      <c r="H227" s="99"/>
      <c r="I227" s="99"/>
      <c r="J227" s="99"/>
      <c r="K227" s="37" t="s">
        <v>250</v>
      </c>
      <c r="L227" s="37">
        <v>60206</v>
      </c>
      <c r="M227" s="37">
        <v>4</v>
      </c>
      <c r="N227" s="38">
        <f>IF(COUNTIF(ScenarioTag,
IF(ScenarioSelected=$G$2,$G227,
IF(ScenarioSelected=$H$2,$H227,
IF(ScenarioSelected=$I$2,$I227,
IF(ScenarioSelected=$J$2,$J227,""))))
)&gt;0,$E227,0)</f>
        <v>20</v>
      </c>
    </row>
    <row r="228" spans="1:15" outlineLevel="3" x14ac:dyDescent="0.2">
      <c r="A228" s="36" t="str">
        <f t="shared" ref="A228" si="15">K228 &amp; TEXT(L228,"00000")</f>
        <v>INT60207</v>
      </c>
      <c r="B228" s="102" t="s">
        <v>547</v>
      </c>
      <c r="C228" s="102"/>
      <c r="D228" s="102"/>
      <c r="E228" s="97">
        <v>4</v>
      </c>
      <c r="F228" s="98" t="s">
        <v>250</v>
      </c>
      <c r="G228" s="99" t="s">
        <v>215</v>
      </c>
      <c r="H228" s="99"/>
      <c r="I228" s="99"/>
      <c r="J228" s="99"/>
      <c r="K228" s="37" t="s">
        <v>250</v>
      </c>
      <c r="L228" s="37">
        <v>60207</v>
      </c>
      <c r="M228" s="37">
        <v>4</v>
      </c>
      <c r="N228" s="38">
        <f>IF(COUNTIF(ScenarioTag,
IF(ScenarioSelected=$G$2,$G228,
IF(ScenarioSelected=$H$2,$H228,
IF(ScenarioSelected=$I$2,$I228,
IF(ScenarioSelected=$J$2,$J228,""))))
)&gt;0,$E228,0)</f>
        <v>4</v>
      </c>
    </row>
    <row r="229" spans="1:15" ht="25.15" customHeight="1" x14ac:dyDescent="0.2">
      <c r="A229" s="28" t="str">
        <f t="shared" si="11"/>
        <v>OTH60000</v>
      </c>
      <c r="B229" s="86" t="s">
        <v>492</v>
      </c>
      <c r="C229" s="87"/>
      <c r="D229" s="87"/>
      <c r="E229" s="87"/>
      <c r="F229" s="88"/>
      <c r="G229" s="89"/>
      <c r="H229" s="89"/>
      <c r="I229" s="89"/>
      <c r="J229" s="89"/>
      <c r="K229" s="29" t="s">
        <v>493</v>
      </c>
      <c r="L229" s="29">
        <v>60000</v>
      </c>
      <c r="M229" s="29">
        <v>1</v>
      </c>
      <c r="N229" s="30">
        <f ca="1">SUBTOTAL(9,N230:(OFFSET(INDIRECT(N$1 &amp; $O229),-1,0)))</f>
        <v>442</v>
      </c>
      <c r="O229" s="21">
        <f>ROW($A247)</f>
        <v>247</v>
      </c>
    </row>
    <row r="230" spans="1:15" s="112" customFormat="1" ht="4.1500000000000004" customHeight="1" outlineLevel="1" x14ac:dyDescent="0.2">
      <c r="A230" s="107"/>
      <c r="B230" s="113"/>
      <c r="C230" s="114"/>
      <c r="D230" s="114"/>
      <c r="E230" s="114"/>
      <c r="F230" s="109"/>
      <c r="G230" s="115"/>
      <c r="H230" s="115"/>
      <c r="I230" s="115"/>
      <c r="J230" s="115"/>
      <c r="K230" s="109"/>
      <c r="L230" s="109"/>
      <c r="M230" s="109">
        <v>-1</v>
      </c>
      <c r="N230" s="104"/>
      <c r="O230" s="111"/>
    </row>
    <row r="231" spans="1:15" outlineLevel="1" x14ac:dyDescent="0.2">
      <c r="A231" s="33" t="str">
        <f t="shared" ref="A231:A237" si="16">K231 &amp; TEXT(L231,"00000")</f>
        <v>OTH60001</v>
      </c>
      <c r="B231" s="100" t="s">
        <v>494</v>
      </c>
      <c r="C231" s="100"/>
      <c r="D231" s="100"/>
      <c r="E231" s="100"/>
      <c r="F231" s="91"/>
      <c r="G231" s="92"/>
      <c r="H231" s="92"/>
      <c r="I231" s="92"/>
      <c r="J231" s="92"/>
      <c r="K231" s="34" t="s">
        <v>493</v>
      </c>
      <c r="L231" s="34">
        <v>60001</v>
      </c>
      <c r="M231" s="34">
        <v>2</v>
      </c>
      <c r="N231" s="35">
        <f ca="1">SUBTOTAL(9,N232:(OFFSET(INDIRECT(N$1 &amp; $O231),-1,0)))</f>
        <v>442</v>
      </c>
      <c r="O231" s="21">
        <f>ROW($A247)</f>
        <v>247</v>
      </c>
    </row>
    <row r="232" spans="1:15" outlineLevel="2" x14ac:dyDescent="0.2">
      <c r="A232" s="50" t="str">
        <f t="shared" si="16"/>
        <v>OTH60002</v>
      </c>
      <c r="B232" s="101" t="s">
        <v>548</v>
      </c>
      <c r="C232" s="101"/>
      <c r="D232" s="101"/>
      <c r="E232" s="101"/>
      <c r="F232" s="94"/>
      <c r="G232" s="95"/>
      <c r="H232" s="95"/>
      <c r="I232" s="95"/>
      <c r="J232" s="95"/>
      <c r="K232" s="51" t="s">
        <v>493</v>
      </c>
      <c r="L232" s="51">
        <v>60002</v>
      </c>
      <c r="M232" s="51">
        <v>3</v>
      </c>
      <c r="N232" s="52">
        <f ca="1">SUBTOTAL(9,N233:(OFFSET(INDIRECT(N$1 &amp; $O232),-1,0)))</f>
        <v>442</v>
      </c>
      <c r="O232" s="21">
        <f>ROW($A247)</f>
        <v>247</v>
      </c>
    </row>
    <row r="233" spans="1:15" outlineLevel="3" x14ac:dyDescent="0.2">
      <c r="A233" s="36" t="str">
        <f t="shared" si="16"/>
        <v>OTH60003</v>
      </c>
      <c r="B233" s="102" t="s">
        <v>549</v>
      </c>
      <c r="C233" s="102"/>
      <c r="D233" s="102"/>
      <c r="E233" s="97">
        <v>0</v>
      </c>
      <c r="F233" s="98" t="s">
        <v>214</v>
      </c>
      <c r="G233" s="99" t="s">
        <v>215</v>
      </c>
      <c r="H233" s="99"/>
      <c r="I233" s="99"/>
      <c r="J233" s="99"/>
      <c r="K233" s="37" t="s">
        <v>493</v>
      </c>
      <c r="L233" s="37">
        <v>60003</v>
      </c>
      <c r="M233" s="37">
        <v>4</v>
      </c>
      <c r="N233" s="38">
        <f t="shared" ref="N233:N246" si="17">IF(COUNTIF(ScenarioTag,
IF(ScenarioSelected=$G$2,$G233,
IF(ScenarioSelected=$H$2,$H233,
IF(ScenarioSelected=$I$2,$I233,
IF(ScenarioSelected=$J$2,$J233,""))))
)&gt;0,$E233,0)</f>
        <v>0</v>
      </c>
    </row>
    <row r="234" spans="1:15" outlineLevel="3" x14ac:dyDescent="0.2">
      <c r="A234" s="36" t="str">
        <f t="shared" si="16"/>
        <v>OTH60202</v>
      </c>
      <c r="B234" s="102" t="s">
        <v>550</v>
      </c>
      <c r="C234" s="102"/>
      <c r="D234" s="102"/>
      <c r="E234" s="97">
        <v>10</v>
      </c>
      <c r="F234" s="98" t="s">
        <v>250</v>
      </c>
      <c r="G234" s="99" t="s">
        <v>215</v>
      </c>
      <c r="H234" s="99"/>
      <c r="I234" s="99"/>
      <c r="J234" s="99"/>
      <c r="K234" s="37" t="s">
        <v>493</v>
      </c>
      <c r="L234" s="37">
        <v>60202</v>
      </c>
      <c r="M234" s="37">
        <v>4</v>
      </c>
      <c r="N234" s="38">
        <f t="shared" si="17"/>
        <v>10</v>
      </c>
    </row>
    <row r="235" spans="1:15" outlineLevel="3" x14ac:dyDescent="0.2">
      <c r="A235" s="36" t="str">
        <f t="shared" si="16"/>
        <v>OTH60203</v>
      </c>
      <c r="B235" s="102" t="s">
        <v>551</v>
      </c>
      <c r="C235" s="102"/>
      <c r="D235" s="102"/>
      <c r="E235" s="97">
        <v>10</v>
      </c>
      <c r="F235" s="98" t="s">
        <v>250</v>
      </c>
      <c r="G235" s="99" t="s">
        <v>215</v>
      </c>
      <c r="H235" s="99"/>
      <c r="I235" s="99"/>
      <c r="J235" s="99"/>
      <c r="K235" s="37" t="s">
        <v>493</v>
      </c>
      <c r="L235" s="37">
        <v>60203</v>
      </c>
      <c r="M235" s="37">
        <v>4</v>
      </c>
      <c r="N235" s="38">
        <f t="shared" si="17"/>
        <v>10</v>
      </c>
    </row>
    <row r="236" spans="1:15" outlineLevel="3" x14ac:dyDescent="0.2">
      <c r="A236" s="36" t="str">
        <f t="shared" si="16"/>
        <v>OTH60204</v>
      </c>
      <c r="B236" s="102" t="s">
        <v>552</v>
      </c>
      <c r="C236" s="102"/>
      <c r="D236" s="102"/>
      <c r="E236" s="97">
        <v>5</v>
      </c>
      <c r="F236" s="98" t="s">
        <v>250</v>
      </c>
      <c r="G236" s="99" t="s">
        <v>215</v>
      </c>
      <c r="H236" s="99"/>
      <c r="I236" s="99"/>
      <c r="J236" s="99"/>
      <c r="K236" s="37" t="s">
        <v>493</v>
      </c>
      <c r="L236" s="37">
        <v>60204</v>
      </c>
      <c r="M236" s="37">
        <v>4</v>
      </c>
      <c r="N236" s="38">
        <f t="shared" si="17"/>
        <v>5</v>
      </c>
    </row>
    <row r="237" spans="1:15" outlineLevel="3" x14ac:dyDescent="0.2">
      <c r="A237" s="36" t="str">
        <f t="shared" si="16"/>
        <v>OTH60201</v>
      </c>
      <c r="B237" s="102" t="s">
        <v>553</v>
      </c>
      <c r="C237" s="102"/>
      <c r="D237" s="102"/>
      <c r="E237" s="97">
        <v>0</v>
      </c>
      <c r="F237" s="98" t="s">
        <v>214</v>
      </c>
      <c r="G237" s="99"/>
      <c r="H237" s="99"/>
      <c r="I237" s="99"/>
      <c r="J237" s="99" t="s">
        <v>215</v>
      </c>
      <c r="K237" s="37" t="s">
        <v>493</v>
      </c>
      <c r="L237" s="37">
        <v>60201</v>
      </c>
      <c r="M237" s="37">
        <v>4</v>
      </c>
      <c r="N237" s="38">
        <f t="shared" si="17"/>
        <v>0</v>
      </c>
    </row>
    <row r="238" spans="1:15" outlineLevel="3" x14ac:dyDescent="0.2">
      <c r="A238" s="36" t="str">
        <f t="shared" ref="A238" si="18">K238 &amp; TEXT(L238,"00000")</f>
        <v>OTH60205</v>
      </c>
      <c r="B238" s="102" t="s">
        <v>554</v>
      </c>
      <c r="C238" s="102"/>
      <c r="D238" s="102"/>
      <c r="E238" s="97">
        <v>40</v>
      </c>
      <c r="F238" s="98" t="s">
        <v>250</v>
      </c>
      <c r="G238" s="99" t="s">
        <v>215</v>
      </c>
      <c r="H238" s="99"/>
      <c r="I238" s="99"/>
      <c r="J238" s="99"/>
      <c r="K238" s="37" t="s">
        <v>493</v>
      </c>
      <c r="L238" s="37">
        <v>60205</v>
      </c>
      <c r="M238" s="37">
        <v>4</v>
      </c>
      <c r="N238" s="38">
        <f t="shared" si="17"/>
        <v>40</v>
      </c>
    </row>
    <row r="239" spans="1:15" outlineLevel="3" x14ac:dyDescent="0.2">
      <c r="A239" s="36" t="str">
        <f t="shared" ref="A239" si="19">K239 &amp; TEXT(L239,"00000")</f>
        <v>OTH60206</v>
      </c>
      <c r="B239" s="102" t="s">
        <v>555</v>
      </c>
      <c r="C239" s="102"/>
      <c r="D239" s="102"/>
      <c r="E239" s="97">
        <v>25</v>
      </c>
      <c r="F239" s="98" t="s">
        <v>250</v>
      </c>
      <c r="G239" s="99"/>
      <c r="H239" s="99"/>
      <c r="I239" s="99"/>
      <c r="J239" s="99"/>
      <c r="K239" s="37" t="s">
        <v>493</v>
      </c>
      <c r="L239" s="37">
        <v>60206</v>
      </c>
      <c r="M239" s="37">
        <v>4</v>
      </c>
      <c r="N239" s="38">
        <f t="shared" si="17"/>
        <v>0</v>
      </c>
    </row>
    <row r="240" spans="1:15" ht="45" outlineLevel="3" x14ac:dyDescent="0.2">
      <c r="A240" s="36" t="str">
        <f t="shared" ref="A240" si="20">K240 &amp; TEXT(L240,"00000")</f>
        <v>OTH60209</v>
      </c>
      <c r="B240" s="102" t="s">
        <v>556</v>
      </c>
      <c r="C240" s="102"/>
      <c r="D240" s="102" t="s">
        <v>557</v>
      </c>
      <c r="E240" s="97">
        <v>200</v>
      </c>
      <c r="F240" s="98" t="s">
        <v>250</v>
      </c>
      <c r="G240" s="99" t="s">
        <v>215</v>
      </c>
      <c r="H240" s="99"/>
      <c r="I240" s="99"/>
      <c r="J240" s="99"/>
      <c r="K240" s="37" t="s">
        <v>493</v>
      </c>
      <c r="L240" s="37">
        <v>60209</v>
      </c>
      <c r="M240" s="37">
        <v>4</v>
      </c>
      <c r="N240" s="38">
        <f t="shared" si="17"/>
        <v>200</v>
      </c>
    </row>
    <row r="241" spans="1:15" ht="45" outlineLevel="3" x14ac:dyDescent="0.2">
      <c r="A241" s="36" t="str">
        <f t="shared" ref="A241" si="21">K241 &amp; TEXT(L241,"00000")</f>
        <v>OTH60210</v>
      </c>
      <c r="B241" s="102" t="s">
        <v>510</v>
      </c>
      <c r="C241" s="102"/>
      <c r="D241" s="102" t="s">
        <v>558</v>
      </c>
      <c r="E241" s="97">
        <v>55</v>
      </c>
      <c r="F241" s="98" t="s">
        <v>250</v>
      </c>
      <c r="G241" s="99" t="s">
        <v>215</v>
      </c>
      <c r="H241" s="99"/>
      <c r="I241" s="99"/>
      <c r="J241" s="99"/>
      <c r="K241" s="37" t="s">
        <v>493</v>
      </c>
      <c r="L241" s="37">
        <v>60210</v>
      </c>
      <c r="M241" s="37">
        <v>4</v>
      </c>
      <c r="N241" s="38">
        <f t="shared" si="17"/>
        <v>55</v>
      </c>
    </row>
    <row r="242" spans="1:15" outlineLevel="3" x14ac:dyDescent="0.2">
      <c r="A242" s="36" t="str">
        <f t="shared" ref="A242" si="22">K242 &amp; TEXT(L242,"00000")</f>
        <v>OTH60213</v>
      </c>
      <c r="B242" s="102" t="s">
        <v>559</v>
      </c>
      <c r="C242" s="102"/>
      <c r="D242" s="102"/>
      <c r="E242" s="97">
        <v>42</v>
      </c>
      <c r="F242" s="98" t="s">
        <v>250</v>
      </c>
      <c r="G242" s="99" t="s">
        <v>215</v>
      </c>
      <c r="H242" s="99"/>
      <c r="I242" s="99"/>
      <c r="J242" s="99"/>
      <c r="K242" s="37" t="s">
        <v>493</v>
      </c>
      <c r="L242" s="37">
        <v>60213</v>
      </c>
      <c r="M242" s="37">
        <v>4</v>
      </c>
      <c r="N242" s="38">
        <f t="shared" si="17"/>
        <v>42</v>
      </c>
    </row>
    <row r="243" spans="1:15" outlineLevel="3" x14ac:dyDescent="0.2">
      <c r="A243" s="36" t="str">
        <f t="shared" ref="A243" si="23">K243 &amp; TEXT(L243,"00000")</f>
        <v>OTH60211</v>
      </c>
      <c r="B243" s="102" t="s">
        <v>514</v>
      </c>
      <c r="C243" s="102"/>
      <c r="D243" s="102"/>
      <c r="E243" s="97">
        <v>20</v>
      </c>
      <c r="F243" s="98" t="s">
        <v>250</v>
      </c>
      <c r="G243" s="99" t="s">
        <v>215</v>
      </c>
      <c r="H243" s="99"/>
      <c r="I243" s="99"/>
      <c r="J243" s="99"/>
      <c r="K243" s="37" t="s">
        <v>493</v>
      </c>
      <c r="L243" s="37">
        <v>60211</v>
      </c>
      <c r="M243" s="37">
        <v>4</v>
      </c>
      <c r="N243" s="38">
        <f t="shared" si="17"/>
        <v>20</v>
      </c>
    </row>
    <row r="244" spans="1:15" outlineLevel="3" x14ac:dyDescent="0.2">
      <c r="A244" s="36" t="str">
        <f t="shared" ref="A244" si="24">K244 &amp; TEXT(L244,"00000")</f>
        <v>OTH60212</v>
      </c>
      <c r="B244" s="102" t="s">
        <v>517</v>
      </c>
      <c r="C244" s="102"/>
      <c r="D244" s="102"/>
      <c r="E244" s="97">
        <v>30</v>
      </c>
      <c r="F244" s="98" t="s">
        <v>250</v>
      </c>
      <c r="G244" s="99" t="s">
        <v>215</v>
      </c>
      <c r="H244" s="99"/>
      <c r="I244" s="99"/>
      <c r="J244" s="99"/>
      <c r="K244" s="37" t="s">
        <v>493</v>
      </c>
      <c r="L244" s="37">
        <v>60212</v>
      </c>
      <c r="M244" s="37">
        <v>4</v>
      </c>
      <c r="N244" s="38">
        <f t="shared" si="17"/>
        <v>30</v>
      </c>
    </row>
    <row r="245" spans="1:15" outlineLevel="3" x14ac:dyDescent="0.2">
      <c r="A245" s="36" t="str">
        <f t="shared" ref="A245" si="25">K245 &amp; TEXT(L245,"00000")</f>
        <v>OTH60207</v>
      </c>
      <c r="B245" s="102" t="s">
        <v>560</v>
      </c>
      <c r="C245" s="102"/>
      <c r="D245" s="102"/>
      <c r="E245" s="97">
        <v>30</v>
      </c>
      <c r="F245" s="98" t="s">
        <v>250</v>
      </c>
      <c r="G245" s="99" t="s">
        <v>215</v>
      </c>
      <c r="H245" s="99"/>
      <c r="I245" s="99"/>
      <c r="J245" s="99"/>
      <c r="K245" s="37" t="s">
        <v>493</v>
      </c>
      <c r="L245" s="37">
        <v>60207</v>
      </c>
      <c r="M245" s="37">
        <v>4</v>
      </c>
      <c r="N245" s="38">
        <f t="shared" si="17"/>
        <v>30</v>
      </c>
    </row>
    <row r="246" spans="1:15" outlineLevel="3" x14ac:dyDescent="0.2">
      <c r="A246" s="36" t="str">
        <f t="shared" ref="A246" si="26">K246 &amp; TEXT(L246,"00000")</f>
        <v>OTH60208</v>
      </c>
      <c r="B246" s="102" t="s">
        <v>512</v>
      </c>
      <c r="C246" s="102"/>
      <c r="D246" s="102"/>
      <c r="E246" s="97"/>
      <c r="F246" s="98" t="s">
        <v>250</v>
      </c>
      <c r="G246" s="99" t="s">
        <v>215</v>
      </c>
      <c r="H246" s="99"/>
      <c r="I246" s="99"/>
      <c r="J246" s="99"/>
      <c r="K246" s="37" t="s">
        <v>493</v>
      </c>
      <c r="L246" s="37">
        <v>60208</v>
      </c>
      <c r="M246" s="37">
        <v>4</v>
      </c>
      <c r="N246" s="38">
        <f t="shared" si="17"/>
        <v>0</v>
      </c>
    </row>
    <row r="247" spans="1:15" s="112" customFormat="1" ht="4.1500000000000004" customHeight="1" x14ac:dyDescent="0.2">
      <c r="B247" s="117"/>
      <c r="C247" s="117"/>
      <c r="D247" s="117"/>
      <c r="E247" s="117"/>
      <c r="F247" s="105"/>
      <c r="G247" s="118"/>
      <c r="H247" s="118"/>
      <c r="I247" s="118"/>
      <c r="J247" s="118"/>
      <c r="K247" s="105"/>
      <c r="L247" s="105"/>
      <c r="M247" s="105">
        <v>-1</v>
      </c>
      <c r="N247" s="105"/>
      <c r="O247" s="111"/>
    </row>
    <row r="248" spans="1:15" ht="12.75" customHeight="1" x14ac:dyDescent="0.2">
      <c r="A248" s="56"/>
      <c r="B248" s="57"/>
      <c r="C248" s="57"/>
      <c r="D248" s="134"/>
      <c r="E248" s="57"/>
      <c r="F248" s="58"/>
      <c r="G248" s="42"/>
      <c r="H248" s="42"/>
      <c r="I248" s="42"/>
      <c r="J248" s="42"/>
      <c r="K248" s="58"/>
      <c r="L248" s="58"/>
      <c r="M248" s="58"/>
      <c r="N248" s="59"/>
    </row>
  </sheetData>
  <sheetProtection formatCells="0" formatColumns="0" formatRows="0" insertHyperlinks="0" autoFilter="0"/>
  <mergeCells count="12">
    <mergeCell ref="N2:N3"/>
    <mergeCell ref="A3:B3"/>
    <mergeCell ref="J2:J3"/>
    <mergeCell ref="K2:K3"/>
    <mergeCell ref="L2:L3"/>
    <mergeCell ref="M2:M3"/>
    <mergeCell ref="A2:B2"/>
    <mergeCell ref="E2:E3"/>
    <mergeCell ref="F2:F3"/>
    <mergeCell ref="G2:G3"/>
    <mergeCell ref="H2:H3"/>
    <mergeCell ref="I2:I3"/>
  </mergeCells>
  <conditionalFormatting sqref="G2:J4">
    <cfRule type="expression" dxfId="91" priority="4">
      <formula>G$2=ScenarioSelected</formula>
    </cfRule>
  </conditionalFormatting>
  <conditionalFormatting sqref="A5:N247">
    <cfRule type="expression" dxfId="90" priority="2">
      <formula>AND(HighlightScenarioEffort=1,$M5=4, COUNTIF(ScenarioTag, IF(ScenarioSelected=$G$2,$G5, IF(ScenarioSelected=$H$2,$H5, IF(ScenarioSelected=$I$2,$I5, IF(ScenarioSelected=$J$2,$J5,"")))) )=0)</formula>
    </cfRule>
  </conditionalFormatting>
  <conditionalFormatting sqref="G5:J247">
    <cfRule type="expression" dxfId="89" priority="1">
      <formula>AND(HighlightEffortNoScenario=1, $M5=4, ISBLANK($G5), ISBLANK($H5), ISBLANK($I5), ISBLANK($J5))</formula>
    </cfRule>
  </conditionalFormatting>
  <dataValidations count="3">
    <dataValidation type="list" allowBlank="1" showInputMessage="1" showErrorMessage="1" sqref="G15:J15 G48:J48 G108:J108 G131:J131 G169:J169 G177:J177 G210:J210 G9:J9 G27:J27 G33:J33 G18:J18 G21:J21 G24:J24 G30:J30 G12:J12 G197:J198 G225:J228 G42:J42 G45:J45 G53:J53 G56:J56 G59:J59 G62:J62 G65:J65 G68:J68 G38:J39 G75:J75 G78:J78 G81:J81 G84:J84 G87:J87 G90:J90 G93:J93 G96:J96 G99:J99 G102:J102 G105:J105 G113:J113 G116:J116 G119:J119 G122:J122 G125:J125 G128:J128 G136:J136 G139:J139 G142:J142 G145:J145 G148:J148 G151:J151 G154:J154 G157:J157 G160:J160 G163:J163 G166:J166 G174:J174 G182:J182 G185:J185 G188:J188 G191:J191 G194:J194 G71:J72 G201:J201 G204:J204 G207:J207 G215:J215 G218:J218 G221:J222 G233:J246" xr:uid="{00000000-0002-0000-0400-000000000000}">
      <formula1>ScenarioTag</formula1>
    </dataValidation>
    <dataValidation type="list" allowBlank="1" showInputMessage="1" showErrorMessage="1" sqref="F15 F48 F108 F131 F169 F177 F210 F9 F27 F33 F18 F21 F24 F30 F12 F197:F198 F225:F228 F42 F45 F53 F56 F59 F62 F65 F68 F38:F39 F75 F78 F81 F84 F87 F90 F93 F96 F99 F102 F105 F113 F116 F119 F122 F125 F128 F136 F139 F142 F145 F148 F151 F154 F157 F160 F163 F166 F174 F182 F185 F188 F191 F194 F71:F72 F201 F204 F207 F215 F218 F221:F222 F233:F246" xr:uid="{00000000-0002-0000-0400-000001000000}">
      <formula1>SolutionComponent</formula1>
    </dataValidation>
    <dataValidation type="custom" allowBlank="1" showInputMessage="1" showErrorMessage="1" errorTitle="Number of Non-CUT Days" error="You must enter a number of non-CUT days._x000a__x000a_The value you entered is not a number._x000a_" sqref="E5:E247" xr:uid="{00000000-0002-0000-0400-000002000000}">
      <formula1>OR( $M5&lt;&gt;4, ISNUMBER(E5) )</formula1>
    </dataValidation>
  </dataValidation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gileTopDownSheet1">
    <tabColor theme="4" tint="0.59999389629810485"/>
  </sheetPr>
  <dimension ref="A1:EH1147"/>
  <sheetViews>
    <sheetView showGridLines="0" zoomScaleNormal="100" workbookViewId="0">
      <pane xSplit="8" ySplit="10" topLeftCell="AF11" activePane="bottomRight" state="frozen"/>
      <selection pane="topRight" activeCell="F2" sqref="F2:G2"/>
      <selection pane="bottomLeft" activeCell="F2" sqref="F2:G2"/>
      <selection pane="bottomRight" activeCell="C45" sqref="C45"/>
    </sheetView>
  </sheetViews>
  <sheetFormatPr defaultColWidth="9.28515625" defaultRowHeight="15" x14ac:dyDescent="0.25"/>
  <cols>
    <col min="1" max="1" width="11.42578125" style="120" hidden="1" customWidth="1"/>
    <col min="2" max="2" width="8.5703125" style="146" hidden="1" customWidth="1"/>
    <col min="3" max="3" width="19.7109375" style="282" customWidth="1"/>
    <col min="4" max="4" width="23.5703125" style="76" customWidth="1"/>
    <col min="5" max="5" width="9.42578125" style="77" customWidth="1"/>
    <col min="6" max="7" width="15.42578125" style="77" customWidth="1"/>
    <col min="8" max="8" width="27" style="77" customWidth="1"/>
    <col min="9" max="20" width="8.7109375" style="77" customWidth="1"/>
    <col min="21" max="126" width="8.5703125" style="77" customWidth="1"/>
    <col min="127" max="127" width="7.5703125" style="77" customWidth="1"/>
    <col min="128" max="128" width="5.5703125" style="77" customWidth="1"/>
    <col min="129" max="129" width="0.7109375" style="21" customWidth="1"/>
    <col min="130" max="130" width="3.140625" style="188" customWidth="1"/>
    <col min="131" max="134" width="10.5703125" style="77" customWidth="1"/>
    <col min="135" max="138" width="9.28515625" style="78"/>
    <col min="139" max="16384" width="9.28515625" style="77"/>
  </cols>
  <sheetData>
    <row r="1" spans="1:138" ht="35.1" customHeight="1" x14ac:dyDescent="0.25">
      <c r="C1" s="286"/>
      <c r="D1" s="680" t="str">
        <f>Attributes!C4</f>
        <v>Phase 1</v>
      </c>
      <c r="E1" s="680"/>
      <c r="F1" s="680"/>
      <c r="G1" s="680"/>
      <c r="H1" s="68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218"/>
      <c r="CC1" s="218"/>
      <c r="CD1" s="218"/>
      <c r="CE1" s="218"/>
      <c r="CF1" s="218"/>
      <c r="CG1" s="218"/>
      <c r="CH1" s="218"/>
      <c r="CI1" s="218"/>
      <c r="CJ1" s="218"/>
      <c r="CK1" s="218"/>
      <c r="CL1" s="218"/>
      <c r="CM1" s="218"/>
      <c r="CN1" s="218"/>
      <c r="CO1" s="218"/>
      <c r="CP1" s="218"/>
      <c r="CQ1" s="218"/>
      <c r="CR1" s="218"/>
      <c r="CS1" s="218"/>
      <c r="CT1" s="218"/>
      <c r="CU1" s="218"/>
      <c r="CV1" s="218"/>
      <c r="CW1" s="218"/>
      <c r="CX1" s="218"/>
      <c r="CY1" s="218"/>
      <c r="CZ1" s="218"/>
      <c r="DA1" s="218"/>
      <c r="DB1" s="218"/>
      <c r="DC1" s="218"/>
      <c r="DD1" s="218"/>
      <c r="DE1" s="218"/>
      <c r="DF1" s="218"/>
      <c r="DG1" s="218"/>
      <c r="DH1" s="218"/>
      <c r="DI1" s="218"/>
      <c r="DJ1" s="218"/>
      <c r="DK1" s="218"/>
      <c r="DL1" s="218"/>
      <c r="DM1" s="218"/>
      <c r="DN1" s="218"/>
      <c r="DO1" s="218"/>
      <c r="DP1" s="218"/>
      <c r="DQ1" s="218"/>
      <c r="DR1" s="218"/>
      <c r="DS1" s="218"/>
      <c r="DT1" s="218"/>
      <c r="DU1" s="218"/>
      <c r="DV1" s="218"/>
      <c r="DW1" s="218"/>
      <c r="DX1" s="218"/>
      <c r="DY1" s="219"/>
      <c r="DZ1" s="220"/>
      <c r="EA1" s="218"/>
      <c r="EB1" s="218"/>
      <c r="EC1" s="218"/>
    </row>
    <row r="2" spans="1:138" s="81" customFormat="1" ht="12" customHeight="1" x14ac:dyDescent="0.25">
      <c r="A2" s="143"/>
      <c r="B2" s="144"/>
      <c r="C2" s="287"/>
      <c r="D2" s="221" t="s">
        <v>561</v>
      </c>
      <c r="E2" s="227">
        <v>0.5</v>
      </c>
      <c r="F2" s="227"/>
      <c r="G2" s="227"/>
      <c r="H2" s="222"/>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c r="BJ2" s="219"/>
      <c r="BK2" s="219"/>
      <c r="BL2" s="219"/>
      <c r="BM2" s="219"/>
      <c r="BN2" s="219"/>
      <c r="BO2" s="219"/>
      <c r="BP2" s="219"/>
      <c r="BQ2" s="219"/>
      <c r="BR2" s="219"/>
      <c r="BS2" s="219"/>
      <c r="BT2" s="219"/>
      <c r="BU2" s="219"/>
      <c r="BV2" s="219"/>
      <c r="BW2" s="219"/>
      <c r="BX2" s="219"/>
      <c r="BY2" s="219"/>
      <c r="BZ2" s="219"/>
      <c r="CA2" s="219"/>
      <c r="CB2" s="219"/>
      <c r="CC2" s="219"/>
      <c r="CD2" s="219"/>
      <c r="CE2" s="219"/>
      <c r="CF2" s="219"/>
      <c r="CG2" s="219"/>
      <c r="CH2" s="219"/>
      <c r="CI2" s="219"/>
      <c r="CJ2" s="219"/>
      <c r="CK2" s="219"/>
      <c r="CL2" s="219"/>
      <c r="CM2" s="219"/>
      <c r="CN2" s="219"/>
      <c r="CO2" s="219"/>
      <c r="CP2" s="219"/>
      <c r="CQ2" s="219"/>
      <c r="CR2" s="219"/>
      <c r="CS2" s="219"/>
      <c r="CT2" s="219"/>
      <c r="CU2" s="219"/>
      <c r="CV2" s="219"/>
      <c r="CW2" s="219"/>
      <c r="CX2" s="219"/>
      <c r="CY2" s="219"/>
      <c r="CZ2" s="219"/>
      <c r="DA2" s="219"/>
      <c r="DB2" s="219"/>
      <c r="DC2" s="219"/>
      <c r="DD2" s="219"/>
      <c r="DE2" s="219"/>
      <c r="DF2" s="219"/>
      <c r="DG2" s="219"/>
      <c r="DH2" s="219"/>
      <c r="DI2" s="219"/>
      <c r="DJ2" s="219"/>
      <c r="DK2" s="219"/>
      <c r="DL2" s="219"/>
      <c r="DM2" s="219"/>
      <c r="DN2" s="219"/>
      <c r="DO2" s="219"/>
      <c r="DP2" s="219"/>
      <c r="DQ2" s="219"/>
      <c r="DR2" s="219"/>
      <c r="DS2" s="219"/>
      <c r="DT2" s="219"/>
      <c r="DU2" s="219"/>
      <c r="DV2" s="219"/>
      <c r="DW2" s="219"/>
      <c r="DX2" s="219"/>
      <c r="DY2" s="224"/>
      <c r="DZ2" s="225"/>
      <c r="EA2" s="219"/>
      <c r="EB2" s="219"/>
      <c r="EC2" s="219"/>
    </row>
    <row r="3" spans="1:138" s="81" customFormat="1" ht="12" customHeight="1" x14ac:dyDescent="0.25">
      <c r="A3" s="145" t="str">
        <f>Customer &amp; CHAR(10) &amp; Project</f>
        <v>Optus
BoSS Proposal</v>
      </c>
      <c r="B3" s="144"/>
      <c r="C3" s="287"/>
      <c r="D3" s="221" t="s">
        <v>562</v>
      </c>
      <c r="E3" s="227">
        <v>0.2</v>
      </c>
      <c r="F3" s="227"/>
      <c r="G3" s="227"/>
      <c r="H3" s="227"/>
      <c r="I3" s="219">
        <f t="shared" ref="I3:AS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ca="1" si="0"/>
        <v>8</v>
      </c>
      <c r="AQ3" s="219">
        <f t="shared" ca="1" si="0"/>
        <v>8</v>
      </c>
      <c r="AR3" s="219">
        <f t="shared" ca="1" si="0"/>
        <v>9</v>
      </c>
      <c r="AS3" s="219">
        <f t="shared" ca="1" si="0"/>
        <v>9</v>
      </c>
      <c r="AT3" s="219">
        <f t="shared" ref="AT3:DX3" ca="1" si="1">ROUNDUP(((RIGHT(OFFSET(AT4,0,-1,1,1),LEN(OFFSET(AT4,0,-1,1,1))-3)+1)*5/ProformaDefaultDaysPerMonth),0.1)</f>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f t="shared" ca="1" si="1"/>
        <v>12</v>
      </c>
      <c r="BI3" s="219">
        <f t="shared" ca="1" si="1"/>
        <v>13</v>
      </c>
      <c r="BJ3" s="219">
        <f t="shared" ca="1" si="1"/>
        <v>13</v>
      </c>
      <c r="BK3" s="219">
        <f t="shared" ca="1" si="1"/>
        <v>13</v>
      </c>
      <c r="BL3" s="219">
        <f t="shared" ca="1" si="1"/>
        <v>13</v>
      </c>
      <c r="BM3" s="219">
        <f t="shared" ca="1" si="1"/>
        <v>13</v>
      </c>
      <c r="BN3" s="219">
        <f t="shared" ca="1" si="1"/>
        <v>14</v>
      </c>
      <c r="BO3" s="219">
        <f t="shared" ca="1" si="1"/>
        <v>14</v>
      </c>
      <c r="BP3" s="219">
        <f t="shared" ca="1" si="1"/>
        <v>14</v>
      </c>
      <c r="BQ3" s="219">
        <f t="shared" ca="1" si="1"/>
        <v>14</v>
      </c>
      <c r="BR3" s="219">
        <f t="shared" ca="1" si="1"/>
        <v>15</v>
      </c>
      <c r="BS3" s="219">
        <f t="shared" ca="1" si="1"/>
        <v>15</v>
      </c>
      <c r="BT3" s="219">
        <f t="shared" ca="1" si="1"/>
        <v>15</v>
      </c>
      <c r="BU3" s="219">
        <f t="shared" ca="1" si="1"/>
        <v>15</v>
      </c>
      <c r="BV3" s="219">
        <f t="shared" ca="1" si="1"/>
        <v>15</v>
      </c>
      <c r="BW3" s="219">
        <f t="shared" ca="1" si="1"/>
        <v>16</v>
      </c>
      <c r="BX3" s="219">
        <f t="shared" ca="1" si="1"/>
        <v>16</v>
      </c>
      <c r="BY3" s="219">
        <f t="shared" ca="1" si="1"/>
        <v>16</v>
      </c>
      <c r="BZ3" s="219">
        <f t="shared" ca="1" si="1"/>
        <v>16</v>
      </c>
      <c r="CA3" s="219">
        <f t="shared" ca="1" si="1"/>
        <v>17</v>
      </c>
      <c r="CB3" s="219">
        <f t="shared" ca="1" si="1"/>
        <v>17</v>
      </c>
      <c r="CC3" s="219">
        <f t="shared" ca="1" si="1"/>
        <v>17</v>
      </c>
      <c r="CD3" s="219">
        <f t="shared" ca="1" si="1"/>
        <v>17</v>
      </c>
      <c r="CE3" s="219">
        <f t="shared" ca="1" si="1"/>
        <v>18</v>
      </c>
      <c r="CF3" s="219">
        <f t="shared" ca="1" si="1"/>
        <v>18</v>
      </c>
      <c r="CG3" s="219">
        <f t="shared" ca="1" si="1"/>
        <v>18</v>
      </c>
      <c r="CH3" s="219">
        <f t="shared" ca="1" si="1"/>
        <v>18</v>
      </c>
      <c r="CI3" s="219">
        <f t="shared" ca="1" si="1"/>
        <v>18</v>
      </c>
      <c r="CJ3" s="219">
        <f t="shared" ca="1" si="1"/>
        <v>19</v>
      </c>
      <c r="CK3" s="219">
        <f t="shared" ca="1" si="1"/>
        <v>19</v>
      </c>
      <c r="CL3" s="219">
        <f t="shared" ca="1" si="1"/>
        <v>19</v>
      </c>
      <c r="CM3" s="219">
        <f t="shared" ca="1" si="1"/>
        <v>19</v>
      </c>
      <c r="CN3" s="219">
        <f t="shared" ca="1" si="1"/>
        <v>20</v>
      </c>
      <c r="CO3" s="219">
        <f t="shared" ca="1" si="1"/>
        <v>20</v>
      </c>
      <c r="CP3" s="219">
        <f t="shared" ca="1" si="1"/>
        <v>20</v>
      </c>
      <c r="CQ3" s="219">
        <f t="shared" ca="1" si="1"/>
        <v>20</v>
      </c>
      <c r="CR3" s="219">
        <f t="shared" ca="1" si="1"/>
        <v>20</v>
      </c>
      <c r="CS3" s="219">
        <f t="shared" ca="1" si="1"/>
        <v>21</v>
      </c>
      <c r="CT3" s="219">
        <f t="shared" ca="1" si="1"/>
        <v>21</v>
      </c>
      <c r="CU3" s="219">
        <f t="shared" ca="1" si="1"/>
        <v>21</v>
      </c>
      <c r="CV3" s="219">
        <f t="shared" ca="1" si="1"/>
        <v>21</v>
      </c>
      <c r="CW3" s="219">
        <f t="shared" ca="1" si="1"/>
        <v>22</v>
      </c>
      <c r="CX3" s="219">
        <f t="shared" ca="1" si="1"/>
        <v>22</v>
      </c>
      <c r="CY3" s="219">
        <f t="shared" ca="1" si="1"/>
        <v>22</v>
      </c>
      <c r="CZ3" s="219">
        <f t="shared" ca="1" si="1"/>
        <v>22</v>
      </c>
      <c r="DA3" s="219">
        <f t="shared" ca="1" si="1"/>
        <v>23</v>
      </c>
      <c r="DB3" s="219">
        <f t="shared" ca="1" si="1"/>
        <v>23</v>
      </c>
      <c r="DC3" s="219">
        <f t="shared" ca="1" si="1"/>
        <v>23</v>
      </c>
      <c r="DD3" s="219">
        <f t="shared" ca="1" si="1"/>
        <v>23</v>
      </c>
      <c r="DE3" s="219">
        <f t="shared" ca="1" si="1"/>
        <v>23</v>
      </c>
      <c r="DF3" s="219">
        <f t="shared" ca="1" si="1"/>
        <v>24</v>
      </c>
      <c r="DG3" s="219">
        <f t="shared" ca="1" si="1"/>
        <v>24</v>
      </c>
      <c r="DH3" s="219">
        <f t="shared" ca="1" si="1"/>
        <v>24</v>
      </c>
      <c r="DI3" s="219">
        <f t="shared" ca="1" si="1"/>
        <v>24</v>
      </c>
      <c r="DJ3" s="219">
        <f t="shared" ca="1" si="1"/>
        <v>25</v>
      </c>
      <c r="DK3" s="219">
        <f t="shared" ca="1" si="1"/>
        <v>25</v>
      </c>
      <c r="DL3" s="219">
        <f t="shared" ca="1" si="1"/>
        <v>25</v>
      </c>
      <c r="DM3" s="219">
        <f t="shared" ca="1" si="1"/>
        <v>25</v>
      </c>
      <c r="DN3" s="219">
        <f t="shared" ca="1" si="1"/>
        <v>25</v>
      </c>
      <c r="DO3" s="219">
        <f t="shared" ca="1" si="1"/>
        <v>26</v>
      </c>
      <c r="DP3" s="219">
        <f t="shared" ca="1" si="1"/>
        <v>26</v>
      </c>
      <c r="DQ3" s="219">
        <f t="shared" ca="1" si="1"/>
        <v>26</v>
      </c>
      <c r="DR3" s="219">
        <f t="shared" ca="1" si="1"/>
        <v>26</v>
      </c>
      <c r="DS3" s="219">
        <f t="shared" ca="1" si="1"/>
        <v>27</v>
      </c>
      <c r="DT3" s="219">
        <f t="shared" ca="1" si="1"/>
        <v>27</v>
      </c>
      <c r="DU3" s="219">
        <f t="shared" ca="1" si="1"/>
        <v>27</v>
      </c>
      <c r="DV3" s="219">
        <f t="shared" ca="1" si="1"/>
        <v>27</v>
      </c>
      <c r="DW3" s="219">
        <f t="shared" ca="1" si="1"/>
        <v>28</v>
      </c>
      <c r="DX3" s="219">
        <f t="shared" ca="1" si="1"/>
        <v>28</v>
      </c>
      <c r="DY3" s="219"/>
      <c r="DZ3" s="219"/>
      <c r="EA3" s="219"/>
      <c r="EB3" s="219"/>
      <c r="EC3" s="219"/>
    </row>
    <row r="4" spans="1:138" s="81" customFormat="1" ht="12" customHeight="1" thickBot="1" x14ac:dyDescent="0.3">
      <c r="A4" s="143"/>
      <c r="B4" s="144"/>
      <c r="C4" s="287"/>
      <c r="D4" s="221" t="s">
        <v>563</v>
      </c>
      <c r="E4" s="227">
        <v>0</v>
      </c>
      <c r="F4" s="227"/>
      <c r="G4" s="227"/>
      <c r="H4" s="265" t="s">
        <v>564</v>
      </c>
      <c r="I4" s="225" t="str">
        <f ca="1">"wk "&amp; RIGHT(OFFSET(I4,0,-1,1,1),LEN(OFFSET(I4,0,-1,1,1))-3)+1</f>
        <v>wk 1</v>
      </c>
      <c r="J4" s="225" t="str">
        <f t="shared" ref="J4:DX4" ca="1" si="2">"wk " &amp; RIGHT(OFFSET(J4,0,-1,1,1),LEN(OFFSET(J4,0,-1,1,1))-3)+1</f>
        <v>wk 2</v>
      </c>
      <c r="K4" s="225" t="str">
        <f t="shared" ca="1" si="2"/>
        <v>wk 3</v>
      </c>
      <c r="L4" s="225" t="str">
        <f t="shared" ca="1" si="2"/>
        <v>wk 4</v>
      </c>
      <c r="M4" s="225" t="str">
        <f t="shared" ca="1" si="2"/>
        <v>wk 5</v>
      </c>
      <c r="N4" s="225" t="str">
        <f t="shared" ca="1" si="2"/>
        <v>wk 6</v>
      </c>
      <c r="O4" s="225" t="str">
        <f t="shared" ca="1" si="2"/>
        <v>wk 7</v>
      </c>
      <c r="P4" s="225" t="str">
        <f t="shared" ca="1" si="2"/>
        <v>wk 8</v>
      </c>
      <c r="Q4" s="225" t="str">
        <f t="shared" ca="1" si="2"/>
        <v>wk 9</v>
      </c>
      <c r="R4" s="225" t="str">
        <f t="shared" ca="1" si="2"/>
        <v>wk 10</v>
      </c>
      <c r="S4" s="225" t="str">
        <f t="shared" ca="1" si="2"/>
        <v>wk 11</v>
      </c>
      <c r="T4" s="225" t="str">
        <f t="shared" ca="1" si="2"/>
        <v>wk 12</v>
      </c>
      <c r="U4" s="225" t="str">
        <f t="shared" ca="1" si="2"/>
        <v>wk 13</v>
      </c>
      <c r="V4" s="225" t="str">
        <f t="shared" ca="1" si="2"/>
        <v>wk 14</v>
      </c>
      <c r="W4" s="225" t="str">
        <f t="shared" ca="1" si="2"/>
        <v>wk 15</v>
      </c>
      <c r="X4" s="225" t="str">
        <f t="shared" ca="1" si="2"/>
        <v>wk 16</v>
      </c>
      <c r="Y4" s="225" t="str">
        <f t="shared" ca="1" si="2"/>
        <v>wk 17</v>
      </c>
      <c r="Z4" s="225" t="str">
        <f t="shared" ca="1" si="2"/>
        <v>wk 18</v>
      </c>
      <c r="AA4" s="225" t="str">
        <f t="shared" ca="1" si="2"/>
        <v>wk 19</v>
      </c>
      <c r="AB4" s="225" t="str">
        <f t="shared" ca="1" si="2"/>
        <v>wk 20</v>
      </c>
      <c r="AC4" s="225" t="str">
        <f t="shared" ca="1" si="2"/>
        <v>wk 21</v>
      </c>
      <c r="AD4" s="225" t="str">
        <f t="shared" ca="1" si="2"/>
        <v>wk 22</v>
      </c>
      <c r="AE4" s="225" t="str">
        <f t="shared" ca="1" si="2"/>
        <v>wk 23</v>
      </c>
      <c r="AF4" s="225" t="str">
        <f t="shared" ca="1" si="2"/>
        <v>wk 24</v>
      </c>
      <c r="AG4" s="225" t="str">
        <f t="shared" ca="1" si="2"/>
        <v>wk 25</v>
      </c>
      <c r="AH4" s="225" t="str">
        <f t="shared" ca="1" si="2"/>
        <v>wk 26</v>
      </c>
      <c r="AI4" s="225" t="str">
        <f t="shared" ca="1" si="2"/>
        <v>wk 27</v>
      </c>
      <c r="AJ4" s="225" t="str">
        <f t="shared" ca="1" si="2"/>
        <v>wk 28</v>
      </c>
      <c r="AK4" s="225" t="str">
        <f t="shared" ca="1" si="2"/>
        <v>wk 29</v>
      </c>
      <c r="AL4" s="225" t="str">
        <f t="shared" ca="1" si="2"/>
        <v>wk 30</v>
      </c>
      <c r="AM4" s="225" t="str">
        <f t="shared" ca="1" si="2"/>
        <v>wk 31</v>
      </c>
      <c r="AN4" s="225" t="str">
        <f t="shared" ca="1" si="2"/>
        <v>wk 32</v>
      </c>
      <c r="AO4" s="225" t="str">
        <f t="shared" ca="1" si="2"/>
        <v>wk 33</v>
      </c>
      <c r="AP4" s="225" t="str">
        <f t="shared" ca="1" si="2"/>
        <v>wk 34</v>
      </c>
      <c r="AQ4" s="225" t="str">
        <f t="shared" ca="1" si="2"/>
        <v>wk 35</v>
      </c>
      <c r="AR4" s="225" t="str">
        <f t="shared" ca="1" si="2"/>
        <v>wk 36</v>
      </c>
      <c r="AS4" s="225" t="str">
        <f t="shared" ca="1" si="2"/>
        <v>wk 37</v>
      </c>
      <c r="AT4" s="225" t="str">
        <f t="shared" ca="1" si="2"/>
        <v>wk 38</v>
      </c>
      <c r="AU4" s="225" t="str">
        <f t="shared" ca="1" si="2"/>
        <v>wk 39</v>
      </c>
      <c r="AV4" s="225" t="str">
        <f t="shared" ca="1" si="2"/>
        <v>wk 40</v>
      </c>
      <c r="AW4" s="225" t="str">
        <f t="shared" ca="1" si="2"/>
        <v>wk 41</v>
      </c>
      <c r="AX4" s="225" t="str">
        <f t="shared" ca="1" si="2"/>
        <v>wk 42</v>
      </c>
      <c r="AY4" s="225" t="str">
        <f t="shared" ca="1" si="2"/>
        <v>wk 43</v>
      </c>
      <c r="AZ4" s="225" t="str">
        <f t="shared" ca="1" si="2"/>
        <v>wk 44</v>
      </c>
      <c r="BA4" s="225" t="str">
        <f t="shared" ca="1" si="2"/>
        <v>wk 45</v>
      </c>
      <c r="BB4" s="225" t="str">
        <f t="shared" ca="1" si="2"/>
        <v>wk 46</v>
      </c>
      <c r="BC4" s="225" t="str">
        <f t="shared" ca="1" si="2"/>
        <v>wk 47</v>
      </c>
      <c r="BD4" s="225" t="str">
        <f t="shared" ca="1" si="2"/>
        <v>wk 48</v>
      </c>
      <c r="BE4" s="225" t="str">
        <f t="shared" ca="1" si="2"/>
        <v>wk 49</v>
      </c>
      <c r="BF4" s="225" t="str">
        <f t="shared" ca="1" si="2"/>
        <v>wk 50</v>
      </c>
      <c r="BG4" s="225" t="str">
        <f t="shared" ca="1" si="2"/>
        <v>wk 51</v>
      </c>
      <c r="BH4" s="225" t="str">
        <f t="shared" ca="1" si="2"/>
        <v>wk 52</v>
      </c>
      <c r="BI4" s="225" t="str">
        <f t="shared" ca="1" si="2"/>
        <v>wk 53</v>
      </c>
      <c r="BJ4" s="225" t="str">
        <f t="shared" ca="1" si="2"/>
        <v>wk 54</v>
      </c>
      <c r="BK4" s="225" t="str">
        <f t="shared" ca="1" si="2"/>
        <v>wk 55</v>
      </c>
      <c r="BL4" s="225" t="str">
        <f t="shared" ca="1" si="2"/>
        <v>wk 56</v>
      </c>
      <c r="BM4" s="225" t="str">
        <f t="shared" ca="1" si="2"/>
        <v>wk 57</v>
      </c>
      <c r="BN4" s="225" t="str">
        <f t="shared" ca="1" si="2"/>
        <v>wk 58</v>
      </c>
      <c r="BO4" s="225" t="str">
        <f t="shared" ca="1" si="2"/>
        <v>wk 59</v>
      </c>
      <c r="BP4" s="225" t="str">
        <f t="shared" ca="1" si="2"/>
        <v>wk 60</v>
      </c>
      <c r="BQ4" s="225" t="str">
        <f t="shared" ca="1" si="2"/>
        <v>wk 61</v>
      </c>
      <c r="BR4" s="225" t="str">
        <f t="shared" ca="1" si="2"/>
        <v>wk 62</v>
      </c>
      <c r="BS4" s="225" t="str">
        <f t="shared" ca="1" si="2"/>
        <v>wk 63</v>
      </c>
      <c r="BT4" s="225" t="str">
        <f t="shared" ca="1" si="2"/>
        <v>wk 64</v>
      </c>
      <c r="BU4" s="225" t="str">
        <f t="shared" ca="1" si="2"/>
        <v>wk 65</v>
      </c>
      <c r="BV4" s="225" t="str">
        <f t="shared" ca="1" si="2"/>
        <v>wk 66</v>
      </c>
      <c r="BW4" s="225" t="str">
        <f t="shared" ca="1" si="2"/>
        <v>wk 67</v>
      </c>
      <c r="BX4" s="225" t="str">
        <f t="shared" ca="1" si="2"/>
        <v>wk 68</v>
      </c>
      <c r="BY4" s="225" t="str">
        <f t="shared" ca="1" si="2"/>
        <v>wk 69</v>
      </c>
      <c r="BZ4" s="225" t="str">
        <f t="shared" ca="1" si="2"/>
        <v>wk 70</v>
      </c>
      <c r="CA4" s="225" t="str">
        <f t="shared" ca="1" si="2"/>
        <v>wk 71</v>
      </c>
      <c r="CB4" s="225" t="str">
        <f t="shared" ca="1" si="2"/>
        <v>wk 72</v>
      </c>
      <c r="CC4" s="225" t="str">
        <f t="shared" ca="1" si="2"/>
        <v>wk 73</v>
      </c>
      <c r="CD4" s="225" t="str">
        <f t="shared" ca="1" si="2"/>
        <v>wk 74</v>
      </c>
      <c r="CE4" s="225" t="str">
        <f t="shared" ca="1" si="2"/>
        <v>wk 75</v>
      </c>
      <c r="CF4" s="225" t="str">
        <f t="shared" ca="1" si="2"/>
        <v>wk 76</v>
      </c>
      <c r="CG4" s="225" t="str">
        <f t="shared" ca="1" si="2"/>
        <v>wk 77</v>
      </c>
      <c r="CH4" s="225" t="str">
        <f t="shared" ca="1" si="2"/>
        <v>wk 78</v>
      </c>
      <c r="CI4" s="225" t="str">
        <f t="shared" ca="1" si="2"/>
        <v>wk 79</v>
      </c>
      <c r="CJ4" s="225" t="str">
        <f t="shared" ca="1" si="2"/>
        <v>wk 80</v>
      </c>
      <c r="CK4" s="225" t="str">
        <f t="shared" ca="1" si="2"/>
        <v>wk 81</v>
      </c>
      <c r="CL4" s="225" t="str">
        <f t="shared" ca="1" si="2"/>
        <v>wk 82</v>
      </c>
      <c r="CM4" s="225" t="str">
        <f t="shared" ca="1" si="2"/>
        <v>wk 83</v>
      </c>
      <c r="CN4" s="225" t="str">
        <f t="shared" ca="1" si="2"/>
        <v>wk 84</v>
      </c>
      <c r="CO4" s="225" t="str">
        <f t="shared" ca="1" si="2"/>
        <v>wk 85</v>
      </c>
      <c r="CP4" s="225" t="str">
        <f t="shared" ca="1" si="2"/>
        <v>wk 86</v>
      </c>
      <c r="CQ4" s="225" t="str">
        <f t="shared" ca="1" si="2"/>
        <v>wk 87</v>
      </c>
      <c r="CR4" s="225" t="str">
        <f t="shared" ca="1" si="2"/>
        <v>wk 88</v>
      </c>
      <c r="CS4" s="225" t="str">
        <f t="shared" ca="1" si="2"/>
        <v>wk 89</v>
      </c>
      <c r="CT4" s="225" t="str">
        <f t="shared" ca="1" si="2"/>
        <v>wk 90</v>
      </c>
      <c r="CU4" s="225" t="str">
        <f t="shared" ca="1" si="2"/>
        <v>wk 91</v>
      </c>
      <c r="CV4" s="225" t="str">
        <f t="shared" ca="1" si="2"/>
        <v>wk 92</v>
      </c>
      <c r="CW4" s="225" t="str">
        <f t="shared" ca="1" si="2"/>
        <v>wk 93</v>
      </c>
      <c r="CX4" s="225" t="str">
        <f t="shared" ca="1" si="2"/>
        <v>wk 94</v>
      </c>
      <c r="CY4" s="225" t="str">
        <f t="shared" ca="1" si="2"/>
        <v>wk 95</v>
      </c>
      <c r="CZ4" s="225" t="str">
        <f t="shared" ca="1" si="2"/>
        <v>wk 96</v>
      </c>
      <c r="DA4" s="225" t="str">
        <f t="shared" ca="1" si="2"/>
        <v>wk 97</v>
      </c>
      <c r="DB4" s="225" t="str">
        <f t="shared" ca="1" si="2"/>
        <v>wk 98</v>
      </c>
      <c r="DC4" s="225" t="str">
        <f t="shared" ca="1" si="2"/>
        <v>wk 99</v>
      </c>
      <c r="DD4" s="225" t="str">
        <f t="shared" ca="1" si="2"/>
        <v>wk 100</v>
      </c>
      <c r="DE4" s="225" t="str">
        <f t="shared" ca="1" si="2"/>
        <v>wk 101</v>
      </c>
      <c r="DF4" s="225" t="str">
        <f t="shared" ca="1" si="2"/>
        <v>wk 102</v>
      </c>
      <c r="DG4" s="225" t="str">
        <f t="shared" ca="1" si="2"/>
        <v>wk 103</v>
      </c>
      <c r="DH4" s="225" t="str">
        <f t="shared" ca="1" si="2"/>
        <v>wk 104</v>
      </c>
      <c r="DI4" s="225" t="str">
        <f t="shared" ca="1" si="2"/>
        <v>wk 105</v>
      </c>
      <c r="DJ4" s="225" t="str">
        <f t="shared" ca="1" si="2"/>
        <v>wk 106</v>
      </c>
      <c r="DK4" s="225" t="str">
        <f t="shared" ca="1" si="2"/>
        <v>wk 107</v>
      </c>
      <c r="DL4" s="225" t="str">
        <f t="shared" ca="1" si="2"/>
        <v>wk 108</v>
      </c>
      <c r="DM4" s="225" t="str">
        <f t="shared" ca="1" si="2"/>
        <v>wk 109</v>
      </c>
      <c r="DN4" s="225" t="str">
        <f t="shared" ca="1" si="2"/>
        <v>wk 110</v>
      </c>
      <c r="DO4" s="225" t="str">
        <f t="shared" ca="1" si="2"/>
        <v>wk 111</v>
      </c>
      <c r="DP4" s="225" t="str">
        <f t="shared" ca="1" si="2"/>
        <v>wk 112</v>
      </c>
      <c r="DQ4" s="225" t="str">
        <f t="shared" ca="1" si="2"/>
        <v>wk 113</v>
      </c>
      <c r="DR4" s="225" t="str">
        <f t="shared" ca="1" si="2"/>
        <v>wk 114</v>
      </c>
      <c r="DS4" s="225" t="str">
        <f t="shared" ca="1" si="2"/>
        <v>wk 115</v>
      </c>
      <c r="DT4" s="225" t="str">
        <f t="shared" ca="1" si="2"/>
        <v>wk 116</v>
      </c>
      <c r="DU4" s="225" t="str">
        <f t="shared" ca="1" si="2"/>
        <v>wk 117</v>
      </c>
      <c r="DV4" s="225" t="str">
        <f t="shared" ca="1" si="2"/>
        <v>wk 118</v>
      </c>
      <c r="DW4" s="225" t="str">
        <f t="shared" ca="1" si="2"/>
        <v>wk 119</v>
      </c>
      <c r="DX4" s="225" t="str">
        <f t="shared" ca="1" si="2"/>
        <v>wk 120</v>
      </c>
      <c r="DY4" s="224"/>
      <c r="DZ4" s="225"/>
      <c r="EA4" s="219"/>
      <c r="EB4" s="219"/>
      <c r="EC4" s="219"/>
    </row>
    <row r="5" spans="1:138" s="81" customFormat="1" ht="5.25" customHeight="1" x14ac:dyDescent="0.25">
      <c r="A5" s="120"/>
      <c r="B5" s="146"/>
      <c r="C5" s="676" t="s">
        <v>565</v>
      </c>
      <c r="D5" s="341"/>
      <c r="E5" s="342"/>
      <c r="F5" s="342"/>
      <c r="G5" s="342"/>
      <c r="H5" s="342"/>
      <c r="I5" s="343"/>
      <c r="J5" s="343"/>
      <c r="K5" s="343"/>
      <c r="L5" s="343"/>
      <c r="M5" s="343"/>
      <c r="N5" s="343"/>
      <c r="O5" s="343"/>
      <c r="P5" s="343"/>
      <c r="Q5" s="343"/>
      <c r="R5" s="343"/>
      <c r="S5" s="343"/>
      <c r="T5" s="343"/>
      <c r="DY5" s="21"/>
      <c r="DZ5" s="187"/>
      <c r="EE5"/>
      <c r="EF5"/>
      <c r="EG5"/>
      <c r="EH5"/>
    </row>
    <row r="6" spans="1:138" ht="12" customHeight="1" x14ac:dyDescent="0.25">
      <c r="A6" s="147"/>
      <c r="C6" s="677"/>
      <c r="D6" s="341" t="s">
        <v>566</v>
      </c>
      <c r="E6" s="85">
        <f>'Detail CUT'!G4</f>
        <v>495</v>
      </c>
      <c r="F6" s="85"/>
      <c r="G6" s="85"/>
      <c r="H6" s="385" t="str">
        <f>CONCATENATE("Effort With Cont = ",ROUND(SUM(EB198),0))</f>
        <v>Effort With Cont = 20221</v>
      </c>
      <c r="I6" s="344"/>
      <c r="J6" s="344"/>
      <c r="K6" s="344"/>
      <c r="L6" s="344"/>
      <c r="M6" s="344"/>
      <c r="N6" s="344"/>
      <c r="O6" s="344"/>
      <c r="P6" s="344"/>
      <c r="Q6" s="344"/>
      <c r="R6" s="344"/>
      <c r="S6" s="344"/>
      <c r="T6" s="344"/>
      <c r="AY6" s="77" t="s">
        <v>567</v>
      </c>
      <c r="BC6" s="77" t="s">
        <v>568</v>
      </c>
      <c r="BD6" s="77" t="s">
        <v>568</v>
      </c>
      <c r="BE6" s="77" t="s">
        <v>568</v>
      </c>
      <c r="BF6" s="77" t="s">
        <v>568</v>
      </c>
      <c r="BG6" s="77" t="s">
        <v>568</v>
      </c>
      <c r="BH6" s="77" t="s">
        <v>568</v>
      </c>
      <c r="BJ6" s="77" t="s">
        <v>569</v>
      </c>
      <c r="DZ6" s="187"/>
      <c r="EA6" s="81"/>
      <c r="EB6" s="81"/>
      <c r="EC6" s="81"/>
    </row>
    <row r="7" spans="1:138" ht="12" customHeight="1" thickBot="1" x14ac:dyDescent="0.3">
      <c r="A7" s="147"/>
      <c r="C7" s="678"/>
      <c r="D7" s="341" t="s">
        <v>188</v>
      </c>
      <c r="E7" s="85">
        <f>SUM(I195:DZ195)</f>
        <v>505.75</v>
      </c>
      <c r="F7" s="85"/>
      <c r="G7" s="85"/>
      <c r="H7" s="386" t="str">
        <f>CONCATENATE("Effort W/out Cont = ",ROUND(SUM(EB192+EB196),0))</f>
        <v>Effort W/out Cont = 16924</v>
      </c>
      <c r="I7" s="344"/>
      <c r="J7" s="344"/>
      <c r="K7" s="636" t="s">
        <v>570</v>
      </c>
      <c r="L7" s="636" t="s">
        <v>570</v>
      </c>
      <c r="M7" s="636" t="s">
        <v>570</v>
      </c>
      <c r="N7" s="636" t="s">
        <v>570</v>
      </c>
      <c r="O7" s="636" t="s">
        <v>570</v>
      </c>
      <c r="P7" s="636" t="s">
        <v>570</v>
      </c>
      <c r="Q7" s="636" t="s">
        <v>570</v>
      </c>
      <c r="R7" s="636" t="s">
        <v>570</v>
      </c>
      <c r="S7" s="636" t="s">
        <v>570</v>
      </c>
      <c r="T7" s="344"/>
      <c r="AK7" s="77" t="s">
        <v>571</v>
      </c>
      <c r="AL7" s="77" t="s">
        <v>571</v>
      </c>
      <c r="AM7" s="77" t="s">
        <v>571</v>
      </c>
      <c r="AN7" s="77" t="s">
        <v>571</v>
      </c>
      <c r="DZ7" s="187"/>
      <c r="EA7" s="81"/>
      <c r="EB7" s="81"/>
      <c r="EC7" s="81"/>
    </row>
    <row r="8" spans="1:138" s="83" customFormat="1" ht="22.5" x14ac:dyDescent="0.25">
      <c r="A8" s="148"/>
      <c r="B8" s="125"/>
      <c r="C8" s="282"/>
      <c r="D8" s="368"/>
      <c r="E8" s="383"/>
      <c r="F8" s="383"/>
      <c r="G8" s="383"/>
      <c r="H8" s="384"/>
      <c r="I8" s="567" t="s">
        <v>572</v>
      </c>
      <c r="J8" s="567" t="s">
        <v>573</v>
      </c>
      <c r="K8" s="567" t="s">
        <v>573</v>
      </c>
      <c r="L8" s="567" t="s">
        <v>573</v>
      </c>
      <c r="M8" s="567" t="s">
        <v>573</v>
      </c>
      <c r="N8" s="567" t="s">
        <v>573</v>
      </c>
      <c r="O8" s="567" t="s">
        <v>573</v>
      </c>
      <c r="P8" s="567" t="s">
        <v>573</v>
      </c>
      <c r="Q8" s="567" t="s">
        <v>573</v>
      </c>
      <c r="R8" s="567" t="s">
        <v>573</v>
      </c>
      <c r="S8" s="567" t="s">
        <v>574</v>
      </c>
      <c r="T8" s="567" t="s">
        <v>575</v>
      </c>
      <c r="U8" s="83" t="s">
        <v>576</v>
      </c>
      <c r="V8" s="83" t="s">
        <v>576</v>
      </c>
      <c r="W8" s="83" t="s">
        <v>576</v>
      </c>
      <c r="X8" s="83" t="s">
        <v>576</v>
      </c>
      <c r="Y8" s="83" t="s">
        <v>576</v>
      </c>
      <c r="Z8" s="83" t="s">
        <v>576</v>
      </c>
      <c r="AA8" s="83" t="s">
        <v>577</v>
      </c>
      <c r="AB8" s="83" t="s">
        <v>577</v>
      </c>
      <c r="AC8" s="83" t="s">
        <v>577</v>
      </c>
      <c r="AD8" s="83" t="s">
        <v>577</v>
      </c>
      <c r="AE8" s="83" t="s">
        <v>576</v>
      </c>
      <c r="AF8" s="83" t="s">
        <v>576</v>
      </c>
      <c r="AG8" s="83" t="s">
        <v>576</v>
      </c>
      <c r="AH8" s="83" t="s">
        <v>576</v>
      </c>
      <c r="AI8" s="83" t="s">
        <v>576</v>
      </c>
      <c r="AJ8" s="83" t="s">
        <v>576</v>
      </c>
      <c r="AK8" s="83" t="s">
        <v>577</v>
      </c>
      <c r="AL8" s="83" t="s">
        <v>577</v>
      </c>
      <c r="AM8" s="83" t="s">
        <v>577</v>
      </c>
      <c r="AN8" s="83" t="s">
        <v>577</v>
      </c>
      <c r="AO8" s="83" t="s">
        <v>571</v>
      </c>
      <c r="AP8" s="83" t="s">
        <v>571</v>
      </c>
      <c r="AQ8" s="83" t="s">
        <v>571</v>
      </c>
      <c r="AR8" s="83" t="s">
        <v>571</v>
      </c>
      <c r="AS8" s="83" t="s">
        <v>578</v>
      </c>
      <c r="AT8" s="83" t="s">
        <v>578</v>
      </c>
      <c r="AU8" s="83" t="s">
        <v>578</v>
      </c>
      <c r="AV8" s="83" t="s">
        <v>578</v>
      </c>
      <c r="AW8" s="83" t="s">
        <v>578</v>
      </c>
      <c r="AX8" s="83" t="s">
        <v>578</v>
      </c>
      <c r="AY8" s="83" t="s">
        <v>579</v>
      </c>
      <c r="AZ8" s="83" t="s">
        <v>579</v>
      </c>
      <c r="BA8" s="83" t="s">
        <v>579</v>
      </c>
      <c r="BB8" s="83" t="s">
        <v>579</v>
      </c>
      <c r="BC8" s="83" t="s">
        <v>579</v>
      </c>
      <c r="BD8" s="83" t="s">
        <v>579</v>
      </c>
      <c r="BE8" s="83" t="s">
        <v>579</v>
      </c>
      <c r="BF8" s="83" t="s">
        <v>579</v>
      </c>
      <c r="BG8" s="83" t="s">
        <v>579</v>
      </c>
      <c r="BH8" s="83" t="s">
        <v>579</v>
      </c>
      <c r="BI8" s="83" t="s">
        <v>580</v>
      </c>
      <c r="BJ8" s="83" t="s">
        <v>581</v>
      </c>
      <c r="BK8" s="83" t="s">
        <v>581</v>
      </c>
      <c r="BL8" s="83" t="s">
        <v>570</v>
      </c>
      <c r="BM8" s="83" t="s">
        <v>570</v>
      </c>
      <c r="BN8" s="83" t="s">
        <v>576</v>
      </c>
      <c r="BO8" s="83" t="s">
        <v>576</v>
      </c>
      <c r="BP8" s="83" t="s">
        <v>576</v>
      </c>
      <c r="BQ8" s="83" t="s">
        <v>577</v>
      </c>
      <c r="BR8" s="83" t="s">
        <v>577</v>
      </c>
      <c r="BS8" s="83" t="s">
        <v>581</v>
      </c>
      <c r="BT8" s="83" t="s">
        <v>581</v>
      </c>
      <c r="BU8" s="83" t="s">
        <v>570</v>
      </c>
      <c r="BV8" s="83" t="s">
        <v>570</v>
      </c>
      <c r="BW8" s="83" t="s">
        <v>576</v>
      </c>
      <c r="BX8" s="83" t="s">
        <v>576</v>
      </c>
      <c r="BY8" s="83" t="s">
        <v>576</v>
      </c>
      <c r="BZ8" s="83" t="s">
        <v>576</v>
      </c>
      <c r="CA8" s="83" t="s">
        <v>577</v>
      </c>
      <c r="CB8" s="83" t="s">
        <v>577</v>
      </c>
      <c r="CC8" s="83" t="s">
        <v>581</v>
      </c>
      <c r="CD8" s="83" t="s">
        <v>581</v>
      </c>
      <c r="CE8" s="83" t="s">
        <v>570</v>
      </c>
      <c r="CF8" s="83" t="s">
        <v>570</v>
      </c>
      <c r="CG8" s="83" t="s">
        <v>576</v>
      </c>
      <c r="CH8" s="83" t="s">
        <v>576</v>
      </c>
      <c r="CI8" s="83" t="s">
        <v>576</v>
      </c>
      <c r="CJ8" s="83" t="s">
        <v>576</v>
      </c>
      <c r="CK8" s="83" t="s">
        <v>577</v>
      </c>
      <c r="CL8" s="83" t="s">
        <v>577</v>
      </c>
      <c r="CM8" s="83" t="s">
        <v>581</v>
      </c>
      <c r="CN8" s="83" t="s">
        <v>581</v>
      </c>
      <c r="CO8" s="83" t="s">
        <v>570</v>
      </c>
      <c r="CP8" s="83" t="s">
        <v>570</v>
      </c>
      <c r="CQ8" s="83" t="s">
        <v>576</v>
      </c>
      <c r="CR8" s="83" t="s">
        <v>576</v>
      </c>
      <c r="CS8" s="83" t="s">
        <v>576</v>
      </c>
      <c r="CT8" s="83" t="s">
        <v>577</v>
      </c>
      <c r="CU8" s="83" t="s">
        <v>577</v>
      </c>
      <c r="CV8" s="83" t="s">
        <v>581</v>
      </c>
      <c r="CW8" s="83" t="s">
        <v>581</v>
      </c>
      <c r="CX8" s="83" t="s">
        <v>581</v>
      </c>
      <c r="CY8" s="83" t="s">
        <v>581</v>
      </c>
      <c r="CZ8" s="83" t="s">
        <v>581</v>
      </c>
      <c r="DA8" s="83" t="s">
        <v>581</v>
      </c>
      <c r="DB8" s="83" t="s">
        <v>581</v>
      </c>
      <c r="DC8" s="83" t="s">
        <v>581</v>
      </c>
      <c r="DD8" s="83" t="s">
        <v>581</v>
      </c>
      <c r="DE8" s="83" t="s">
        <v>581</v>
      </c>
      <c r="DF8" s="83" t="s">
        <v>581</v>
      </c>
      <c r="DG8" s="83" t="s">
        <v>581</v>
      </c>
      <c r="DH8" s="83" t="s">
        <v>581</v>
      </c>
      <c r="DI8" s="83" t="s">
        <v>581</v>
      </c>
      <c r="DJ8" s="83" t="s">
        <v>581</v>
      </c>
      <c r="DK8" s="83" t="s">
        <v>581</v>
      </c>
      <c r="DL8" s="83" t="s">
        <v>563</v>
      </c>
      <c r="DM8" s="83" t="s">
        <v>563</v>
      </c>
      <c r="DN8" s="83" t="s">
        <v>563</v>
      </c>
      <c r="DO8" s="83" t="s">
        <v>563</v>
      </c>
      <c r="DP8" s="83" t="s">
        <v>563</v>
      </c>
      <c r="DQ8" s="83" t="s">
        <v>563</v>
      </c>
      <c r="DR8" s="83" t="s">
        <v>563</v>
      </c>
      <c r="DS8" s="83" t="s">
        <v>563</v>
      </c>
      <c r="DT8" s="83" t="s">
        <v>563</v>
      </c>
      <c r="DU8" s="83" t="s">
        <v>563</v>
      </c>
      <c r="DV8" s="83" t="s">
        <v>563</v>
      </c>
      <c r="DW8" s="83" t="s">
        <v>563</v>
      </c>
      <c r="DX8" s="83" t="s">
        <v>563</v>
      </c>
      <c r="DY8" s="129"/>
      <c r="DZ8" s="201"/>
      <c r="EA8" s="679" t="s">
        <v>582</v>
      </c>
      <c r="EB8" s="679"/>
      <c r="EC8" s="679"/>
      <c r="ED8" s="679"/>
    </row>
    <row r="9" spans="1:138" ht="10.5" hidden="1" customHeight="1" x14ac:dyDescent="0.25">
      <c r="A9" s="143" t="s">
        <v>583</v>
      </c>
      <c r="B9" s="144" t="s">
        <v>584</v>
      </c>
      <c r="C9" s="283"/>
      <c r="D9" s="345" t="s">
        <v>585</v>
      </c>
      <c r="E9" s="343"/>
      <c r="F9" s="343"/>
      <c r="G9" s="343"/>
      <c r="H9" s="343"/>
      <c r="I9" s="344" t="str">
        <f t="shared" ref="I9:AO9" si="3">VLOOKUP( I8, AgileIterationTypeProjectPhase, 2, FALSE)</f>
        <v>Scope</v>
      </c>
      <c r="J9" s="344" t="str">
        <f t="shared" si="3"/>
        <v>Scope</v>
      </c>
      <c r="K9" s="344"/>
      <c r="L9" s="344"/>
      <c r="M9" s="344"/>
      <c r="N9" s="344"/>
      <c r="O9" s="344"/>
      <c r="P9" s="344"/>
      <c r="Q9" s="344"/>
      <c r="R9" s="344"/>
      <c r="S9" s="344"/>
      <c r="T9" s="344"/>
      <c r="U9" s="77" t="str">
        <f t="shared" si="3"/>
        <v>Deploy</v>
      </c>
      <c r="AF9" s="77" t="str">
        <f t="shared" si="3"/>
        <v>Deploy</v>
      </c>
      <c r="AI9" s="77" t="str">
        <f t="shared" si="3"/>
        <v>Deploy</v>
      </c>
      <c r="AK9" s="77" t="str">
        <f t="shared" si="3"/>
        <v>Deploy</v>
      </c>
      <c r="AN9" s="77" t="str">
        <f t="shared" si="3"/>
        <v>Deploy</v>
      </c>
      <c r="AO9" s="77" t="str">
        <f t="shared" si="3"/>
        <v>Cust Test</v>
      </c>
      <c r="AT9" s="77" t="str">
        <f t="shared" ref="AT9:DZ9" si="4">VLOOKUP( AT8, AgileIterationTypeProjectPhase, 2, FALSE)</f>
        <v>Cust Test</v>
      </c>
      <c r="AU9" s="77" t="str">
        <f t="shared" si="4"/>
        <v>Cust Test</v>
      </c>
      <c r="AV9" s="77" t="str">
        <f t="shared" si="4"/>
        <v>Cust Test</v>
      </c>
      <c r="AY9" s="77" t="str">
        <f>VLOOKUP( AY8, AgileIterationTypeProjectPhase, 2, FALSE)</f>
        <v>Cust Test</v>
      </c>
      <c r="DZ9" s="187" t="e">
        <f t="shared" si="4"/>
        <v>#N/A</v>
      </c>
      <c r="EA9" s="81"/>
      <c r="EB9" s="81"/>
      <c r="EC9" s="81"/>
    </row>
    <row r="10" spans="1:138" s="142" customFormat="1" ht="11.25" x14ac:dyDescent="0.2">
      <c r="A10" s="390" t="s">
        <v>199</v>
      </c>
      <c r="B10" s="391" t="s">
        <v>586</v>
      </c>
      <c r="C10" s="194" t="s">
        <v>587</v>
      </c>
      <c r="D10" s="427" t="s">
        <v>588</v>
      </c>
      <c r="E10" s="430" t="s">
        <v>589</v>
      </c>
      <c r="F10" s="430" t="s">
        <v>590</v>
      </c>
      <c r="G10" s="430" t="s">
        <v>26</v>
      </c>
      <c r="H10" s="430" t="s">
        <v>591</v>
      </c>
      <c r="I10" s="405">
        <f>Attributes!C5</f>
        <v>45936</v>
      </c>
      <c r="J10" s="405">
        <f t="shared" ref="J10:DX10" ca="1" si="5">OFFSET(J10,0,-1,1,1)+7</f>
        <v>45943</v>
      </c>
      <c r="K10" s="405">
        <f t="shared" ca="1" si="5"/>
        <v>45950</v>
      </c>
      <c r="L10" s="405">
        <f t="shared" ca="1" si="5"/>
        <v>45957</v>
      </c>
      <c r="M10" s="405">
        <f t="shared" ca="1" si="5"/>
        <v>45964</v>
      </c>
      <c r="N10" s="405">
        <f t="shared" ca="1" si="5"/>
        <v>45971</v>
      </c>
      <c r="O10" s="405">
        <f t="shared" ca="1" si="5"/>
        <v>45978</v>
      </c>
      <c r="P10" s="405">
        <f t="shared" ca="1" si="5"/>
        <v>45985</v>
      </c>
      <c r="Q10" s="405">
        <f t="shared" ca="1" si="5"/>
        <v>45992</v>
      </c>
      <c r="R10" s="405">
        <f t="shared" ca="1" si="5"/>
        <v>45999</v>
      </c>
      <c r="S10" s="405">
        <f t="shared" ca="1" si="5"/>
        <v>46006</v>
      </c>
      <c r="T10" s="405">
        <f t="shared" ca="1" si="5"/>
        <v>46013</v>
      </c>
      <c r="U10" s="195">
        <f t="shared" ca="1" si="5"/>
        <v>46020</v>
      </c>
      <c r="V10" s="195">
        <f t="shared" ca="1" si="5"/>
        <v>46027</v>
      </c>
      <c r="W10" s="195">
        <f t="shared" ca="1" si="5"/>
        <v>46034</v>
      </c>
      <c r="X10" s="195">
        <f t="shared" ca="1" si="5"/>
        <v>46041</v>
      </c>
      <c r="Y10" s="195">
        <f t="shared" ca="1" si="5"/>
        <v>46048</v>
      </c>
      <c r="Z10" s="195">
        <f t="shared" ca="1" si="5"/>
        <v>46055</v>
      </c>
      <c r="AA10" s="195">
        <f t="shared" ca="1" si="5"/>
        <v>46062</v>
      </c>
      <c r="AB10" s="195">
        <f t="shared" ca="1" si="5"/>
        <v>46069</v>
      </c>
      <c r="AC10" s="195">
        <f t="shared" ca="1" si="5"/>
        <v>46076</v>
      </c>
      <c r="AD10" s="195">
        <f t="shared" ca="1" si="5"/>
        <v>46083</v>
      </c>
      <c r="AE10" s="195">
        <f t="shared" ca="1" si="5"/>
        <v>46090</v>
      </c>
      <c r="AF10" s="195">
        <f t="shared" ca="1" si="5"/>
        <v>46097</v>
      </c>
      <c r="AG10" s="195">
        <f t="shared" ca="1" si="5"/>
        <v>46104</v>
      </c>
      <c r="AH10" s="195">
        <f t="shared" ca="1" si="5"/>
        <v>46111</v>
      </c>
      <c r="AI10" s="195">
        <f t="shared" ca="1" si="5"/>
        <v>46118</v>
      </c>
      <c r="AJ10" s="195">
        <f t="shared" ca="1" si="5"/>
        <v>46125</v>
      </c>
      <c r="AK10" s="195">
        <f t="shared" ca="1" si="5"/>
        <v>46132</v>
      </c>
      <c r="AL10" s="195">
        <f t="shared" ca="1" si="5"/>
        <v>46139</v>
      </c>
      <c r="AM10" s="195">
        <f t="shared" ca="1" si="5"/>
        <v>46146</v>
      </c>
      <c r="AN10" s="195">
        <f t="shared" ca="1" si="5"/>
        <v>46153</v>
      </c>
      <c r="AO10" s="195">
        <f t="shared" ca="1" si="5"/>
        <v>46160</v>
      </c>
      <c r="AP10" s="195">
        <f t="shared" ca="1" si="5"/>
        <v>46167</v>
      </c>
      <c r="AQ10" s="195">
        <f t="shared" ca="1" si="5"/>
        <v>46174</v>
      </c>
      <c r="AR10" s="195">
        <f t="shared" ca="1" si="5"/>
        <v>46181</v>
      </c>
      <c r="AS10" s="195">
        <f t="shared" ca="1" si="5"/>
        <v>46188</v>
      </c>
      <c r="AT10" s="195">
        <f t="shared" ca="1" si="5"/>
        <v>46195</v>
      </c>
      <c r="AU10" s="195">
        <f t="shared" ca="1" si="5"/>
        <v>46202</v>
      </c>
      <c r="AV10" s="195">
        <f t="shared" ca="1" si="5"/>
        <v>46209</v>
      </c>
      <c r="AW10" s="195">
        <f t="shared" ca="1" si="5"/>
        <v>46216</v>
      </c>
      <c r="AX10" s="195">
        <f t="shared" ca="1" si="5"/>
        <v>46223</v>
      </c>
      <c r="AY10" s="195">
        <f t="shared" ca="1" si="5"/>
        <v>46230</v>
      </c>
      <c r="AZ10" s="195">
        <f t="shared" ca="1" si="5"/>
        <v>46237</v>
      </c>
      <c r="BA10" s="195">
        <f t="shared" ca="1" si="5"/>
        <v>46244</v>
      </c>
      <c r="BB10" s="195">
        <f t="shared" ca="1" si="5"/>
        <v>46251</v>
      </c>
      <c r="BC10" s="195">
        <f t="shared" ca="1" si="5"/>
        <v>46258</v>
      </c>
      <c r="BD10" s="195">
        <f t="shared" ca="1" si="5"/>
        <v>46265</v>
      </c>
      <c r="BE10" s="195">
        <f t="shared" ca="1" si="5"/>
        <v>46272</v>
      </c>
      <c r="BF10" s="195">
        <f t="shared" ca="1" si="5"/>
        <v>46279</v>
      </c>
      <c r="BG10" s="195">
        <f t="shared" ca="1" si="5"/>
        <v>46286</v>
      </c>
      <c r="BH10" s="195">
        <f t="shared" ca="1" si="5"/>
        <v>46293</v>
      </c>
      <c r="BI10" s="195">
        <f t="shared" ca="1" si="5"/>
        <v>46300</v>
      </c>
      <c r="BJ10" s="195">
        <f t="shared" ca="1" si="5"/>
        <v>46307</v>
      </c>
      <c r="BK10" s="195">
        <f t="shared" ca="1" si="5"/>
        <v>46314</v>
      </c>
      <c r="BL10" s="195">
        <f t="shared" ca="1" si="5"/>
        <v>46321</v>
      </c>
      <c r="BM10" s="195">
        <f t="shared" ca="1" si="5"/>
        <v>46328</v>
      </c>
      <c r="BN10" s="195">
        <f t="shared" ca="1" si="5"/>
        <v>46335</v>
      </c>
      <c r="BO10" s="195">
        <f t="shared" ca="1" si="5"/>
        <v>46342</v>
      </c>
      <c r="BP10" s="195">
        <f t="shared" ca="1" si="5"/>
        <v>46349</v>
      </c>
      <c r="BQ10" s="195">
        <f t="shared" ca="1" si="5"/>
        <v>46356</v>
      </c>
      <c r="BR10" s="195">
        <f t="shared" ca="1" si="5"/>
        <v>46363</v>
      </c>
      <c r="BS10" s="195">
        <f t="shared" ca="1" si="5"/>
        <v>46370</v>
      </c>
      <c r="BT10" s="195">
        <f t="shared" ca="1" si="5"/>
        <v>46377</v>
      </c>
      <c r="BU10" s="195">
        <f t="shared" ca="1" si="5"/>
        <v>46384</v>
      </c>
      <c r="BV10" s="195">
        <f t="shared" ca="1" si="5"/>
        <v>46391</v>
      </c>
      <c r="BW10" s="195">
        <f t="shared" ca="1" si="5"/>
        <v>46398</v>
      </c>
      <c r="BX10" s="195">
        <f t="shared" ca="1" si="5"/>
        <v>46405</v>
      </c>
      <c r="BY10" s="195">
        <f t="shared" ca="1" si="5"/>
        <v>46412</v>
      </c>
      <c r="BZ10" s="195">
        <f t="shared" ca="1" si="5"/>
        <v>46419</v>
      </c>
      <c r="CA10" s="195">
        <f t="shared" ca="1" si="5"/>
        <v>46426</v>
      </c>
      <c r="CB10" s="195">
        <f t="shared" ca="1" si="5"/>
        <v>46433</v>
      </c>
      <c r="CC10" s="195">
        <f t="shared" ca="1" si="5"/>
        <v>46440</v>
      </c>
      <c r="CD10" s="195">
        <f t="shared" ca="1" si="5"/>
        <v>46447</v>
      </c>
      <c r="CE10" s="195">
        <f t="shared" ca="1" si="5"/>
        <v>46454</v>
      </c>
      <c r="CF10" s="195">
        <f t="shared" ca="1" si="5"/>
        <v>46461</v>
      </c>
      <c r="CG10" s="195">
        <f t="shared" ca="1" si="5"/>
        <v>46468</v>
      </c>
      <c r="CH10" s="195">
        <f t="shared" ca="1" si="5"/>
        <v>46475</v>
      </c>
      <c r="CI10" s="195">
        <f t="shared" ca="1" si="5"/>
        <v>46482</v>
      </c>
      <c r="CJ10" s="195">
        <f t="shared" ca="1" si="5"/>
        <v>46489</v>
      </c>
      <c r="CK10" s="195">
        <f t="shared" ca="1" si="5"/>
        <v>46496</v>
      </c>
      <c r="CL10" s="195">
        <f t="shared" ca="1" si="5"/>
        <v>46503</v>
      </c>
      <c r="CM10" s="195">
        <f t="shared" ca="1" si="5"/>
        <v>46510</v>
      </c>
      <c r="CN10" s="195">
        <f t="shared" ca="1" si="5"/>
        <v>46517</v>
      </c>
      <c r="CO10" s="195">
        <f t="shared" ca="1" si="5"/>
        <v>46524</v>
      </c>
      <c r="CP10" s="195">
        <f t="shared" ca="1" si="5"/>
        <v>46531</v>
      </c>
      <c r="CQ10" s="195">
        <f t="shared" ca="1" si="5"/>
        <v>46538</v>
      </c>
      <c r="CR10" s="195">
        <f t="shared" ca="1" si="5"/>
        <v>46545</v>
      </c>
      <c r="CS10" s="195">
        <f t="shared" ca="1" si="5"/>
        <v>46552</v>
      </c>
      <c r="CT10" s="195">
        <f t="shared" ca="1" si="5"/>
        <v>46559</v>
      </c>
      <c r="CU10" s="195">
        <f t="shared" ca="1" si="5"/>
        <v>46566</v>
      </c>
      <c r="CV10" s="195">
        <f t="shared" ca="1" si="5"/>
        <v>46573</v>
      </c>
      <c r="CW10" s="195">
        <f t="shared" ca="1" si="5"/>
        <v>46580</v>
      </c>
      <c r="CX10" s="195">
        <f t="shared" ca="1" si="5"/>
        <v>46587</v>
      </c>
      <c r="CY10" s="195">
        <f t="shared" ca="1" si="5"/>
        <v>46594</v>
      </c>
      <c r="CZ10" s="195">
        <f t="shared" ca="1" si="5"/>
        <v>46601</v>
      </c>
      <c r="DA10" s="195">
        <f t="shared" ca="1" si="5"/>
        <v>46608</v>
      </c>
      <c r="DB10" s="195">
        <f t="shared" ca="1" si="5"/>
        <v>46615</v>
      </c>
      <c r="DC10" s="195">
        <f t="shared" ca="1" si="5"/>
        <v>46622</v>
      </c>
      <c r="DD10" s="195">
        <f t="shared" ca="1" si="5"/>
        <v>46629</v>
      </c>
      <c r="DE10" s="195">
        <f t="shared" ca="1" si="5"/>
        <v>46636</v>
      </c>
      <c r="DF10" s="195">
        <f t="shared" ca="1" si="5"/>
        <v>46643</v>
      </c>
      <c r="DG10" s="195">
        <f t="shared" ca="1" si="5"/>
        <v>46650</v>
      </c>
      <c r="DH10" s="195">
        <f t="shared" ca="1" si="5"/>
        <v>46657</v>
      </c>
      <c r="DI10" s="195">
        <f t="shared" ca="1" si="5"/>
        <v>46664</v>
      </c>
      <c r="DJ10" s="195">
        <f t="shared" ca="1" si="5"/>
        <v>46671</v>
      </c>
      <c r="DK10" s="195">
        <f t="shared" ca="1" si="5"/>
        <v>46678</v>
      </c>
      <c r="DL10" s="195">
        <f t="shared" ca="1" si="5"/>
        <v>46685</v>
      </c>
      <c r="DM10" s="195">
        <f t="shared" ca="1" si="5"/>
        <v>46692</v>
      </c>
      <c r="DN10" s="195">
        <f t="shared" ca="1" si="5"/>
        <v>46699</v>
      </c>
      <c r="DO10" s="195">
        <f t="shared" ca="1" si="5"/>
        <v>46706</v>
      </c>
      <c r="DP10" s="195">
        <f t="shared" ca="1" si="5"/>
        <v>46713</v>
      </c>
      <c r="DQ10" s="195">
        <f t="shared" ca="1" si="5"/>
        <v>46720</v>
      </c>
      <c r="DR10" s="195">
        <f t="shared" ca="1" si="5"/>
        <v>46727</v>
      </c>
      <c r="DS10" s="195">
        <f t="shared" ca="1" si="5"/>
        <v>46734</v>
      </c>
      <c r="DT10" s="195">
        <f t="shared" ca="1" si="5"/>
        <v>46741</v>
      </c>
      <c r="DU10" s="195">
        <f t="shared" ca="1" si="5"/>
        <v>46748</v>
      </c>
      <c r="DV10" s="195">
        <f t="shared" ca="1" si="5"/>
        <v>46755</v>
      </c>
      <c r="DW10" s="195">
        <f t="shared" ca="1" si="5"/>
        <v>46762</v>
      </c>
      <c r="DX10" s="195">
        <f t="shared" ca="1" si="5"/>
        <v>46769</v>
      </c>
      <c r="DY10" s="196"/>
      <c r="DZ10" s="202"/>
      <c r="EA10" s="150" t="str">
        <f>E192</f>
        <v xml:space="preserve"> Person_Days</v>
      </c>
      <c r="EB10" s="150" t="str">
        <f>E193</f>
        <v>Contingency</v>
      </c>
      <c r="EC10" s="150" t="str">
        <f>E194</f>
        <v>Warranty</v>
      </c>
      <c r="ED10" s="150" t="s">
        <v>592</v>
      </c>
    </row>
    <row r="11" spans="1:138" s="142" customFormat="1" ht="11.25" x14ac:dyDescent="0.2">
      <c r="A11" s="210">
        <v>1</v>
      </c>
      <c r="B11" s="211" t="s">
        <v>593</v>
      </c>
      <c r="C11" s="346" t="s">
        <v>594</v>
      </c>
      <c r="D11" s="346" t="s">
        <v>594</v>
      </c>
      <c r="E11" s="431" t="s">
        <v>589</v>
      </c>
      <c r="F11" s="432"/>
      <c r="G11" s="432"/>
      <c r="H11" s="432"/>
      <c r="I11" s="347"/>
      <c r="J11" s="347"/>
      <c r="K11" s="347"/>
      <c r="L11" s="347"/>
      <c r="M11" s="347"/>
      <c r="N11" s="347"/>
      <c r="O11" s="347"/>
      <c r="P11" s="347"/>
      <c r="Q11" s="347"/>
      <c r="R11" s="347"/>
      <c r="S11" s="347"/>
      <c r="T11" s="347"/>
      <c r="U11" s="295"/>
      <c r="V11" s="295"/>
      <c r="W11" s="295"/>
      <c r="X11" s="295"/>
      <c r="Y11" s="295"/>
      <c r="Z11" s="295"/>
      <c r="AA11" s="295"/>
      <c r="AB11" s="295"/>
      <c r="AC11" s="295"/>
      <c r="AD11" s="295"/>
      <c r="AE11" s="295"/>
      <c r="AF11" s="295"/>
      <c r="AG11" s="295"/>
      <c r="AH11" s="295"/>
      <c r="AI11" s="295"/>
      <c r="AJ11" s="295"/>
      <c r="AK11" s="347"/>
      <c r="AL11" s="347"/>
      <c r="AM11" s="347"/>
      <c r="AN11" s="295"/>
      <c r="AO11" s="295"/>
      <c r="AP11" s="295"/>
      <c r="AQ11" s="295"/>
      <c r="AR11" s="295"/>
      <c r="AS11" s="295"/>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c r="BW11" s="295"/>
      <c r="BX11" s="295"/>
      <c r="BY11" s="295"/>
      <c r="BZ11" s="295"/>
      <c r="CA11" s="295"/>
      <c r="CB11" s="295"/>
      <c r="CC11" s="295"/>
      <c r="CD11" s="295"/>
      <c r="CE11" s="295"/>
      <c r="CF11" s="295"/>
      <c r="CG11" s="295"/>
      <c r="CH11" s="295"/>
      <c r="CI11" s="295"/>
      <c r="CJ11" s="295"/>
      <c r="CK11" s="295"/>
      <c r="CL11" s="295"/>
      <c r="CM11" s="295"/>
      <c r="CN11" s="295"/>
      <c r="CO11" s="295"/>
      <c r="CP11" s="295"/>
      <c r="CQ11" s="295"/>
      <c r="CR11" s="295"/>
      <c r="CS11" s="295"/>
      <c r="CT11" s="295"/>
      <c r="CU11" s="295"/>
      <c r="CV11" s="295"/>
      <c r="CW11" s="295"/>
      <c r="CX11" s="295"/>
      <c r="CY11" s="295"/>
      <c r="CZ11" s="295"/>
      <c r="DA11" s="295"/>
      <c r="DB11" s="295"/>
      <c r="DC11" s="295"/>
      <c r="DD11" s="295"/>
      <c r="DE11" s="295"/>
      <c r="DF11" s="295"/>
      <c r="DG11" s="295"/>
      <c r="DH11" s="295"/>
      <c r="DI11" s="295"/>
      <c r="DJ11" s="295"/>
      <c r="DK11" s="295"/>
      <c r="DL11" s="295"/>
      <c r="DM11" s="295"/>
      <c r="DN11" s="295"/>
      <c r="DO11" s="295"/>
      <c r="DP11" s="295"/>
      <c r="DQ11" s="295"/>
      <c r="DR11" s="295"/>
      <c r="DS11" s="295"/>
      <c r="DT11" s="295"/>
      <c r="DU11" s="295"/>
      <c r="DV11" s="295"/>
      <c r="DW11" s="295"/>
      <c r="DX11" s="295"/>
      <c r="DY11" s="294"/>
      <c r="DZ11" s="202"/>
      <c r="EA11" s="150"/>
      <c r="EB11" s="150"/>
      <c r="EC11" s="150"/>
      <c r="ED11" s="150"/>
    </row>
    <row r="12" spans="1:138" s="74" customFormat="1" ht="11.25" x14ac:dyDescent="0.2">
      <c r="A12" s="210">
        <v>2</v>
      </c>
      <c r="B12" s="211" t="s">
        <v>593</v>
      </c>
      <c r="C12" s="457" t="str">
        <f t="shared" ref="C12:C14" si="6">IFERROR(VLOOKUP(D12,MappingFromSetAgiletoTTSRole,2,FALSE),"SET Agile Resource Role")</f>
        <v>Management</v>
      </c>
      <c r="D12" s="428" t="s">
        <v>595</v>
      </c>
      <c r="E12" s="433" t="s">
        <v>596</v>
      </c>
      <c r="F12" s="434" t="s">
        <v>597</v>
      </c>
      <c r="G12" s="434"/>
      <c r="H12" s="434" t="str">
        <f>C11</f>
        <v>Program</v>
      </c>
      <c r="I12" s="406">
        <v>0.3</v>
      </c>
      <c r="J12" s="406">
        <v>0.3</v>
      </c>
      <c r="K12" s="406">
        <v>0.3</v>
      </c>
      <c r="L12" s="406">
        <v>0.3</v>
      </c>
      <c r="M12" s="406">
        <v>0.3</v>
      </c>
      <c r="N12" s="406">
        <v>0.3</v>
      </c>
      <c r="O12" s="406">
        <v>0.3</v>
      </c>
      <c r="P12" s="406">
        <v>0.3</v>
      </c>
      <c r="Q12" s="406">
        <v>0.3</v>
      </c>
      <c r="R12" s="406">
        <v>0.3</v>
      </c>
      <c r="S12" s="406">
        <v>0.3</v>
      </c>
      <c r="T12" s="406">
        <v>0.3</v>
      </c>
      <c r="U12" s="406">
        <v>0.3</v>
      </c>
      <c r="V12" s="406">
        <v>0.3</v>
      </c>
      <c r="W12" s="406">
        <v>0.3</v>
      </c>
      <c r="X12" s="406">
        <v>0.3</v>
      </c>
      <c r="Y12" s="406">
        <v>0.3</v>
      </c>
      <c r="Z12" s="406">
        <v>0.3</v>
      </c>
      <c r="AA12" s="406">
        <v>0.3</v>
      </c>
      <c r="AB12" s="406">
        <v>0.3</v>
      </c>
      <c r="AC12" s="406">
        <v>0.3</v>
      </c>
      <c r="AD12" s="406">
        <v>0.3</v>
      </c>
      <c r="AE12" s="406">
        <v>0.3</v>
      </c>
      <c r="AF12" s="406">
        <v>0.3</v>
      </c>
      <c r="AG12" s="406">
        <v>0.3</v>
      </c>
      <c r="AH12" s="406">
        <v>0.3</v>
      </c>
      <c r="AI12" s="406">
        <v>0.3</v>
      </c>
      <c r="AJ12" s="406">
        <v>0.3</v>
      </c>
      <c r="AK12" s="406">
        <v>0.3</v>
      </c>
      <c r="AL12" s="406">
        <v>0.3</v>
      </c>
      <c r="AM12" s="406">
        <v>0.3</v>
      </c>
      <c r="AN12" s="406">
        <v>0.3</v>
      </c>
      <c r="AO12" s="406">
        <v>0.3</v>
      </c>
      <c r="AP12" s="406">
        <v>0.3</v>
      </c>
      <c r="AQ12" s="406">
        <v>0.3</v>
      </c>
      <c r="AR12" s="406">
        <v>0.3</v>
      </c>
      <c r="AS12" s="406">
        <v>0.3</v>
      </c>
      <c r="AT12" s="406">
        <v>0.3</v>
      </c>
      <c r="AU12" s="406">
        <v>0.3</v>
      </c>
      <c r="AV12" s="406">
        <v>0.3</v>
      </c>
      <c r="AW12" s="406">
        <v>0.3</v>
      </c>
      <c r="AX12" s="406">
        <v>0.3</v>
      </c>
      <c r="AY12" s="406">
        <v>0.3</v>
      </c>
      <c r="AZ12" s="406">
        <v>0.3</v>
      </c>
      <c r="BA12" s="406">
        <v>0.3</v>
      </c>
      <c r="BB12" s="406">
        <v>0.3</v>
      </c>
      <c r="BC12" s="406">
        <v>0.3</v>
      </c>
      <c r="BD12" s="406">
        <v>0.3</v>
      </c>
      <c r="BE12" s="406">
        <v>0.3</v>
      </c>
      <c r="BF12" s="406">
        <v>0.3</v>
      </c>
      <c r="BG12" s="406">
        <v>0.3</v>
      </c>
      <c r="BH12" s="406">
        <v>0.3</v>
      </c>
      <c r="BI12" s="406">
        <v>0.3</v>
      </c>
      <c r="BJ12" s="406">
        <v>0.3</v>
      </c>
      <c r="BK12" s="406">
        <v>0.3</v>
      </c>
      <c r="BL12" s="406">
        <v>0.3</v>
      </c>
      <c r="BM12" s="406">
        <v>0.3</v>
      </c>
      <c r="BN12" s="406">
        <v>0.3</v>
      </c>
      <c r="BO12" s="406">
        <v>0.3</v>
      </c>
      <c r="BP12" s="406">
        <v>0.3</v>
      </c>
      <c r="BQ12" s="406">
        <v>0.3</v>
      </c>
      <c r="BR12" s="406">
        <v>0.3</v>
      </c>
      <c r="BS12" s="406">
        <v>0.3</v>
      </c>
      <c r="BT12" s="406">
        <v>0.3</v>
      </c>
      <c r="BU12" s="406">
        <v>0.3</v>
      </c>
      <c r="BV12" s="406">
        <v>0.3</v>
      </c>
      <c r="BW12" s="406">
        <v>0.3</v>
      </c>
      <c r="BX12" s="406">
        <v>0.3</v>
      </c>
      <c r="BY12" s="406">
        <v>0.3</v>
      </c>
      <c r="BZ12" s="406">
        <v>0.3</v>
      </c>
      <c r="CA12" s="406">
        <v>0.3</v>
      </c>
      <c r="CB12" s="406">
        <v>0.3</v>
      </c>
      <c r="CC12" s="406">
        <v>0.3</v>
      </c>
      <c r="CD12" s="406">
        <v>0.3</v>
      </c>
      <c r="CE12" s="406">
        <v>0.3</v>
      </c>
      <c r="CF12" s="406">
        <v>0.3</v>
      </c>
      <c r="CG12" s="406">
        <v>0.3</v>
      </c>
      <c r="CH12" s="406">
        <v>0.3</v>
      </c>
      <c r="CI12" s="406">
        <v>0.3</v>
      </c>
      <c r="CJ12" s="406">
        <v>0.3</v>
      </c>
      <c r="CK12" s="406">
        <v>0.3</v>
      </c>
      <c r="CL12" s="406">
        <v>0.3</v>
      </c>
      <c r="CM12" s="406">
        <v>0.3</v>
      </c>
      <c r="CN12" s="406">
        <v>0.3</v>
      </c>
      <c r="CO12" s="406">
        <v>0.3</v>
      </c>
      <c r="CP12" s="406">
        <v>0.3</v>
      </c>
      <c r="CQ12" s="406">
        <v>0.3</v>
      </c>
      <c r="CR12" s="406">
        <v>0.3</v>
      </c>
      <c r="CS12" s="406">
        <v>0.3</v>
      </c>
      <c r="CT12" s="406">
        <v>0.3</v>
      </c>
      <c r="CU12" s="406">
        <v>0.3</v>
      </c>
      <c r="CV12" s="406">
        <v>0.3</v>
      </c>
      <c r="CW12" s="406">
        <v>0.3</v>
      </c>
      <c r="CX12" s="406">
        <v>0.3</v>
      </c>
      <c r="CY12" s="406">
        <v>0.3</v>
      </c>
      <c r="CZ12" s="406">
        <v>0.3</v>
      </c>
      <c r="DA12" s="406">
        <v>0.3</v>
      </c>
      <c r="DB12" s="406">
        <v>0.3</v>
      </c>
      <c r="DC12" s="406">
        <v>0.3</v>
      </c>
      <c r="DD12" s="406">
        <v>0.3</v>
      </c>
      <c r="DE12" s="406">
        <v>0.3</v>
      </c>
      <c r="DF12" s="406">
        <v>0.3</v>
      </c>
      <c r="DG12" s="406">
        <v>0.3</v>
      </c>
      <c r="DH12" s="406">
        <v>0.3</v>
      </c>
      <c r="DI12" s="406">
        <v>0.3</v>
      </c>
      <c r="DJ12" s="406">
        <v>0.3</v>
      </c>
      <c r="DK12" s="406">
        <v>0.3</v>
      </c>
      <c r="DL12" s="406">
        <v>0.1</v>
      </c>
      <c r="DM12" s="406">
        <v>0.1</v>
      </c>
      <c r="DN12" s="406">
        <v>0.1</v>
      </c>
      <c r="DO12" s="406">
        <v>0.1</v>
      </c>
      <c r="DP12" s="406">
        <v>0.1</v>
      </c>
      <c r="DQ12" s="406">
        <v>0.1</v>
      </c>
      <c r="DR12" s="406">
        <v>0.1</v>
      </c>
      <c r="DS12" s="406">
        <v>0.1</v>
      </c>
      <c r="DT12" s="406">
        <v>0.1</v>
      </c>
      <c r="DU12" s="406">
        <v>0.1</v>
      </c>
      <c r="DV12" s="406">
        <v>0.1</v>
      </c>
      <c r="DW12" s="406">
        <v>0.1</v>
      </c>
      <c r="DX12" s="406">
        <v>0.1</v>
      </c>
      <c r="DY12" s="180"/>
      <c r="DZ12" s="187"/>
      <c r="EA12" s="82">
        <f t="shared" ref="EA12:EA20" si="7">SUMIF(I$8:DY$8,"&lt;&gt;"&amp;AgileIteration_Warranty,I12:DY12)*5*Scenario1Utilisation</f>
        <v>136.42500000000021</v>
      </c>
      <c r="EB12" s="82">
        <f t="shared" ref="EB12:EB163" si="8">EA12*Scenario1AgileContingency</f>
        <v>27.285000000000043</v>
      </c>
      <c r="EC12" s="82">
        <f t="shared" ref="EC12:EC20" si="9">IF(Scenario1Warranty=AgileWarrantyDefault, (SUMIF(I$8:DY$8,AgileIteration_Warranty,I12:DY12)*5*Scenario1Utilisation), (EA12*Scenario1Warranty))</f>
        <v>5.5249999999999995</v>
      </c>
      <c r="ED12" s="127">
        <f t="shared" ref="ED12:ED157" si="10">SUM(EA12:EC12)</f>
        <v>169.23500000000027</v>
      </c>
    </row>
    <row r="13" spans="1:138" s="74" customFormat="1" ht="11.25" x14ac:dyDescent="0.2">
      <c r="A13" s="210">
        <v>2</v>
      </c>
      <c r="B13" s="211" t="s">
        <v>593</v>
      </c>
      <c r="C13" s="457" t="str">
        <f t="shared" si="6"/>
        <v>Management</v>
      </c>
      <c r="D13" s="429" t="s">
        <v>598</v>
      </c>
      <c r="E13" s="433" t="s">
        <v>596</v>
      </c>
      <c r="F13" s="434" t="s">
        <v>597</v>
      </c>
      <c r="G13" s="434"/>
      <c r="H13" s="434" t="str">
        <f>H12</f>
        <v>Program</v>
      </c>
      <c r="I13" s="407">
        <v>0.5</v>
      </c>
      <c r="J13" s="407">
        <v>0.5</v>
      </c>
      <c r="K13" s="407">
        <v>0.5</v>
      </c>
      <c r="L13" s="407">
        <v>0.5</v>
      </c>
      <c r="M13" s="407">
        <v>0.5</v>
      </c>
      <c r="N13" s="407">
        <v>0.5</v>
      </c>
      <c r="O13" s="407">
        <v>0.5</v>
      </c>
      <c r="P13" s="407">
        <v>0.5</v>
      </c>
      <c r="Q13" s="407">
        <v>0.5</v>
      </c>
      <c r="R13" s="407">
        <v>0.5</v>
      </c>
      <c r="S13" s="407">
        <v>0.5</v>
      </c>
      <c r="T13" s="407">
        <v>0.5</v>
      </c>
      <c r="U13" s="407">
        <v>0.5</v>
      </c>
      <c r="V13" s="407">
        <v>0.5</v>
      </c>
      <c r="W13" s="407">
        <v>0.5</v>
      </c>
      <c r="X13" s="407">
        <v>0.5</v>
      </c>
      <c r="Y13" s="407">
        <v>0.5</v>
      </c>
      <c r="Z13" s="407">
        <v>0.5</v>
      </c>
      <c r="AA13" s="407">
        <v>0.5</v>
      </c>
      <c r="AB13" s="407">
        <v>0.5</v>
      </c>
      <c r="AC13" s="407">
        <v>0.5</v>
      </c>
      <c r="AD13" s="407">
        <v>0.5</v>
      </c>
      <c r="AE13" s="407">
        <v>0.5</v>
      </c>
      <c r="AF13" s="407">
        <v>0.5</v>
      </c>
      <c r="AG13" s="407">
        <v>0.5</v>
      </c>
      <c r="AH13" s="407">
        <v>0.5</v>
      </c>
      <c r="AI13" s="407">
        <v>0.5</v>
      </c>
      <c r="AJ13" s="407">
        <v>0.5</v>
      </c>
      <c r="AK13" s="407">
        <v>0.5</v>
      </c>
      <c r="AL13" s="407">
        <v>0.5</v>
      </c>
      <c r="AM13" s="407">
        <v>0.5</v>
      </c>
      <c r="AN13" s="407">
        <v>0.5</v>
      </c>
      <c r="AO13" s="407">
        <v>0.5</v>
      </c>
      <c r="AP13" s="407">
        <v>0.5</v>
      </c>
      <c r="AQ13" s="407">
        <v>0.5</v>
      </c>
      <c r="AR13" s="407">
        <v>0.5</v>
      </c>
      <c r="AS13" s="407">
        <v>0.5</v>
      </c>
      <c r="AT13" s="407">
        <v>0.5</v>
      </c>
      <c r="AU13" s="407">
        <v>0.5</v>
      </c>
      <c r="AV13" s="407">
        <v>0.5</v>
      </c>
      <c r="AW13" s="407">
        <v>0.5</v>
      </c>
      <c r="AX13" s="407">
        <v>0.5</v>
      </c>
      <c r="AY13" s="407">
        <v>0.5</v>
      </c>
      <c r="AZ13" s="407">
        <v>0.5</v>
      </c>
      <c r="BA13" s="407">
        <v>0.5</v>
      </c>
      <c r="BB13" s="407">
        <v>0.5</v>
      </c>
      <c r="BC13" s="407">
        <v>0.5</v>
      </c>
      <c r="BD13" s="407">
        <v>0.5</v>
      </c>
      <c r="BE13" s="407">
        <v>0.5</v>
      </c>
      <c r="BF13" s="407">
        <v>0.5</v>
      </c>
      <c r="BG13" s="407">
        <v>0.5</v>
      </c>
      <c r="BH13" s="407">
        <v>0.5</v>
      </c>
      <c r="BI13" s="407">
        <v>0.5</v>
      </c>
      <c r="BJ13" s="407">
        <v>0.25</v>
      </c>
      <c r="BK13" s="407">
        <v>0.25</v>
      </c>
      <c r="BL13" s="407">
        <v>0.25</v>
      </c>
      <c r="BM13" s="407">
        <v>0.25</v>
      </c>
      <c r="BN13" s="407">
        <v>0.25</v>
      </c>
      <c r="BO13" s="407">
        <v>0.25</v>
      </c>
      <c r="BP13" s="407">
        <v>0.25</v>
      </c>
      <c r="BQ13" s="407">
        <v>0.25</v>
      </c>
      <c r="BR13" s="407">
        <v>0.25</v>
      </c>
      <c r="BS13" s="407">
        <v>0.25</v>
      </c>
      <c r="BT13" s="407">
        <v>0.25</v>
      </c>
      <c r="BU13" s="407">
        <v>0.25</v>
      </c>
      <c r="BV13" s="407">
        <v>0.25</v>
      </c>
      <c r="BW13" s="407">
        <v>0.25</v>
      </c>
      <c r="BX13" s="407">
        <v>0.25</v>
      </c>
      <c r="BY13" s="407">
        <v>0.25</v>
      </c>
      <c r="BZ13" s="407">
        <v>0.25</v>
      </c>
      <c r="CA13" s="407">
        <v>0.25</v>
      </c>
      <c r="CB13" s="407">
        <v>0.25</v>
      </c>
      <c r="CC13" s="407">
        <v>0.25</v>
      </c>
      <c r="CD13" s="407">
        <v>0.25</v>
      </c>
      <c r="CE13" s="407">
        <v>0.25</v>
      </c>
      <c r="CF13" s="407">
        <v>0.25</v>
      </c>
      <c r="CG13" s="407">
        <v>0.25</v>
      </c>
      <c r="CH13" s="407">
        <v>0.25</v>
      </c>
      <c r="CI13" s="407">
        <v>0.25</v>
      </c>
      <c r="CJ13" s="407">
        <v>0.25</v>
      </c>
      <c r="CK13" s="407">
        <v>0.25</v>
      </c>
      <c r="CL13" s="407">
        <v>0.25</v>
      </c>
      <c r="CM13" s="407">
        <v>0.25</v>
      </c>
      <c r="CN13" s="407">
        <v>0.25</v>
      </c>
      <c r="CO13" s="407">
        <v>0.25</v>
      </c>
      <c r="CP13" s="407">
        <v>0.25</v>
      </c>
      <c r="CQ13" s="407">
        <v>0.25</v>
      </c>
      <c r="CR13" s="407">
        <v>0.25</v>
      </c>
      <c r="CS13" s="407">
        <v>0.25</v>
      </c>
      <c r="CT13" s="407">
        <v>0.25</v>
      </c>
      <c r="CU13" s="407">
        <v>0.25</v>
      </c>
      <c r="CV13" s="407">
        <v>0.25</v>
      </c>
      <c r="CW13" s="407">
        <v>0.25</v>
      </c>
      <c r="CX13" s="407">
        <v>0.25</v>
      </c>
      <c r="CY13" s="407">
        <v>0.25</v>
      </c>
      <c r="CZ13" s="407">
        <v>0.25</v>
      </c>
      <c r="DA13" s="407">
        <v>0.25</v>
      </c>
      <c r="DB13" s="407">
        <v>0.25</v>
      </c>
      <c r="DC13" s="407">
        <v>0.25</v>
      </c>
      <c r="DD13" s="407">
        <v>0.25</v>
      </c>
      <c r="DE13" s="407">
        <v>0.25</v>
      </c>
      <c r="DF13" s="407">
        <v>0.25</v>
      </c>
      <c r="DG13" s="407">
        <v>0.25</v>
      </c>
      <c r="DH13" s="407">
        <v>0.25</v>
      </c>
      <c r="DI13" s="407">
        <v>0.25</v>
      </c>
      <c r="DJ13" s="407">
        <v>0.25</v>
      </c>
      <c r="DK13" s="407">
        <v>0.25</v>
      </c>
      <c r="DL13" s="406">
        <v>0.1</v>
      </c>
      <c r="DM13" s="406">
        <v>0.1</v>
      </c>
      <c r="DN13" s="406">
        <v>0.1</v>
      </c>
      <c r="DO13" s="406">
        <v>0.1</v>
      </c>
      <c r="DP13" s="406">
        <v>0.1</v>
      </c>
      <c r="DQ13" s="406">
        <v>0.1</v>
      </c>
      <c r="DR13" s="406">
        <v>0.1</v>
      </c>
      <c r="DS13" s="406">
        <v>0.1</v>
      </c>
      <c r="DT13" s="406">
        <v>0.1</v>
      </c>
      <c r="DU13" s="406">
        <v>0.1</v>
      </c>
      <c r="DV13" s="406">
        <v>0.1</v>
      </c>
      <c r="DW13" s="406">
        <v>0.1</v>
      </c>
      <c r="DX13" s="406">
        <v>0.1</v>
      </c>
      <c r="DY13" s="173"/>
      <c r="DZ13" s="187"/>
      <c r="EA13" s="82">
        <f t="shared" si="7"/>
        <v>170</v>
      </c>
      <c r="EB13" s="82">
        <f t="shared" si="8"/>
        <v>34</v>
      </c>
      <c r="EC13" s="82">
        <f t="shared" si="9"/>
        <v>5.5249999999999995</v>
      </c>
      <c r="ED13" s="127">
        <f t="shared" si="10"/>
        <v>209.52500000000001</v>
      </c>
    </row>
    <row r="14" spans="1:138" s="74" customFormat="1" ht="11.25" x14ac:dyDescent="0.2">
      <c r="A14" s="210">
        <v>2</v>
      </c>
      <c r="B14" s="211" t="s">
        <v>593</v>
      </c>
      <c r="C14" s="457" t="str">
        <f t="shared" si="6"/>
        <v>Project Manager</v>
      </c>
      <c r="D14" s="429" t="s">
        <v>599</v>
      </c>
      <c r="E14" s="433" t="s">
        <v>600</v>
      </c>
      <c r="F14" s="434" t="s">
        <v>597</v>
      </c>
      <c r="G14" s="434" t="s">
        <v>601</v>
      </c>
      <c r="H14" s="434" t="str">
        <f t="shared" ref="H14" si="11">H13</f>
        <v>Program</v>
      </c>
      <c r="I14" s="407">
        <v>1</v>
      </c>
      <c r="J14" s="407">
        <v>1</v>
      </c>
      <c r="K14" s="407">
        <v>1</v>
      </c>
      <c r="L14" s="407">
        <v>1</v>
      </c>
      <c r="M14" s="407">
        <v>1</v>
      </c>
      <c r="N14" s="407">
        <v>1</v>
      </c>
      <c r="O14" s="407">
        <v>1</v>
      </c>
      <c r="P14" s="407">
        <v>1</v>
      </c>
      <c r="Q14" s="407">
        <v>1</v>
      </c>
      <c r="R14" s="407">
        <v>1</v>
      </c>
      <c r="S14" s="407">
        <v>1</v>
      </c>
      <c r="T14" s="407">
        <v>1</v>
      </c>
      <c r="U14" s="407">
        <v>1</v>
      </c>
      <c r="V14" s="407">
        <v>1</v>
      </c>
      <c r="W14" s="407">
        <v>1</v>
      </c>
      <c r="X14" s="407">
        <v>1</v>
      </c>
      <c r="Y14" s="407">
        <v>1</v>
      </c>
      <c r="Z14" s="407">
        <v>1</v>
      </c>
      <c r="AA14" s="407">
        <v>1</v>
      </c>
      <c r="AB14" s="407">
        <v>1</v>
      </c>
      <c r="AC14" s="407">
        <v>1</v>
      </c>
      <c r="AD14" s="407">
        <v>1</v>
      </c>
      <c r="AE14" s="407">
        <v>1</v>
      </c>
      <c r="AF14" s="407">
        <v>1</v>
      </c>
      <c r="AG14" s="407">
        <v>1</v>
      </c>
      <c r="AH14" s="407">
        <v>1</v>
      </c>
      <c r="AI14" s="407">
        <v>1</v>
      </c>
      <c r="AJ14" s="407">
        <v>1</v>
      </c>
      <c r="AK14" s="407">
        <v>1</v>
      </c>
      <c r="AL14" s="407">
        <v>1</v>
      </c>
      <c r="AM14" s="407">
        <v>1</v>
      </c>
      <c r="AN14" s="407">
        <v>1</v>
      </c>
      <c r="AO14" s="407">
        <v>1</v>
      </c>
      <c r="AP14" s="407">
        <v>1</v>
      </c>
      <c r="AQ14" s="407">
        <v>1</v>
      </c>
      <c r="AR14" s="407">
        <v>1</v>
      </c>
      <c r="AS14" s="407">
        <v>1</v>
      </c>
      <c r="AT14" s="407">
        <v>1</v>
      </c>
      <c r="AU14" s="407">
        <v>1</v>
      </c>
      <c r="AV14" s="407">
        <v>1</v>
      </c>
      <c r="AW14" s="407">
        <v>1</v>
      </c>
      <c r="AX14" s="407">
        <v>1</v>
      </c>
      <c r="AY14" s="407">
        <v>1</v>
      </c>
      <c r="AZ14" s="407">
        <v>1</v>
      </c>
      <c r="BA14" s="407">
        <v>1</v>
      </c>
      <c r="BB14" s="407">
        <v>1</v>
      </c>
      <c r="BC14" s="407">
        <v>1</v>
      </c>
      <c r="BD14" s="407">
        <v>1</v>
      </c>
      <c r="BE14" s="407">
        <v>1</v>
      </c>
      <c r="BF14" s="407">
        <v>1</v>
      </c>
      <c r="BG14" s="407">
        <v>1</v>
      </c>
      <c r="BH14" s="407">
        <v>1</v>
      </c>
      <c r="BI14" s="407">
        <v>1</v>
      </c>
      <c r="BJ14" s="407">
        <v>1</v>
      </c>
      <c r="BK14" s="407">
        <v>1</v>
      </c>
      <c r="BL14" s="407">
        <v>1</v>
      </c>
      <c r="BM14" s="407">
        <v>1</v>
      </c>
      <c r="BN14" s="407">
        <v>1</v>
      </c>
      <c r="BO14" s="407">
        <v>1</v>
      </c>
      <c r="BP14" s="407">
        <v>1</v>
      </c>
      <c r="BQ14" s="407">
        <v>1</v>
      </c>
      <c r="BR14" s="407">
        <v>1</v>
      </c>
      <c r="BS14" s="407">
        <v>1</v>
      </c>
      <c r="BT14" s="407">
        <v>1</v>
      </c>
      <c r="BU14" s="407">
        <v>1</v>
      </c>
      <c r="BV14" s="407">
        <v>1</v>
      </c>
      <c r="BW14" s="407">
        <v>1</v>
      </c>
      <c r="BX14" s="407">
        <v>1</v>
      </c>
      <c r="BY14" s="407">
        <v>1</v>
      </c>
      <c r="BZ14" s="407">
        <v>1</v>
      </c>
      <c r="CA14" s="407">
        <v>1</v>
      </c>
      <c r="CB14" s="407">
        <v>1</v>
      </c>
      <c r="CC14" s="407">
        <v>1</v>
      </c>
      <c r="CD14" s="407">
        <v>1</v>
      </c>
      <c r="CE14" s="407">
        <v>1</v>
      </c>
      <c r="CF14" s="407">
        <v>1</v>
      </c>
      <c r="CG14" s="407">
        <v>1</v>
      </c>
      <c r="CH14" s="407">
        <v>1</v>
      </c>
      <c r="CI14" s="407">
        <v>1</v>
      </c>
      <c r="CJ14" s="407">
        <v>1</v>
      </c>
      <c r="CK14" s="407">
        <v>1</v>
      </c>
      <c r="CL14" s="407">
        <v>1</v>
      </c>
      <c r="CM14" s="407">
        <v>1</v>
      </c>
      <c r="CN14" s="407">
        <v>1</v>
      </c>
      <c r="CO14" s="407">
        <v>1</v>
      </c>
      <c r="CP14" s="407">
        <v>1</v>
      </c>
      <c r="CQ14" s="407">
        <v>1</v>
      </c>
      <c r="CR14" s="407">
        <v>1</v>
      </c>
      <c r="CS14" s="407">
        <v>1</v>
      </c>
      <c r="CT14" s="407">
        <v>1</v>
      </c>
      <c r="CU14" s="407">
        <v>1</v>
      </c>
      <c r="CV14" s="407">
        <v>1</v>
      </c>
      <c r="CW14" s="407">
        <v>1</v>
      </c>
      <c r="CX14" s="407">
        <v>1</v>
      </c>
      <c r="CY14" s="407">
        <v>1</v>
      </c>
      <c r="CZ14" s="407">
        <v>1</v>
      </c>
      <c r="DA14" s="407">
        <v>1</v>
      </c>
      <c r="DB14" s="407">
        <v>1</v>
      </c>
      <c r="DC14" s="407">
        <v>1</v>
      </c>
      <c r="DD14" s="407">
        <v>1</v>
      </c>
      <c r="DE14" s="407">
        <v>1</v>
      </c>
      <c r="DF14" s="407">
        <v>1</v>
      </c>
      <c r="DG14" s="407">
        <v>1</v>
      </c>
      <c r="DH14" s="407">
        <v>1</v>
      </c>
      <c r="DI14" s="407">
        <v>1</v>
      </c>
      <c r="DJ14" s="407">
        <v>1</v>
      </c>
      <c r="DK14" s="407">
        <v>1</v>
      </c>
      <c r="DL14" s="407">
        <v>1</v>
      </c>
      <c r="DM14" s="407">
        <v>1</v>
      </c>
      <c r="DN14" s="407">
        <v>1</v>
      </c>
      <c r="DO14" s="407">
        <v>1</v>
      </c>
      <c r="DP14" s="172">
        <v>0.5</v>
      </c>
      <c r="DQ14" s="172">
        <v>0.5</v>
      </c>
      <c r="DR14" s="172">
        <v>0.5</v>
      </c>
      <c r="DS14" s="172">
        <v>0.5</v>
      </c>
      <c r="DT14" s="172">
        <v>0.5</v>
      </c>
      <c r="DU14" s="172">
        <v>0.5</v>
      </c>
      <c r="DV14" s="172">
        <v>0.5</v>
      </c>
      <c r="DW14" s="172">
        <v>0.5</v>
      </c>
      <c r="DX14" s="172">
        <v>0.5</v>
      </c>
      <c r="DY14" s="173"/>
      <c r="DZ14" s="187"/>
      <c r="EA14" s="82">
        <f t="shared" si="7"/>
        <v>454.75</v>
      </c>
      <c r="EB14" s="82">
        <f t="shared" si="8"/>
        <v>90.95</v>
      </c>
      <c r="EC14" s="82">
        <f t="shared" si="9"/>
        <v>36.125</v>
      </c>
      <c r="ED14" s="127">
        <f t="shared" si="10"/>
        <v>581.82500000000005</v>
      </c>
    </row>
    <row r="15" spans="1:138" s="74" customFormat="1" ht="11.25" x14ac:dyDescent="0.2">
      <c r="A15" s="581">
        <v>2</v>
      </c>
      <c r="B15" s="584" t="s">
        <v>593</v>
      </c>
      <c r="C15" s="457" t="s">
        <v>602</v>
      </c>
      <c r="D15" s="429" t="s">
        <v>603</v>
      </c>
      <c r="E15" s="433" t="s">
        <v>596</v>
      </c>
      <c r="F15" s="434" t="s">
        <v>597</v>
      </c>
      <c r="G15" s="434"/>
      <c r="H15" s="434" t="str">
        <f>H14</f>
        <v>Program</v>
      </c>
      <c r="I15" s="407">
        <v>1</v>
      </c>
      <c r="J15" s="407">
        <v>1</v>
      </c>
      <c r="K15" s="407">
        <v>1</v>
      </c>
      <c r="L15" s="407">
        <v>1</v>
      </c>
      <c r="M15" s="407">
        <v>1</v>
      </c>
      <c r="N15" s="407">
        <v>1</v>
      </c>
      <c r="O15" s="407">
        <v>1</v>
      </c>
      <c r="P15" s="407">
        <v>1</v>
      </c>
      <c r="Q15" s="407">
        <v>1</v>
      </c>
      <c r="R15" s="407">
        <v>1</v>
      </c>
      <c r="S15" s="407">
        <v>1</v>
      </c>
      <c r="T15" s="407">
        <v>1</v>
      </c>
      <c r="U15" s="407">
        <v>1</v>
      </c>
      <c r="V15" s="407">
        <v>1</v>
      </c>
      <c r="W15" s="407">
        <v>1</v>
      </c>
      <c r="X15" s="407">
        <v>1</v>
      </c>
      <c r="Y15" s="407">
        <v>1</v>
      </c>
      <c r="Z15" s="407">
        <v>1</v>
      </c>
      <c r="AA15" s="407">
        <v>1</v>
      </c>
      <c r="AB15" s="407">
        <v>1</v>
      </c>
      <c r="AC15" s="407">
        <v>1</v>
      </c>
      <c r="AD15" s="407">
        <v>1</v>
      </c>
      <c r="AE15" s="407">
        <v>1</v>
      </c>
      <c r="AF15" s="407">
        <v>1</v>
      </c>
      <c r="AG15" s="407">
        <v>1</v>
      </c>
      <c r="AH15" s="407">
        <v>1</v>
      </c>
      <c r="AI15" s="407">
        <v>1</v>
      </c>
      <c r="AJ15" s="407">
        <v>1</v>
      </c>
      <c r="AK15" s="407">
        <v>1</v>
      </c>
      <c r="AL15" s="407">
        <v>1</v>
      </c>
      <c r="AM15" s="407">
        <v>1</v>
      </c>
      <c r="AN15" s="407">
        <v>1</v>
      </c>
      <c r="AO15" s="407">
        <v>1</v>
      </c>
      <c r="AP15" s="407">
        <v>1</v>
      </c>
      <c r="AQ15" s="407">
        <v>1</v>
      </c>
      <c r="AR15" s="407">
        <v>1</v>
      </c>
      <c r="AS15" s="407">
        <v>1</v>
      </c>
      <c r="AT15" s="407">
        <v>1</v>
      </c>
      <c r="AU15" s="407">
        <v>1</v>
      </c>
      <c r="AV15" s="407">
        <v>1</v>
      </c>
      <c r="AW15" s="407">
        <v>1</v>
      </c>
      <c r="AX15" s="407">
        <v>1</v>
      </c>
      <c r="AY15" s="407">
        <v>1</v>
      </c>
      <c r="AZ15" s="407">
        <v>1</v>
      </c>
      <c r="BA15" s="407">
        <v>1</v>
      </c>
      <c r="BB15" s="407">
        <v>1</v>
      </c>
      <c r="BC15" s="407">
        <v>1</v>
      </c>
      <c r="BD15" s="407">
        <v>1</v>
      </c>
      <c r="BE15" s="407">
        <v>1</v>
      </c>
      <c r="BF15" s="407">
        <v>1</v>
      </c>
      <c r="BG15" s="407">
        <v>1</v>
      </c>
      <c r="BH15" s="407">
        <v>1</v>
      </c>
      <c r="BI15" s="407">
        <v>1</v>
      </c>
      <c r="BJ15" s="407"/>
      <c r="BK15" s="407"/>
      <c r="BL15" s="407"/>
      <c r="BM15" s="407"/>
      <c r="BN15" s="407"/>
      <c r="BO15" s="407"/>
      <c r="BP15" s="407"/>
      <c r="BQ15" s="407"/>
      <c r="BR15" s="407"/>
      <c r="BS15" s="407"/>
      <c r="BT15" s="407"/>
      <c r="BU15" s="407"/>
      <c r="BV15" s="407"/>
      <c r="BW15" s="407"/>
      <c r="BX15" s="407"/>
      <c r="BY15" s="407"/>
      <c r="BZ15" s="407"/>
      <c r="CA15" s="407"/>
      <c r="CB15" s="407"/>
      <c r="CC15" s="407"/>
      <c r="CD15" s="407"/>
      <c r="CE15" s="407"/>
      <c r="CF15" s="407"/>
      <c r="CG15" s="407"/>
      <c r="CH15" s="407"/>
      <c r="CI15" s="407"/>
      <c r="CJ15" s="407"/>
      <c r="CK15" s="407"/>
      <c r="CL15" s="407"/>
      <c r="CM15" s="407"/>
      <c r="CN15" s="407"/>
      <c r="CO15" s="407"/>
      <c r="CP15" s="407"/>
      <c r="CQ15" s="407"/>
      <c r="CR15" s="407"/>
      <c r="CS15" s="407"/>
      <c r="CT15" s="407"/>
      <c r="CU15" s="407"/>
      <c r="CV15" s="407"/>
      <c r="CW15" s="407"/>
      <c r="CX15" s="407"/>
      <c r="CY15" s="407"/>
      <c r="CZ15" s="407"/>
      <c r="DA15" s="407"/>
      <c r="DB15" s="407"/>
      <c r="DC15" s="407"/>
      <c r="DD15" s="407"/>
      <c r="DE15" s="407"/>
      <c r="DF15" s="407"/>
      <c r="DG15" s="407"/>
      <c r="DH15" s="407"/>
      <c r="DI15" s="407"/>
      <c r="DJ15" s="407"/>
      <c r="DK15" s="407"/>
      <c r="DL15" s="407"/>
      <c r="DM15" s="407"/>
      <c r="DN15" s="407"/>
      <c r="DO15" s="407"/>
      <c r="DP15" s="172"/>
      <c r="DQ15" s="172"/>
      <c r="DR15" s="172"/>
      <c r="DS15" s="172"/>
      <c r="DT15" s="172"/>
      <c r="DU15" s="172"/>
      <c r="DV15" s="172"/>
      <c r="DW15" s="172"/>
      <c r="DX15" s="172"/>
      <c r="DY15" s="585"/>
      <c r="DZ15" s="187"/>
      <c r="EA15" s="82">
        <f t="shared" si="7"/>
        <v>225.25</v>
      </c>
      <c r="EB15" s="82">
        <f t="shared" ref="EB15" si="12">EA15*Scenario1AgileContingency</f>
        <v>45.050000000000004</v>
      </c>
      <c r="EC15" s="82">
        <f t="shared" si="9"/>
        <v>0</v>
      </c>
      <c r="ED15" s="127">
        <f t="shared" ref="ED15" si="13">SUM(EA15:EC15)</f>
        <v>270.3</v>
      </c>
    </row>
    <row r="16" spans="1:138" s="74" customFormat="1" ht="11.25" x14ac:dyDescent="0.2">
      <c r="A16" s="581">
        <v>2</v>
      </c>
      <c r="B16" s="584" t="s">
        <v>593</v>
      </c>
      <c r="C16" s="457" t="s">
        <v>604</v>
      </c>
      <c r="D16" s="429" t="s">
        <v>605</v>
      </c>
      <c r="E16" s="433"/>
      <c r="F16" s="434"/>
      <c r="G16" s="434"/>
      <c r="H16" s="434" t="s">
        <v>594</v>
      </c>
      <c r="I16" s="407"/>
      <c r="J16" s="407"/>
      <c r="K16" s="407"/>
      <c r="L16" s="407"/>
      <c r="M16" s="407"/>
      <c r="N16" s="407"/>
      <c r="O16" s="407"/>
      <c r="P16" s="407"/>
      <c r="Q16" s="407"/>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7"/>
      <c r="BC16" s="407"/>
      <c r="BD16" s="407"/>
      <c r="BE16" s="407"/>
      <c r="BF16" s="407"/>
      <c r="BG16" s="407"/>
      <c r="BH16" s="407"/>
      <c r="BI16" s="407"/>
      <c r="BJ16" s="407"/>
      <c r="BK16" s="407"/>
      <c r="BL16" s="407"/>
      <c r="BM16" s="407"/>
      <c r="BN16" s="407"/>
      <c r="BO16" s="407"/>
      <c r="BP16" s="407"/>
      <c r="BQ16" s="407"/>
      <c r="BR16" s="407"/>
      <c r="BS16" s="407"/>
      <c r="BT16" s="407"/>
      <c r="BU16" s="407"/>
      <c r="BV16" s="407"/>
      <c r="BW16" s="407"/>
      <c r="BX16" s="407"/>
      <c r="BY16" s="407"/>
      <c r="BZ16" s="407"/>
      <c r="CA16" s="407"/>
      <c r="CB16" s="407"/>
      <c r="CC16" s="407"/>
      <c r="CD16" s="407"/>
      <c r="CE16" s="407"/>
      <c r="CF16" s="407"/>
      <c r="CG16" s="407"/>
      <c r="CH16" s="407"/>
      <c r="CI16" s="407"/>
      <c r="CJ16" s="407"/>
      <c r="CK16" s="407"/>
      <c r="CL16" s="407"/>
      <c r="CM16" s="407"/>
      <c r="CN16" s="407"/>
      <c r="CO16" s="407"/>
      <c r="CP16" s="407"/>
      <c r="CQ16" s="407"/>
      <c r="CR16" s="407"/>
      <c r="CS16" s="407"/>
      <c r="CT16" s="407"/>
      <c r="CU16" s="407"/>
      <c r="CV16" s="407"/>
      <c r="CW16" s="407"/>
      <c r="CX16" s="407"/>
      <c r="CY16" s="407"/>
      <c r="CZ16" s="407"/>
      <c r="DA16" s="407"/>
      <c r="DB16" s="407"/>
      <c r="DC16" s="407"/>
      <c r="DD16" s="407"/>
      <c r="DE16" s="407"/>
      <c r="DF16" s="407"/>
      <c r="DG16" s="407"/>
      <c r="DH16" s="407"/>
      <c r="DI16" s="407"/>
      <c r="DJ16" s="407"/>
      <c r="DK16" s="407"/>
      <c r="DL16" s="174"/>
      <c r="DM16" s="174"/>
      <c r="DN16" s="174"/>
      <c r="DO16" s="174"/>
      <c r="DP16" s="174"/>
      <c r="DQ16" s="174"/>
      <c r="DR16" s="174"/>
      <c r="DS16" s="174"/>
      <c r="DT16" s="174"/>
      <c r="DU16" s="174"/>
      <c r="DV16" s="174"/>
      <c r="DW16" s="174"/>
      <c r="DX16" s="174"/>
      <c r="DY16" s="586"/>
      <c r="DZ16" s="187"/>
      <c r="EA16" s="82">
        <f t="shared" si="7"/>
        <v>0</v>
      </c>
      <c r="EB16" s="82">
        <f t="shared" ref="EB16" si="14">EA16*Scenario1AgileContingency</f>
        <v>0</v>
      </c>
      <c r="EC16" s="82">
        <f t="shared" si="9"/>
        <v>0</v>
      </c>
      <c r="ED16" s="127">
        <f t="shared" ref="ED16" si="15">SUM(EA16:EC16)</f>
        <v>0</v>
      </c>
    </row>
    <row r="17" spans="1:134" s="74" customFormat="1" ht="11.25" x14ac:dyDescent="0.2">
      <c r="A17" s="210">
        <v>2</v>
      </c>
      <c r="B17" s="211" t="s">
        <v>593</v>
      </c>
      <c r="C17" s="457" t="s">
        <v>602</v>
      </c>
      <c r="D17" s="429" t="s">
        <v>606</v>
      </c>
      <c r="E17" s="433" t="s">
        <v>600</v>
      </c>
      <c r="F17" s="434" t="s">
        <v>607</v>
      </c>
      <c r="G17" s="434"/>
      <c r="H17" s="434" t="str">
        <f t="shared" ref="H17:H20" si="16">H16</f>
        <v>Program</v>
      </c>
      <c r="I17" s="407">
        <v>1</v>
      </c>
      <c r="J17" s="407">
        <v>1</v>
      </c>
      <c r="K17" s="407">
        <v>1</v>
      </c>
      <c r="L17" s="407">
        <v>1</v>
      </c>
      <c r="M17" s="407">
        <v>1</v>
      </c>
      <c r="N17" s="407">
        <v>1</v>
      </c>
      <c r="O17" s="407">
        <v>1</v>
      </c>
      <c r="P17" s="407">
        <v>1</v>
      </c>
      <c r="Q17" s="407">
        <v>1</v>
      </c>
      <c r="R17" s="407">
        <v>1</v>
      </c>
      <c r="S17" s="407">
        <v>1</v>
      </c>
      <c r="T17" s="407">
        <v>1</v>
      </c>
      <c r="U17" s="407">
        <v>1</v>
      </c>
      <c r="V17" s="407">
        <v>1</v>
      </c>
      <c r="W17" s="407">
        <v>1</v>
      </c>
      <c r="X17" s="407">
        <v>1</v>
      </c>
      <c r="Y17" s="407">
        <v>1</v>
      </c>
      <c r="Z17" s="407">
        <v>1</v>
      </c>
      <c r="AA17" s="407">
        <v>1</v>
      </c>
      <c r="AB17" s="407">
        <v>1</v>
      </c>
      <c r="AC17" s="407">
        <v>1</v>
      </c>
      <c r="AD17" s="407">
        <v>1</v>
      </c>
      <c r="AE17" s="407">
        <v>1</v>
      </c>
      <c r="AF17" s="407">
        <v>1</v>
      </c>
      <c r="AG17" s="407">
        <v>1</v>
      </c>
      <c r="AH17" s="407">
        <v>1</v>
      </c>
      <c r="AI17" s="407">
        <v>1</v>
      </c>
      <c r="AJ17" s="407">
        <v>1</v>
      </c>
      <c r="AK17" s="407">
        <v>1</v>
      </c>
      <c r="AL17" s="407">
        <v>1</v>
      </c>
      <c r="AM17" s="407">
        <v>1</v>
      </c>
      <c r="AN17" s="407">
        <v>1</v>
      </c>
      <c r="AO17" s="407">
        <v>1</v>
      </c>
      <c r="AP17" s="407">
        <v>1</v>
      </c>
      <c r="AQ17" s="407">
        <v>1</v>
      </c>
      <c r="AR17" s="407">
        <v>1</v>
      </c>
      <c r="AS17" s="407">
        <v>1</v>
      </c>
      <c r="AT17" s="407">
        <v>1</v>
      </c>
      <c r="AU17" s="407">
        <v>1</v>
      </c>
      <c r="AV17" s="407">
        <v>1</v>
      </c>
      <c r="AW17" s="407">
        <v>1</v>
      </c>
      <c r="AX17" s="407">
        <v>1</v>
      </c>
      <c r="AY17" s="407">
        <v>1</v>
      </c>
      <c r="AZ17" s="407">
        <v>1</v>
      </c>
      <c r="BA17" s="407">
        <v>1</v>
      </c>
      <c r="BB17" s="407">
        <v>1</v>
      </c>
      <c r="BC17" s="407">
        <v>1</v>
      </c>
      <c r="BD17" s="407">
        <v>1</v>
      </c>
      <c r="BE17" s="407">
        <v>1</v>
      </c>
      <c r="BF17" s="407">
        <v>1</v>
      </c>
      <c r="BG17" s="407">
        <v>1</v>
      </c>
      <c r="BH17" s="407">
        <v>1</v>
      </c>
      <c r="BI17" s="407">
        <v>1</v>
      </c>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5"/>
      <c r="DZ17" s="187"/>
      <c r="EA17" s="82">
        <f t="shared" si="7"/>
        <v>225.25</v>
      </c>
      <c r="EB17" s="82">
        <f t="shared" ref="EB17" si="17">EA17*Scenario1AgileContingency</f>
        <v>45.050000000000004</v>
      </c>
      <c r="EC17" s="82">
        <f t="shared" si="9"/>
        <v>0</v>
      </c>
      <c r="ED17" s="127">
        <f t="shared" ref="ED17" si="18">SUM(EA17:EC17)</f>
        <v>270.3</v>
      </c>
    </row>
    <row r="18" spans="1:134" s="74" customFormat="1" ht="11.25" x14ac:dyDescent="0.2">
      <c r="A18" s="581">
        <v>2</v>
      </c>
      <c r="B18" s="584" t="s">
        <v>593</v>
      </c>
      <c r="C18" s="457" t="s">
        <v>602</v>
      </c>
      <c r="D18" s="429" t="s">
        <v>608</v>
      </c>
      <c r="E18" s="433" t="s">
        <v>600</v>
      </c>
      <c r="F18" s="434" t="s">
        <v>609</v>
      </c>
      <c r="G18" s="434"/>
      <c r="H18" s="434" t="str">
        <f>H17</f>
        <v>Program</v>
      </c>
      <c r="I18" s="407">
        <v>1</v>
      </c>
      <c r="J18" s="407">
        <v>1</v>
      </c>
      <c r="K18" s="407">
        <v>1</v>
      </c>
      <c r="L18" s="407">
        <v>1</v>
      </c>
      <c r="M18" s="407">
        <v>1</v>
      </c>
      <c r="N18" s="407">
        <v>1</v>
      </c>
      <c r="O18" s="407">
        <v>1</v>
      </c>
      <c r="P18" s="407">
        <v>1</v>
      </c>
      <c r="Q18" s="407">
        <v>1</v>
      </c>
      <c r="R18" s="407">
        <v>1</v>
      </c>
      <c r="S18" s="407"/>
      <c r="T18" s="407"/>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586"/>
      <c r="DZ18" s="187"/>
      <c r="EA18" s="82">
        <f t="shared" si="7"/>
        <v>42.5</v>
      </c>
      <c r="EB18" s="82">
        <f t="shared" ref="EB18" si="19">EA18*Scenario1AgileContingency</f>
        <v>8.5</v>
      </c>
      <c r="EC18" s="82">
        <f t="shared" si="9"/>
        <v>0</v>
      </c>
      <c r="ED18" s="127">
        <f t="shared" ref="ED18" si="20">SUM(EA18:EC18)</f>
        <v>51</v>
      </c>
    </row>
    <row r="19" spans="1:134" s="74" customFormat="1" ht="11.25" x14ac:dyDescent="0.2">
      <c r="A19" s="210">
        <v>2</v>
      </c>
      <c r="B19" s="211" t="s">
        <v>593</v>
      </c>
      <c r="C19" s="457" t="str">
        <f>IFERROR(VLOOKUP(D19,MappingFromSetAgiletoTTSRole,2,FALSE),"SET Agile Resource Role")</f>
        <v>Project Manager</v>
      </c>
      <c r="D19" s="429" t="s">
        <v>610</v>
      </c>
      <c r="E19" s="433" t="s">
        <v>600</v>
      </c>
      <c r="F19" s="434" t="s">
        <v>597</v>
      </c>
      <c r="G19" s="434"/>
      <c r="H19" s="434" t="str">
        <f>H18</f>
        <v>Program</v>
      </c>
      <c r="I19" s="407">
        <v>0.2</v>
      </c>
      <c r="J19" s="407">
        <v>0.2</v>
      </c>
      <c r="K19" s="407">
        <v>0.2</v>
      </c>
      <c r="L19" s="407">
        <v>0.2</v>
      </c>
      <c r="M19" s="407">
        <v>0.2</v>
      </c>
      <c r="N19" s="407">
        <v>0.2</v>
      </c>
      <c r="O19" s="407">
        <v>0.2</v>
      </c>
      <c r="P19" s="407">
        <v>0.2</v>
      </c>
      <c r="Q19" s="407">
        <v>0.2</v>
      </c>
      <c r="R19" s="407">
        <v>0.2</v>
      </c>
      <c r="S19" s="407">
        <v>0.2</v>
      </c>
      <c r="T19" s="407">
        <v>0.2</v>
      </c>
      <c r="U19" s="407">
        <v>0.2</v>
      </c>
      <c r="V19" s="407">
        <v>0.2</v>
      </c>
      <c r="W19" s="407">
        <v>0.2</v>
      </c>
      <c r="X19" s="407">
        <v>0.2</v>
      </c>
      <c r="Y19" s="407">
        <v>0.2</v>
      </c>
      <c r="Z19" s="407">
        <v>0.2</v>
      </c>
      <c r="AA19" s="407">
        <v>0.2</v>
      </c>
      <c r="AB19" s="407">
        <v>0.2</v>
      </c>
      <c r="AC19" s="407">
        <v>0.2</v>
      </c>
      <c r="AD19" s="407">
        <v>0.2</v>
      </c>
      <c r="AE19" s="407">
        <v>0.2</v>
      </c>
      <c r="AF19" s="407">
        <v>0.2</v>
      </c>
      <c r="AG19" s="407">
        <v>0.2</v>
      </c>
      <c r="AH19" s="407">
        <v>0.2</v>
      </c>
      <c r="AI19" s="407">
        <v>0.2</v>
      </c>
      <c r="AJ19" s="407">
        <v>0.2</v>
      </c>
      <c r="AK19" s="407">
        <v>0.2</v>
      </c>
      <c r="AL19" s="407">
        <v>0.2</v>
      </c>
      <c r="AM19" s="407">
        <v>0.2</v>
      </c>
      <c r="AN19" s="407">
        <v>0.2</v>
      </c>
      <c r="AO19" s="407">
        <v>0.2</v>
      </c>
      <c r="AP19" s="407">
        <v>0.2</v>
      </c>
      <c r="AQ19" s="407">
        <v>0.2</v>
      </c>
      <c r="AR19" s="407">
        <v>0.2</v>
      </c>
      <c r="AS19" s="407">
        <v>0.2</v>
      </c>
      <c r="AT19" s="407">
        <v>0.2</v>
      </c>
      <c r="AU19" s="407">
        <v>0.2</v>
      </c>
      <c r="AV19" s="407">
        <v>0.2</v>
      </c>
      <c r="AW19" s="407">
        <v>0.2</v>
      </c>
      <c r="AX19" s="407">
        <v>0.2</v>
      </c>
      <c r="AY19" s="407">
        <v>0.2</v>
      </c>
      <c r="AZ19" s="407">
        <v>0.2</v>
      </c>
      <c r="BA19" s="407">
        <v>0.2</v>
      </c>
      <c r="BB19" s="407">
        <v>0.2</v>
      </c>
      <c r="BC19" s="407">
        <v>0.2</v>
      </c>
      <c r="BD19" s="407">
        <v>0.2</v>
      </c>
      <c r="BE19" s="407">
        <v>0.2</v>
      </c>
      <c r="BF19" s="407">
        <v>0.2</v>
      </c>
      <c r="BG19" s="407">
        <v>0.2</v>
      </c>
      <c r="BH19" s="407">
        <v>0.2</v>
      </c>
      <c r="BI19" s="407">
        <v>0.2</v>
      </c>
      <c r="BJ19" s="407">
        <v>0.2</v>
      </c>
      <c r="BK19" s="407">
        <v>0.2</v>
      </c>
      <c r="BL19" s="407">
        <v>0.2</v>
      </c>
      <c r="BM19" s="407">
        <v>0.2</v>
      </c>
      <c r="BN19" s="407">
        <v>0.2</v>
      </c>
      <c r="BO19" s="407">
        <v>0.2</v>
      </c>
      <c r="BP19" s="407">
        <v>0.2</v>
      </c>
      <c r="BQ19" s="407">
        <v>0.2</v>
      </c>
      <c r="BR19" s="407">
        <v>0.2</v>
      </c>
      <c r="BS19" s="407">
        <v>0.2</v>
      </c>
      <c r="BT19" s="407">
        <v>0.2</v>
      </c>
      <c r="BU19" s="407">
        <v>0.2</v>
      </c>
      <c r="BV19" s="407">
        <v>0.2</v>
      </c>
      <c r="BW19" s="407">
        <v>0.2</v>
      </c>
      <c r="BX19" s="407">
        <v>0.2</v>
      </c>
      <c r="BY19" s="407">
        <v>0.2</v>
      </c>
      <c r="BZ19" s="407">
        <v>0.2</v>
      </c>
      <c r="CA19" s="407">
        <v>0.2</v>
      </c>
      <c r="CB19" s="407">
        <v>0.2</v>
      </c>
      <c r="CC19" s="407">
        <v>0.2</v>
      </c>
      <c r="CD19" s="407">
        <v>0.2</v>
      </c>
      <c r="CE19" s="407">
        <v>0.2</v>
      </c>
      <c r="CF19" s="407">
        <v>0.2</v>
      </c>
      <c r="CG19" s="407">
        <v>0.2</v>
      </c>
      <c r="CH19" s="407">
        <v>0.2</v>
      </c>
      <c r="CI19" s="407">
        <v>0.2</v>
      </c>
      <c r="CJ19" s="407">
        <v>0.2</v>
      </c>
      <c r="CK19" s="407">
        <v>0.2</v>
      </c>
      <c r="CL19" s="407">
        <v>0.2</v>
      </c>
      <c r="CM19" s="407">
        <v>0.2</v>
      </c>
      <c r="CN19" s="407">
        <v>0.2</v>
      </c>
      <c r="CO19" s="407">
        <v>0.2</v>
      </c>
      <c r="CP19" s="407">
        <v>0.2</v>
      </c>
      <c r="CQ19" s="407">
        <v>0.2</v>
      </c>
      <c r="CR19" s="407">
        <v>0.2</v>
      </c>
      <c r="CS19" s="407">
        <v>0.2</v>
      </c>
      <c r="CT19" s="407">
        <v>0.2</v>
      </c>
      <c r="CU19" s="407">
        <v>0.2</v>
      </c>
      <c r="CV19" s="407">
        <v>0.2</v>
      </c>
      <c r="CW19" s="407">
        <v>0.2</v>
      </c>
      <c r="CX19" s="407">
        <v>0.2</v>
      </c>
      <c r="CY19" s="407">
        <v>0.2</v>
      </c>
      <c r="CZ19" s="407">
        <v>0.2</v>
      </c>
      <c r="DA19" s="407">
        <v>0.2</v>
      </c>
      <c r="DB19" s="407">
        <v>0.2</v>
      </c>
      <c r="DC19" s="407">
        <v>0.2</v>
      </c>
      <c r="DD19" s="407">
        <v>0.2</v>
      </c>
      <c r="DE19" s="407">
        <v>0.2</v>
      </c>
      <c r="DF19" s="407">
        <v>0.2</v>
      </c>
      <c r="DG19" s="407">
        <v>0.2</v>
      </c>
      <c r="DH19" s="407">
        <v>0.2</v>
      </c>
      <c r="DI19" s="407">
        <v>0.2</v>
      </c>
      <c r="DJ19" s="407">
        <v>0.2</v>
      </c>
      <c r="DK19" s="407">
        <v>0.2</v>
      </c>
      <c r="DL19" s="172"/>
      <c r="DM19" s="172"/>
      <c r="DN19" s="172"/>
      <c r="DO19" s="172"/>
      <c r="DP19" s="172"/>
      <c r="DQ19" s="172"/>
      <c r="DR19" s="172"/>
      <c r="DS19" s="172"/>
      <c r="DT19" s="172"/>
      <c r="DU19" s="172"/>
      <c r="DV19" s="172"/>
      <c r="DW19" s="172"/>
      <c r="DX19" s="172"/>
      <c r="DY19" s="173"/>
      <c r="DZ19" s="187"/>
      <c r="EA19" s="82">
        <f t="shared" si="7"/>
        <v>90.949999999999804</v>
      </c>
      <c r="EB19" s="82">
        <f t="shared" ref="EB19" si="21">EA19*Scenario1AgileContingency</f>
        <v>18.189999999999962</v>
      </c>
      <c r="EC19" s="82">
        <f t="shared" si="9"/>
        <v>0</v>
      </c>
      <c r="ED19" s="127">
        <f t="shared" ref="ED19" si="22">SUM(EA19:EC19)</f>
        <v>109.13999999999976</v>
      </c>
    </row>
    <row r="20" spans="1:134" s="74" customFormat="1" ht="11.25" x14ac:dyDescent="0.2">
      <c r="A20" s="210">
        <v>2</v>
      </c>
      <c r="B20" s="211" t="s">
        <v>593</v>
      </c>
      <c r="C20" s="457" t="str">
        <f t="shared" ref="C20" si="23">IFERROR(VLOOKUP(D20,MappingFromSetAgiletoTTSRole,2,FALSE),"SET Agile Resource Role")</f>
        <v>Support Analyst</v>
      </c>
      <c r="D20" s="429" t="s">
        <v>611</v>
      </c>
      <c r="E20" s="433" t="s">
        <v>600</v>
      </c>
      <c r="F20" s="434" t="str">
        <f t="shared" ref="F20" si="24">IFERROR(VLOOKUP(C20,MappingFromTTStoSU,2,FALSE),"SU Resource Role")</f>
        <v>DE</v>
      </c>
      <c r="G20" s="434"/>
      <c r="H20" s="434" t="str">
        <f t="shared" si="16"/>
        <v>Program</v>
      </c>
      <c r="I20" s="407">
        <v>0.5</v>
      </c>
      <c r="J20" s="407">
        <v>0.5</v>
      </c>
      <c r="K20" s="407">
        <v>0.5</v>
      </c>
      <c r="L20" s="407">
        <v>0.5</v>
      </c>
      <c r="M20" s="407">
        <v>0.5</v>
      </c>
      <c r="N20" s="407">
        <v>0.5</v>
      </c>
      <c r="O20" s="407">
        <v>0.5</v>
      </c>
      <c r="P20" s="407">
        <v>0.5</v>
      </c>
      <c r="Q20" s="407">
        <v>0.5</v>
      </c>
      <c r="R20" s="407">
        <v>0.5</v>
      </c>
      <c r="S20" s="407">
        <v>0.5</v>
      </c>
      <c r="T20" s="407">
        <v>0.5</v>
      </c>
      <c r="U20" s="407">
        <v>0.5</v>
      </c>
      <c r="V20" s="407">
        <v>0.5</v>
      </c>
      <c r="W20" s="407">
        <v>0.5</v>
      </c>
      <c r="X20" s="407">
        <v>0.5</v>
      </c>
      <c r="Y20" s="407">
        <v>0.5</v>
      </c>
      <c r="Z20" s="407">
        <v>0.5</v>
      </c>
      <c r="AA20" s="407">
        <v>0.5</v>
      </c>
      <c r="AB20" s="407">
        <v>0.5</v>
      </c>
      <c r="AC20" s="407">
        <v>0.5</v>
      </c>
      <c r="AD20" s="407">
        <v>0.5</v>
      </c>
      <c r="AE20" s="407">
        <v>0.5</v>
      </c>
      <c r="AF20" s="407">
        <v>0.5</v>
      </c>
      <c r="AG20" s="407">
        <v>0.5</v>
      </c>
      <c r="AH20" s="407">
        <v>0.5</v>
      </c>
      <c r="AI20" s="407">
        <v>0.5</v>
      </c>
      <c r="AJ20" s="407">
        <v>0.5</v>
      </c>
      <c r="AK20" s="407">
        <v>0.5</v>
      </c>
      <c r="AL20" s="407">
        <v>0.5</v>
      </c>
      <c r="AM20" s="407">
        <v>0.5</v>
      </c>
      <c r="AN20" s="407">
        <v>0.5</v>
      </c>
      <c r="AO20" s="407">
        <v>0.5</v>
      </c>
      <c r="AP20" s="407">
        <v>0.5</v>
      </c>
      <c r="AQ20" s="407">
        <v>0.5</v>
      </c>
      <c r="AR20" s="407">
        <v>0.5</v>
      </c>
      <c r="AS20" s="407">
        <v>0.5</v>
      </c>
      <c r="AT20" s="407">
        <v>0.5</v>
      </c>
      <c r="AU20" s="407">
        <v>0.5</v>
      </c>
      <c r="AV20" s="407">
        <v>0.5</v>
      </c>
      <c r="AW20" s="407">
        <v>0.5</v>
      </c>
      <c r="AX20" s="407">
        <v>0.5</v>
      </c>
      <c r="AY20" s="407">
        <v>0.5</v>
      </c>
      <c r="AZ20" s="407">
        <v>0.5</v>
      </c>
      <c r="BA20" s="407">
        <v>0.5</v>
      </c>
      <c r="BB20" s="407">
        <v>0.5</v>
      </c>
      <c r="BC20" s="407">
        <v>0.5</v>
      </c>
      <c r="BD20" s="407">
        <v>0.5</v>
      </c>
      <c r="BE20" s="407">
        <v>0.5</v>
      </c>
      <c r="BF20" s="407">
        <v>0.5</v>
      </c>
      <c r="BG20" s="407">
        <v>0.5</v>
      </c>
      <c r="BH20" s="407">
        <v>0.5</v>
      </c>
      <c r="BI20" s="407">
        <v>0.5</v>
      </c>
      <c r="BJ20" s="407">
        <v>0.5</v>
      </c>
      <c r="BK20" s="407">
        <v>0.5</v>
      </c>
      <c r="BL20" s="407">
        <v>0.5</v>
      </c>
      <c r="BM20" s="407">
        <v>0.5</v>
      </c>
      <c r="BN20" s="407">
        <v>0.5</v>
      </c>
      <c r="BO20" s="407">
        <v>0.5</v>
      </c>
      <c r="BP20" s="407">
        <v>0.5</v>
      </c>
      <c r="BQ20" s="407">
        <v>0.5</v>
      </c>
      <c r="BR20" s="407">
        <v>0.5</v>
      </c>
      <c r="BS20" s="407">
        <v>0.5</v>
      </c>
      <c r="BT20" s="407">
        <v>0.5</v>
      </c>
      <c r="BU20" s="407">
        <v>0.5</v>
      </c>
      <c r="BV20" s="407">
        <v>0.5</v>
      </c>
      <c r="BW20" s="407">
        <v>0.5</v>
      </c>
      <c r="BX20" s="407">
        <v>0.5</v>
      </c>
      <c r="BY20" s="407">
        <v>0.5</v>
      </c>
      <c r="BZ20" s="407">
        <v>0.5</v>
      </c>
      <c r="CA20" s="407">
        <v>0.5</v>
      </c>
      <c r="CB20" s="407">
        <v>0.5</v>
      </c>
      <c r="CC20" s="407">
        <v>0.5</v>
      </c>
      <c r="CD20" s="407">
        <v>0.5</v>
      </c>
      <c r="CE20" s="407">
        <v>0.5</v>
      </c>
      <c r="CF20" s="407">
        <v>0.5</v>
      </c>
      <c r="CG20" s="407">
        <v>0.5</v>
      </c>
      <c r="CH20" s="407">
        <v>0.5</v>
      </c>
      <c r="CI20" s="407">
        <v>0.5</v>
      </c>
      <c r="CJ20" s="407">
        <v>0.5</v>
      </c>
      <c r="CK20" s="407">
        <v>0.5</v>
      </c>
      <c r="CL20" s="407">
        <v>0.5</v>
      </c>
      <c r="CM20" s="407">
        <v>0.5</v>
      </c>
      <c r="CN20" s="407">
        <v>0.5</v>
      </c>
      <c r="CO20" s="407">
        <v>0.5</v>
      </c>
      <c r="CP20" s="407">
        <v>0.5</v>
      </c>
      <c r="CQ20" s="407">
        <v>0.5</v>
      </c>
      <c r="CR20" s="407">
        <v>0.5</v>
      </c>
      <c r="CS20" s="407">
        <v>0.5</v>
      </c>
      <c r="CT20" s="407">
        <v>0.5</v>
      </c>
      <c r="CU20" s="407">
        <v>0.5</v>
      </c>
      <c r="CV20" s="407">
        <v>0.5</v>
      </c>
      <c r="CW20" s="407">
        <v>0.5</v>
      </c>
      <c r="CX20" s="407">
        <v>0.5</v>
      </c>
      <c r="CY20" s="407">
        <v>0.5</v>
      </c>
      <c r="CZ20" s="407">
        <v>0.5</v>
      </c>
      <c r="DA20" s="407">
        <v>0.5</v>
      </c>
      <c r="DB20" s="407">
        <v>0.5</v>
      </c>
      <c r="DC20" s="407">
        <v>0.5</v>
      </c>
      <c r="DD20" s="407">
        <v>0.5</v>
      </c>
      <c r="DE20" s="407">
        <v>0.5</v>
      </c>
      <c r="DF20" s="407">
        <v>0.5</v>
      </c>
      <c r="DG20" s="407">
        <v>0.5</v>
      </c>
      <c r="DH20" s="407">
        <v>0.5</v>
      </c>
      <c r="DI20" s="407">
        <v>0.5</v>
      </c>
      <c r="DJ20" s="407">
        <v>0.5</v>
      </c>
      <c r="DK20" s="407">
        <v>0.5</v>
      </c>
      <c r="DL20" s="172"/>
      <c r="DM20" s="172"/>
      <c r="DN20" s="172"/>
      <c r="DO20" s="172"/>
      <c r="DP20" s="172"/>
      <c r="DQ20" s="172"/>
      <c r="DR20" s="172"/>
      <c r="DS20" s="172"/>
      <c r="DT20" s="172"/>
      <c r="DU20" s="172"/>
      <c r="DV20" s="172"/>
      <c r="DW20" s="172"/>
      <c r="DX20" s="172"/>
      <c r="DY20" s="173"/>
      <c r="DZ20" s="187"/>
      <c r="EA20" s="82">
        <f t="shared" si="7"/>
        <v>227.375</v>
      </c>
      <c r="EB20" s="82">
        <f t="shared" ref="EB20" si="25">EA20*Scenario1AgileContingency</f>
        <v>45.475000000000001</v>
      </c>
      <c r="EC20" s="82">
        <f t="shared" si="9"/>
        <v>0</v>
      </c>
      <c r="ED20" s="127">
        <f t="shared" ref="ED20" si="26">SUM(EA20:EC20)</f>
        <v>272.85000000000002</v>
      </c>
    </row>
    <row r="21" spans="1:134" s="142" customFormat="1" ht="11.25" x14ac:dyDescent="0.2">
      <c r="A21" s="210">
        <v>1</v>
      </c>
      <c r="B21" s="211" t="s">
        <v>593</v>
      </c>
      <c r="C21" s="346" t="s">
        <v>612</v>
      </c>
      <c r="D21" s="346" t="s">
        <v>612</v>
      </c>
      <c r="E21" s="431"/>
      <c r="F21" s="432"/>
      <c r="G21" s="432"/>
      <c r="H21" s="432"/>
      <c r="I21" s="347"/>
      <c r="J21" s="347"/>
      <c r="K21" s="347"/>
      <c r="L21" s="347"/>
      <c r="M21" s="347"/>
      <c r="N21" s="347"/>
      <c r="O21" s="347"/>
      <c r="P21" s="347"/>
      <c r="Q21" s="347"/>
      <c r="R21" s="347"/>
      <c r="S21" s="347"/>
      <c r="T21" s="347"/>
      <c r="U21" s="295"/>
      <c r="V21" s="295"/>
      <c r="W21" s="295"/>
      <c r="X21" s="295"/>
      <c r="Y21" s="295"/>
      <c r="Z21" s="295"/>
      <c r="AA21" s="295"/>
      <c r="AB21" s="295"/>
      <c r="AC21" s="295"/>
      <c r="AD21" s="295"/>
      <c r="AE21" s="295"/>
      <c r="AF21" s="295"/>
      <c r="AG21" s="295"/>
      <c r="AH21" s="295"/>
      <c r="AI21" s="295"/>
      <c r="AJ21" s="295"/>
      <c r="AK21" s="347"/>
      <c r="AL21" s="347"/>
      <c r="AM21" s="347"/>
      <c r="AN21" s="295"/>
      <c r="AO21" s="295"/>
      <c r="AP21" s="295"/>
      <c r="AQ21" s="295"/>
      <c r="AR21" s="295"/>
      <c r="AS21" s="295"/>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c r="BW21" s="295"/>
      <c r="BX21" s="295"/>
      <c r="BY21" s="295"/>
      <c r="BZ21" s="295"/>
      <c r="CA21" s="295"/>
      <c r="CB21" s="295"/>
      <c r="CC21" s="295"/>
      <c r="CD21" s="295"/>
      <c r="CE21" s="295"/>
      <c r="CF21" s="295"/>
      <c r="CG21" s="295"/>
      <c r="CH21" s="295"/>
      <c r="CI21" s="295"/>
      <c r="CJ21" s="295"/>
      <c r="CK21" s="295"/>
      <c r="CL21" s="295"/>
      <c r="CM21" s="295"/>
      <c r="CN21" s="295"/>
      <c r="CO21" s="295"/>
      <c r="CP21" s="295"/>
      <c r="CQ21" s="295"/>
      <c r="CR21" s="295"/>
      <c r="CS21" s="295"/>
      <c r="CT21" s="295"/>
      <c r="CU21" s="295"/>
      <c r="CV21" s="295"/>
      <c r="CW21" s="295"/>
      <c r="CX21" s="295"/>
      <c r="CY21" s="295"/>
      <c r="CZ21" s="295"/>
      <c r="DA21" s="295"/>
      <c r="DB21" s="295"/>
      <c r="DC21" s="295"/>
      <c r="DD21" s="295"/>
      <c r="DE21" s="295"/>
      <c r="DF21" s="295"/>
      <c r="DG21" s="295"/>
      <c r="DH21" s="295"/>
      <c r="DI21" s="295"/>
      <c r="DJ21" s="295"/>
      <c r="DK21" s="295"/>
      <c r="DL21" s="295"/>
      <c r="DM21" s="295"/>
      <c r="DN21" s="295"/>
      <c r="DO21" s="295"/>
      <c r="DP21" s="295"/>
      <c r="DQ21" s="295"/>
      <c r="DR21" s="295"/>
      <c r="DS21" s="295"/>
      <c r="DT21" s="295"/>
      <c r="DU21" s="295"/>
      <c r="DV21" s="295"/>
      <c r="DW21" s="295"/>
      <c r="DX21" s="295"/>
      <c r="DY21" s="294"/>
      <c r="DZ21" s="202"/>
      <c r="EA21" s="150"/>
      <c r="EB21" s="150"/>
      <c r="EC21" s="150"/>
      <c r="ED21" s="150"/>
    </row>
    <row r="22" spans="1:134" s="74" customFormat="1" ht="11.25" x14ac:dyDescent="0.2">
      <c r="A22" s="210">
        <v>2</v>
      </c>
      <c r="B22" s="211" t="s">
        <v>593</v>
      </c>
      <c r="C22" s="457" t="s">
        <v>613</v>
      </c>
      <c r="D22" s="428" t="s">
        <v>614</v>
      </c>
      <c r="E22" s="433" t="s">
        <v>596</v>
      </c>
      <c r="F22" s="434" t="s">
        <v>607</v>
      </c>
      <c r="G22" s="434"/>
      <c r="H22" s="434" t="str">
        <f>C21</f>
        <v>Project</v>
      </c>
      <c r="I22" s="406">
        <v>1</v>
      </c>
      <c r="J22" s="406">
        <v>1</v>
      </c>
      <c r="K22" s="406">
        <v>1</v>
      </c>
      <c r="L22" s="406">
        <v>1</v>
      </c>
      <c r="M22" s="406">
        <v>1</v>
      </c>
      <c r="N22" s="406">
        <v>1</v>
      </c>
      <c r="O22" s="406">
        <v>1</v>
      </c>
      <c r="P22" s="406">
        <v>1</v>
      </c>
      <c r="Q22" s="406">
        <v>1</v>
      </c>
      <c r="R22" s="406">
        <v>1</v>
      </c>
      <c r="S22" s="406">
        <v>1</v>
      </c>
      <c r="T22" s="406">
        <v>1</v>
      </c>
      <c r="U22" s="406">
        <v>1</v>
      </c>
      <c r="V22" s="406">
        <v>1</v>
      </c>
      <c r="W22" s="406">
        <v>1</v>
      </c>
      <c r="X22" s="406">
        <v>1</v>
      </c>
      <c r="Y22" s="406">
        <v>1</v>
      </c>
      <c r="Z22" s="406">
        <v>1</v>
      </c>
      <c r="AA22" s="406">
        <v>1</v>
      </c>
      <c r="AB22" s="406">
        <v>1</v>
      </c>
      <c r="AC22" s="406">
        <v>1</v>
      </c>
      <c r="AD22" s="406">
        <v>1</v>
      </c>
      <c r="AE22" s="406">
        <v>1</v>
      </c>
      <c r="AF22" s="406">
        <v>1</v>
      </c>
      <c r="AG22" s="406">
        <v>1</v>
      </c>
      <c r="AH22" s="406">
        <v>1</v>
      </c>
      <c r="AI22" s="406">
        <v>1</v>
      </c>
      <c r="AJ22" s="406">
        <v>1</v>
      </c>
      <c r="AK22" s="406">
        <v>1</v>
      </c>
      <c r="AL22" s="406">
        <v>1</v>
      </c>
      <c r="AM22" s="406">
        <v>1</v>
      </c>
      <c r="AN22" s="406">
        <v>1</v>
      </c>
      <c r="AO22" s="406">
        <v>1</v>
      </c>
      <c r="AP22" s="406">
        <v>1</v>
      </c>
      <c r="AQ22" s="406">
        <v>1</v>
      </c>
      <c r="AR22" s="406">
        <v>1</v>
      </c>
      <c r="AS22" s="406">
        <v>1</v>
      </c>
      <c r="AT22" s="406">
        <v>1</v>
      </c>
      <c r="AU22" s="406">
        <v>1</v>
      </c>
      <c r="AV22" s="406">
        <v>1</v>
      </c>
      <c r="AW22" s="406">
        <v>1</v>
      </c>
      <c r="AX22" s="406">
        <v>1</v>
      </c>
      <c r="AY22" s="406">
        <v>1</v>
      </c>
      <c r="AZ22" s="406">
        <v>1</v>
      </c>
      <c r="BA22" s="406">
        <v>1</v>
      </c>
      <c r="BB22" s="406">
        <v>1</v>
      </c>
      <c r="BC22" s="406">
        <v>1</v>
      </c>
      <c r="BD22" s="406">
        <v>1</v>
      </c>
      <c r="BE22" s="406">
        <v>1</v>
      </c>
      <c r="BF22" s="406">
        <v>1</v>
      </c>
      <c r="BG22" s="406">
        <v>1</v>
      </c>
      <c r="BH22" s="406">
        <v>1</v>
      </c>
      <c r="BI22" s="406">
        <v>1</v>
      </c>
      <c r="BJ22" s="406">
        <v>1</v>
      </c>
      <c r="BK22" s="406">
        <v>1</v>
      </c>
      <c r="BL22" s="406">
        <v>1</v>
      </c>
      <c r="BM22" s="406">
        <v>1</v>
      </c>
      <c r="BN22" s="406">
        <v>1</v>
      </c>
      <c r="BO22" s="406">
        <v>1</v>
      </c>
      <c r="BP22" s="406">
        <v>1</v>
      </c>
      <c r="BQ22" s="406">
        <v>1</v>
      </c>
      <c r="BR22" s="406">
        <v>1</v>
      </c>
      <c r="BS22" s="406">
        <v>1</v>
      </c>
      <c r="BT22" s="406">
        <v>1</v>
      </c>
      <c r="BU22" s="406">
        <v>1</v>
      </c>
      <c r="BV22" s="406">
        <v>1</v>
      </c>
      <c r="BW22" s="406">
        <v>1</v>
      </c>
      <c r="BX22" s="406">
        <v>1</v>
      </c>
      <c r="BY22" s="406">
        <v>1</v>
      </c>
      <c r="BZ22" s="406">
        <v>1</v>
      </c>
      <c r="CA22" s="406">
        <v>1</v>
      </c>
      <c r="CB22" s="406">
        <v>1</v>
      </c>
      <c r="CC22" s="406">
        <v>1</v>
      </c>
      <c r="CD22" s="406">
        <v>1</v>
      </c>
      <c r="CE22" s="406">
        <v>1</v>
      </c>
      <c r="CF22" s="406">
        <v>1</v>
      </c>
      <c r="CG22" s="406">
        <v>1</v>
      </c>
      <c r="CH22" s="406">
        <v>1</v>
      </c>
      <c r="CI22" s="406">
        <v>1</v>
      </c>
      <c r="CJ22" s="406">
        <v>1</v>
      </c>
      <c r="CK22" s="406">
        <v>1</v>
      </c>
      <c r="CL22" s="406">
        <v>1</v>
      </c>
      <c r="CM22" s="406">
        <v>1</v>
      </c>
      <c r="CN22" s="406">
        <v>1</v>
      </c>
      <c r="CO22" s="406">
        <v>1</v>
      </c>
      <c r="CP22" s="406">
        <v>1</v>
      </c>
      <c r="CQ22" s="406">
        <v>1</v>
      </c>
      <c r="CR22" s="406">
        <v>1</v>
      </c>
      <c r="CS22" s="406">
        <v>1</v>
      </c>
      <c r="CT22" s="406">
        <v>1</v>
      </c>
      <c r="CU22" s="406">
        <v>1</v>
      </c>
      <c r="CV22" s="406">
        <v>1</v>
      </c>
      <c r="CW22" s="406">
        <v>1</v>
      </c>
      <c r="CX22" s="406">
        <v>1</v>
      </c>
      <c r="CY22" s="406">
        <v>1</v>
      </c>
      <c r="CZ22" s="406">
        <v>1</v>
      </c>
      <c r="DA22" s="406">
        <v>1</v>
      </c>
      <c r="DB22" s="406">
        <v>1</v>
      </c>
      <c r="DC22" s="406">
        <v>1</v>
      </c>
      <c r="DD22" s="406">
        <v>1</v>
      </c>
      <c r="DE22" s="406">
        <v>1</v>
      </c>
      <c r="DF22" s="406">
        <v>1</v>
      </c>
      <c r="DG22" s="406">
        <v>1</v>
      </c>
      <c r="DH22" s="406">
        <v>1</v>
      </c>
      <c r="DI22" s="406">
        <v>1</v>
      </c>
      <c r="DJ22" s="406">
        <v>1</v>
      </c>
      <c r="DK22" s="406">
        <v>1</v>
      </c>
      <c r="DL22" s="406">
        <v>1</v>
      </c>
      <c r="DM22" s="406">
        <v>1</v>
      </c>
      <c r="DN22" s="406">
        <v>1</v>
      </c>
      <c r="DO22" s="406">
        <v>1</v>
      </c>
      <c r="DP22" s="406">
        <v>0.5</v>
      </c>
      <c r="DQ22" s="406">
        <v>0.5</v>
      </c>
      <c r="DR22" s="406">
        <v>0.5</v>
      </c>
      <c r="DS22" s="406">
        <v>0.5</v>
      </c>
      <c r="DT22" s="406">
        <v>0.5</v>
      </c>
      <c r="DU22" s="406">
        <v>0.5</v>
      </c>
      <c r="DV22" s="406">
        <v>0.5</v>
      </c>
      <c r="DW22" s="406">
        <v>0.5</v>
      </c>
      <c r="DX22" s="406">
        <v>0.5</v>
      </c>
      <c r="DY22" s="180"/>
      <c r="DZ22" s="187"/>
      <c r="EA22" s="82">
        <f t="shared" ref="EA22:EA29" si="27">SUMIF(I$8:DY$8,"&lt;&gt;"&amp;AgileIteration_Warranty,I22:DY22)*5*Scenario1Utilisation</f>
        <v>454.75</v>
      </c>
      <c r="EB22" s="82">
        <f t="shared" ref="EB22" si="28">EA22*Scenario1AgileContingency</f>
        <v>90.95</v>
      </c>
      <c r="EC22" s="82">
        <f t="shared" ref="EC22:EC29" si="29">IF(Scenario1Warranty=AgileWarrantyDefault, (SUMIF(I$8:DY$8,AgileIteration_Warranty,I22:DY22)*5*Scenario1Utilisation), (EA22*Scenario1Warranty))</f>
        <v>36.125</v>
      </c>
      <c r="ED22" s="127">
        <f t="shared" ref="ED22" si="30">SUM(EA22:EC22)</f>
        <v>581.82500000000005</v>
      </c>
    </row>
    <row r="23" spans="1:134" s="74" customFormat="1" ht="11.25" x14ac:dyDescent="0.2">
      <c r="A23" s="581">
        <v>2</v>
      </c>
      <c r="B23" s="584" t="s">
        <v>593</v>
      </c>
      <c r="C23" s="457" t="str">
        <f>IFERROR(VLOOKUP(D23,MappingFromSetAgiletoTTSRole,2,FALSE),"SET Agile Resource Role")</f>
        <v>Business Consultant Sr</v>
      </c>
      <c r="D23" s="428" t="s">
        <v>615</v>
      </c>
      <c r="E23" s="433" t="s">
        <v>596</v>
      </c>
      <c r="F23" s="434" t="str">
        <f t="shared" ref="F23:F29" si="31">IFERROR(VLOOKUP(C23,MappingFromTTStoSU,2,FALSE),"SU Resource Role")</f>
        <v>DWMS</v>
      </c>
      <c r="G23" s="434"/>
      <c r="H23" s="434" t="str">
        <f>H22</f>
        <v>Project</v>
      </c>
      <c r="I23" s="406">
        <v>1</v>
      </c>
      <c r="J23" s="406">
        <v>1</v>
      </c>
      <c r="K23" s="406">
        <v>1</v>
      </c>
      <c r="L23" s="406">
        <v>1</v>
      </c>
      <c r="M23" s="406">
        <v>1</v>
      </c>
      <c r="N23" s="406">
        <v>1</v>
      </c>
      <c r="O23" s="406">
        <v>1</v>
      </c>
      <c r="P23" s="406">
        <v>1</v>
      </c>
      <c r="Q23" s="406">
        <v>1</v>
      </c>
      <c r="R23" s="406">
        <v>1</v>
      </c>
      <c r="S23" s="406">
        <v>1</v>
      </c>
      <c r="T23" s="406">
        <v>1</v>
      </c>
      <c r="U23" s="406">
        <v>1</v>
      </c>
      <c r="V23" s="406">
        <v>1</v>
      </c>
      <c r="W23" s="406">
        <v>1</v>
      </c>
      <c r="X23" s="406">
        <v>1</v>
      </c>
      <c r="Y23" s="406">
        <v>1</v>
      </c>
      <c r="Z23" s="406">
        <v>1</v>
      </c>
      <c r="AA23" s="406">
        <v>1</v>
      </c>
      <c r="AB23" s="406">
        <v>1</v>
      </c>
      <c r="AC23" s="406">
        <v>1</v>
      </c>
      <c r="AD23" s="406">
        <v>1</v>
      </c>
      <c r="AE23" s="406">
        <v>1</v>
      </c>
      <c r="AF23" s="406">
        <v>1</v>
      </c>
      <c r="AG23" s="406">
        <v>1</v>
      </c>
      <c r="AH23" s="406">
        <v>1</v>
      </c>
      <c r="AI23" s="406">
        <v>1</v>
      </c>
      <c r="AJ23" s="406">
        <v>1</v>
      </c>
      <c r="AK23" s="406">
        <v>1</v>
      </c>
      <c r="AL23" s="406">
        <v>1</v>
      </c>
      <c r="AM23" s="406">
        <v>1</v>
      </c>
      <c r="AN23" s="406">
        <v>1</v>
      </c>
      <c r="AO23" s="406">
        <v>1</v>
      </c>
      <c r="AP23" s="406">
        <v>1</v>
      </c>
      <c r="AQ23" s="406">
        <v>1</v>
      </c>
      <c r="AR23" s="406">
        <v>1</v>
      </c>
      <c r="AS23" s="406">
        <v>1</v>
      </c>
      <c r="AT23" s="406">
        <v>1</v>
      </c>
      <c r="AU23" s="406">
        <v>1</v>
      </c>
      <c r="AV23" s="406">
        <v>1</v>
      </c>
      <c r="AW23" s="406">
        <v>1</v>
      </c>
      <c r="AX23" s="406">
        <v>1</v>
      </c>
      <c r="AY23" s="406">
        <v>1</v>
      </c>
      <c r="AZ23" s="406">
        <v>1</v>
      </c>
      <c r="BA23" s="406">
        <v>1</v>
      </c>
      <c r="BB23" s="406">
        <v>1</v>
      </c>
      <c r="BC23" s="406">
        <v>1</v>
      </c>
      <c r="BD23" s="406">
        <v>1</v>
      </c>
      <c r="BE23" s="406">
        <v>1</v>
      </c>
      <c r="BF23" s="406">
        <v>1</v>
      </c>
      <c r="BG23" s="406">
        <v>1</v>
      </c>
      <c r="BH23" s="406">
        <v>1</v>
      </c>
      <c r="BI23" s="406">
        <v>1</v>
      </c>
      <c r="BJ23" s="406">
        <v>1</v>
      </c>
      <c r="BK23" s="406">
        <v>1</v>
      </c>
      <c r="BL23" s="406">
        <v>1</v>
      </c>
      <c r="BM23" s="406">
        <v>1</v>
      </c>
      <c r="BN23" s="406">
        <v>1</v>
      </c>
      <c r="BO23" s="406">
        <v>1</v>
      </c>
      <c r="BP23" s="406">
        <v>1</v>
      </c>
      <c r="BQ23" s="406">
        <v>1</v>
      </c>
      <c r="BR23" s="406">
        <v>1</v>
      </c>
      <c r="BS23" s="406">
        <v>1</v>
      </c>
      <c r="BT23" s="406">
        <v>1</v>
      </c>
      <c r="BU23" s="406">
        <v>1</v>
      </c>
      <c r="BV23" s="406">
        <v>1</v>
      </c>
      <c r="BW23" s="406">
        <v>1</v>
      </c>
      <c r="BX23" s="406">
        <v>1</v>
      </c>
      <c r="BY23" s="406">
        <v>1</v>
      </c>
      <c r="BZ23" s="406">
        <v>1</v>
      </c>
      <c r="CA23" s="406">
        <v>1</v>
      </c>
      <c r="CB23" s="406">
        <v>1</v>
      </c>
      <c r="CC23" s="406">
        <v>1</v>
      </c>
      <c r="CD23" s="406">
        <v>1</v>
      </c>
      <c r="CE23" s="406">
        <v>1</v>
      </c>
      <c r="CF23" s="406">
        <v>1</v>
      </c>
      <c r="CG23" s="406">
        <v>1</v>
      </c>
      <c r="CH23" s="406">
        <v>1</v>
      </c>
      <c r="CI23" s="406">
        <v>1</v>
      </c>
      <c r="CJ23" s="406">
        <v>1</v>
      </c>
      <c r="CK23" s="406">
        <v>1</v>
      </c>
      <c r="CL23" s="406">
        <v>1</v>
      </c>
      <c r="CM23" s="406">
        <v>1</v>
      </c>
      <c r="CN23" s="406">
        <v>1</v>
      </c>
      <c r="CO23" s="406">
        <v>1</v>
      </c>
      <c r="CP23" s="406">
        <v>1</v>
      </c>
      <c r="CQ23" s="406">
        <v>1</v>
      </c>
      <c r="CR23" s="406">
        <v>1</v>
      </c>
      <c r="CS23" s="406">
        <v>1</v>
      </c>
      <c r="CT23" s="406">
        <v>1</v>
      </c>
      <c r="CU23" s="406">
        <v>1</v>
      </c>
      <c r="CV23" s="406">
        <v>1</v>
      </c>
      <c r="CW23" s="406">
        <v>1</v>
      </c>
      <c r="CX23" s="406">
        <v>1</v>
      </c>
      <c r="CY23" s="406">
        <v>1</v>
      </c>
      <c r="CZ23" s="406">
        <v>1</v>
      </c>
      <c r="DA23" s="406">
        <v>1</v>
      </c>
      <c r="DB23" s="406">
        <v>1</v>
      </c>
      <c r="DC23" s="406">
        <v>1</v>
      </c>
      <c r="DD23" s="406">
        <v>1</v>
      </c>
      <c r="DE23" s="406">
        <v>1</v>
      </c>
      <c r="DF23" s="406">
        <v>1</v>
      </c>
      <c r="DG23" s="406">
        <v>1</v>
      </c>
      <c r="DH23" s="406">
        <v>1</v>
      </c>
      <c r="DI23" s="406">
        <v>1</v>
      </c>
      <c r="DJ23" s="406">
        <v>1</v>
      </c>
      <c r="DK23" s="406">
        <v>1</v>
      </c>
      <c r="DL23" s="406"/>
      <c r="DM23" s="406"/>
      <c r="DN23" s="406"/>
      <c r="DO23" s="406"/>
      <c r="DP23" s="406"/>
      <c r="DQ23" s="406"/>
      <c r="DR23" s="406"/>
      <c r="DS23" s="406"/>
      <c r="DT23" s="406"/>
      <c r="DU23" s="406"/>
      <c r="DV23" s="406"/>
      <c r="DW23" s="406"/>
      <c r="DX23" s="406"/>
      <c r="DY23" s="583"/>
      <c r="DZ23" s="187"/>
      <c r="EA23" s="82">
        <f t="shared" si="27"/>
        <v>454.75</v>
      </c>
      <c r="EB23" s="82">
        <f t="shared" ref="EB23" si="32">EA23*Scenario1AgileContingency</f>
        <v>90.95</v>
      </c>
      <c r="EC23" s="82">
        <f t="shared" si="29"/>
        <v>0</v>
      </c>
      <c r="ED23" s="127">
        <f t="shared" ref="ED23" si="33">SUM(EA23:EC23)</f>
        <v>545.70000000000005</v>
      </c>
    </row>
    <row r="24" spans="1:134" s="74" customFormat="1" ht="11.25" x14ac:dyDescent="0.2">
      <c r="A24" s="210">
        <v>2</v>
      </c>
      <c r="B24" s="211" t="s">
        <v>593</v>
      </c>
      <c r="C24" s="457" t="str">
        <f>IFERROR(VLOOKUP(D24,MappingFromSetAgiletoTTSRole,2,FALSE),"SET Agile Resource Role")</f>
        <v>Project Manager</v>
      </c>
      <c r="D24" s="428" t="s">
        <v>616</v>
      </c>
      <c r="E24" s="433" t="s">
        <v>600</v>
      </c>
      <c r="F24" s="434" t="str">
        <f t="shared" si="31"/>
        <v>DWMS</v>
      </c>
      <c r="G24" s="434" t="s">
        <v>617</v>
      </c>
      <c r="H24" s="434" t="str">
        <f>H23</f>
        <v>Project</v>
      </c>
      <c r="I24" s="406">
        <v>0.5</v>
      </c>
      <c r="J24" s="406">
        <v>0.5</v>
      </c>
      <c r="K24" s="406">
        <v>0.5</v>
      </c>
      <c r="L24" s="406">
        <v>0.5</v>
      </c>
      <c r="M24" s="406">
        <v>0.5</v>
      </c>
      <c r="N24" s="406">
        <v>0.5</v>
      </c>
      <c r="O24" s="406">
        <v>0.5</v>
      </c>
      <c r="P24" s="406">
        <v>0.5</v>
      </c>
      <c r="Q24" s="406">
        <v>0.5</v>
      </c>
      <c r="R24" s="406">
        <v>0.5</v>
      </c>
      <c r="S24" s="406">
        <v>0.5</v>
      </c>
      <c r="T24" s="406">
        <v>0.5</v>
      </c>
      <c r="U24" s="406">
        <v>0.5</v>
      </c>
      <c r="V24" s="406">
        <v>0.5</v>
      </c>
      <c r="W24" s="406">
        <v>0.5</v>
      </c>
      <c r="X24" s="406">
        <v>0.5</v>
      </c>
      <c r="Y24" s="406">
        <v>0.5</v>
      </c>
      <c r="Z24" s="406">
        <v>0.5</v>
      </c>
      <c r="AA24" s="406">
        <v>0.5</v>
      </c>
      <c r="AB24" s="406">
        <v>0.5</v>
      </c>
      <c r="AC24" s="406">
        <v>0.5</v>
      </c>
      <c r="AD24" s="406">
        <v>0.5</v>
      </c>
      <c r="AE24" s="406">
        <v>0.5</v>
      </c>
      <c r="AF24" s="406">
        <v>0.5</v>
      </c>
      <c r="AG24" s="406">
        <v>0.5</v>
      </c>
      <c r="AH24" s="406">
        <v>0.5</v>
      </c>
      <c r="AI24" s="406">
        <v>0.5</v>
      </c>
      <c r="AJ24" s="406">
        <v>0.5</v>
      </c>
      <c r="AK24" s="406">
        <v>0.5</v>
      </c>
      <c r="AL24" s="406">
        <v>0.5</v>
      </c>
      <c r="AM24" s="406">
        <v>0.5</v>
      </c>
      <c r="AN24" s="406">
        <v>0.5</v>
      </c>
      <c r="AO24" s="406">
        <v>0.5</v>
      </c>
      <c r="AP24" s="406">
        <v>0.5</v>
      </c>
      <c r="AQ24" s="406">
        <v>0.5</v>
      </c>
      <c r="AR24" s="406">
        <v>0.5</v>
      </c>
      <c r="AS24" s="406">
        <v>0.5</v>
      </c>
      <c r="AT24" s="406">
        <v>0.5</v>
      </c>
      <c r="AU24" s="406">
        <v>0.5</v>
      </c>
      <c r="AV24" s="406">
        <v>0.5</v>
      </c>
      <c r="AW24" s="406">
        <v>0.5</v>
      </c>
      <c r="AX24" s="406">
        <v>0.5</v>
      </c>
      <c r="AY24" s="406">
        <v>0.5</v>
      </c>
      <c r="AZ24" s="406">
        <v>0.5</v>
      </c>
      <c r="BA24" s="406">
        <v>0.5</v>
      </c>
      <c r="BB24" s="406">
        <v>0.5</v>
      </c>
      <c r="BC24" s="406">
        <v>0.5</v>
      </c>
      <c r="BD24" s="406">
        <v>0.5</v>
      </c>
      <c r="BE24" s="406">
        <v>0.5</v>
      </c>
      <c r="BF24" s="406">
        <v>0.5</v>
      </c>
      <c r="BG24" s="406">
        <v>0.5</v>
      </c>
      <c r="BH24" s="406">
        <v>0.5</v>
      </c>
      <c r="BI24" s="406">
        <v>0.5</v>
      </c>
      <c r="BJ24" s="406">
        <v>0.5</v>
      </c>
      <c r="BK24" s="406">
        <v>0.5</v>
      </c>
      <c r="BL24" s="406">
        <v>0.5</v>
      </c>
      <c r="BM24" s="406">
        <v>0.5</v>
      </c>
      <c r="BN24" s="406">
        <v>0.5</v>
      </c>
      <c r="BO24" s="406">
        <v>0.5</v>
      </c>
      <c r="BP24" s="406">
        <v>0.5</v>
      </c>
      <c r="BQ24" s="406">
        <v>0.5</v>
      </c>
      <c r="BR24" s="406">
        <v>0.5</v>
      </c>
      <c r="BS24" s="406">
        <v>0.5</v>
      </c>
      <c r="BT24" s="406">
        <v>0.5</v>
      </c>
      <c r="BU24" s="406">
        <v>0.5</v>
      </c>
      <c r="BV24" s="406">
        <v>0.5</v>
      </c>
      <c r="BW24" s="406">
        <v>0.5</v>
      </c>
      <c r="BX24" s="406">
        <v>0.5</v>
      </c>
      <c r="BY24" s="406">
        <v>0.5</v>
      </c>
      <c r="BZ24" s="406">
        <v>0.5</v>
      </c>
      <c r="CA24" s="406">
        <v>0.5</v>
      </c>
      <c r="CB24" s="406">
        <v>0.5</v>
      </c>
      <c r="CC24" s="406">
        <v>0.5</v>
      </c>
      <c r="CD24" s="406">
        <v>0.5</v>
      </c>
      <c r="CE24" s="406">
        <v>0.5</v>
      </c>
      <c r="CF24" s="406">
        <v>0.5</v>
      </c>
      <c r="CG24" s="406">
        <v>0.5</v>
      </c>
      <c r="CH24" s="406">
        <v>0.5</v>
      </c>
      <c r="CI24" s="406">
        <v>0.5</v>
      </c>
      <c r="CJ24" s="406">
        <v>0.5</v>
      </c>
      <c r="CK24" s="406">
        <v>0.5</v>
      </c>
      <c r="CL24" s="406">
        <v>0.5</v>
      </c>
      <c r="CM24" s="406">
        <v>0.5</v>
      </c>
      <c r="CN24" s="406">
        <v>0.5</v>
      </c>
      <c r="CO24" s="406">
        <v>0.5</v>
      </c>
      <c r="CP24" s="406">
        <v>0.5</v>
      </c>
      <c r="CQ24" s="406">
        <v>0.5</v>
      </c>
      <c r="CR24" s="406">
        <v>0.5</v>
      </c>
      <c r="CS24" s="406">
        <v>0.5</v>
      </c>
      <c r="CT24" s="406">
        <v>0.5</v>
      </c>
      <c r="CU24" s="406">
        <v>0.5</v>
      </c>
      <c r="CV24" s="406">
        <v>0.5</v>
      </c>
      <c r="CW24" s="406">
        <v>0.5</v>
      </c>
      <c r="CX24" s="406">
        <v>0.5</v>
      </c>
      <c r="CY24" s="406">
        <v>0.5</v>
      </c>
      <c r="CZ24" s="406">
        <v>0.5</v>
      </c>
      <c r="DA24" s="406">
        <v>0.5</v>
      </c>
      <c r="DB24" s="406">
        <v>0.5</v>
      </c>
      <c r="DC24" s="406">
        <v>0.5</v>
      </c>
      <c r="DD24" s="406">
        <v>0.5</v>
      </c>
      <c r="DE24" s="406">
        <v>0.5</v>
      </c>
      <c r="DF24" s="406">
        <v>0.5</v>
      </c>
      <c r="DG24" s="406">
        <v>0.5</v>
      </c>
      <c r="DH24" s="406">
        <v>0.5</v>
      </c>
      <c r="DI24" s="406">
        <v>0.5</v>
      </c>
      <c r="DJ24" s="406">
        <v>0.5</v>
      </c>
      <c r="DK24" s="406">
        <v>0.5</v>
      </c>
      <c r="DL24" s="406"/>
      <c r="DM24" s="406"/>
      <c r="DN24" s="406"/>
      <c r="DO24" s="406"/>
      <c r="DP24" s="406"/>
      <c r="DQ24" s="406"/>
      <c r="DR24" s="406"/>
      <c r="DS24" s="406"/>
      <c r="DT24" s="406"/>
      <c r="DU24" s="406"/>
      <c r="DV24" s="406"/>
      <c r="DW24" s="406"/>
      <c r="DX24" s="406"/>
      <c r="DY24" s="180"/>
      <c r="DZ24" s="187"/>
      <c r="EA24" s="82">
        <f t="shared" si="27"/>
        <v>227.375</v>
      </c>
      <c r="EB24" s="82">
        <f t="shared" ref="EB24" si="34">EA24*Scenario1AgileContingency</f>
        <v>45.475000000000001</v>
      </c>
      <c r="EC24" s="82">
        <f t="shared" si="29"/>
        <v>0</v>
      </c>
      <c r="ED24" s="127">
        <f t="shared" ref="ED24" si="35">SUM(EA24:EC24)</f>
        <v>272.85000000000002</v>
      </c>
    </row>
    <row r="25" spans="1:134" s="74" customFormat="1" ht="11.25" x14ac:dyDescent="0.2">
      <c r="A25" s="210">
        <v>2</v>
      </c>
      <c r="B25" s="211" t="s">
        <v>593</v>
      </c>
      <c r="C25" s="457" t="s">
        <v>618</v>
      </c>
      <c r="D25" s="428" t="s">
        <v>619</v>
      </c>
      <c r="E25" s="433" t="s">
        <v>600</v>
      </c>
      <c r="F25" s="434" t="str">
        <f t="shared" si="31"/>
        <v>DWMS</v>
      </c>
      <c r="G25" s="434"/>
      <c r="H25" s="434" t="str">
        <f>H24</f>
        <v>Project</v>
      </c>
      <c r="I25" s="406"/>
      <c r="J25" s="406"/>
      <c r="K25" s="406"/>
      <c r="L25" s="406"/>
      <c r="M25" s="406"/>
      <c r="N25" s="406"/>
      <c r="O25" s="406"/>
      <c r="P25" s="406"/>
      <c r="Q25" s="406"/>
      <c r="R25" s="406"/>
      <c r="S25" s="406"/>
      <c r="T25" s="406">
        <v>1</v>
      </c>
      <c r="U25" s="406">
        <v>1</v>
      </c>
      <c r="V25" s="406">
        <v>1</v>
      </c>
      <c r="W25" s="406">
        <v>1</v>
      </c>
      <c r="X25" s="406">
        <v>1</v>
      </c>
      <c r="Y25" s="406">
        <v>1</v>
      </c>
      <c r="Z25" s="406">
        <v>1</v>
      </c>
      <c r="AA25" s="406">
        <v>1</v>
      </c>
      <c r="AB25" s="406">
        <v>1</v>
      </c>
      <c r="AC25" s="406">
        <v>1</v>
      </c>
      <c r="AD25" s="406">
        <v>1</v>
      </c>
      <c r="AE25" s="406">
        <v>1</v>
      </c>
      <c r="AF25" s="406">
        <v>1</v>
      </c>
      <c r="AG25" s="406">
        <v>1</v>
      </c>
      <c r="AH25" s="406">
        <v>1</v>
      </c>
      <c r="AI25" s="406">
        <v>1</v>
      </c>
      <c r="AJ25" s="406">
        <v>1</v>
      </c>
      <c r="AK25" s="406">
        <v>1</v>
      </c>
      <c r="AL25" s="406">
        <v>1</v>
      </c>
      <c r="AM25" s="406">
        <v>1</v>
      </c>
      <c r="AN25" s="406">
        <v>1</v>
      </c>
      <c r="AO25" s="406">
        <v>1</v>
      </c>
      <c r="AP25" s="406">
        <v>1</v>
      </c>
      <c r="AQ25" s="406">
        <v>1</v>
      </c>
      <c r="AR25" s="406">
        <v>1</v>
      </c>
      <c r="AS25" s="406">
        <v>1</v>
      </c>
      <c r="AT25" s="406">
        <v>1</v>
      </c>
      <c r="AU25" s="406">
        <v>1</v>
      </c>
      <c r="AV25" s="406">
        <v>1</v>
      </c>
      <c r="AW25" s="406">
        <v>1</v>
      </c>
      <c r="AX25" s="406">
        <v>1</v>
      </c>
      <c r="AY25" s="406">
        <v>1</v>
      </c>
      <c r="AZ25" s="406">
        <v>1</v>
      </c>
      <c r="BA25" s="406">
        <v>1</v>
      </c>
      <c r="BB25" s="406">
        <v>1</v>
      </c>
      <c r="BC25" s="406">
        <v>1</v>
      </c>
      <c r="BD25" s="406">
        <v>1</v>
      </c>
      <c r="BE25" s="406">
        <v>1</v>
      </c>
      <c r="BF25" s="406">
        <v>1</v>
      </c>
      <c r="BG25" s="406">
        <v>1</v>
      </c>
      <c r="BH25" s="406">
        <v>1</v>
      </c>
      <c r="BI25" s="406">
        <v>1</v>
      </c>
      <c r="BJ25" s="406">
        <v>1</v>
      </c>
      <c r="BK25" s="406">
        <v>1</v>
      </c>
      <c r="BL25" s="406">
        <v>1</v>
      </c>
      <c r="BM25" s="406">
        <v>1</v>
      </c>
      <c r="BN25" s="406">
        <v>1</v>
      </c>
      <c r="BO25" s="406">
        <v>1</v>
      </c>
      <c r="BP25" s="406">
        <v>1</v>
      </c>
      <c r="BQ25" s="406">
        <v>1</v>
      </c>
      <c r="BR25" s="406">
        <v>1</v>
      </c>
      <c r="BS25" s="406">
        <v>1</v>
      </c>
      <c r="BT25" s="406">
        <v>1</v>
      </c>
      <c r="BU25" s="406">
        <v>1</v>
      </c>
      <c r="BV25" s="406">
        <v>1</v>
      </c>
      <c r="BW25" s="406">
        <v>1</v>
      </c>
      <c r="BX25" s="406">
        <v>1</v>
      </c>
      <c r="BY25" s="406">
        <v>1</v>
      </c>
      <c r="BZ25" s="406">
        <v>1</v>
      </c>
      <c r="CA25" s="406">
        <v>1</v>
      </c>
      <c r="CB25" s="406">
        <v>1</v>
      </c>
      <c r="CC25" s="406">
        <v>1</v>
      </c>
      <c r="CD25" s="406">
        <v>1</v>
      </c>
      <c r="CE25" s="406">
        <v>1</v>
      </c>
      <c r="CF25" s="406">
        <v>1</v>
      </c>
      <c r="CG25" s="406">
        <v>1</v>
      </c>
      <c r="CH25" s="406">
        <v>1</v>
      </c>
      <c r="CI25" s="406">
        <v>1</v>
      </c>
      <c r="CJ25" s="406">
        <v>1</v>
      </c>
      <c r="CK25" s="406">
        <v>1</v>
      </c>
      <c r="CL25" s="406">
        <v>1</v>
      </c>
      <c r="CM25" s="406">
        <v>1</v>
      </c>
      <c r="CN25" s="406">
        <v>1</v>
      </c>
      <c r="CO25" s="406">
        <v>1</v>
      </c>
      <c r="CP25" s="406">
        <v>1</v>
      </c>
      <c r="CQ25" s="406">
        <v>1</v>
      </c>
      <c r="CR25" s="406">
        <v>1</v>
      </c>
      <c r="CS25" s="406">
        <v>1</v>
      </c>
      <c r="CT25" s="406">
        <v>1</v>
      </c>
      <c r="CU25" s="406">
        <v>1</v>
      </c>
      <c r="CV25" s="406">
        <v>1</v>
      </c>
      <c r="CW25" s="406">
        <v>1</v>
      </c>
      <c r="CX25" s="406">
        <v>1</v>
      </c>
      <c r="CY25" s="406">
        <v>1</v>
      </c>
      <c r="CZ25" s="406">
        <v>1</v>
      </c>
      <c r="DA25" s="406">
        <v>1</v>
      </c>
      <c r="DB25" s="406">
        <v>1</v>
      </c>
      <c r="DC25" s="406">
        <v>1</v>
      </c>
      <c r="DD25" s="406">
        <v>1</v>
      </c>
      <c r="DE25" s="406">
        <v>1</v>
      </c>
      <c r="DF25" s="406">
        <v>1</v>
      </c>
      <c r="DG25" s="406">
        <v>1</v>
      </c>
      <c r="DH25" s="406">
        <v>1</v>
      </c>
      <c r="DI25" s="406">
        <v>1</v>
      </c>
      <c r="DJ25" s="406">
        <v>1</v>
      </c>
      <c r="DK25" s="406">
        <v>1</v>
      </c>
      <c r="DL25" s="406"/>
      <c r="DM25" s="406"/>
      <c r="DN25" s="406"/>
      <c r="DO25" s="406"/>
      <c r="DP25" s="406"/>
      <c r="DQ25" s="406"/>
      <c r="DR25" s="406"/>
      <c r="DS25" s="406"/>
      <c r="DT25" s="406"/>
      <c r="DU25" s="406"/>
      <c r="DV25" s="406"/>
      <c r="DW25" s="406"/>
      <c r="DX25" s="406"/>
      <c r="DY25" s="180"/>
      <c r="DZ25" s="187"/>
      <c r="EA25" s="82">
        <f t="shared" si="27"/>
        <v>408</v>
      </c>
      <c r="EB25" s="82">
        <f t="shared" ref="EB25" si="36">EA25*Scenario1AgileContingency</f>
        <v>81.600000000000009</v>
      </c>
      <c r="EC25" s="82">
        <f t="shared" si="29"/>
        <v>0</v>
      </c>
      <c r="ED25" s="127">
        <f t="shared" ref="ED25" si="37">SUM(EA25:EC25)</f>
        <v>489.6</v>
      </c>
    </row>
    <row r="26" spans="1:134" s="74" customFormat="1" ht="11.25" x14ac:dyDescent="0.2">
      <c r="A26" s="210">
        <v>2</v>
      </c>
      <c r="B26" s="211" t="s">
        <v>593</v>
      </c>
      <c r="C26" s="457" t="s">
        <v>618</v>
      </c>
      <c r="D26" s="428" t="s">
        <v>620</v>
      </c>
      <c r="E26" s="433" t="s">
        <v>600</v>
      </c>
      <c r="F26" s="434" t="str">
        <f t="shared" si="31"/>
        <v>DWMS</v>
      </c>
      <c r="G26" s="434" t="s">
        <v>621</v>
      </c>
      <c r="H26" s="434" t="str">
        <f>H25</f>
        <v>Project</v>
      </c>
      <c r="I26" s="406"/>
      <c r="J26" s="406"/>
      <c r="K26" s="406"/>
      <c r="L26" s="406">
        <v>0.25</v>
      </c>
      <c r="M26" s="406">
        <v>0.25</v>
      </c>
      <c r="N26" s="406">
        <v>0.25</v>
      </c>
      <c r="O26" s="406">
        <v>0.25</v>
      </c>
      <c r="P26" s="406">
        <v>0.25</v>
      </c>
      <c r="Q26" s="406">
        <v>0.5</v>
      </c>
      <c r="R26" s="406">
        <v>0.5</v>
      </c>
      <c r="S26" s="406">
        <v>0.5</v>
      </c>
      <c r="T26" s="406">
        <v>0.5</v>
      </c>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c r="BJ26" s="406"/>
      <c r="BK26" s="406"/>
      <c r="BL26" s="406"/>
      <c r="BM26" s="406"/>
      <c r="BN26" s="406"/>
      <c r="BO26" s="406"/>
      <c r="BP26" s="406"/>
      <c r="BQ26" s="406"/>
      <c r="BR26" s="406"/>
      <c r="BS26" s="406"/>
      <c r="BT26" s="406"/>
      <c r="BU26" s="406"/>
      <c r="BV26" s="406"/>
      <c r="BW26" s="406"/>
      <c r="BX26" s="406"/>
      <c r="BY26" s="406"/>
      <c r="BZ26" s="406"/>
      <c r="CA26" s="406"/>
      <c r="CB26" s="406"/>
      <c r="CC26" s="406"/>
      <c r="CD26" s="406"/>
      <c r="CE26" s="406"/>
      <c r="CF26" s="406"/>
      <c r="CG26" s="406"/>
      <c r="CH26" s="406"/>
      <c r="CI26" s="406"/>
      <c r="CJ26" s="406"/>
      <c r="CK26" s="406"/>
      <c r="CL26" s="406"/>
      <c r="CM26" s="406"/>
      <c r="CN26" s="406"/>
      <c r="CO26" s="406"/>
      <c r="CP26" s="406"/>
      <c r="CQ26" s="406"/>
      <c r="CR26" s="406"/>
      <c r="CS26" s="406"/>
      <c r="CT26" s="406"/>
      <c r="CU26" s="406"/>
      <c r="CV26" s="406"/>
      <c r="CW26" s="406"/>
      <c r="CX26" s="406"/>
      <c r="CY26" s="406"/>
      <c r="CZ26" s="406"/>
      <c r="DA26" s="406"/>
      <c r="DB26" s="406"/>
      <c r="DC26" s="406"/>
      <c r="DD26" s="406"/>
      <c r="DE26" s="406"/>
      <c r="DF26" s="406"/>
      <c r="DG26" s="406"/>
      <c r="DH26" s="406"/>
      <c r="DI26" s="406"/>
      <c r="DJ26" s="406"/>
      <c r="DK26" s="406"/>
      <c r="DL26" s="406"/>
      <c r="DM26" s="406"/>
      <c r="DN26" s="406"/>
      <c r="DO26" s="406"/>
      <c r="DP26" s="406"/>
      <c r="DQ26" s="406"/>
      <c r="DR26" s="406"/>
      <c r="DS26" s="406"/>
      <c r="DT26" s="406"/>
      <c r="DU26" s="406"/>
      <c r="DV26" s="406"/>
      <c r="DW26" s="406"/>
      <c r="DX26" s="406"/>
      <c r="DY26" s="180"/>
      <c r="DZ26" s="187"/>
      <c r="EA26" s="82">
        <f t="shared" si="27"/>
        <v>13.8125</v>
      </c>
      <c r="EB26" s="82">
        <f t="shared" ref="EB26" si="38">EA26*Scenario1AgileContingency</f>
        <v>2.7625000000000002</v>
      </c>
      <c r="EC26" s="82">
        <f t="shared" si="29"/>
        <v>0</v>
      </c>
      <c r="ED26" s="127">
        <f t="shared" ref="ED26" si="39">SUM(EA26:EC26)</f>
        <v>16.574999999999999</v>
      </c>
    </row>
    <row r="27" spans="1:134" s="74" customFormat="1" ht="11.25" x14ac:dyDescent="0.2">
      <c r="A27" s="581">
        <v>2</v>
      </c>
      <c r="B27" s="584" t="s">
        <v>593</v>
      </c>
      <c r="C27" s="457" t="str">
        <f>IFERROR(VLOOKUP(D27,MappingFromSetAgiletoTTSRole,2,FALSE),"SET Agile Resource Role")</f>
        <v>Project Manager</v>
      </c>
      <c r="D27" s="428" t="s">
        <v>622</v>
      </c>
      <c r="E27" s="433" t="s">
        <v>600</v>
      </c>
      <c r="F27" s="434" t="str">
        <f t="shared" si="31"/>
        <v>DWMS</v>
      </c>
      <c r="G27" s="434" t="s">
        <v>623</v>
      </c>
      <c r="H27" s="434" t="str">
        <f>H24</f>
        <v>Project</v>
      </c>
      <c r="I27" s="406"/>
      <c r="J27" s="406"/>
      <c r="K27" s="406"/>
      <c r="L27" s="406"/>
      <c r="M27" s="406"/>
      <c r="N27" s="406"/>
      <c r="O27" s="406"/>
      <c r="P27" s="406"/>
      <c r="Q27" s="406"/>
      <c r="R27" s="406"/>
      <c r="S27" s="406"/>
      <c r="T27" s="406">
        <v>1</v>
      </c>
      <c r="U27" s="406">
        <v>1</v>
      </c>
      <c r="V27" s="406">
        <v>1</v>
      </c>
      <c r="W27" s="406">
        <v>1</v>
      </c>
      <c r="X27" s="406">
        <v>1</v>
      </c>
      <c r="Y27" s="406">
        <v>1</v>
      </c>
      <c r="Z27" s="406">
        <v>1</v>
      </c>
      <c r="AA27" s="406">
        <v>1</v>
      </c>
      <c r="AB27" s="406">
        <v>1</v>
      </c>
      <c r="AC27" s="406">
        <v>1</v>
      </c>
      <c r="AD27" s="406">
        <v>1</v>
      </c>
      <c r="AE27" s="406">
        <v>1</v>
      </c>
      <c r="AF27" s="406">
        <v>1</v>
      </c>
      <c r="AG27" s="406">
        <v>1</v>
      </c>
      <c r="AH27" s="406">
        <v>1</v>
      </c>
      <c r="AI27" s="406">
        <v>1</v>
      </c>
      <c r="AJ27" s="406">
        <v>1</v>
      </c>
      <c r="AK27" s="406">
        <v>1</v>
      </c>
      <c r="AL27" s="406">
        <v>1</v>
      </c>
      <c r="AM27" s="406">
        <v>1</v>
      </c>
      <c r="AN27" s="406">
        <v>1</v>
      </c>
      <c r="AO27" s="406">
        <v>1</v>
      </c>
      <c r="AP27" s="406">
        <v>1</v>
      </c>
      <c r="AQ27" s="406">
        <v>1</v>
      </c>
      <c r="AR27" s="406">
        <v>1</v>
      </c>
      <c r="AS27" s="406">
        <v>1</v>
      </c>
      <c r="AT27" s="406">
        <v>1</v>
      </c>
      <c r="AU27" s="406">
        <v>1</v>
      </c>
      <c r="AV27" s="406">
        <v>1</v>
      </c>
      <c r="AW27" s="406">
        <v>1</v>
      </c>
      <c r="AX27" s="406">
        <v>1</v>
      </c>
      <c r="AY27" s="406">
        <v>1</v>
      </c>
      <c r="AZ27" s="406">
        <v>1</v>
      </c>
      <c r="BA27" s="406">
        <v>1</v>
      </c>
      <c r="BB27" s="406">
        <v>1</v>
      </c>
      <c r="BC27" s="406">
        <v>1</v>
      </c>
      <c r="BD27" s="406">
        <v>1</v>
      </c>
      <c r="BE27" s="406">
        <v>1</v>
      </c>
      <c r="BF27" s="406">
        <v>1</v>
      </c>
      <c r="BG27" s="406">
        <v>1</v>
      </c>
      <c r="BH27" s="406">
        <v>1</v>
      </c>
      <c r="BI27" s="406">
        <v>1</v>
      </c>
      <c r="BJ27" s="406">
        <v>1</v>
      </c>
      <c r="BK27" s="406">
        <v>1</v>
      </c>
      <c r="BL27" s="406">
        <v>1</v>
      </c>
      <c r="BM27" s="406">
        <v>1</v>
      </c>
      <c r="BN27" s="406">
        <v>1</v>
      </c>
      <c r="BO27" s="406">
        <v>1</v>
      </c>
      <c r="BP27" s="406">
        <v>1</v>
      </c>
      <c r="BQ27" s="406">
        <v>1</v>
      </c>
      <c r="BR27" s="406">
        <v>1</v>
      </c>
      <c r="BS27" s="406">
        <v>1</v>
      </c>
      <c r="BT27" s="406">
        <v>1</v>
      </c>
      <c r="BU27" s="406">
        <v>1</v>
      </c>
      <c r="BV27" s="406">
        <v>1</v>
      </c>
      <c r="BW27" s="406">
        <v>1</v>
      </c>
      <c r="BX27" s="406">
        <v>1</v>
      </c>
      <c r="BY27" s="406">
        <v>1</v>
      </c>
      <c r="BZ27" s="406">
        <v>1</v>
      </c>
      <c r="CA27" s="406">
        <v>1</v>
      </c>
      <c r="CB27" s="406">
        <v>1</v>
      </c>
      <c r="CC27" s="406">
        <v>1</v>
      </c>
      <c r="CD27" s="406">
        <v>1</v>
      </c>
      <c r="CE27" s="406">
        <v>1</v>
      </c>
      <c r="CF27" s="406">
        <v>1</v>
      </c>
      <c r="CG27" s="406">
        <v>1</v>
      </c>
      <c r="CH27" s="406">
        <v>1</v>
      </c>
      <c r="CI27" s="406">
        <v>1</v>
      </c>
      <c r="CJ27" s="406">
        <v>1</v>
      </c>
      <c r="CK27" s="406">
        <v>1</v>
      </c>
      <c r="CL27" s="406">
        <v>1</v>
      </c>
      <c r="CM27" s="406">
        <v>1</v>
      </c>
      <c r="CN27" s="406">
        <v>1</v>
      </c>
      <c r="CO27" s="406">
        <v>1</v>
      </c>
      <c r="CP27" s="406">
        <v>1</v>
      </c>
      <c r="CQ27" s="406">
        <v>1</v>
      </c>
      <c r="CR27" s="406">
        <v>1</v>
      </c>
      <c r="CS27" s="406">
        <v>1</v>
      </c>
      <c r="CT27" s="406">
        <v>1</v>
      </c>
      <c r="CU27" s="406">
        <v>1</v>
      </c>
      <c r="CV27" s="406">
        <v>1</v>
      </c>
      <c r="CW27" s="406">
        <v>1</v>
      </c>
      <c r="CX27" s="406">
        <v>1</v>
      </c>
      <c r="CY27" s="406">
        <v>1</v>
      </c>
      <c r="CZ27" s="406">
        <v>1</v>
      </c>
      <c r="DA27" s="406">
        <v>1</v>
      </c>
      <c r="DB27" s="406">
        <v>1</v>
      </c>
      <c r="DC27" s="406">
        <v>1</v>
      </c>
      <c r="DD27" s="406">
        <v>1</v>
      </c>
      <c r="DE27" s="406">
        <v>1</v>
      </c>
      <c r="DF27" s="406">
        <v>1</v>
      </c>
      <c r="DG27" s="406">
        <v>1</v>
      </c>
      <c r="DH27" s="406">
        <v>1</v>
      </c>
      <c r="DI27" s="406">
        <v>1</v>
      </c>
      <c r="DJ27" s="406">
        <v>1</v>
      </c>
      <c r="DK27" s="406">
        <v>1</v>
      </c>
      <c r="DL27" s="406">
        <v>0.5</v>
      </c>
      <c r="DM27" s="406">
        <v>0.5</v>
      </c>
      <c r="DN27" s="406">
        <v>0.5</v>
      </c>
      <c r="DO27" s="406">
        <v>0.5</v>
      </c>
      <c r="DP27" s="406">
        <v>0.5</v>
      </c>
      <c r="DQ27" s="406">
        <v>0.5</v>
      </c>
      <c r="DR27" s="406">
        <v>0.5</v>
      </c>
      <c r="DS27" s="406">
        <v>0.5</v>
      </c>
      <c r="DT27" s="406">
        <v>0.5</v>
      </c>
      <c r="DU27" s="406">
        <v>0.5</v>
      </c>
      <c r="DV27" s="406">
        <v>0.5</v>
      </c>
      <c r="DW27" s="406">
        <v>0.5</v>
      </c>
      <c r="DX27" s="406">
        <v>0.5</v>
      </c>
      <c r="DY27" s="583"/>
      <c r="DZ27" s="187"/>
      <c r="EA27" s="82">
        <f t="shared" si="27"/>
        <v>408</v>
      </c>
      <c r="EB27" s="82">
        <f t="shared" ref="EB27" si="40">EA27*Scenario1AgileContingency</f>
        <v>81.600000000000009</v>
      </c>
      <c r="EC27" s="82">
        <f t="shared" si="29"/>
        <v>27.625</v>
      </c>
      <c r="ED27" s="127">
        <f t="shared" ref="ED27" si="41">SUM(EA27:EC27)</f>
        <v>517.22500000000002</v>
      </c>
    </row>
    <row r="28" spans="1:134" s="74" customFormat="1" ht="11.25" x14ac:dyDescent="0.2">
      <c r="A28" s="581">
        <v>2</v>
      </c>
      <c r="B28" s="584" t="s">
        <v>593</v>
      </c>
      <c r="C28" s="457" t="s">
        <v>618</v>
      </c>
      <c r="D28" s="428" t="s">
        <v>599</v>
      </c>
      <c r="E28" s="433" t="s">
        <v>600</v>
      </c>
      <c r="F28" s="434" t="str">
        <f t="shared" si="31"/>
        <v>DWMS</v>
      </c>
      <c r="G28" s="434" t="s">
        <v>624</v>
      </c>
      <c r="H28" s="434" t="str">
        <f>H27</f>
        <v>Project</v>
      </c>
      <c r="I28" s="406"/>
      <c r="J28" s="406"/>
      <c r="K28" s="406"/>
      <c r="L28" s="406"/>
      <c r="M28" s="406"/>
      <c r="N28" s="406"/>
      <c r="O28" s="406"/>
      <c r="P28" s="406"/>
      <c r="Q28" s="406"/>
      <c r="R28" s="406"/>
      <c r="S28" s="406"/>
      <c r="T28" s="406">
        <v>0.05</v>
      </c>
      <c r="U28" s="406">
        <v>0.05</v>
      </c>
      <c r="V28" s="406">
        <v>0.05</v>
      </c>
      <c r="W28" s="406">
        <v>0.05</v>
      </c>
      <c r="X28" s="406">
        <v>0.05</v>
      </c>
      <c r="Y28" s="406">
        <v>0.05</v>
      </c>
      <c r="Z28" s="406">
        <v>0.05</v>
      </c>
      <c r="AA28" s="406">
        <v>0.05</v>
      </c>
      <c r="AB28" s="406">
        <v>0.05</v>
      </c>
      <c r="AC28" s="406">
        <v>0.05</v>
      </c>
      <c r="AD28" s="406">
        <v>0.05</v>
      </c>
      <c r="AE28" s="406">
        <v>0.05</v>
      </c>
      <c r="AF28" s="406">
        <v>0.05</v>
      </c>
      <c r="AG28" s="406">
        <v>0.05</v>
      </c>
      <c r="AH28" s="406">
        <v>0.05</v>
      </c>
      <c r="AI28" s="406">
        <v>0.05</v>
      </c>
      <c r="AJ28" s="406">
        <v>0.05</v>
      </c>
      <c r="AK28" s="406">
        <v>0.05</v>
      </c>
      <c r="AL28" s="406">
        <v>0.05</v>
      </c>
      <c r="AM28" s="406">
        <v>0.05</v>
      </c>
      <c r="AN28" s="406">
        <v>0.05</v>
      </c>
      <c r="AO28" s="406"/>
      <c r="AP28" s="406"/>
      <c r="AQ28" s="406"/>
      <c r="AR28" s="406"/>
      <c r="AS28" s="406"/>
      <c r="AT28" s="406"/>
      <c r="AU28" s="406"/>
      <c r="AV28" s="406"/>
      <c r="AW28" s="406"/>
      <c r="AX28" s="406"/>
      <c r="AY28" s="406"/>
      <c r="AZ28" s="406"/>
      <c r="BA28" s="406"/>
      <c r="BB28" s="406"/>
      <c r="BC28" s="406"/>
      <c r="BD28" s="406"/>
      <c r="BE28" s="406"/>
      <c r="BF28" s="406"/>
      <c r="BG28" s="406"/>
      <c r="BH28" s="406"/>
      <c r="BI28" s="406"/>
      <c r="BJ28" s="406"/>
      <c r="BK28" s="406"/>
      <c r="BL28" s="406"/>
      <c r="BM28" s="406">
        <v>0.05</v>
      </c>
      <c r="BN28" s="406">
        <v>0.05</v>
      </c>
      <c r="BO28" s="406">
        <v>0.05</v>
      </c>
      <c r="BP28" s="406">
        <v>0.05</v>
      </c>
      <c r="BQ28" s="406">
        <v>0.05</v>
      </c>
      <c r="BR28" s="406">
        <v>0.05</v>
      </c>
      <c r="BS28" s="406">
        <v>0.05</v>
      </c>
      <c r="BT28" s="406">
        <v>0.05</v>
      </c>
      <c r="BU28" s="406">
        <v>0.05</v>
      </c>
      <c r="BV28" s="406">
        <v>0.05</v>
      </c>
      <c r="BW28" s="406">
        <v>0.05</v>
      </c>
      <c r="BX28" s="406">
        <v>0.05</v>
      </c>
      <c r="BY28" s="406">
        <v>0.05</v>
      </c>
      <c r="BZ28" s="406">
        <v>0.05</v>
      </c>
      <c r="CA28" s="406">
        <v>0.05</v>
      </c>
      <c r="CB28" s="406">
        <v>0.05</v>
      </c>
      <c r="CC28" s="406">
        <v>0.05</v>
      </c>
      <c r="CD28" s="406">
        <v>0.05</v>
      </c>
      <c r="CE28" s="406">
        <v>0.05</v>
      </c>
      <c r="CF28" s="406">
        <v>0.05</v>
      </c>
      <c r="CG28" s="406">
        <v>0.05</v>
      </c>
      <c r="CH28" s="406">
        <v>0.05</v>
      </c>
      <c r="CI28" s="406">
        <v>0.05</v>
      </c>
      <c r="CJ28" s="406">
        <v>0.05</v>
      </c>
      <c r="CK28" s="406">
        <v>0.05</v>
      </c>
      <c r="CL28" s="406">
        <v>0.05</v>
      </c>
      <c r="CM28" s="406">
        <v>0.05</v>
      </c>
      <c r="CN28" s="406">
        <v>0.05</v>
      </c>
      <c r="CO28" s="406">
        <v>0.05</v>
      </c>
      <c r="CP28" s="406">
        <v>0.05</v>
      </c>
      <c r="CQ28" s="406">
        <v>0.05</v>
      </c>
      <c r="CR28" s="406">
        <v>0.05</v>
      </c>
      <c r="CS28" s="406">
        <v>0.05</v>
      </c>
      <c r="CT28" s="406">
        <v>0.05</v>
      </c>
      <c r="CU28" s="406">
        <v>0.05</v>
      </c>
      <c r="CV28" s="406"/>
      <c r="CW28" s="406"/>
      <c r="CX28" s="406"/>
      <c r="CY28" s="406"/>
      <c r="CZ28" s="406"/>
      <c r="DA28" s="406"/>
      <c r="DB28" s="406"/>
      <c r="DC28" s="406"/>
      <c r="DD28" s="406"/>
      <c r="DE28" s="406"/>
      <c r="DF28" s="406"/>
      <c r="DG28" s="406"/>
      <c r="DH28" s="406"/>
      <c r="DI28" s="406"/>
      <c r="DJ28" s="406"/>
      <c r="DK28" s="406"/>
      <c r="DL28" s="406"/>
      <c r="DM28" s="406"/>
      <c r="DN28" s="406"/>
      <c r="DO28" s="406"/>
      <c r="DP28" s="406"/>
      <c r="DQ28" s="406"/>
      <c r="DR28" s="406"/>
      <c r="DS28" s="406"/>
      <c r="DT28" s="406"/>
      <c r="DU28" s="406"/>
      <c r="DV28" s="406"/>
      <c r="DW28" s="406"/>
      <c r="DX28" s="406"/>
      <c r="DY28" s="583"/>
      <c r="DZ28" s="187"/>
      <c r="EA28" s="82">
        <f t="shared" si="27"/>
        <v>11.899999999999991</v>
      </c>
      <c r="EB28" s="82">
        <f t="shared" ref="EB28" si="42">EA28*Scenario1AgileContingency</f>
        <v>2.3799999999999986</v>
      </c>
      <c r="EC28" s="82">
        <f t="shared" si="29"/>
        <v>0</v>
      </c>
      <c r="ED28" s="127">
        <f t="shared" ref="ED28" si="43">SUM(EA28:EC28)</f>
        <v>14.27999999999999</v>
      </c>
    </row>
    <row r="29" spans="1:134" s="74" customFormat="1" ht="11.25" x14ac:dyDescent="0.2">
      <c r="A29" s="581">
        <v>2</v>
      </c>
      <c r="B29" s="584" t="s">
        <v>593</v>
      </c>
      <c r="C29" s="457" t="s">
        <v>625</v>
      </c>
      <c r="D29" s="428" t="s">
        <v>611</v>
      </c>
      <c r="E29" s="433" t="s">
        <v>600</v>
      </c>
      <c r="F29" s="434" t="str">
        <f t="shared" si="31"/>
        <v>DE</v>
      </c>
      <c r="G29" s="434" t="s">
        <v>626</v>
      </c>
      <c r="H29" s="434" t="str">
        <f>H28</f>
        <v>Project</v>
      </c>
      <c r="I29" s="406">
        <v>0.1</v>
      </c>
      <c r="J29" s="406">
        <v>0.1</v>
      </c>
      <c r="K29" s="406">
        <v>0.1</v>
      </c>
      <c r="L29" s="406">
        <v>0.1</v>
      </c>
      <c r="M29" s="406">
        <v>0.1</v>
      </c>
      <c r="N29" s="406">
        <v>0.1</v>
      </c>
      <c r="O29" s="406">
        <v>0.1</v>
      </c>
      <c r="P29" s="406">
        <v>0.1</v>
      </c>
      <c r="Q29" s="406">
        <v>0.1</v>
      </c>
      <c r="R29" s="406">
        <v>0.1</v>
      </c>
      <c r="S29" s="406">
        <v>0.1</v>
      </c>
      <c r="T29" s="406">
        <v>0.1</v>
      </c>
      <c r="U29" s="406">
        <v>0.1</v>
      </c>
      <c r="V29" s="406">
        <v>0.1</v>
      </c>
      <c r="W29" s="406">
        <v>0.1</v>
      </c>
      <c r="X29" s="406">
        <v>0.1</v>
      </c>
      <c r="Y29" s="406">
        <v>0.1</v>
      </c>
      <c r="Z29" s="406">
        <v>0.1</v>
      </c>
      <c r="AA29" s="406">
        <v>0.1</v>
      </c>
      <c r="AB29" s="406">
        <v>0.1</v>
      </c>
      <c r="AC29" s="406">
        <v>0.1</v>
      </c>
      <c r="AD29" s="406">
        <v>0.1</v>
      </c>
      <c r="AE29" s="406">
        <v>0.1</v>
      </c>
      <c r="AF29" s="406">
        <v>0.1</v>
      </c>
      <c r="AG29" s="406">
        <v>0.1</v>
      </c>
      <c r="AH29" s="406">
        <v>0.1</v>
      </c>
      <c r="AI29" s="406">
        <v>0.1</v>
      </c>
      <c r="AJ29" s="406">
        <v>0.1</v>
      </c>
      <c r="AK29" s="406">
        <v>0.1</v>
      </c>
      <c r="AL29" s="406">
        <v>0.1</v>
      </c>
      <c r="AM29" s="406">
        <v>0.1</v>
      </c>
      <c r="AN29" s="406">
        <v>0.1</v>
      </c>
      <c r="AO29" s="406">
        <v>0.1</v>
      </c>
      <c r="AP29" s="406">
        <v>0.1</v>
      </c>
      <c r="AQ29" s="406">
        <v>0.1</v>
      </c>
      <c r="AR29" s="406">
        <v>0.1</v>
      </c>
      <c r="AS29" s="406">
        <v>0.1</v>
      </c>
      <c r="AT29" s="406">
        <v>0.1</v>
      </c>
      <c r="AU29" s="406">
        <v>0.1</v>
      </c>
      <c r="AV29" s="406">
        <v>0.1</v>
      </c>
      <c r="AW29" s="406">
        <v>0.1</v>
      </c>
      <c r="AX29" s="406">
        <v>0.1</v>
      </c>
      <c r="AY29" s="406">
        <v>0.1</v>
      </c>
      <c r="AZ29" s="406">
        <v>0.1</v>
      </c>
      <c r="BA29" s="406">
        <v>0.1</v>
      </c>
      <c r="BB29" s="406">
        <v>0.1</v>
      </c>
      <c r="BC29" s="406">
        <v>0.1</v>
      </c>
      <c r="BD29" s="406">
        <v>0.1</v>
      </c>
      <c r="BE29" s="406">
        <v>0.1</v>
      </c>
      <c r="BF29" s="406">
        <v>0.1</v>
      </c>
      <c r="BG29" s="406">
        <v>0.1</v>
      </c>
      <c r="BH29" s="406">
        <v>0.1</v>
      </c>
      <c r="BI29" s="406">
        <v>0.1</v>
      </c>
      <c r="BJ29" s="406">
        <v>0.1</v>
      </c>
      <c r="BK29" s="406">
        <v>0.1</v>
      </c>
      <c r="BL29" s="406">
        <v>0.1</v>
      </c>
      <c r="BM29" s="406">
        <v>0.1</v>
      </c>
      <c r="BN29" s="406">
        <v>0.1</v>
      </c>
      <c r="BO29" s="406">
        <v>0.1</v>
      </c>
      <c r="BP29" s="406">
        <v>0.1</v>
      </c>
      <c r="BQ29" s="406">
        <v>0.1</v>
      </c>
      <c r="BR29" s="406">
        <v>0.1</v>
      </c>
      <c r="BS29" s="406">
        <v>0.1</v>
      </c>
      <c r="BT29" s="406">
        <v>0.1</v>
      </c>
      <c r="BU29" s="406">
        <v>0.1</v>
      </c>
      <c r="BV29" s="406">
        <v>0.1</v>
      </c>
      <c r="BW29" s="406">
        <v>0.1</v>
      </c>
      <c r="BX29" s="406">
        <v>0.1</v>
      </c>
      <c r="BY29" s="406">
        <v>0.1</v>
      </c>
      <c r="BZ29" s="406">
        <v>0.1</v>
      </c>
      <c r="CA29" s="406">
        <v>0.1</v>
      </c>
      <c r="CB29" s="406">
        <v>0.1</v>
      </c>
      <c r="CC29" s="406">
        <v>0.1</v>
      </c>
      <c r="CD29" s="406">
        <v>0.1</v>
      </c>
      <c r="CE29" s="406">
        <v>0.1</v>
      </c>
      <c r="CF29" s="406">
        <v>0.1</v>
      </c>
      <c r="CG29" s="406">
        <v>0.1</v>
      </c>
      <c r="CH29" s="406">
        <v>0.1</v>
      </c>
      <c r="CI29" s="406">
        <v>0.1</v>
      </c>
      <c r="CJ29" s="406">
        <v>0.1</v>
      </c>
      <c r="CK29" s="406">
        <v>0.1</v>
      </c>
      <c r="CL29" s="406">
        <v>0.1</v>
      </c>
      <c r="CM29" s="406">
        <v>0.1</v>
      </c>
      <c r="CN29" s="406">
        <v>0.1</v>
      </c>
      <c r="CO29" s="406">
        <v>0.1</v>
      </c>
      <c r="CP29" s="406">
        <v>0.1</v>
      </c>
      <c r="CQ29" s="406">
        <v>0.1</v>
      </c>
      <c r="CR29" s="406">
        <v>0.1</v>
      </c>
      <c r="CS29" s="406">
        <v>0.1</v>
      </c>
      <c r="CT29" s="406">
        <v>0.1</v>
      </c>
      <c r="CU29" s="406">
        <v>0.1</v>
      </c>
      <c r="CV29" s="406"/>
      <c r="CW29" s="406"/>
      <c r="CX29" s="406"/>
      <c r="CY29" s="406"/>
      <c r="CZ29" s="406"/>
      <c r="DA29" s="406"/>
      <c r="DB29" s="406"/>
      <c r="DC29" s="406"/>
      <c r="DD29" s="406"/>
      <c r="DE29" s="406"/>
      <c r="DF29" s="406"/>
      <c r="DG29" s="406"/>
      <c r="DH29" s="406"/>
      <c r="DI29" s="406"/>
      <c r="DJ29" s="406"/>
      <c r="DK29" s="406"/>
      <c r="DL29" s="406"/>
      <c r="DM29" s="406"/>
      <c r="DN29" s="406"/>
      <c r="DO29" s="406"/>
      <c r="DP29" s="406"/>
      <c r="DQ29" s="406"/>
      <c r="DR29" s="406"/>
      <c r="DS29" s="406"/>
      <c r="DT29" s="406"/>
      <c r="DU29" s="406"/>
      <c r="DV29" s="406"/>
      <c r="DW29" s="406"/>
      <c r="DX29" s="406"/>
      <c r="DY29" s="583"/>
      <c r="DZ29" s="187"/>
      <c r="EA29" s="82">
        <f t="shared" si="27"/>
        <v>38.674999999999926</v>
      </c>
      <c r="EB29" s="82">
        <f t="shared" ref="EB29" si="44">EA29*Scenario1AgileContingency</f>
        <v>7.7349999999999852</v>
      </c>
      <c r="EC29" s="82">
        <f t="shared" si="29"/>
        <v>0</v>
      </c>
      <c r="ED29" s="127">
        <f t="shared" ref="ED29" si="45">SUM(EA29:EC29)</f>
        <v>46.409999999999911</v>
      </c>
    </row>
    <row r="30" spans="1:134" s="142" customFormat="1" ht="11.25" x14ac:dyDescent="0.2">
      <c r="A30" s="210">
        <v>1</v>
      </c>
      <c r="B30" s="211" t="s">
        <v>593</v>
      </c>
      <c r="C30" s="346" t="s">
        <v>627</v>
      </c>
      <c r="D30" s="346" t="s">
        <v>627</v>
      </c>
      <c r="E30" s="431"/>
      <c r="F30" s="432"/>
      <c r="G30" s="432"/>
      <c r="H30" s="432"/>
      <c r="I30" s="347"/>
      <c r="J30" s="347"/>
      <c r="K30" s="347"/>
      <c r="L30" s="347"/>
      <c r="M30" s="347"/>
      <c r="N30" s="347"/>
      <c r="O30" s="347"/>
      <c r="P30" s="347"/>
      <c r="Q30" s="347"/>
      <c r="R30" s="347"/>
      <c r="S30" s="347"/>
      <c r="T30" s="347"/>
      <c r="U30" s="295"/>
      <c r="V30" s="295"/>
      <c r="W30" s="295"/>
      <c r="X30" s="295"/>
      <c r="Y30" s="295"/>
      <c r="Z30" s="295"/>
      <c r="AA30" s="295"/>
      <c r="AB30" s="295"/>
      <c r="AC30" s="295"/>
      <c r="AD30" s="295"/>
      <c r="AE30" s="295"/>
      <c r="AF30" s="295"/>
      <c r="AG30" s="295"/>
      <c r="AH30" s="295"/>
      <c r="AI30" s="295"/>
      <c r="AJ30" s="295"/>
      <c r="AK30" s="347"/>
      <c r="AL30" s="347"/>
      <c r="AM30" s="347"/>
      <c r="AN30" s="295"/>
      <c r="AO30" s="295"/>
      <c r="AP30" s="295"/>
      <c r="AQ30" s="295"/>
      <c r="AR30" s="295"/>
      <c r="AS30" s="295"/>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c r="BW30" s="295"/>
      <c r="BX30" s="295"/>
      <c r="BY30" s="295"/>
      <c r="BZ30" s="295"/>
      <c r="CA30" s="295"/>
      <c r="CB30" s="295"/>
      <c r="CC30" s="295"/>
      <c r="CD30" s="295"/>
      <c r="CE30" s="295"/>
      <c r="CF30" s="295"/>
      <c r="CG30" s="295"/>
      <c r="CH30" s="295"/>
      <c r="CI30" s="295"/>
      <c r="CJ30" s="295"/>
      <c r="CK30" s="295"/>
      <c r="CL30" s="295"/>
      <c r="CM30" s="295"/>
      <c r="CN30" s="295"/>
      <c r="CO30" s="295"/>
      <c r="CP30" s="295"/>
      <c r="CQ30" s="295"/>
      <c r="CR30" s="295"/>
      <c r="CS30" s="295"/>
      <c r="CT30" s="295"/>
      <c r="CU30" s="295"/>
      <c r="CV30" s="295"/>
      <c r="CW30" s="295"/>
      <c r="CX30" s="295"/>
      <c r="CY30" s="295"/>
      <c r="CZ30" s="295"/>
      <c r="DA30" s="295"/>
      <c r="DB30" s="295"/>
      <c r="DC30" s="295"/>
      <c r="DD30" s="295"/>
      <c r="DE30" s="295"/>
      <c r="DF30" s="295"/>
      <c r="DG30" s="295"/>
      <c r="DH30" s="295"/>
      <c r="DI30" s="295"/>
      <c r="DJ30" s="295"/>
      <c r="DK30" s="295"/>
      <c r="DL30" s="295"/>
      <c r="DM30" s="295"/>
      <c r="DN30" s="295"/>
      <c r="DO30" s="295"/>
      <c r="DP30" s="295"/>
      <c r="DQ30" s="295"/>
      <c r="DR30" s="295"/>
      <c r="DS30" s="295"/>
      <c r="DT30" s="295"/>
      <c r="DU30" s="295"/>
      <c r="DV30" s="295"/>
      <c r="DW30" s="295"/>
      <c r="DX30" s="295"/>
      <c r="DY30" s="294"/>
      <c r="DZ30" s="202"/>
      <c r="EA30" s="150"/>
      <c r="EB30" s="150"/>
      <c r="EC30" s="150"/>
      <c r="ED30" s="150"/>
    </row>
    <row r="31" spans="1:134" s="74" customFormat="1" ht="11.25" x14ac:dyDescent="0.2">
      <c r="A31" s="581">
        <v>2</v>
      </c>
      <c r="B31" s="584" t="s">
        <v>593</v>
      </c>
      <c r="C31" s="457" t="s">
        <v>628</v>
      </c>
      <c r="D31" s="428" t="s">
        <v>629</v>
      </c>
      <c r="E31" s="433" t="s">
        <v>600</v>
      </c>
      <c r="F31" s="434" t="s">
        <v>627</v>
      </c>
      <c r="G31" s="434"/>
      <c r="H31" s="434" t="str">
        <f>C30</f>
        <v>Platform Engineering</v>
      </c>
      <c r="I31" s="406"/>
      <c r="J31" s="406"/>
      <c r="K31" s="406"/>
      <c r="L31" s="406"/>
      <c r="M31" s="406"/>
      <c r="N31" s="406"/>
      <c r="O31" s="406"/>
      <c r="P31" s="406">
        <v>1</v>
      </c>
      <c r="Q31" s="406">
        <v>1</v>
      </c>
      <c r="R31" s="406">
        <v>1</v>
      </c>
      <c r="S31" s="406">
        <v>1</v>
      </c>
      <c r="T31" s="406">
        <v>1</v>
      </c>
      <c r="U31" s="406">
        <v>1</v>
      </c>
      <c r="V31" s="406">
        <v>1</v>
      </c>
      <c r="W31" s="406">
        <v>1</v>
      </c>
      <c r="X31" s="406">
        <v>1</v>
      </c>
      <c r="Y31" s="406">
        <v>1</v>
      </c>
      <c r="Z31" s="406">
        <v>1</v>
      </c>
      <c r="AA31" s="406">
        <v>1</v>
      </c>
      <c r="AB31" s="406">
        <v>1</v>
      </c>
      <c r="AC31" s="406">
        <v>1</v>
      </c>
      <c r="AD31" s="406">
        <v>1</v>
      </c>
      <c r="AE31" s="406">
        <v>1</v>
      </c>
      <c r="AF31" s="406">
        <v>1</v>
      </c>
      <c r="AG31" s="406">
        <v>1</v>
      </c>
      <c r="AH31" s="406">
        <v>1</v>
      </c>
      <c r="AI31" s="406">
        <v>1</v>
      </c>
      <c r="AJ31" s="406">
        <v>1</v>
      </c>
      <c r="AK31" s="406">
        <v>1</v>
      </c>
      <c r="AL31" s="406">
        <v>1</v>
      </c>
      <c r="AM31" s="406">
        <v>1</v>
      </c>
      <c r="AN31" s="406">
        <v>1</v>
      </c>
      <c r="AO31" s="406">
        <v>1</v>
      </c>
      <c r="AP31" s="406">
        <v>1</v>
      </c>
      <c r="AQ31" s="406">
        <v>1</v>
      </c>
      <c r="AR31" s="406">
        <v>1</v>
      </c>
      <c r="AS31" s="406">
        <v>1</v>
      </c>
      <c r="AT31" s="406">
        <v>1</v>
      </c>
      <c r="AU31" s="406">
        <v>1</v>
      </c>
      <c r="AV31" s="406">
        <v>1</v>
      </c>
      <c r="AW31" s="406">
        <v>1</v>
      </c>
      <c r="AX31" s="406">
        <v>1</v>
      </c>
      <c r="AY31" s="406">
        <v>1</v>
      </c>
      <c r="AZ31" s="406">
        <v>1</v>
      </c>
      <c r="BA31" s="406">
        <v>1</v>
      </c>
      <c r="BB31" s="406">
        <v>1</v>
      </c>
      <c r="BC31" s="406">
        <v>1</v>
      </c>
      <c r="BD31" s="406">
        <v>1</v>
      </c>
      <c r="BE31" s="406">
        <v>1</v>
      </c>
      <c r="BF31" s="406">
        <v>1</v>
      </c>
      <c r="BG31" s="406">
        <v>1</v>
      </c>
      <c r="BH31" s="406">
        <v>1</v>
      </c>
      <c r="BI31" s="406">
        <v>1</v>
      </c>
      <c r="BJ31" s="406">
        <v>1</v>
      </c>
      <c r="BK31" s="406">
        <v>1</v>
      </c>
      <c r="BL31" s="406">
        <v>1</v>
      </c>
      <c r="BM31" s="406">
        <v>1</v>
      </c>
      <c r="BN31" s="406">
        <v>1</v>
      </c>
      <c r="BO31" s="406">
        <v>1</v>
      </c>
      <c r="BP31" s="406">
        <v>1</v>
      </c>
      <c r="BQ31" s="406">
        <v>1</v>
      </c>
      <c r="BR31" s="406">
        <v>1</v>
      </c>
      <c r="BS31" s="406">
        <v>1</v>
      </c>
      <c r="BT31" s="406">
        <v>1</v>
      </c>
      <c r="BU31" s="406">
        <v>1</v>
      </c>
      <c r="BV31" s="406">
        <v>1</v>
      </c>
      <c r="BW31" s="406">
        <v>1</v>
      </c>
      <c r="BX31" s="406">
        <v>1</v>
      </c>
      <c r="BY31" s="406">
        <v>1</v>
      </c>
      <c r="BZ31" s="406">
        <v>1</v>
      </c>
      <c r="CA31" s="406">
        <v>1</v>
      </c>
      <c r="CB31" s="406">
        <v>1</v>
      </c>
      <c r="CC31" s="406">
        <v>1</v>
      </c>
      <c r="CD31" s="406">
        <v>1</v>
      </c>
      <c r="CE31" s="406">
        <v>1</v>
      </c>
      <c r="CF31" s="406">
        <v>1</v>
      </c>
      <c r="CG31" s="406">
        <v>1</v>
      </c>
      <c r="CH31" s="406">
        <v>1</v>
      </c>
      <c r="CI31" s="406">
        <v>1</v>
      </c>
      <c r="CJ31" s="406">
        <v>1</v>
      </c>
      <c r="CK31" s="406">
        <v>1</v>
      </c>
      <c r="CL31" s="406">
        <v>1</v>
      </c>
      <c r="CM31" s="406">
        <v>1</v>
      </c>
      <c r="CN31" s="406">
        <v>1</v>
      </c>
      <c r="CO31" s="406">
        <v>1</v>
      </c>
      <c r="CP31" s="406">
        <v>1</v>
      </c>
      <c r="CQ31" s="406">
        <v>1</v>
      </c>
      <c r="CR31" s="406">
        <v>1</v>
      </c>
      <c r="CS31" s="406">
        <v>1</v>
      </c>
      <c r="CT31" s="406">
        <v>1</v>
      </c>
      <c r="CU31" s="406">
        <v>1</v>
      </c>
      <c r="CV31" s="406">
        <v>1</v>
      </c>
      <c r="CW31" s="406">
        <v>1</v>
      </c>
      <c r="CX31" s="406">
        <v>1</v>
      </c>
      <c r="CY31" s="406">
        <v>1</v>
      </c>
      <c r="CZ31" s="406">
        <v>1</v>
      </c>
      <c r="DA31" s="406">
        <v>1</v>
      </c>
      <c r="DB31" s="406">
        <v>1</v>
      </c>
      <c r="DC31" s="406">
        <v>1</v>
      </c>
      <c r="DD31" s="406">
        <v>1</v>
      </c>
      <c r="DE31" s="406">
        <v>1</v>
      </c>
      <c r="DF31" s="406">
        <v>1</v>
      </c>
      <c r="DG31" s="406">
        <v>1</v>
      </c>
      <c r="DH31" s="406">
        <v>1</v>
      </c>
      <c r="DI31" s="406">
        <v>1</v>
      </c>
      <c r="DJ31" s="406">
        <v>1</v>
      </c>
      <c r="DK31" s="406">
        <v>1</v>
      </c>
      <c r="DL31" s="406">
        <v>0.25</v>
      </c>
      <c r="DM31" s="406">
        <v>0.25</v>
      </c>
      <c r="DN31" s="406">
        <v>0.25</v>
      </c>
      <c r="DO31" s="406">
        <v>0.25</v>
      </c>
      <c r="DP31" s="406">
        <v>0.25</v>
      </c>
      <c r="DQ31" s="406">
        <v>0.25</v>
      </c>
      <c r="DR31" s="406">
        <v>0.25</v>
      </c>
      <c r="DS31" s="406">
        <v>0.25</v>
      </c>
      <c r="DT31" s="406">
        <v>0.25</v>
      </c>
      <c r="DU31" s="406">
        <v>0.25</v>
      </c>
      <c r="DV31" s="406">
        <v>0.25</v>
      </c>
      <c r="DW31" s="406">
        <v>0.25</v>
      </c>
      <c r="DX31" s="406">
        <v>0.25</v>
      </c>
      <c r="DY31" s="583"/>
      <c r="DZ31" s="187"/>
      <c r="EA31" s="82">
        <f>SUMIF(I$8:DY$8,"&lt;&gt;"&amp;AgileIteration_Warranty,I31:DY31)*5*Scenario1Utilisation</f>
        <v>425</v>
      </c>
      <c r="EB31" s="82">
        <f t="shared" ref="EB31" si="46">EA31*Scenario1AgileContingency</f>
        <v>85</v>
      </c>
      <c r="EC31" s="82">
        <f>IF(Scenario1Warranty=AgileWarrantyDefault, (SUMIF(I$8:DY$8,AgileIteration_Warranty,I31:DY31)*5*Scenario1Utilisation), (EA31*Scenario1Warranty))</f>
        <v>13.8125</v>
      </c>
      <c r="ED31" s="127">
        <f t="shared" ref="ED31" si="47">SUM(EA31:EC31)</f>
        <v>523.8125</v>
      </c>
    </row>
    <row r="32" spans="1:134" s="74" customFormat="1" ht="11.25" x14ac:dyDescent="0.2">
      <c r="A32" s="581">
        <v>2</v>
      </c>
      <c r="B32" s="584" t="s">
        <v>593</v>
      </c>
      <c r="C32" s="457" t="s">
        <v>630</v>
      </c>
      <c r="D32" s="428" t="s">
        <v>629</v>
      </c>
      <c r="E32" s="433" t="s">
        <v>596</v>
      </c>
      <c r="F32" s="434" t="s">
        <v>627</v>
      </c>
      <c r="G32" s="434"/>
      <c r="H32" s="434" t="str">
        <f>H31</f>
        <v>Platform Engineering</v>
      </c>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v>1</v>
      </c>
      <c r="AF32" s="406">
        <v>1</v>
      </c>
      <c r="AG32" s="406">
        <v>1</v>
      </c>
      <c r="AH32" s="406">
        <v>1</v>
      </c>
      <c r="AI32" s="406">
        <v>1</v>
      </c>
      <c r="AJ32" s="406">
        <v>1</v>
      </c>
      <c r="AK32" s="406">
        <v>1</v>
      </c>
      <c r="AL32" s="406">
        <v>1</v>
      </c>
      <c r="AM32" s="406">
        <v>1</v>
      </c>
      <c r="AN32" s="406">
        <v>1</v>
      </c>
      <c r="AO32" s="406">
        <v>1</v>
      </c>
      <c r="AP32" s="406">
        <v>1</v>
      </c>
      <c r="AQ32" s="406">
        <v>1</v>
      </c>
      <c r="AR32" s="406">
        <v>1</v>
      </c>
      <c r="AS32" s="406">
        <v>1</v>
      </c>
      <c r="AT32" s="406">
        <v>1</v>
      </c>
      <c r="AU32" s="406">
        <v>1</v>
      </c>
      <c r="AV32" s="406">
        <v>1</v>
      </c>
      <c r="AW32" s="406">
        <v>1</v>
      </c>
      <c r="AX32" s="406">
        <v>1</v>
      </c>
      <c r="AY32" s="406">
        <v>1</v>
      </c>
      <c r="AZ32" s="406">
        <v>1</v>
      </c>
      <c r="BA32" s="406">
        <v>1</v>
      </c>
      <c r="BB32" s="406">
        <v>1</v>
      </c>
      <c r="BC32" s="406">
        <v>1</v>
      </c>
      <c r="BD32" s="406">
        <v>1</v>
      </c>
      <c r="BE32" s="406">
        <v>1</v>
      </c>
      <c r="BF32" s="406">
        <v>1</v>
      </c>
      <c r="BG32" s="406">
        <v>1</v>
      </c>
      <c r="BH32" s="406">
        <v>1</v>
      </c>
      <c r="BI32" s="406">
        <v>1</v>
      </c>
      <c r="BJ32" s="406">
        <v>1</v>
      </c>
      <c r="BK32" s="406">
        <v>1</v>
      </c>
      <c r="BL32" s="406">
        <v>1</v>
      </c>
      <c r="BM32" s="406">
        <v>1</v>
      </c>
      <c r="BN32" s="406">
        <v>1</v>
      </c>
      <c r="BO32" s="406">
        <v>1</v>
      </c>
      <c r="BP32" s="406">
        <v>1</v>
      </c>
      <c r="BQ32" s="406">
        <v>1</v>
      </c>
      <c r="BR32" s="406">
        <v>1</v>
      </c>
      <c r="BS32" s="406">
        <v>1</v>
      </c>
      <c r="BT32" s="406">
        <v>1</v>
      </c>
      <c r="BU32" s="406">
        <v>1</v>
      </c>
      <c r="BV32" s="406">
        <v>1</v>
      </c>
      <c r="BW32" s="406">
        <v>1</v>
      </c>
      <c r="BX32" s="406">
        <v>1</v>
      </c>
      <c r="BY32" s="406">
        <v>1</v>
      </c>
      <c r="BZ32" s="406">
        <v>1</v>
      </c>
      <c r="CA32" s="406">
        <v>1</v>
      </c>
      <c r="CB32" s="406">
        <v>1</v>
      </c>
      <c r="CC32" s="406">
        <v>1</v>
      </c>
      <c r="CD32" s="406">
        <v>1</v>
      </c>
      <c r="CE32" s="406">
        <v>1</v>
      </c>
      <c r="CF32" s="406">
        <v>1</v>
      </c>
      <c r="CG32" s="406">
        <v>1</v>
      </c>
      <c r="CH32" s="406">
        <v>1</v>
      </c>
      <c r="CI32" s="406">
        <v>1</v>
      </c>
      <c r="CJ32" s="406">
        <v>1</v>
      </c>
      <c r="CK32" s="406">
        <v>1</v>
      </c>
      <c r="CL32" s="406">
        <v>1</v>
      </c>
      <c r="CM32" s="406">
        <v>1</v>
      </c>
      <c r="CN32" s="406">
        <v>1</v>
      </c>
      <c r="CO32" s="406">
        <v>1</v>
      </c>
      <c r="CP32" s="406">
        <v>1</v>
      </c>
      <c r="CQ32" s="406">
        <v>1</v>
      </c>
      <c r="CR32" s="406">
        <v>1</v>
      </c>
      <c r="CS32" s="406">
        <v>1</v>
      </c>
      <c r="CT32" s="406">
        <v>1</v>
      </c>
      <c r="CU32" s="406">
        <v>1</v>
      </c>
      <c r="CV32" s="406">
        <v>1</v>
      </c>
      <c r="CW32" s="406">
        <v>1</v>
      </c>
      <c r="CX32" s="406">
        <v>1</v>
      </c>
      <c r="CY32" s="406">
        <v>1</v>
      </c>
      <c r="CZ32" s="406">
        <v>1</v>
      </c>
      <c r="DA32" s="406">
        <v>1</v>
      </c>
      <c r="DB32" s="406">
        <v>1</v>
      </c>
      <c r="DC32" s="406">
        <v>1</v>
      </c>
      <c r="DD32" s="406">
        <v>1</v>
      </c>
      <c r="DE32" s="406">
        <v>1</v>
      </c>
      <c r="DF32" s="406">
        <v>1</v>
      </c>
      <c r="DG32" s="406">
        <v>1</v>
      </c>
      <c r="DH32" s="406">
        <v>1</v>
      </c>
      <c r="DI32" s="406">
        <v>1</v>
      </c>
      <c r="DJ32" s="406">
        <v>1</v>
      </c>
      <c r="DK32" s="406">
        <v>1</v>
      </c>
      <c r="DL32" s="406">
        <v>1</v>
      </c>
      <c r="DM32" s="406">
        <v>1</v>
      </c>
      <c r="DN32" s="406">
        <v>1</v>
      </c>
      <c r="DO32" s="406">
        <v>1</v>
      </c>
      <c r="DP32" s="406">
        <v>1</v>
      </c>
      <c r="DQ32" s="406">
        <v>1</v>
      </c>
      <c r="DR32" s="406">
        <v>1</v>
      </c>
      <c r="DS32" s="406">
        <v>1</v>
      </c>
      <c r="DT32" s="406">
        <v>1</v>
      </c>
      <c r="DU32" s="406">
        <v>1</v>
      </c>
      <c r="DV32" s="406">
        <v>1</v>
      </c>
      <c r="DW32" s="406">
        <v>1</v>
      </c>
      <c r="DX32" s="406">
        <v>1</v>
      </c>
      <c r="DY32" s="583"/>
      <c r="DZ32" s="187"/>
      <c r="EA32" s="82">
        <f>SUMIF(I$8:DY$8,"&lt;&gt;"&amp;AgileIteration_Warranty,I32:DY32)*5*Scenario1Utilisation</f>
        <v>361.25</v>
      </c>
      <c r="EB32" s="82">
        <f t="shared" ref="EB32" si="48">EA32*Scenario1AgileContingency</f>
        <v>72.25</v>
      </c>
      <c r="EC32" s="82">
        <f>IF(Scenario1Warranty=AgileWarrantyDefault, (SUMIF(I$8:DY$8,AgileIteration_Warranty,I32:DY32)*5*Scenario1Utilisation), (EA32*Scenario1Warranty))</f>
        <v>55.25</v>
      </c>
      <c r="ED32" s="127">
        <f t="shared" ref="ED32" si="49">SUM(EA32:EC32)</f>
        <v>488.75</v>
      </c>
    </row>
    <row r="33" spans="1:134" s="74" customFormat="1" ht="11.25" x14ac:dyDescent="0.2">
      <c r="A33" s="581">
        <v>2</v>
      </c>
      <c r="B33" s="584" t="s">
        <v>593</v>
      </c>
      <c r="C33" s="457" t="s">
        <v>630</v>
      </c>
      <c r="D33" s="428" t="s">
        <v>631</v>
      </c>
      <c r="E33" s="433" t="s">
        <v>596</v>
      </c>
      <c r="F33" s="434" t="s">
        <v>627</v>
      </c>
      <c r="G33" s="434"/>
      <c r="H33" s="434" t="str">
        <f>H32</f>
        <v>Platform Engineering</v>
      </c>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v>1</v>
      </c>
      <c r="AF33" s="406">
        <v>1</v>
      </c>
      <c r="AG33" s="406">
        <v>1</v>
      </c>
      <c r="AH33" s="406">
        <v>1</v>
      </c>
      <c r="AI33" s="406">
        <v>1</v>
      </c>
      <c r="AJ33" s="406">
        <v>1</v>
      </c>
      <c r="AK33" s="406">
        <v>1</v>
      </c>
      <c r="AL33" s="406">
        <v>1</v>
      </c>
      <c r="AM33" s="406">
        <v>1</v>
      </c>
      <c r="AN33" s="406">
        <v>1</v>
      </c>
      <c r="AO33" s="406">
        <v>1</v>
      </c>
      <c r="AP33" s="406">
        <v>1</v>
      </c>
      <c r="AQ33" s="406">
        <v>1</v>
      </c>
      <c r="AR33" s="406">
        <v>1</v>
      </c>
      <c r="AS33" s="406">
        <v>1</v>
      </c>
      <c r="AT33" s="406">
        <v>1</v>
      </c>
      <c r="AU33" s="406">
        <v>1</v>
      </c>
      <c r="AV33" s="406">
        <v>1</v>
      </c>
      <c r="AW33" s="406">
        <v>1</v>
      </c>
      <c r="AX33" s="406">
        <v>1</v>
      </c>
      <c r="AY33" s="406">
        <v>1</v>
      </c>
      <c r="AZ33" s="406">
        <v>1</v>
      </c>
      <c r="BA33" s="406">
        <v>1</v>
      </c>
      <c r="BB33" s="406">
        <v>1</v>
      </c>
      <c r="BC33" s="406">
        <v>1</v>
      </c>
      <c r="BD33" s="406">
        <v>1</v>
      </c>
      <c r="BE33" s="406">
        <v>1</v>
      </c>
      <c r="BF33" s="406">
        <v>1</v>
      </c>
      <c r="BG33" s="406">
        <v>1</v>
      </c>
      <c r="BH33" s="406">
        <v>1</v>
      </c>
      <c r="BI33" s="406">
        <v>1</v>
      </c>
      <c r="BJ33" s="406">
        <v>1</v>
      </c>
      <c r="BK33" s="406">
        <v>1</v>
      </c>
      <c r="BL33" s="406">
        <v>1</v>
      </c>
      <c r="BM33" s="406">
        <v>1</v>
      </c>
      <c r="BN33" s="406">
        <v>1</v>
      </c>
      <c r="BO33" s="406">
        <v>1</v>
      </c>
      <c r="BP33" s="406">
        <v>1</v>
      </c>
      <c r="BQ33" s="406">
        <v>1</v>
      </c>
      <c r="BR33" s="406">
        <v>1</v>
      </c>
      <c r="BS33" s="406">
        <v>1</v>
      </c>
      <c r="BT33" s="406">
        <v>1</v>
      </c>
      <c r="BU33" s="406">
        <v>1</v>
      </c>
      <c r="BV33" s="406">
        <v>1</v>
      </c>
      <c r="BW33" s="406">
        <v>1</v>
      </c>
      <c r="BX33" s="406">
        <v>1</v>
      </c>
      <c r="BY33" s="406">
        <v>1</v>
      </c>
      <c r="BZ33" s="406">
        <v>1</v>
      </c>
      <c r="CA33" s="406">
        <v>1</v>
      </c>
      <c r="CB33" s="406">
        <v>1</v>
      </c>
      <c r="CC33" s="406">
        <v>1</v>
      </c>
      <c r="CD33" s="406">
        <v>1</v>
      </c>
      <c r="CE33" s="406">
        <v>1</v>
      </c>
      <c r="CF33" s="406">
        <v>1</v>
      </c>
      <c r="CG33" s="406">
        <v>1</v>
      </c>
      <c r="CH33" s="406">
        <v>1</v>
      </c>
      <c r="CI33" s="406">
        <v>1</v>
      </c>
      <c r="CJ33" s="406">
        <v>1</v>
      </c>
      <c r="CK33" s="406">
        <v>1</v>
      </c>
      <c r="CL33" s="406">
        <v>1</v>
      </c>
      <c r="CM33" s="406">
        <v>1</v>
      </c>
      <c r="CN33" s="406">
        <v>1</v>
      </c>
      <c r="CO33" s="406">
        <v>1</v>
      </c>
      <c r="CP33" s="406">
        <v>1</v>
      </c>
      <c r="CQ33" s="406">
        <v>1</v>
      </c>
      <c r="CR33" s="406">
        <v>1</v>
      </c>
      <c r="CS33" s="406">
        <v>1</v>
      </c>
      <c r="CT33" s="406">
        <v>1</v>
      </c>
      <c r="CU33" s="406">
        <v>1</v>
      </c>
      <c r="CV33" s="406">
        <v>1</v>
      </c>
      <c r="CW33" s="406">
        <v>1</v>
      </c>
      <c r="CX33" s="406">
        <v>1</v>
      </c>
      <c r="CY33" s="406">
        <v>1</v>
      </c>
      <c r="CZ33" s="406">
        <v>1</v>
      </c>
      <c r="DA33" s="406">
        <v>1</v>
      </c>
      <c r="DB33" s="406">
        <v>1</v>
      </c>
      <c r="DC33" s="406">
        <v>1</v>
      </c>
      <c r="DD33" s="406">
        <v>1</v>
      </c>
      <c r="DE33" s="406">
        <v>1</v>
      </c>
      <c r="DF33" s="406">
        <v>1</v>
      </c>
      <c r="DG33" s="406">
        <v>1</v>
      </c>
      <c r="DH33" s="406">
        <v>1</v>
      </c>
      <c r="DI33" s="406">
        <v>1</v>
      </c>
      <c r="DJ33" s="406">
        <v>1</v>
      </c>
      <c r="DK33" s="406">
        <v>1</v>
      </c>
      <c r="DL33" s="406">
        <v>1</v>
      </c>
      <c r="DM33" s="406">
        <v>1</v>
      </c>
      <c r="DN33" s="406">
        <v>1</v>
      </c>
      <c r="DO33" s="406">
        <v>1</v>
      </c>
      <c r="DP33" s="406">
        <v>1</v>
      </c>
      <c r="DQ33" s="406">
        <v>1</v>
      </c>
      <c r="DR33" s="406">
        <v>1</v>
      </c>
      <c r="DS33" s="406">
        <v>1</v>
      </c>
      <c r="DT33" s="406">
        <v>1</v>
      </c>
      <c r="DU33" s="406">
        <v>1</v>
      </c>
      <c r="DV33" s="406">
        <v>1</v>
      </c>
      <c r="DW33" s="406">
        <v>1</v>
      </c>
      <c r="DX33" s="406">
        <v>1</v>
      </c>
      <c r="DY33" s="583"/>
      <c r="DZ33" s="187"/>
      <c r="EA33" s="82">
        <f>SUMIF(I$8:DY$8,"&lt;&gt;"&amp;AgileIteration_Warranty,I33:DY33)*5*Scenario1Utilisation</f>
        <v>361.25</v>
      </c>
      <c r="EB33" s="82">
        <f t="shared" ref="EB33" si="50">EA33*Scenario1AgileContingency</f>
        <v>72.25</v>
      </c>
      <c r="EC33" s="82">
        <f>IF(Scenario1Warranty=AgileWarrantyDefault, (SUMIF(I$8:DY$8,AgileIteration_Warranty,I33:DY33)*5*Scenario1Utilisation), (EA33*Scenario1Warranty))</f>
        <v>55.25</v>
      </c>
      <c r="ED33" s="127">
        <f t="shared" ref="ED33" si="51">SUM(EA33:EC33)</f>
        <v>488.75</v>
      </c>
    </row>
    <row r="34" spans="1:134" s="74" customFormat="1" ht="11.25" x14ac:dyDescent="0.2">
      <c r="A34" s="210">
        <v>2</v>
      </c>
      <c r="B34" s="211" t="s">
        <v>593</v>
      </c>
      <c r="C34" s="457" t="str">
        <f>IFERROR(VLOOKUP(D34,MappingFromSetAgiletoTTSRole,2,FALSE),"SET Agile Resource Role")</f>
        <v>Technical Consultant</v>
      </c>
      <c r="D34" s="428" t="s">
        <v>629</v>
      </c>
      <c r="E34" s="433" t="s">
        <v>600</v>
      </c>
      <c r="F34" s="434" t="s">
        <v>627</v>
      </c>
      <c r="G34" s="434"/>
      <c r="H34" s="434" t="str">
        <f>H31</f>
        <v>Platform Engineering</v>
      </c>
      <c r="I34" s="406"/>
      <c r="J34" s="406"/>
      <c r="K34" s="406"/>
      <c r="L34" s="406"/>
      <c r="M34" s="406"/>
      <c r="N34" s="406"/>
      <c r="O34" s="406"/>
      <c r="P34" s="406"/>
      <c r="Q34" s="406"/>
      <c r="R34" s="406"/>
      <c r="S34" s="406"/>
      <c r="T34" s="406"/>
      <c r="U34" s="406"/>
      <c r="V34" s="406"/>
      <c r="W34" s="406"/>
      <c r="X34" s="406"/>
      <c r="Y34" s="406"/>
      <c r="Z34" s="406"/>
      <c r="AA34" s="406"/>
      <c r="AB34" s="406"/>
      <c r="AC34" s="406"/>
      <c r="AD34" s="406"/>
      <c r="AE34" s="406">
        <v>1</v>
      </c>
      <c r="AF34" s="406">
        <v>1</v>
      </c>
      <c r="AG34" s="406">
        <v>1</v>
      </c>
      <c r="AH34" s="406">
        <v>1</v>
      </c>
      <c r="AI34" s="406">
        <v>1</v>
      </c>
      <c r="AJ34" s="406">
        <v>1</v>
      </c>
      <c r="AK34" s="406">
        <v>1</v>
      </c>
      <c r="AL34" s="406">
        <v>1</v>
      </c>
      <c r="AM34" s="406">
        <v>1</v>
      </c>
      <c r="AN34" s="406">
        <v>1</v>
      </c>
      <c r="AO34" s="406">
        <v>1</v>
      </c>
      <c r="AP34" s="406">
        <v>1</v>
      </c>
      <c r="AQ34" s="406">
        <v>1</v>
      </c>
      <c r="AR34" s="406">
        <v>1</v>
      </c>
      <c r="AS34" s="406">
        <v>1</v>
      </c>
      <c r="AT34" s="406">
        <v>1</v>
      </c>
      <c r="AU34" s="406">
        <v>1</v>
      </c>
      <c r="AV34" s="406">
        <v>1</v>
      </c>
      <c r="AW34" s="406">
        <v>1</v>
      </c>
      <c r="AX34" s="406">
        <v>1</v>
      </c>
      <c r="AY34" s="406">
        <v>1</v>
      </c>
      <c r="AZ34" s="406">
        <v>1</v>
      </c>
      <c r="BA34" s="406">
        <v>1</v>
      </c>
      <c r="BB34" s="406">
        <v>1</v>
      </c>
      <c r="BC34" s="406">
        <v>1</v>
      </c>
      <c r="BD34" s="406">
        <v>1</v>
      </c>
      <c r="BE34" s="406">
        <v>1</v>
      </c>
      <c r="BF34" s="406">
        <v>1</v>
      </c>
      <c r="BG34" s="406">
        <v>1</v>
      </c>
      <c r="BH34" s="406">
        <v>1</v>
      </c>
      <c r="BI34" s="406">
        <v>1</v>
      </c>
      <c r="BJ34" s="406">
        <v>1</v>
      </c>
      <c r="BK34" s="406">
        <v>1</v>
      </c>
      <c r="BL34" s="406">
        <v>1</v>
      </c>
      <c r="BM34" s="406">
        <v>1</v>
      </c>
      <c r="BN34" s="406">
        <v>1</v>
      </c>
      <c r="BO34" s="406">
        <v>1</v>
      </c>
      <c r="BP34" s="406">
        <v>1</v>
      </c>
      <c r="BQ34" s="406">
        <v>1</v>
      </c>
      <c r="BR34" s="406">
        <v>1</v>
      </c>
      <c r="BS34" s="406">
        <v>1</v>
      </c>
      <c r="BT34" s="406">
        <v>1</v>
      </c>
      <c r="BU34" s="406">
        <v>1</v>
      </c>
      <c r="BV34" s="406">
        <v>1</v>
      </c>
      <c r="BW34" s="406">
        <v>1</v>
      </c>
      <c r="BX34" s="406">
        <v>1</v>
      </c>
      <c r="BY34" s="406">
        <v>1</v>
      </c>
      <c r="BZ34" s="406">
        <v>1</v>
      </c>
      <c r="CA34" s="406">
        <v>1</v>
      </c>
      <c r="CB34" s="406">
        <v>1</v>
      </c>
      <c r="CC34" s="406">
        <v>1</v>
      </c>
      <c r="CD34" s="406">
        <v>1</v>
      </c>
      <c r="CE34" s="406">
        <v>1</v>
      </c>
      <c r="CF34" s="406">
        <v>1</v>
      </c>
      <c r="CG34" s="406">
        <v>1</v>
      </c>
      <c r="CH34" s="406">
        <v>1</v>
      </c>
      <c r="CI34" s="406">
        <v>1</v>
      </c>
      <c r="CJ34" s="406">
        <v>1</v>
      </c>
      <c r="CK34" s="406">
        <v>1</v>
      </c>
      <c r="CL34" s="406">
        <v>1</v>
      </c>
      <c r="CM34" s="406">
        <v>1</v>
      </c>
      <c r="CN34" s="406">
        <v>1</v>
      </c>
      <c r="CO34" s="406">
        <v>1</v>
      </c>
      <c r="CP34" s="406">
        <v>1</v>
      </c>
      <c r="CQ34" s="406">
        <v>1</v>
      </c>
      <c r="CR34" s="406">
        <v>1</v>
      </c>
      <c r="CS34" s="406">
        <v>1</v>
      </c>
      <c r="CT34" s="406">
        <v>1</v>
      </c>
      <c r="CU34" s="406">
        <v>1</v>
      </c>
      <c r="CV34" s="406">
        <v>1</v>
      </c>
      <c r="CW34" s="406">
        <v>1</v>
      </c>
      <c r="CX34" s="406">
        <v>1</v>
      </c>
      <c r="CY34" s="406">
        <v>1</v>
      </c>
      <c r="CZ34" s="406">
        <v>1</v>
      </c>
      <c r="DA34" s="406">
        <v>1</v>
      </c>
      <c r="DB34" s="406">
        <v>1</v>
      </c>
      <c r="DC34" s="406">
        <v>1</v>
      </c>
      <c r="DD34" s="406">
        <v>1</v>
      </c>
      <c r="DE34" s="406">
        <v>1</v>
      </c>
      <c r="DF34" s="406">
        <v>1</v>
      </c>
      <c r="DG34" s="406">
        <v>1</v>
      </c>
      <c r="DH34" s="406">
        <v>1</v>
      </c>
      <c r="DI34" s="406"/>
      <c r="DJ34" s="406"/>
      <c r="DK34" s="406"/>
      <c r="DL34" s="406"/>
      <c r="DM34" s="406"/>
      <c r="DN34" s="406"/>
      <c r="DO34" s="406"/>
      <c r="DP34" s="406"/>
      <c r="DQ34" s="406"/>
      <c r="DR34" s="406"/>
      <c r="DS34" s="406"/>
      <c r="DT34" s="406"/>
      <c r="DU34" s="406"/>
      <c r="DV34" s="406"/>
      <c r="DW34" s="406"/>
      <c r="DX34" s="406"/>
      <c r="DY34" s="180"/>
      <c r="DZ34" s="187"/>
      <c r="EA34" s="82">
        <f>SUMIF(I$8:DY$8,"&lt;&gt;"&amp;AgileIteration_Warranty,I34:DY34)*5*Scenario1Utilisation</f>
        <v>348.5</v>
      </c>
      <c r="EB34" s="82">
        <f t="shared" ref="EB34" si="52">EA34*Scenario1AgileContingency</f>
        <v>69.7</v>
      </c>
      <c r="EC34" s="82">
        <f>IF(Scenario1Warranty=AgileWarrantyDefault, (SUMIF(I$8:DY$8,AgileIteration_Warranty,I34:DY34)*5*Scenario1Utilisation), (EA34*Scenario1Warranty))</f>
        <v>0</v>
      </c>
      <c r="ED34" s="127">
        <f t="shared" ref="ED34" si="53">SUM(EA34:EC34)</f>
        <v>418.2</v>
      </c>
    </row>
    <row r="35" spans="1:134" s="74" customFormat="1" ht="11.25" x14ac:dyDescent="0.2">
      <c r="A35" s="210">
        <v>2</v>
      </c>
      <c r="B35" s="211" t="s">
        <v>593</v>
      </c>
      <c r="C35" s="457" t="str">
        <f>IFERROR(VLOOKUP(D35,MappingFromSetAgiletoTTSRole,2,FALSE),"SET Agile Resource Role")</f>
        <v>Technical Consultant</v>
      </c>
      <c r="D35" s="428" t="s">
        <v>631</v>
      </c>
      <c r="E35" s="433" t="s">
        <v>600</v>
      </c>
      <c r="F35" s="434" t="s">
        <v>627</v>
      </c>
      <c r="G35" s="434"/>
      <c r="H35" s="434" t="str">
        <f>H31</f>
        <v>Platform Engineering</v>
      </c>
      <c r="I35" s="406"/>
      <c r="J35" s="406"/>
      <c r="K35" s="406"/>
      <c r="L35" s="406"/>
      <c r="M35" s="406"/>
      <c r="N35" s="406"/>
      <c r="O35" s="406"/>
      <c r="P35" s="406">
        <v>1</v>
      </c>
      <c r="Q35" s="406">
        <v>1</v>
      </c>
      <c r="R35" s="406">
        <v>1</v>
      </c>
      <c r="S35" s="406">
        <v>1</v>
      </c>
      <c r="T35" s="406">
        <v>1</v>
      </c>
      <c r="U35" s="406">
        <v>1</v>
      </c>
      <c r="V35" s="406">
        <v>1</v>
      </c>
      <c r="W35" s="406">
        <v>1</v>
      </c>
      <c r="X35" s="406">
        <v>1</v>
      </c>
      <c r="Y35" s="406">
        <v>1</v>
      </c>
      <c r="Z35" s="406">
        <v>1</v>
      </c>
      <c r="AA35" s="406">
        <v>1</v>
      </c>
      <c r="AB35" s="406">
        <v>1</v>
      </c>
      <c r="AC35" s="406">
        <v>1</v>
      </c>
      <c r="AD35" s="406">
        <v>1</v>
      </c>
      <c r="AE35" s="406">
        <v>1</v>
      </c>
      <c r="AF35" s="406">
        <v>1</v>
      </c>
      <c r="AG35" s="406">
        <v>1</v>
      </c>
      <c r="AH35" s="406">
        <v>1</v>
      </c>
      <c r="AI35" s="406">
        <v>1</v>
      </c>
      <c r="AJ35" s="406">
        <v>1</v>
      </c>
      <c r="AK35" s="406">
        <v>1</v>
      </c>
      <c r="AL35" s="406">
        <v>1</v>
      </c>
      <c r="AM35" s="406">
        <v>1</v>
      </c>
      <c r="AN35" s="406">
        <v>1</v>
      </c>
      <c r="AO35" s="406">
        <v>1</v>
      </c>
      <c r="AP35" s="406">
        <v>1</v>
      </c>
      <c r="AQ35" s="406">
        <v>1</v>
      </c>
      <c r="AR35" s="406">
        <v>1</v>
      </c>
      <c r="AS35" s="406">
        <v>1</v>
      </c>
      <c r="AT35" s="406">
        <v>1</v>
      </c>
      <c r="AU35" s="406">
        <v>1</v>
      </c>
      <c r="AV35" s="406">
        <v>1</v>
      </c>
      <c r="AW35" s="406">
        <v>1</v>
      </c>
      <c r="AX35" s="406">
        <v>1</v>
      </c>
      <c r="AY35" s="406">
        <v>1</v>
      </c>
      <c r="AZ35" s="406">
        <v>1</v>
      </c>
      <c r="BA35" s="406">
        <v>1</v>
      </c>
      <c r="BB35" s="406">
        <v>1</v>
      </c>
      <c r="BC35" s="406">
        <v>1</v>
      </c>
      <c r="BD35" s="406">
        <v>1</v>
      </c>
      <c r="BE35" s="406">
        <v>1</v>
      </c>
      <c r="BF35" s="406">
        <v>1</v>
      </c>
      <c r="BG35" s="406">
        <v>1</v>
      </c>
      <c r="BH35" s="406">
        <v>1</v>
      </c>
      <c r="BI35" s="406">
        <v>1</v>
      </c>
      <c r="BJ35" s="406"/>
      <c r="BK35" s="406"/>
      <c r="BL35" s="406"/>
      <c r="BM35" s="406"/>
      <c r="BN35" s="406"/>
      <c r="BO35" s="406"/>
      <c r="BP35" s="406"/>
      <c r="BQ35" s="406"/>
      <c r="BR35" s="406"/>
      <c r="BS35" s="406"/>
      <c r="BT35" s="406"/>
      <c r="BU35" s="406"/>
      <c r="BV35" s="406"/>
      <c r="BW35" s="406"/>
      <c r="BX35" s="406"/>
      <c r="BY35" s="406"/>
      <c r="BZ35" s="406"/>
      <c r="CA35" s="406"/>
      <c r="CB35" s="406"/>
      <c r="CC35" s="406"/>
      <c r="CD35" s="406"/>
      <c r="CE35" s="406"/>
      <c r="CF35" s="406"/>
      <c r="CG35" s="406"/>
      <c r="CH35" s="406"/>
      <c r="CI35" s="406"/>
      <c r="CJ35" s="406"/>
      <c r="CK35" s="406"/>
      <c r="CL35" s="406"/>
      <c r="CM35" s="406"/>
      <c r="CN35" s="406"/>
      <c r="CO35" s="406"/>
      <c r="CP35" s="406"/>
      <c r="CQ35" s="406"/>
      <c r="CR35" s="406"/>
      <c r="CS35" s="406"/>
      <c r="CT35" s="406"/>
      <c r="CU35" s="406"/>
      <c r="CV35" s="406"/>
      <c r="CW35" s="406"/>
      <c r="CX35" s="406"/>
      <c r="CY35" s="406"/>
      <c r="CZ35" s="406"/>
      <c r="DA35" s="406"/>
      <c r="DB35" s="406"/>
      <c r="DC35" s="406"/>
      <c r="DD35" s="406"/>
      <c r="DE35" s="406"/>
      <c r="DF35" s="406"/>
      <c r="DG35" s="406"/>
      <c r="DH35" s="406"/>
      <c r="DI35" s="406"/>
      <c r="DJ35" s="406"/>
      <c r="DK35" s="406"/>
      <c r="DL35" s="406"/>
      <c r="DM35" s="406"/>
      <c r="DN35" s="406"/>
      <c r="DO35" s="406"/>
      <c r="DP35" s="406"/>
      <c r="DQ35" s="406"/>
      <c r="DR35" s="406"/>
      <c r="DS35" s="406"/>
      <c r="DT35" s="406"/>
      <c r="DU35" s="406"/>
      <c r="DV35" s="406"/>
      <c r="DW35" s="406"/>
      <c r="DX35" s="406"/>
      <c r="DY35" s="180"/>
      <c r="DZ35" s="187"/>
      <c r="EA35" s="82">
        <f>SUMIF(I$8:DY$8,"&lt;&gt;"&amp;AgileIteration_Warranty,I35:DY35)*5*Scenario1Utilisation</f>
        <v>195.5</v>
      </c>
      <c r="EB35" s="82">
        <f t="shared" ref="EB35" si="54">EA35*Scenario1AgileContingency</f>
        <v>39.1</v>
      </c>
      <c r="EC35" s="82">
        <f>IF(Scenario1Warranty=AgileWarrantyDefault, (SUMIF(I$8:DY$8,AgileIteration_Warranty,I35:DY35)*5*Scenario1Utilisation), (EA35*Scenario1Warranty))</f>
        <v>0</v>
      </c>
      <c r="ED35" s="127">
        <f t="shared" ref="ED35" si="55">SUM(EA35:EC35)</f>
        <v>234.6</v>
      </c>
    </row>
    <row r="36" spans="1:134" s="142" customFormat="1" ht="11.25" x14ac:dyDescent="0.2">
      <c r="A36" s="210">
        <v>1</v>
      </c>
      <c r="B36" s="211" t="s">
        <v>593</v>
      </c>
      <c r="C36" s="346" t="s">
        <v>632</v>
      </c>
      <c r="D36" s="346" t="s">
        <v>632</v>
      </c>
      <c r="E36" s="431"/>
      <c r="F36" s="432"/>
      <c r="G36" s="432"/>
      <c r="H36" s="432"/>
      <c r="I36" s="347"/>
      <c r="J36" s="347"/>
      <c r="K36" s="347"/>
      <c r="L36" s="347"/>
      <c r="M36" s="347"/>
      <c r="N36" s="347"/>
      <c r="O36" s="347"/>
      <c r="P36" s="347"/>
      <c r="Q36" s="347"/>
      <c r="R36" s="347"/>
      <c r="S36" s="347"/>
      <c r="T36" s="347"/>
      <c r="U36" s="295"/>
      <c r="V36" s="295"/>
      <c r="W36" s="295"/>
      <c r="X36" s="295"/>
      <c r="Y36" s="295"/>
      <c r="Z36" s="295"/>
      <c r="AA36" s="295"/>
      <c r="AB36" s="295"/>
      <c r="AC36" s="295"/>
      <c r="AD36" s="295"/>
      <c r="AE36" s="295"/>
      <c r="AF36" s="295"/>
      <c r="AG36" s="295"/>
      <c r="AH36" s="295"/>
      <c r="AI36" s="295"/>
      <c r="AJ36" s="295"/>
      <c r="AK36" s="347"/>
      <c r="AL36" s="347"/>
      <c r="AM36" s="347"/>
      <c r="AN36" s="295"/>
      <c r="AO36" s="295"/>
      <c r="AP36" s="295"/>
      <c r="AQ36" s="295"/>
      <c r="AR36" s="295"/>
      <c r="AS36" s="295"/>
      <c r="AT36" s="295"/>
      <c r="AU36" s="295"/>
      <c r="AV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c r="BT36" s="295"/>
      <c r="BU36" s="295"/>
      <c r="BV36" s="295"/>
      <c r="BW36" s="295"/>
      <c r="BX36" s="295"/>
      <c r="BY36" s="295"/>
      <c r="BZ36" s="295"/>
      <c r="CA36" s="295"/>
      <c r="CB36" s="295"/>
      <c r="CC36" s="295"/>
      <c r="CD36" s="295"/>
      <c r="CE36" s="295"/>
      <c r="CF36" s="295"/>
      <c r="CG36" s="295"/>
      <c r="CH36" s="295"/>
      <c r="CI36" s="295"/>
      <c r="CJ36" s="295"/>
      <c r="CK36" s="295"/>
      <c r="CL36" s="295"/>
      <c r="CM36" s="295"/>
      <c r="CN36" s="295"/>
      <c r="CO36" s="295"/>
      <c r="CP36" s="295"/>
      <c r="CQ36" s="295"/>
      <c r="CR36" s="295"/>
      <c r="CS36" s="295"/>
      <c r="CT36" s="295"/>
      <c r="CU36" s="295"/>
      <c r="CV36" s="295"/>
      <c r="CW36" s="295"/>
      <c r="CX36" s="295"/>
      <c r="CY36" s="295"/>
      <c r="CZ36" s="295"/>
      <c r="DA36" s="295"/>
      <c r="DB36" s="295"/>
      <c r="DC36" s="295"/>
      <c r="DD36" s="295"/>
      <c r="DE36" s="295"/>
      <c r="DF36" s="295"/>
      <c r="DG36" s="295"/>
      <c r="DH36" s="295"/>
      <c r="DI36" s="295"/>
      <c r="DJ36" s="295"/>
      <c r="DK36" s="295"/>
      <c r="DL36" s="295"/>
      <c r="DM36" s="295"/>
      <c r="DN36" s="295"/>
      <c r="DO36" s="295"/>
      <c r="DP36" s="295"/>
      <c r="DQ36" s="295"/>
      <c r="DR36" s="295"/>
      <c r="DS36" s="295"/>
      <c r="DT36" s="295"/>
      <c r="DU36" s="295"/>
      <c r="DV36" s="295"/>
      <c r="DW36" s="295"/>
      <c r="DX36" s="295"/>
      <c r="DY36" s="294"/>
      <c r="DZ36" s="202"/>
      <c r="EA36" s="150"/>
      <c r="EB36" s="150"/>
      <c r="EC36" s="150"/>
      <c r="ED36" s="150"/>
    </row>
    <row r="37" spans="1:134" s="74" customFormat="1" ht="11.25" x14ac:dyDescent="0.2">
      <c r="A37" s="210">
        <v>2</v>
      </c>
      <c r="B37" s="211" t="s">
        <v>593</v>
      </c>
      <c r="C37" s="457" t="str">
        <f>IFERROR(VLOOKUP(D37,MappingFromSetAgiletoTTSRole,2,FALSE),"SET Agile Resource Role")</f>
        <v>Test Consultant</v>
      </c>
      <c r="D37" s="428" t="s">
        <v>633</v>
      </c>
      <c r="E37" s="433" t="s">
        <v>600</v>
      </c>
      <c r="F37" s="434" t="str">
        <f>IFERROR(VLOOKUP(C37,MappingFromTTStoSU,2,FALSE),"SU Resource Role")</f>
        <v>DWMS</v>
      </c>
      <c r="G37" s="434"/>
      <c r="H37" s="434" t="str">
        <f>C36</f>
        <v>PI0</v>
      </c>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c r="BJ37" s="406"/>
      <c r="BK37" s="406"/>
      <c r="BL37" s="406"/>
      <c r="BM37" s="406"/>
      <c r="BN37" s="406"/>
      <c r="BO37" s="406"/>
      <c r="BP37" s="406"/>
      <c r="BQ37" s="406"/>
      <c r="BR37" s="406"/>
      <c r="BS37" s="406"/>
      <c r="BT37" s="406"/>
      <c r="BU37" s="406"/>
      <c r="BV37" s="406"/>
      <c r="BW37" s="406"/>
      <c r="BX37" s="406"/>
      <c r="BY37" s="406"/>
      <c r="BZ37" s="406"/>
      <c r="CA37" s="406"/>
      <c r="CB37" s="406"/>
      <c r="CC37" s="406"/>
      <c r="CD37" s="406"/>
      <c r="CE37" s="406"/>
      <c r="CF37" s="406"/>
      <c r="CG37" s="406"/>
      <c r="CH37" s="406"/>
      <c r="CI37" s="406"/>
      <c r="CJ37" s="406"/>
      <c r="CK37" s="406"/>
      <c r="CL37" s="406"/>
      <c r="CM37" s="406"/>
      <c r="CN37" s="406"/>
      <c r="CO37" s="406"/>
      <c r="CP37" s="406"/>
      <c r="CQ37" s="406"/>
      <c r="CR37" s="406"/>
      <c r="CS37" s="406"/>
      <c r="CT37" s="406"/>
      <c r="CU37" s="406"/>
      <c r="CV37" s="406"/>
      <c r="CW37" s="406"/>
      <c r="CX37" s="406"/>
      <c r="CY37" s="406"/>
      <c r="CZ37" s="406"/>
      <c r="DA37" s="406"/>
      <c r="DB37" s="406"/>
      <c r="DC37" s="406"/>
      <c r="DD37" s="406"/>
      <c r="DE37" s="406"/>
      <c r="DF37" s="406"/>
      <c r="DG37" s="406"/>
      <c r="DH37" s="406"/>
      <c r="DI37" s="406"/>
      <c r="DJ37" s="406"/>
      <c r="DK37" s="406"/>
      <c r="DL37" s="406"/>
      <c r="DM37" s="406"/>
      <c r="DN37" s="406"/>
      <c r="DO37" s="406"/>
      <c r="DP37" s="406"/>
      <c r="DQ37" s="406"/>
      <c r="DR37" s="406"/>
      <c r="DS37" s="406"/>
      <c r="DT37" s="406"/>
      <c r="DU37" s="406"/>
      <c r="DV37" s="406"/>
      <c r="DW37" s="406"/>
      <c r="DX37" s="406"/>
      <c r="DY37" s="180"/>
      <c r="DZ37" s="187"/>
      <c r="EA37" s="82">
        <f>SUMIF(I$8:DY$8,"&lt;&gt;"&amp;AgileIteration_Warranty,I37:DY37)*5*Scenario1Utilisation</f>
        <v>0</v>
      </c>
      <c r="EB37" s="82">
        <f t="shared" ref="EB37" si="56">EA37*Scenario1AgileContingency</f>
        <v>0</v>
      </c>
      <c r="EC37" s="82">
        <f>IF(Scenario1Warranty=AgileWarrantyDefault, (SUMIF(I$8:DY$8,AgileIteration_Warranty,I37:DY37)*5*Scenario1Utilisation), (EA37*Scenario1Warranty))</f>
        <v>0</v>
      </c>
      <c r="ED37" s="127">
        <f t="shared" ref="ED37" si="57">SUM(EA37:EC37)</f>
        <v>0</v>
      </c>
    </row>
    <row r="38" spans="1:134" s="74" customFormat="1" ht="11.25" x14ac:dyDescent="0.2">
      <c r="A38" s="210">
        <v>2</v>
      </c>
      <c r="B38" s="211" t="s">
        <v>593</v>
      </c>
      <c r="C38" s="457" t="str">
        <f>IFERROR(VLOOKUP(D38,MappingFromSetAgiletoTTSRole,2,FALSE),"SET Agile Resource Role")</f>
        <v>Test Consultant Sr</v>
      </c>
      <c r="D38" s="428" t="s">
        <v>634</v>
      </c>
      <c r="E38" s="433" t="s">
        <v>600</v>
      </c>
      <c r="F38" s="434" t="str">
        <f>IFERROR(VLOOKUP(C38,MappingFromTTStoSU,2,FALSE),"SU Resource Role")</f>
        <v>DWMS</v>
      </c>
      <c r="G38" s="434"/>
      <c r="H38" s="434" t="str">
        <f>H37</f>
        <v>PI0</v>
      </c>
      <c r="I38" s="406"/>
      <c r="J38" s="406"/>
      <c r="K38" s="406"/>
      <c r="L38" s="406"/>
      <c r="M38" s="406"/>
      <c r="N38" s="406"/>
      <c r="O38" s="406"/>
      <c r="P38" s="406"/>
      <c r="Q38" s="406"/>
      <c r="R38" s="406"/>
      <c r="S38" s="406"/>
      <c r="T38" s="406"/>
      <c r="U38" s="406"/>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c r="BJ38" s="406"/>
      <c r="BK38" s="406"/>
      <c r="BL38" s="406"/>
      <c r="BM38" s="406"/>
      <c r="BN38" s="406"/>
      <c r="BO38" s="406"/>
      <c r="BP38" s="406"/>
      <c r="BQ38" s="406"/>
      <c r="BR38" s="406"/>
      <c r="BS38" s="406"/>
      <c r="BT38" s="406"/>
      <c r="BU38" s="406"/>
      <c r="BV38" s="406"/>
      <c r="BW38" s="406"/>
      <c r="BX38" s="406"/>
      <c r="BY38" s="406"/>
      <c r="BZ38" s="406"/>
      <c r="CA38" s="406"/>
      <c r="CB38" s="406"/>
      <c r="CC38" s="406"/>
      <c r="CD38" s="406"/>
      <c r="CE38" s="406"/>
      <c r="CF38" s="406"/>
      <c r="CG38" s="406"/>
      <c r="CH38" s="406"/>
      <c r="CI38" s="406"/>
      <c r="CJ38" s="406"/>
      <c r="CK38" s="406"/>
      <c r="CL38" s="406"/>
      <c r="CM38" s="406"/>
      <c r="CN38" s="406"/>
      <c r="CO38" s="406"/>
      <c r="CP38" s="406"/>
      <c r="CQ38" s="406"/>
      <c r="CR38" s="406"/>
      <c r="CS38" s="406"/>
      <c r="CT38" s="406"/>
      <c r="CU38" s="406"/>
      <c r="CV38" s="406"/>
      <c r="CW38" s="406"/>
      <c r="CX38" s="406"/>
      <c r="CY38" s="406"/>
      <c r="CZ38" s="406"/>
      <c r="DA38" s="406"/>
      <c r="DB38" s="406"/>
      <c r="DC38" s="406"/>
      <c r="DD38" s="406"/>
      <c r="DE38" s="406"/>
      <c r="DF38" s="406"/>
      <c r="DG38" s="406"/>
      <c r="DH38" s="406"/>
      <c r="DI38" s="406"/>
      <c r="DJ38" s="406"/>
      <c r="DK38" s="406"/>
      <c r="DL38" s="406"/>
      <c r="DM38" s="406"/>
      <c r="DN38" s="406"/>
      <c r="DO38" s="406"/>
      <c r="DP38" s="406"/>
      <c r="DQ38" s="406"/>
      <c r="DR38" s="406"/>
      <c r="DS38" s="406"/>
      <c r="DT38" s="406"/>
      <c r="DU38" s="406"/>
      <c r="DV38" s="406"/>
      <c r="DW38" s="406"/>
      <c r="DX38" s="406"/>
      <c r="DY38" s="180"/>
      <c r="DZ38" s="187"/>
      <c r="EA38" s="82">
        <f>SUMIF(I$8:DY$8,"&lt;&gt;"&amp;AgileIteration_Warranty,I38:DY38)*5*Scenario1Utilisation</f>
        <v>0</v>
      </c>
      <c r="EB38" s="82">
        <f t="shared" ref="EB38" si="58">EA38*Scenario1AgileContingency</f>
        <v>0</v>
      </c>
      <c r="EC38" s="82">
        <f>IF(Scenario1Warranty=AgileWarrantyDefault, (SUMIF(I$8:DY$8,AgileIteration_Warranty,I38:DY38)*5*Scenario1Utilisation), (EA38*Scenario1Warranty))</f>
        <v>0</v>
      </c>
      <c r="ED38" s="127">
        <f t="shared" ref="ED38" si="59">SUM(EA38:EC38)</f>
        <v>0</v>
      </c>
    </row>
    <row r="39" spans="1:134" s="74" customFormat="1" ht="11.25" x14ac:dyDescent="0.2">
      <c r="A39" s="210">
        <v>2</v>
      </c>
      <c r="B39" s="211" t="s">
        <v>593</v>
      </c>
      <c r="C39" s="457" t="s">
        <v>635</v>
      </c>
      <c r="D39" s="428" t="s">
        <v>636</v>
      </c>
      <c r="E39" s="433" t="s">
        <v>600</v>
      </c>
      <c r="F39" s="434" t="str">
        <f>IFERROR(VLOOKUP(C39,MappingFromTTStoSU,2,FALSE),"SU Resource Role")</f>
        <v>DWMS</v>
      </c>
      <c r="G39" s="434"/>
      <c r="H39" s="434" t="str">
        <f>H37</f>
        <v>PI0</v>
      </c>
      <c r="I39" s="40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6"/>
      <c r="BH39" s="406"/>
      <c r="BI39" s="406"/>
      <c r="BJ39" s="406"/>
      <c r="BK39" s="406"/>
      <c r="BL39" s="406"/>
      <c r="BM39" s="406"/>
      <c r="BN39" s="406"/>
      <c r="BO39" s="406"/>
      <c r="BP39" s="406"/>
      <c r="BQ39" s="406"/>
      <c r="BR39" s="406"/>
      <c r="BS39" s="406"/>
      <c r="BT39" s="406"/>
      <c r="BU39" s="406"/>
      <c r="BV39" s="406"/>
      <c r="BW39" s="406"/>
      <c r="BX39" s="406"/>
      <c r="BY39" s="406"/>
      <c r="BZ39" s="406"/>
      <c r="CA39" s="406"/>
      <c r="CB39" s="406"/>
      <c r="CC39" s="406"/>
      <c r="CD39" s="406"/>
      <c r="CE39" s="406"/>
      <c r="CF39" s="406"/>
      <c r="CG39" s="406"/>
      <c r="CH39" s="406"/>
      <c r="CI39" s="406"/>
      <c r="CJ39" s="406"/>
      <c r="CK39" s="406"/>
      <c r="CL39" s="406"/>
      <c r="CM39" s="406"/>
      <c r="CN39" s="406"/>
      <c r="CO39" s="406"/>
      <c r="CP39" s="406"/>
      <c r="CQ39" s="406"/>
      <c r="CR39" s="406"/>
      <c r="CS39" s="406"/>
      <c r="CT39" s="406"/>
      <c r="CU39" s="406"/>
      <c r="CV39" s="406"/>
      <c r="CW39" s="406"/>
      <c r="CX39" s="406"/>
      <c r="CY39" s="406"/>
      <c r="CZ39" s="406"/>
      <c r="DA39" s="406"/>
      <c r="DB39" s="406"/>
      <c r="DC39" s="406"/>
      <c r="DD39" s="406"/>
      <c r="DE39" s="406"/>
      <c r="DF39" s="406"/>
      <c r="DG39" s="406"/>
      <c r="DH39" s="406"/>
      <c r="DI39" s="406"/>
      <c r="DJ39" s="406"/>
      <c r="DK39" s="406"/>
      <c r="DL39" s="406"/>
      <c r="DM39" s="406"/>
      <c r="DN39" s="406"/>
      <c r="DO39" s="406"/>
      <c r="DP39" s="406"/>
      <c r="DQ39" s="406"/>
      <c r="DR39" s="406"/>
      <c r="DS39" s="406"/>
      <c r="DT39" s="406"/>
      <c r="DU39" s="406"/>
      <c r="DV39" s="406"/>
      <c r="DW39" s="406"/>
      <c r="DX39" s="406"/>
      <c r="DY39" s="180"/>
      <c r="DZ39" s="187"/>
      <c r="EA39" s="82">
        <f>SUMIF(I$8:DY$8,"&lt;&gt;"&amp;AgileIteration_Warranty,I39:DY39)*5*Scenario1Utilisation</f>
        <v>0</v>
      </c>
      <c r="EB39" s="82">
        <f t="shared" ref="EB39" si="60">EA39*Scenario1AgileContingency</f>
        <v>0</v>
      </c>
      <c r="EC39" s="82">
        <f>IF(Scenario1Warranty=AgileWarrantyDefault, (SUMIF(I$8:DY$8,AgileIteration_Warranty,I39:DY39)*5*Scenario1Utilisation), (EA39*Scenario1Warranty))</f>
        <v>0</v>
      </c>
      <c r="ED39" s="127">
        <f t="shared" ref="ED39" si="61">SUM(EA39:EC39)</f>
        <v>0</v>
      </c>
    </row>
    <row r="40" spans="1:134" s="142" customFormat="1" ht="13.5" customHeight="1" x14ac:dyDescent="0.2">
      <c r="A40" s="210">
        <v>1</v>
      </c>
      <c r="B40" s="211" t="s">
        <v>593</v>
      </c>
      <c r="C40" s="346" t="s">
        <v>637</v>
      </c>
      <c r="D40" s="346" t="s">
        <v>637</v>
      </c>
      <c r="E40" s="555"/>
      <c r="F40" s="432"/>
      <c r="G40" s="432"/>
      <c r="H40" s="432"/>
      <c r="I40" s="347"/>
      <c r="J40" s="347"/>
      <c r="K40" s="347"/>
      <c r="L40" s="347"/>
      <c r="M40" s="347"/>
      <c r="N40" s="347"/>
      <c r="O40" s="347"/>
      <c r="P40" s="347"/>
      <c r="Q40" s="347"/>
      <c r="R40" s="347"/>
      <c r="S40" s="347"/>
      <c r="T40" s="347"/>
      <c r="U40" s="295"/>
      <c r="V40" s="295"/>
      <c r="W40" s="295"/>
      <c r="X40" s="295"/>
      <c r="Y40" s="295"/>
      <c r="Z40" s="295"/>
      <c r="AA40" s="295"/>
      <c r="AB40" s="295"/>
      <c r="AC40" s="295"/>
      <c r="AD40" s="295"/>
      <c r="AE40" s="295"/>
      <c r="AF40" s="295"/>
      <c r="AG40" s="295"/>
      <c r="AH40" s="295"/>
      <c r="AI40" s="295"/>
      <c r="AJ40" s="295"/>
      <c r="AK40" s="347"/>
      <c r="AL40" s="347"/>
      <c r="AM40" s="347"/>
      <c r="AN40" s="295"/>
      <c r="AO40" s="295"/>
      <c r="AP40" s="295"/>
      <c r="AQ40" s="295"/>
      <c r="AR40" s="295"/>
      <c r="AS40" s="295"/>
      <c r="AT40" s="295"/>
      <c r="AU40" s="295"/>
      <c r="AV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c r="BT40" s="295"/>
      <c r="BU40" s="295"/>
      <c r="BV40" s="295"/>
      <c r="BW40" s="295"/>
      <c r="BX40" s="295"/>
      <c r="BY40" s="295"/>
      <c r="BZ40" s="295"/>
      <c r="CA40" s="295"/>
      <c r="CB40" s="295"/>
      <c r="CC40" s="295"/>
      <c r="CD40" s="295"/>
      <c r="CE40" s="295"/>
      <c r="CF40" s="295"/>
      <c r="CG40" s="295"/>
      <c r="CH40" s="295"/>
      <c r="CI40" s="295"/>
      <c r="CJ40" s="295"/>
      <c r="CK40" s="295"/>
      <c r="CL40" s="295"/>
      <c r="CM40" s="295"/>
      <c r="CN40" s="295"/>
      <c r="CO40" s="295"/>
      <c r="CP40" s="295"/>
      <c r="CQ40" s="295"/>
      <c r="CR40" s="295"/>
      <c r="CS40" s="295"/>
      <c r="CT40" s="295"/>
      <c r="CU40" s="295"/>
      <c r="CV40" s="295"/>
      <c r="CW40" s="295"/>
      <c r="CX40" s="295"/>
      <c r="CY40" s="295"/>
      <c r="CZ40" s="295"/>
      <c r="DA40" s="295"/>
      <c r="DB40" s="295"/>
      <c r="DC40" s="295"/>
      <c r="DD40" s="295"/>
      <c r="DE40" s="295"/>
      <c r="DF40" s="295"/>
      <c r="DG40" s="295"/>
      <c r="DH40" s="295"/>
      <c r="DI40" s="295"/>
      <c r="DJ40" s="295"/>
      <c r="DK40" s="295"/>
      <c r="DL40" s="295"/>
      <c r="DM40" s="295"/>
      <c r="DN40" s="295"/>
      <c r="DO40" s="295"/>
      <c r="DP40" s="295"/>
      <c r="DQ40" s="295"/>
      <c r="DR40" s="295"/>
      <c r="DS40" s="295"/>
      <c r="DT40" s="295"/>
      <c r="DU40" s="295"/>
      <c r="DV40" s="295"/>
      <c r="DW40" s="295"/>
      <c r="DX40" s="295"/>
      <c r="DY40" s="294"/>
      <c r="DZ40" s="202"/>
      <c r="EA40" s="150"/>
      <c r="EB40" s="150"/>
      <c r="EC40" s="150"/>
      <c r="ED40" s="150"/>
    </row>
    <row r="41" spans="1:134" s="74" customFormat="1" ht="11.25" x14ac:dyDescent="0.2">
      <c r="A41" s="210">
        <v>2</v>
      </c>
      <c r="B41" s="211" t="s">
        <v>593</v>
      </c>
      <c r="C41" s="457" t="str">
        <f>IFERROR(VLOOKUP(D41,MappingFromSetAgiletoTTSRole,2,FALSE),"SET Agile Resource Role")</f>
        <v>Test Consultant</v>
      </c>
      <c r="D41" s="428" t="s">
        <v>633</v>
      </c>
      <c r="E41" s="433" t="s">
        <v>600</v>
      </c>
      <c r="F41" s="434" t="str">
        <f>IFERROR(VLOOKUP(C41,MappingFromTTStoSU,2,FALSE),"SU Resource Role")</f>
        <v>DWMS</v>
      </c>
      <c r="G41" s="434" t="s">
        <v>638</v>
      </c>
      <c r="H41" s="434" t="str">
        <f>C40</f>
        <v>Automation</v>
      </c>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c r="BG41" s="406"/>
      <c r="BH41" s="406"/>
      <c r="BI41" s="406"/>
      <c r="BJ41" s="406"/>
      <c r="BK41" s="406"/>
      <c r="BL41" s="406"/>
      <c r="BM41" s="406"/>
      <c r="BN41" s="406"/>
      <c r="BO41" s="406"/>
      <c r="BP41" s="406"/>
      <c r="BQ41" s="406"/>
      <c r="BR41" s="406"/>
      <c r="BS41" s="406"/>
      <c r="BT41" s="406"/>
      <c r="BU41" s="406"/>
      <c r="BV41" s="406"/>
      <c r="BW41" s="406"/>
      <c r="BX41" s="406"/>
      <c r="BY41" s="406"/>
      <c r="BZ41" s="406"/>
      <c r="CA41" s="406"/>
      <c r="CB41" s="406"/>
      <c r="CC41" s="406"/>
      <c r="CD41" s="406"/>
      <c r="CE41" s="406"/>
      <c r="CF41" s="406"/>
      <c r="CG41" s="406"/>
      <c r="CH41" s="406"/>
      <c r="CI41" s="406"/>
      <c r="CJ41" s="406"/>
      <c r="CK41" s="406"/>
      <c r="CL41" s="406"/>
      <c r="CM41" s="406"/>
      <c r="CN41" s="406"/>
      <c r="CO41" s="406"/>
      <c r="CP41" s="406"/>
      <c r="CQ41" s="406"/>
      <c r="CR41" s="406"/>
      <c r="CS41" s="406"/>
      <c r="CT41" s="406"/>
      <c r="CU41" s="406"/>
      <c r="CV41" s="406"/>
      <c r="CW41" s="406"/>
      <c r="CX41" s="406"/>
      <c r="CY41" s="406"/>
      <c r="CZ41" s="406"/>
      <c r="DA41" s="406"/>
      <c r="DB41" s="406"/>
      <c r="DC41" s="406"/>
      <c r="DD41" s="406"/>
      <c r="DE41" s="406"/>
      <c r="DF41" s="406"/>
      <c r="DG41" s="406"/>
      <c r="DH41" s="406"/>
      <c r="DI41" s="406"/>
      <c r="DJ41" s="406"/>
      <c r="DK41" s="406"/>
      <c r="DL41" s="406"/>
      <c r="DM41" s="406"/>
      <c r="DN41" s="406"/>
      <c r="DO41" s="406"/>
      <c r="DP41" s="406"/>
      <c r="DQ41" s="406"/>
      <c r="DR41" s="406"/>
      <c r="DS41" s="406"/>
      <c r="DT41" s="406"/>
      <c r="DU41" s="406"/>
      <c r="DV41" s="406"/>
      <c r="DW41" s="406"/>
      <c r="DX41" s="406"/>
      <c r="DY41" s="180"/>
      <c r="DZ41" s="187"/>
      <c r="EA41" s="82">
        <f>SUMIF(I$8:DY$8,"&lt;&gt;"&amp;AgileIteration_Warranty,I41:DY41)*5*Scenario1Utilisation</f>
        <v>0</v>
      </c>
      <c r="EB41" s="82">
        <f t="shared" ref="EB41" si="62">EA41*Scenario1AgileContingency</f>
        <v>0</v>
      </c>
      <c r="EC41" s="82">
        <f>IF(Scenario1Warranty=AgileWarrantyDefault, (SUMIF(I$8:DY$8,AgileIteration_Warranty,I41:DY41)*5*Scenario1Utilisation), (EA41*Scenario1Warranty))</f>
        <v>0</v>
      </c>
      <c r="ED41" s="127">
        <f t="shared" ref="ED41" si="63">SUM(EA41:EC41)</f>
        <v>0</v>
      </c>
    </row>
    <row r="42" spans="1:134" s="74" customFormat="1" ht="11.25" x14ac:dyDescent="0.2">
      <c r="A42" s="210">
        <v>2</v>
      </c>
      <c r="B42" s="211" t="s">
        <v>593</v>
      </c>
      <c r="C42" s="457" t="str">
        <f>IFERROR(VLOOKUP(D42,MappingFromSetAgiletoTTSRole,2,FALSE),"SET Agile Resource Role")</f>
        <v>Test Consultant Sr</v>
      </c>
      <c r="D42" s="428" t="s">
        <v>634</v>
      </c>
      <c r="E42" s="433" t="s">
        <v>600</v>
      </c>
      <c r="F42" s="434" t="str">
        <f>IFERROR(VLOOKUP(C42,MappingFromTTStoSU,2,FALSE),"SU Resource Role")</f>
        <v>DWMS</v>
      </c>
      <c r="G42" s="434" t="s">
        <v>639</v>
      </c>
      <c r="H42" s="434" t="str">
        <f>H41</f>
        <v>Automation</v>
      </c>
      <c r="I42" s="406"/>
      <c r="J42" s="406"/>
      <c r="K42" s="406"/>
      <c r="L42" s="406"/>
      <c r="M42" s="406"/>
      <c r="N42" s="406"/>
      <c r="O42" s="406"/>
      <c r="P42" s="406"/>
      <c r="Q42" s="406"/>
      <c r="R42" s="406"/>
      <c r="S42" s="406"/>
      <c r="T42" s="406"/>
      <c r="U42" s="406">
        <v>1.5</v>
      </c>
      <c r="V42" s="406">
        <v>1.5</v>
      </c>
      <c r="W42" s="406">
        <v>1.5</v>
      </c>
      <c r="X42" s="406">
        <v>1.5</v>
      </c>
      <c r="Y42" s="406">
        <v>1.5</v>
      </c>
      <c r="Z42" s="406">
        <v>1.5</v>
      </c>
      <c r="AA42" s="406">
        <v>1.5</v>
      </c>
      <c r="AB42" s="406">
        <v>1.5</v>
      </c>
      <c r="AC42" s="406">
        <v>1.5</v>
      </c>
      <c r="AD42" s="406">
        <v>1.5</v>
      </c>
      <c r="AE42" s="406">
        <v>1.5</v>
      </c>
      <c r="AF42" s="406">
        <v>1.5</v>
      </c>
      <c r="AG42" s="406">
        <v>1.5</v>
      </c>
      <c r="AH42" s="406">
        <v>1.5</v>
      </c>
      <c r="AI42" s="406">
        <v>1.5</v>
      </c>
      <c r="AJ42" s="406">
        <v>1.5</v>
      </c>
      <c r="AK42" s="406">
        <v>1.5</v>
      </c>
      <c r="AL42" s="406">
        <v>1.5</v>
      </c>
      <c r="AM42" s="406">
        <v>1.5</v>
      </c>
      <c r="AN42" s="406">
        <v>1.5</v>
      </c>
      <c r="AO42" s="406">
        <v>1.5</v>
      </c>
      <c r="AP42" s="406">
        <v>1.5</v>
      </c>
      <c r="AQ42" s="406">
        <v>1.5</v>
      </c>
      <c r="AR42" s="406">
        <v>1.5</v>
      </c>
      <c r="AS42" s="406"/>
      <c r="AT42" s="406"/>
      <c r="AU42" s="406"/>
      <c r="AV42" s="406"/>
      <c r="AW42" s="406"/>
      <c r="AX42" s="406"/>
      <c r="AY42" s="406"/>
      <c r="AZ42" s="406"/>
      <c r="BA42" s="406"/>
      <c r="BB42" s="406"/>
      <c r="BC42" s="406"/>
      <c r="BD42" s="406"/>
      <c r="BE42" s="406"/>
      <c r="BF42" s="406"/>
      <c r="BG42" s="406"/>
      <c r="BH42" s="406"/>
      <c r="BI42" s="406"/>
      <c r="BJ42" s="406"/>
      <c r="BK42" s="406"/>
      <c r="BL42" s="406"/>
      <c r="BM42" s="406"/>
      <c r="BN42" s="406">
        <v>0.5</v>
      </c>
      <c r="BO42" s="406">
        <v>0.5</v>
      </c>
      <c r="BP42" s="406">
        <v>0.5</v>
      </c>
      <c r="BQ42" s="406">
        <v>0.5</v>
      </c>
      <c r="BR42" s="406">
        <v>0.5</v>
      </c>
      <c r="BS42" s="406">
        <v>0.5</v>
      </c>
      <c r="BT42" s="406">
        <v>0.5</v>
      </c>
      <c r="BU42" s="406">
        <v>0.5</v>
      </c>
      <c r="BV42" s="406">
        <v>0.5</v>
      </c>
      <c r="BW42" s="406">
        <v>0.5</v>
      </c>
      <c r="BX42" s="406">
        <v>0.5</v>
      </c>
      <c r="BY42" s="406">
        <v>0.5</v>
      </c>
      <c r="BZ42" s="406">
        <v>0.5</v>
      </c>
      <c r="CA42" s="406">
        <v>0.5</v>
      </c>
      <c r="CB42" s="406">
        <v>0.5</v>
      </c>
      <c r="CC42" s="406">
        <v>0.5</v>
      </c>
      <c r="CD42" s="406">
        <v>0.5</v>
      </c>
      <c r="CE42" s="406">
        <v>0.5</v>
      </c>
      <c r="CF42" s="406">
        <v>0.5</v>
      </c>
      <c r="CG42" s="406">
        <v>0.5</v>
      </c>
      <c r="CH42" s="406">
        <v>0.5</v>
      </c>
      <c r="CI42" s="406">
        <v>0.5</v>
      </c>
      <c r="CJ42" s="406">
        <v>0.5</v>
      </c>
      <c r="CK42" s="406">
        <v>0.5</v>
      </c>
      <c r="CL42" s="406">
        <v>0.5</v>
      </c>
      <c r="CM42" s="406">
        <v>0.5</v>
      </c>
      <c r="CN42" s="406">
        <v>0.5</v>
      </c>
      <c r="CO42" s="406">
        <v>0.5</v>
      </c>
      <c r="CP42" s="406">
        <v>0.5</v>
      </c>
      <c r="CQ42" s="406">
        <v>0.5</v>
      </c>
      <c r="CR42" s="406">
        <v>0.5</v>
      </c>
      <c r="CS42" s="406">
        <v>0.5</v>
      </c>
      <c r="CT42" s="406">
        <v>0.5</v>
      </c>
      <c r="CU42" s="406">
        <v>0.5</v>
      </c>
      <c r="CV42" s="406"/>
      <c r="CW42" s="406"/>
      <c r="CX42" s="406"/>
      <c r="CY42" s="406"/>
      <c r="CZ42" s="406"/>
      <c r="DA42" s="406"/>
      <c r="DB42" s="406"/>
      <c r="DC42" s="406"/>
      <c r="DD42" s="406"/>
      <c r="DE42" s="406"/>
      <c r="DF42" s="406"/>
      <c r="DG42" s="406"/>
      <c r="DH42" s="406"/>
      <c r="DI42" s="406"/>
      <c r="DJ42" s="406"/>
      <c r="DK42" s="406"/>
      <c r="DL42" s="406"/>
      <c r="DM42" s="406"/>
      <c r="DN42" s="406"/>
      <c r="DO42" s="406"/>
      <c r="DP42" s="406"/>
      <c r="DQ42" s="406"/>
      <c r="DR42" s="406"/>
      <c r="DS42" s="406"/>
      <c r="DT42" s="406"/>
      <c r="DU42" s="406"/>
      <c r="DV42" s="406"/>
      <c r="DW42" s="406"/>
      <c r="DX42" s="406"/>
      <c r="DY42" s="180"/>
      <c r="DZ42" s="187"/>
      <c r="EA42" s="82">
        <f>SUMIF(I$8:DY$8,"&lt;&gt;"&amp;AgileIteration_Warranty,I42:DY42)*5*Scenario1Utilisation</f>
        <v>225.25</v>
      </c>
      <c r="EB42" s="82">
        <f t="shared" ref="EB42" si="64">EA42*Scenario1AgileContingency</f>
        <v>45.050000000000004</v>
      </c>
      <c r="EC42" s="82">
        <f>IF(Scenario1Warranty=AgileWarrantyDefault, (SUMIF(I$8:DY$8,AgileIteration_Warranty,I42:DY42)*5*Scenario1Utilisation), (EA42*Scenario1Warranty))</f>
        <v>0</v>
      </c>
      <c r="ED42" s="127">
        <f t="shared" ref="ED42" si="65">SUM(EA42:EC42)</f>
        <v>270.3</v>
      </c>
    </row>
    <row r="43" spans="1:134" s="74" customFormat="1" ht="19.5" customHeight="1" x14ac:dyDescent="0.2">
      <c r="A43" s="210">
        <v>1</v>
      </c>
      <c r="B43" s="211" t="s">
        <v>640</v>
      </c>
      <c r="C43" s="206" t="s">
        <v>640</v>
      </c>
      <c r="D43" s="206" t="s">
        <v>640</v>
      </c>
      <c r="E43" s="436"/>
      <c r="F43" s="523" t="s">
        <v>641</v>
      </c>
      <c r="G43" s="523"/>
      <c r="H43" s="436"/>
      <c r="I43" s="216"/>
      <c r="J43" s="216"/>
      <c r="K43" s="216"/>
      <c r="L43" s="216"/>
      <c r="M43" s="216"/>
      <c r="N43" s="216"/>
      <c r="O43" s="216"/>
      <c r="P43" s="216"/>
      <c r="Q43" s="216"/>
      <c r="R43" s="216"/>
      <c r="S43" s="216"/>
      <c r="T43" s="216"/>
      <c r="U43" s="216"/>
      <c r="V43" s="216"/>
      <c r="W43" s="216"/>
      <c r="X43" s="216"/>
      <c r="Y43" s="216"/>
      <c r="Z43" s="216"/>
      <c r="AA43" s="216"/>
      <c r="AB43" s="216" t="s">
        <v>642</v>
      </c>
      <c r="AC43" s="216" t="s">
        <v>642</v>
      </c>
      <c r="AD43" s="216" t="s">
        <v>643</v>
      </c>
      <c r="AE43" s="216" t="s">
        <v>643</v>
      </c>
      <c r="AF43" s="216" t="s">
        <v>643</v>
      </c>
      <c r="AG43" s="216" t="s">
        <v>570</v>
      </c>
      <c r="AH43" s="216" t="s">
        <v>570</v>
      </c>
      <c r="AI43" s="216" t="s">
        <v>570</v>
      </c>
      <c r="AJ43" s="216" t="s">
        <v>570</v>
      </c>
      <c r="AK43" s="216" t="s">
        <v>194</v>
      </c>
      <c r="AL43" s="216" t="s">
        <v>194</v>
      </c>
      <c r="AM43" s="216" t="s">
        <v>194</v>
      </c>
      <c r="AN43" s="216" t="s">
        <v>194</v>
      </c>
      <c r="AO43" s="216" t="s">
        <v>194</v>
      </c>
      <c r="AP43" s="216" t="s">
        <v>194</v>
      </c>
      <c r="AQ43" s="216" t="s">
        <v>194</v>
      </c>
      <c r="AR43" s="216" t="s">
        <v>644</v>
      </c>
      <c r="AS43" s="216" t="s">
        <v>644</v>
      </c>
      <c r="AT43" s="216" t="s">
        <v>645</v>
      </c>
      <c r="AU43" s="216" t="s">
        <v>571</v>
      </c>
      <c r="AV43" s="216" t="s">
        <v>571</v>
      </c>
      <c r="AW43" s="216" t="s">
        <v>646</v>
      </c>
      <c r="AX43" s="216" t="s">
        <v>646</v>
      </c>
      <c r="AY43" s="216" t="s">
        <v>646</v>
      </c>
      <c r="AZ43" s="216" t="s">
        <v>646</v>
      </c>
      <c r="BA43" s="216" t="s">
        <v>647</v>
      </c>
      <c r="BB43" s="216" t="s">
        <v>647</v>
      </c>
      <c r="BC43" s="216" t="s">
        <v>648</v>
      </c>
      <c r="BD43" s="216" t="s">
        <v>648</v>
      </c>
      <c r="BE43" s="216" t="s">
        <v>648</v>
      </c>
      <c r="BF43" s="216" t="s">
        <v>649</v>
      </c>
      <c r="BG43" s="216" t="s">
        <v>649</v>
      </c>
      <c r="BH43" s="216" t="s">
        <v>649</v>
      </c>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c r="CR43" s="216"/>
      <c r="CS43" s="216"/>
      <c r="CT43" s="216"/>
      <c r="CU43" s="216"/>
      <c r="CV43" s="216"/>
      <c r="CW43" s="216"/>
      <c r="CX43" s="216"/>
      <c r="CY43" s="216"/>
      <c r="CZ43" s="216"/>
      <c r="DA43" s="216"/>
      <c r="DB43" s="216"/>
      <c r="DC43" s="216"/>
      <c r="DD43" s="216"/>
      <c r="DE43" s="216"/>
      <c r="DF43" s="216"/>
      <c r="DG43" s="216"/>
      <c r="DH43" s="216"/>
      <c r="DI43" s="216"/>
      <c r="DJ43" s="216"/>
      <c r="DK43" s="216"/>
      <c r="DL43" s="216"/>
      <c r="DM43" s="216"/>
      <c r="DN43" s="216"/>
      <c r="DO43" s="216"/>
      <c r="DP43" s="216"/>
      <c r="DQ43" s="216"/>
      <c r="DR43" s="216"/>
      <c r="DS43" s="216"/>
      <c r="DT43" s="216"/>
      <c r="DU43" s="216"/>
      <c r="DV43" s="216"/>
      <c r="DW43" s="216"/>
      <c r="DX43" s="216"/>
      <c r="DY43" s="185"/>
      <c r="DZ43" s="187"/>
      <c r="EA43" s="127"/>
      <c r="EB43" s="127"/>
      <c r="EC43" s="127"/>
      <c r="ED43" s="127"/>
    </row>
    <row r="44" spans="1:134" s="74" customFormat="1" ht="11.25" customHeight="1" x14ac:dyDescent="0.2">
      <c r="A44" s="581">
        <v>2</v>
      </c>
      <c r="B44" s="584" t="s">
        <v>640</v>
      </c>
      <c r="C44" s="457" t="str">
        <f>IFERROR(VLOOKUP(D44,MappingFromSetAgiletoTTSRole,2,FALSE),"SET Agile Resource Role")</f>
        <v>Project Manager</v>
      </c>
      <c r="D44" s="398" t="s">
        <v>650</v>
      </c>
      <c r="E44" s="435"/>
      <c r="F44" s="443" t="s">
        <v>607</v>
      </c>
      <c r="G44" s="443"/>
      <c r="H44" s="434" t="str">
        <f>C43</f>
        <v>Data Migration</v>
      </c>
      <c r="I44" s="406"/>
      <c r="J44" s="406"/>
      <c r="K44" s="406"/>
      <c r="L44" s="406"/>
      <c r="M44" s="406"/>
      <c r="N44" s="406"/>
      <c r="O44" s="406"/>
      <c r="P44" s="406"/>
      <c r="Q44" s="406"/>
      <c r="R44" s="406"/>
      <c r="S44" s="406"/>
      <c r="T44" s="406"/>
      <c r="U44" s="179"/>
      <c r="V44" s="179"/>
      <c r="W44" s="179"/>
      <c r="X44" s="179"/>
      <c r="Y44" s="179"/>
      <c r="Z44" s="179"/>
      <c r="AA44" s="179"/>
      <c r="AB44" s="179"/>
      <c r="AC44" s="179"/>
      <c r="AD44" s="179"/>
      <c r="AE44" s="179"/>
      <c r="AF44" s="181"/>
      <c r="AG44" s="181"/>
      <c r="AH44" s="181"/>
      <c r="AI44" s="181"/>
      <c r="AJ44" s="181"/>
      <c r="AK44" s="181"/>
      <c r="AL44" s="181"/>
      <c r="AM44" s="181"/>
      <c r="AN44" s="181"/>
      <c r="AO44" s="181"/>
      <c r="AP44" s="181"/>
      <c r="AQ44" s="181"/>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c r="CX44" s="179"/>
      <c r="CY44" s="179"/>
      <c r="CZ44" s="179"/>
      <c r="DA44" s="179"/>
      <c r="DB44" s="179"/>
      <c r="DC44" s="179"/>
      <c r="DD44" s="179"/>
      <c r="DE44" s="179"/>
      <c r="DF44" s="179"/>
      <c r="DG44" s="179"/>
      <c r="DH44" s="179"/>
      <c r="DI44" s="179"/>
      <c r="DJ44" s="179"/>
      <c r="DK44" s="179"/>
      <c r="DL44" s="179"/>
      <c r="DM44" s="179"/>
      <c r="DN44" s="179"/>
      <c r="DO44" s="179"/>
      <c r="DP44" s="179"/>
      <c r="DQ44" s="179"/>
      <c r="DR44" s="179"/>
      <c r="DS44" s="179"/>
      <c r="DT44" s="179"/>
      <c r="DU44" s="179"/>
      <c r="DV44" s="179"/>
      <c r="DW44" s="179"/>
      <c r="DX44" s="179"/>
      <c r="DY44" s="583"/>
      <c r="DZ44" s="187"/>
      <c r="EA44" s="82">
        <f t="shared" ref="EA44:EA49" si="66">SUMIF(I$8:DY$8,"&lt;&gt;"&amp;AgileIteration_Warranty,I44:DY44)*5*Scenario1Utilisation</f>
        <v>0</v>
      </c>
      <c r="EB44" s="82">
        <f t="shared" si="8"/>
        <v>0</v>
      </c>
      <c r="EC44" s="82">
        <f t="shared" ref="EC44:EC49" si="67">IF(Scenario1Warranty=AgileWarrantyDefault, (SUMIF(I$8:DY$8,AgileIteration_Warranty,I44:DY44)*5*Scenario1Utilisation), (EA44*Scenario1Warranty))</f>
        <v>0</v>
      </c>
      <c r="ED44" s="127">
        <f t="shared" si="10"/>
        <v>0</v>
      </c>
    </row>
    <row r="45" spans="1:134" s="74" customFormat="1" ht="11.25" customHeight="1" x14ac:dyDescent="0.2">
      <c r="A45" s="581">
        <v>2</v>
      </c>
      <c r="B45" s="584" t="s">
        <v>640</v>
      </c>
      <c r="C45" s="457" t="s">
        <v>604</v>
      </c>
      <c r="D45" s="398" t="s">
        <v>584</v>
      </c>
      <c r="E45" s="435" t="s">
        <v>600</v>
      </c>
      <c r="F45" s="443" t="str">
        <f>IFERROR(VLOOKUP(C45,MappingFromTTStoSU,2,FALSE),"SU Resource Role")</f>
        <v>DWMS</v>
      </c>
      <c r="G45" s="443"/>
      <c r="H45" s="434" t="str">
        <f>H44</f>
        <v>Data Migration</v>
      </c>
      <c r="I45" s="406"/>
      <c r="J45" s="406"/>
      <c r="K45" s="406"/>
      <c r="L45" s="406"/>
      <c r="M45" s="406"/>
      <c r="N45" s="406"/>
      <c r="O45" s="406"/>
      <c r="P45" s="406"/>
      <c r="Q45" s="406"/>
      <c r="R45" s="406"/>
      <c r="S45" s="406"/>
      <c r="T45" s="406"/>
      <c r="U45" s="179"/>
      <c r="V45" s="179"/>
      <c r="W45" s="179"/>
      <c r="X45" s="179"/>
      <c r="Y45" s="179"/>
      <c r="Z45" s="179"/>
      <c r="AA45" s="179"/>
      <c r="AB45" s="179">
        <v>1</v>
      </c>
      <c r="AC45" s="179">
        <v>1</v>
      </c>
      <c r="AD45" s="179">
        <v>1</v>
      </c>
      <c r="AE45" s="179">
        <v>1</v>
      </c>
      <c r="AF45" s="181">
        <v>1</v>
      </c>
      <c r="AG45" s="181">
        <v>1</v>
      </c>
      <c r="AH45" s="181">
        <v>1</v>
      </c>
      <c r="AI45" s="181">
        <v>1</v>
      </c>
      <c r="AJ45" s="181">
        <v>1</v>
      </c>
      <c r="AK45" s="181">
        <v>1</v>
      </c>
      <c r="AL45" s="181">
        <v>0.5</v>
      </c>
      <c r="AM45" s="181">
        <v>0.5</v>
      </c>
      <c r="AN45" s="181">
        <v>0.5</v>
      </c>
      <c r="AO45" s="181">
        <v>0.5</v>
      </c>
      <c r="AP45" s="181">
        <v>0.5</v>
      </c>
      <c r="AQ45" s="181">
        <v>0.5</v>
      </c>
      <c r="AR45" s="179">
        <v>0.5</v>
      </c>
      <c r="AS45" s="179">
        <v>0.5</v>
      </c>
      <c r="AT45" s="179">
        <v>0.5</v>
      </c>
      <c r="AU45" s="179">
        <v>0.5</v>
      </c>
      <c r="AV45" s="179">
        <v>0.5</v>
      </c>
      <c r="AW45" s="179">
        <v>0.5</v>
      </c>
      <c r="AX45" s="179">
        <v>0.5</v>
      </c>
      <c r="AY45" s="179">
        <v>0.5</v>
      </c>
      <c r="AZ45" s="179">
        <v>0.5</v>
      </c>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c r="CX45" s="179"/>
      <c r="CY45" s="179"/>
      <c r="CZ45" s="179"/>
      <c r="DA45" s="179"/>
      <c r="DB45" s="179"/>
      <c r="DC45" s="179"/>
      <c r="DD45" s="179"/>
      <c r="DE45" s="179"/>
      <c r="DF45" s="179"/>
      <c r="DG45" s="179"/>
      <c r="DH45" s="179"/>
      <c r="DI45" s="179"/>
      <c r="DJ45" s="179"/>
      <c r="DK45" s="179"/>
      <c r="DL45" s="179"/>
      <c r="DM45" s="179"/>
      <c r="DN45" s="179"/>
      <c r="DO45" s="179"/>
      <c r="DP45" s="179"/>
      <c r="DQ45" s="179"/>
      <c r="DR45" s="179"/>
      <c r="DS45" s="179"/>
      <c r="DT45" s="179"/>
      <c r="DU45" s="179"/>
      <c r="DV45" s="179"/>
      <c r="DW45" s="179"/>
      <c r="DX45" s="179"/>
      <c r="DY45" s="583"/>
      <c r="DZ45" s="187"/>
      <c r="EA45" s="82">
        <f t="shared" si="66"/>
        <v>74.375</v>
      </c>
      <c r="EB45" s="82">
        <f t="shared" ref="EB45" si="68">EA45*Scenario1AgileContingency</f>
        <v>14.875</v>
      </c>
      <c r="EC45" s="82">
        <f t="shared" si="67"/>
        <v>0</v>
      </c>
      <c r="ED45" s="127">
        <f t="shared" ref="ED45" si="69">SUM(EA45:EC45)</f>
        <v>89.25</v>
      </c>
    </row>
    <row r="46" spans="1:134" s="74" customFormat="1" ht="11.25" customHeight="1" x14ac:dyDescent="0.2">
      <c r="A46" s="581">
        <v>2</v>
      </c>
      <c r="B46" s="584" t="s">
        <v>640</v>
      </c>
      <c r="C46" s="457" t="s">
        <v>635</v>
      </c>
      <c r="D46" s="398" t="s">
        <v>636</v>
      </c>
      <c r="E46" s="435" t="s">
        <v>600</v>
      </c>
      <c r="F46" s="443" t="str">
        <f>IFERROR(VLOOKUP(C46,MappingFromTTStoSU,2,FALSE),"SU Resource Role")</f>
        <v>DWMS</v>
      </c>
      <c r="G46" s="443"/>
      <c r="H46" s="434" t="str">
        <f>H45</f>
        <v>Data Migration</v>
      </c>
      <c r="I46" s="406"/>
      <c r="J46" s="406"/>
      <c r="K46" s="406"/>
      <c r="L46" s="406"/>
      <c r="M46" s="406"/>
      <c r="N46" s="406"/>
      <c r="O46" s="406"/>
      <c r="P46" s="406"/>
      <c r="Q46" s="406"/>
      <c r="R46" s="406"/>
      <c r="S46" s="406"/>
      <c r="T46" s="406"/>
      <c r="U46" s="179"/>
      <c r="V46" s="179"/>
      <c r="W46" s="179"/>
      <c r="X46" s="179"/>
      <c r="Y46" s="179"/>
      <c r="Z46" s="179"/>
      <c r="AA46" s="179"/>
      <c r="AB46" s="179">
        <v>1</v>
      </c>
      <c r="AC46" s="179">
        <v>1</v>
      </c>
      <c r="AD46" s="179">
        <v>1</v>
      </c>
      <c r="AE46" s="179">
        <v>1</v>
      </c>
      <c r="AF46" s="181">
        <v>1</v>
      </c>
      <c r="AG46" s="181">
        <v>1</v>
      </c>
      <c r="AH46" s="181">
        <v>1</v>
      </c>
      <c r="AI46" s="181">
        <v>1</v>
      </c>
      <c r="AJ46" s="181">
        <v>1</v>
      </c>
      <c r="AK46" s="181">
        <v>1</v>
      </c>
      <c r="AL46" s="181">
        <v>1</v>
      </c>
      <c r="AM46" s="181">
        <v>1</v>
      </c>
      <c r="AN46" s="181">
        <v>1</v>
      </c>
      <c r="AO46" s="181">
        <v>1</v>
      </c>
      <c r="AP46" s="181">
        <v>1</v>
      </c>
      <c r="AQ46" s="181">
        <v>1</v>
      </c>
      <c r="AR46" s="179">
        <v>1</v>
      </c>
      <c r="AS46" s="179">
        <v>1</v>
      </c>
      <c r="AT46" s="179">
        <v>1</v>
      </c>
      <c r="AU46" s="179">
        <v>1</v>
      </c>
      <c r="AV46" s="179">
        <v>1</v>
      </c>
      <c r="AW46" s="179">
        <v>1</v>
      </c>
      <c r="AX46" s="179">
        <v>1</v>
      </c>
      <c r="AY46" s="179">
        <v>1</v>
      </c>
      <c r="AZ46" s="179">
        <v>0.5</v>
      </c>
      <c r="BA46" s="179">
        <v>0.5</v>
      </c>
      <c r="BB46" s="179">
        <v>0.5</v>
      </c>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c r="CX46" s="179"/>
      <c r="CY46" s="179"/>
      <c r="CZ46" s="179"/>
      <c r="DA46" s="179"/>
      <c r="DB46" s="179"/>
      <c r="DC46" s="179"/>
      <c r="DD46" s="179"/>
      <c r="DE46" s="179"/>
      <c r="DF46" s="179"/>
      <c r="DG46" s="179"/>
      <c r="DH46" s="179"/>
      <c r="DI46" s="179"/>
      <c r="DJ46" s="179"/>
      <c r="DK46" s="179"/>
      <c r="DL46" s="179"/>
      <c r="DM46" s="179"/>
      <c r="DN46" s="179"/>
      <c r="DO46" s="179"/>
      <c r="DP46" s="179"/>
      <c r="DQ46" s="179"/>
      <c r="DR46" s="179"/>
      <c r="DS46" s="179"/>
      <c r="DT46" s="179"/>
      <c r="DU46" s="179"/>
      <c r="DV46" s="179"/>
      <c r="DW46" s="179"/>
      <c r="DX46" s="179"/>
      <c r="DY46" s="583"/>
      <c r="DZ46" s="187"/>
      <c r="EA46" s="82">
        <f t="shared" si="66"/>
        <v>108.375</v>
      </c>
      <c r="EB46" s="82">
        <f t="shared" ref="EB46" si="70">EA46*Scenario1AgileContingency</f>
        <v>21.675000000000001</v>
      </c>
      <c r="EC46" s="82">
        <f t="shared" si="67"/>
        <v>0</v>
      </c>
      <c r="ED46" s="127">
        <f t="shared" ref="ED46" si="71">SUM(EA46:EC46)</f>
        <v>130.05000000000001</v>
      </c>
    </row>
    <row r="47" spans="1:134" s="74" customFormat="1" ht="11.25" customHeight="1" x14ac:dyDescent="0.2">
      <c r="A47" s="581">
        <v>2</v>
      </c>
      <c r="B47" s="584" t="s">
        <v>640</v>
      </c>
      <c r="C47" s="457" t="s">
        <v>651</v>
      </c>
      <c r="D47" s="398" t="s">
        <v>633</v>
      </c>
      <c r="E47" s="435" t="s">
        <v>600</v>
      </c>
      <c r="F47" s="443" t="str">
        <f>IFERROR(VLOOKUP(C47,MappingFromTTStoSU,2,FALSE),"SU Resource Role")</f>
        <v>DWMS</v>
      </c>
      <c r="G47" s="443"/>
      <c r="H47" s="434" t="str">
        <f>H46</f>
        <v>Data Migration</v>
      </c>
      <c r="I47" s="406"/>
      <c r="J47" s="406"/>
      <c r="K47" s="406"/>
      <c r="L47" s="406"/>
      <c r="M47" s="406"/>
      <c r="N47" s="406"/>
      <c r="O47" s="406"/>
      <c r="P47" s="406"/>
      <c r="Q47" s="406"/>
      <c r="R47" s="406"/>
      <c r="S47" s="406"/>
      <c r="T47" s="406"/>
      <c r="U47" s="179"/>
      <c r="V47" s="179"/>
      <c r="W47" s="179"/>
      <c r="X47" s="179"/>
      <c r="Y47" s="179"/>
      <c r="Z47" s="179"/>
      <c r="AA47" s="179"/>
      <c r="AB47" s="179"/>
      <c r="AC47" s="179"/>
      <c r="AD47" s="179"/>
      <c r="AE47" s="179"/>
      <c r="AF47" s="181"/>
      <c r="AG47" s="181"/>
      <c r="AH47" s="181"/>
      <c r="AI47" s="181"/>
      <c r="AJ47" s="181"/>
      <c r="AK47" s="181"/>
      <c r="AL47" s="181"/>
      <c r="AM47" s="181"/>
      <c r="AN47" s="181">
        <v>1</v>
      </c>
      <c r="AO47" s="181">
        <v>1</v>
      </c>
      <c r="AP47" s="181">
        <v>1</v>
      </c>
      <c r="AQ47" s="181">
        <v>1</v>
      </c>
      <c r="AR47" s="179">
        <v>1</v>
      </c>
      <c r="AS47" s="179">
        <v>1</v>
      </c>
      <c r="AT47" s="179">
        <v>1</v>
      </c>
      <c r="AU47" s="179">
        <v>1</v>
      </c>
      <c r="AV47" s="179">
        <v>1</v>
      </c>
      <c r="AW47" s="179">
        <v>1</v>
      </c>
      <c r="AX47" s="179">
        <v>1</v>
      </c>
      <c r="AY47" s="179">
        <v>1</v>
      </c>
      <c r="AZ47" s="179">
        <v>0.5</v>
      </c>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c r="CX47" s="179"/>
      <c r="CY47" s="179"/>
      <c r="CZ47" s="179"/>
      <c r="DA47" s="179"/>
      <c r="DB47" s="179"/>
      <c r="DC47" s="179"/>
      <c r="DD47" s="179"/>
      <c r="DE47" s="179"/>
      <c r="DF47" s="179"/>
      <c r="DG47" s="179"/>
      <c r="DH47" s="179"/>
      <c r="DI47" s="179"/>
      <c r="DJ47" s="179"/>
      <c r="DK47" s="179"/>
      <c r="DL47" s="179"/>
      <c r="DM47" s="179"/>
      <c r="DN47" s="179"/>
      <c r="DO47" s="179"/>
      <c r="DP47" s="179"/>
      <c r="DQ47" s="179"/>
      <c r="DR47" s="179"/>
      <c r="DS47" s="179"/>
      <c r="DT47" s="179"/>
      <c r="DU47" s="179"/>
      <c r="DV47" s="179"/>
      <c r="DW47" s="179"/>
      <c r="DX47" s="179"/>
      <c r="DY47" s="583"/>
      <c r="DZ47" s="187"/>
      <c r="EA47" s="82">
        <f t="shared" si="66"/>
        <v>53.125</v>
      </c>
      <c r="EB47" s="82">
        <f t="shared" ref="EB47" si="72">EA47*Scenario1AgileContingency</f>
        <v>10.625</v>
      </c>
      <c r="EC47" s="82">
        <f t="shared" si="67"/>
        <v>0</v>
      </c>
      <c r="ED47" s="127">
        <f t="shared" ref="ED47" si="73">SUM(EA47:EC47)</f>
        <v>63.75</v>
      </c>
    </row>
    <row r="48" spans="1:134" s="74" customFormat="1" ht="11.25" customHeight="1" x14ac:dyDescent="0.2">
      <c r="A48" s="581">
        <v>2</v>
      </c>
      <c r="B48" s="584" t="s">
        <v>640</v>
      </c>
      <c r="C48" s="457" t="s">
        <v>635</v>
      </c>
      <c r="D48" s="398" t="s">
        <v>636</v>
      </c>
      <c r="E48" s="435" t="s">
        <v>596</v>
      </c>
      <c r="F48" s="443" t="str">
        <f>IFERROR(VLOOKUP(C48,MappingFromTTStoSU,2,FALSE),"SU Resource Role")</f>
        <v>DWMS</v>
      </c>
      <c r="G48" s="443"/>
      <c r="H48" s="434" t="str">
        <f>H45</f>
        <v>Data Migration</v>
      </c>
      <c r="I48" s="406"/>
      <c r="J48" s="406"/>
      <c r="K48" s="406"/>
      <c r="L48" s="406"/>
      <c r="M48" s="406"/>
      <c r="N48" s="406"/>
      <c r="O48" s="406"/>
      <c r="P48" s="406"/>
      <c r="Q48" s="406"/>
      <c r="R48" s="406"/>
      <c r="S48" s="406"/>
      <c r="T48" s="406"/>
      <c r="U48" s="179"/>
      <c r="V48" s="179"/>
      <c r="W48" s="179"/>
      <c r="X48" s="179"/>
      <c r="Y48" s="179"/>
      <c r="Z48" s="179"/>
      <c r="AA48" s="179"/>
      <c r="AB48" s="179">
        <v>1</v>
      </c>
      <c r="AC48" s="179">
        <v>1</v>
      </c>
      <c r="AD48" s="179">
        <v>1</v>
      </c>
      <c r="AE48" s="179">
        <v>1</v>
      </c>
      <c r="AF48" s="181">
        <v>1</v>
      </c>
      <c r="AG48" s="181">
        <v>1</v>
      </c>
      <c r="AH48" s="181">
        <v>1</v>
      </c>
      <c r="AI48" s="181">
        <v>1</v>
      </c>
      <c r="AJ48" s="181">
        <v>1</v>
      </c>
      <c r="AK48" s="181">
        <v>1</v>
      </c>
      <c r="AL48" s="181">
        <v>1</v>
      </c>
      <c r="AM48" s="181">
        <v>1</v>
      </c>
      <c r="AN48" s="181">
        <v>1</v>
      </c>
      <c r="AO48" s="181">
        <v>1</v>
      </c>
      <c r="AP48" s="181">
        <v>1</v>
      </c>
      <c r="AQ48" s="181">
        <v>1</v>
      </c>
      <c r="AR48" s="179">
        <v>1</v>
      </c>
      <c r="AS48" s="179">
        <v>1</v>
      </c>
      <c r="AT48" s="179">
        <v>1</v>
      </c>
      <c r="AU48" s="179">
        <v>1</v>
      </c>
      <c r="AV48" s="179">
        <v>1</v>
      </c>
      <c r="AW48" s="179">
        <v>1</v>
      </c>
      <c r="AX48" s="179">
        <v>1</v>
      </c>
      <c r="AY48" s="179">
        <v>1</v>
      </c>
      <c r="AZ48" s="179">
        <v>1</v>
      </c>
      <c r="BA48" s="179">
        <v>1</v>
      </c>
      <c r="BB48" s="179">
        <v>1</v>
      </c>
      <c r="BC48" s="179">
        <v>1</v>
      </c>
      <c r="BD48" s="179">
        <v>1</v>
      </c>
      <c r="BE48" s="179">
        <v>1</v>
      </c>
      <c r="BF48" s="179">
        <v>1</v>
      </c>
      <c r="BG48" s="179">
        <v>1</v>
      </c>
      <c r="BH48" s="179">
        <v>1</v>
      </c>
      <c r="BI48" s="179">
        <v>1</v>
      </c>
      <c r="BJ48" s="179">
        <v>1</v>
      </c>
      <c r="BK48" s="179">
        <v>1</v>
      </c>
      <c r="BL48" s="179">
        <v>1</v>
      </c>
      <c r="BM48" s="179">
        <v>1</v>
      </c>
      <c r="BN48" s="179">
        <v>1</v>
      </c>
      <c r="BO48" s="179">
        <v>1</v>
      </c>
      <c r="BP48" s="179">
        <v>1</v>
      </c>
      <c r="BQ48" s="179">
        <v>1</v>
      </c>
      <c r="BR48" s="179">
        <v>1</v>
      </c>
      <c r="BS48" s="179">
        <v>1</v>
      </c>
      <c r="BT48" s="179">
        <v>1</v>
      </c>
      <c r="BU48" s="179">
        <v>1</v>
      </c>
      <c r="BV48" s="179">
        <v>1</v>
      </c>
      <c r="BW48" s="179">
        <v>1</v>
      </c>
      <c r="BX48" s="179">
        <v>1</v>
      </c>
      <c r="BY48" s="179">
        <v>1</v>
      </c>
      <c r="BZ48" s="179">
        <v>1</v>
      </c>
      <c r="CA48" s="179">
        <v>1</v>
      </c>
      <c r="CB48" s="179">
        <v>1</v>
      </c>
      <c r="CC48" s="179">
        <v>1</v>
      </c>
      <c r="CD48" s="179">
        <v>1</v>
      </c>
      <c r="CE48" s="179">
        <v>1</v>
      </c>
      <c r="CF48" s="179">
        <v>1</v>
      </c>
      <c r="CG48" s="179">
        <v>1</v>
      </c>
      <c r="CH48" s="179">
        <v>1</v>
      </c>
      <c r="CI48" s="179">
        <v>1</v>
      </c>
      <c r="CJ48" s="179">
        <v>1</v>
      </c>
      <c r="CK48" s="179">
        <v>1</v>
      </c>
      <c r="CL48" s="179">
        <v>1</v>
      </c>
      <c r="CM48" s="179">
        <v>1</v>
      </c>
      <c r="CN48" s="179">
        <v>1</v>
      </c>
      <c r="CO48" s="179">
        <v>1</v>
      </c>
      <c r="CP48" s="179">
        <v>1</v>
      </c>
      <c r="CQ48" s="179">
        <v>1</v>
      </c>
      <c r="CR48" s="179">
        <v>1</v>
      </c>
      <c r="CS48" s="179">
        <v>1</v>
      </c>
      <c r="CT48" s="179">
        <v>1</v>
      </c>
      <c r="CU48" s="179">
        <v>1</v>
      </c>
      <c r="CV48" s="179">
        <v>1</v>
      </c>
      <c r="CW48" s="179">
        <v>1</v>
      </c>
      <c r="CX48" s="179">
        <v>1</v>
      </c>
      <c r="CY48" s="179">
        <v>1</v>
      </c>
      <c r="CZ48" s="179">
        <v>1</v>
      </c>
      <c r="DA48" s="179">
        <v>1</v>
      </c>
      <c r="DB48" s="179">
        <v>1</v>
      </c>
      <c r="DC48" s="179">
        <v>1</v>
      </c>
      <c r="DD48" s="179">
        <v>1</v>
      </c>
      <c r="DE48" s="179">
        <v>1</v>
      </c>
      <c r="DF48" s="179">
        <v>1</v>
      </c>
      <c r="DG48" s="179">
        <v>1</v>
      </c>
      <c r="DH48" s="179">
        <v>1</v>
      </c>
      <c r="DI48" s="179">
        <v>1</v>
      </c>
      <c r="DJ48" s="179">
        <v>1</v>
      </c>
      <c r="DK48" s="179">
        <v>1</v>
      </c>
      <c r="DL48" s="179">
        <v>1</v>
      </c>
      <c r="DM48" s="179"/>
      <c r="DN48" s="179"/>
      <c r="DO48" s="179"/>
      <c r="DP48" s="179"/>
      <c r="DQ48" s="179"/>
      <c r="DR48" s="179"/>
      <c r="DS48" s="179"/>
      <c r="DT48" s="179"/>
      <c r="DU48" s="179"/>
      <c r="DV48" s="179"/>
      <c r="DW48" s="179"/>
      <c r="DX48" s="179"/>
      <c r="DY48" s="583"/>
      <c r="DZ48" s="187"/>
      <c r="EA48" s="82">
        <f t="shared" si="66"/>
        <v>374</v>
      </c>
      <c r="EB48" s="82">
        <f t="shared" ref="EB48" si="74">EA48*Scenario1AgileContingency</f>
        <v>74.8</v>
      </c>
      <c r="EC48" s="82">
        <f t="shared" si="67"/>
        <v>4.25</v>
      </c>
      <c r="ED48" s="127">
        <f t="shared" ref="ED48" si="75">SUM(EA48:EC48)</f>
        <v>453.05</v>
      </c>
    </row>
    <row r="49" spans="1:134" s="74" customFormat="1" ht="11.25" customHeight="1" x14ac:dyDescent="0.2">
      <c r="A49" s="581">
        <v>2</v>
      </c>
      <c r="B49" s="584" t="s">
        <v>640</v>
      </c>
      <c r="C49" s="457" t="str">
        <f>IFERROR(VLOOKUP(D49,MappingFromSetAgiletoTTSRole,2,FALSE),"SET Agile Resource Role")</f>
        <v>Software Developer</v>
      </c>
      <c r="D49" s="398" t="s">
        <v>636</v>
      </c>
      <c r="E49" s="435" t="s">
        <v>596</v>
      </c>
      <c r="F49" s="443" t="str">
        <f>IFERROR(VLOOKUP(C49,MappingFromTTStoSU,2,FALSE),"SU Resource Role")</f>
        <v>DWMS</v>
      </c>
      <c r="G49" s="443"/>
      <c r="H49" s="434" t="str">
        <f>H44</f>
        <v>Data Migration</v>
      </c>
      <c r="I49" s="406"/>
      <c r="J49" s="406"/>
      <c r="K49" s="406"/>
      <c r="L49" s="406"/>
      <c r="M49" s="406"/>
      <c r="N49" s="406"/>
      <c r="O49" s="406"/>
      <c r="P49" s="406"/>
      <c r="Q49" s="406"/>
      <c r="R49" s="406"/>
      <c r="S49" s="406"/>
      <c r="T49" s="406"/>
      <c r="U49" s="179"/>
      <c r="V49" s="179"/>
      <c r="W49" s="179"/>
      <c r="X49" s="179"/>
      <c r="Y49" s="179"/>
      <c r="Z49" s="179"/>
      <c r="AA49" s="179"/>
      <c r="AB49" s="179"/>
      <c r="AC49" s="179"/>
      <c r="AD49" s="179"/>
      <c r="AE49" s="179"/>
      <c r="AF49" s="181"/>
      <c r="AG49" s="181"/>
      <c r="AH49" s="181"/>
      <c r="AI49" s="181"/>
      <c r="AJ49" s="181"/>
      <c r="AK49" s="181"/>
      <c r="AL49" s="181"/>
      <c r="AM49" s="181"/>
      <c r="AN49" s="181"/>
      <c r="AO49" s="181"/>
      <c r="AP49" s="181"/>
      <c r="AQ49" s="181"/>
      <c r="AR49" s="179">
        <v>1</v>
      </c>
      <c r="AS49" s="179">
        <v>1</v>
      </c>
      <c r="AT49" s="179">
        <v>1</v>
      </c>
      <c r="AU49" s="179">
        <v>1</v>
      </c>
      <c r="AV49" s="179">
        <v>1</v>
      </c>
      <c r="AW49" s="179">
        <v>1</v>
      </c>
      <c r="AX49" s="179">
        <v>1</v>
      </c>
      <c r="AY49" s="179">
        <v>1</v>
      </c>
      <c r="AZ49" s="179">
        <v>1</v>
      </c>
      <c r="BA49" s="179">
        <v>1</v>
      </c>
      <c r="BB49" s="179">
        <v>1</v>
      </c>
      <c r="BC49" s="179">
        <v>1</v>
      </c>
      <c r="BD49" s="179">
        <v>1</v>
      </c>
      <c r="BE49" s="179">
        <v>1</v>
      </c>
      <c r="BF49" s="179">
        <v>1</v>
      </c>
      <c r="BG49" s="179">
        <v>1</v>
      </c>
      <c r="BH49" s="179">
        <v>1</v>
      </c>
      <c r="BI49" s="179">
        <v>1</v>
      </c>
      <c r="BJ49" s="179">
        <v>1</v>
      </c>
      <c r="BK49" s="179">
        <v>1</v>
      </c>
      <c r="BL49" s="179">
        <v>1</v>
      </c>
      <c r="BM49" s="179">
        <v>1</v>
      </c>
      <c r="BN49" s="179">
        <v>1</v>
      </c>
      <c r="BO49" s="179">
        <v>1</v>
      </c>
      <c r="BP49" s="179">
        <v>1</v>
      </c>
      <c r="BQ49" s="179">
        <v>1</v>
      </c>
      <c r="BR49" s="179">
        <v>1</v>
      </c>
      <c r="BS49" s="179">
        <v>1</v>
      </c>
      <c r="BT49" s="179">
        <v>1</v>
      </c>
      <c r="BU49" s="179">
        <v>1</v>
      </c>
      <c r="BV49" s="179">
        <v>1</v>
      </c>
      <c r="BW49" s="179">
        <v>1</v>
      </c>
      <c r="BX49" s="179">
        <v>1</v>
      </c>
      <c r="BY49" s="179">
        <v>1</v>
      </c>
      <c r="BZ49" s="179">
        <v>1</v>
      </c>
      <c r="CA49" s="179">
        <v>1</v>
      </c>
      <c r="CB49" s="179">
        <v>1</v>
      </c>
      <c r="CC49" s="179">
        <v>1</v>
      </c>
      <c r="CD49" s="179">
        <v>1</v>
      </c>
      <c r="CE49" s="179">
        <v>1</v>
      </c>
      <c r="CF49" s="179">
        <v>1</v>
      </c>
      <c r="CG49" s="179">
        <v>1</v>
      </c>
      <c r="CH49" s="179">
        <v>1</v>
      </c>
      <c r="CI49" s="179">
        <v>1</v>
      </c>
      <c r="CJ49" s="179">
        <v>1</v>
      </c>
      <c r="CK49" s="179">
        <v>1</v>
      </c>
      <c r="CL49" s="179">
        <v>1</v>
      </c>
      <c r="CM49" s="179">
        <v>1</v>
      </c>
      <c r="CN49" s="179">
        <v>1</v>
      </c>
      <c r="CO49" s="179">
        <v>1</v>
      </c>
      <c r="CP49" s="179">
        <v>1</v>
      </c>
      <c r="CQ49" s="179">
        <v>1</v>
      </c>
      <c r="CR49" s="179">
        <v>1</v>
      </c>
      <c r="CS49" s="179">
        <v>1</v>
      </c>
      <c r="CT49" s="179">
        <v>1</v>
      </c>
      <c r="CU49" s="179">
        <v>1</v>
      </c>
      <c r="CV49" s="179">
        <v>1</v>
      </c>
      <c r="CW49" s="179">
        <v>1</v>
      </c>
      <c r="CX49" s="179">
        <v>1</v>
      </c>
      <c r="CY49" s="179">
        <v>1</v>
      </c>
      <c r="CZ49" s="179">
        <v>1</v>
      </c>
      <c r="DA49" s="179">
        <v>1</v>
      </c>
      <c r="DB49" s="179">
        <v>1</v>
      </c>
      <c r="DC49" s="179">
        <v>1</v>
      </c>
      <c r="DD49" s="179">
        <v>1</v>
      </c>
      <c r="DE49" s="179">
        <v>1</v>
      </c>
      <c r="DF49" s="179">
        <v>1</v>
      </c>
      <c r="DG49" s="179">
        <v>1</v>
      </c>
      <c r="DH49" s="179">
        <v>1</v>
      </c>
      <c r="DI49" s="179">
        <v>1</v>
      </c>
      <c r="DJ49" s="179">
        <v>1</v>
      </c>
      <c r="DK49" s="179">
        <v>1</v>
      </c>
      <c r="DL49" s="179">
        <v>1</v>
      </c>
      <c r="DM49" s="179"/>
      <c r="DN49" s="179"/>
      <c r="DO49" s="179"/>
      <c r="DP49" s="179"/>
      <c r="DQ49" s="179"/>
      <c r="DR49" s="179"/>
      <c r="DS49" s="179"/>
      <c r="DT49" s="179"/>
      <c r="DU49" s="179"/>
      <c r="DV49" s="179"/>
      <c r="DW49" s="179"/>
      <c r="DX49" s="179"/>
      <c r="DY49" s="583"/>
      <c r="DZ49" s="187"/>
      <c r="EA49" s="82">
        <f t="shared" si="66"/>
        <v>306</v>
      </c>
      <c r="EB49" s="82">
        <f t="shared" ref="EB49" si="76">EA49*Scenario1AgileContingency</f>
        <v>61.2</v>
      </c>
      <c r="EC49" s="82">
        <f t="shared" si="67"/>
        <v>4.25</v>
      </c>
      <c r="ED49" s="127">
        <f t="shared" ref="ED49" si="77">SUM(EA49:EC49)</f>
        <v>371.45</v>
      </c>
    </row>
    <row r="50" spans="1:134" s="74" customFormat="1" ht="11.25" x14ac:dyDescent="0.2">
      <c r="A50" s="210">
        <v>1</v>
      </c>
      <c r="B50" s="211" t="s">
        <v>640</v>
      </c>
      <c r="C50" s="206" t="s">
        <v>652</v>
      </c>
      <c r="D50" s="206" t="s">
        <v>652</v>
      </c>
      <c r="E50" s="436"/>
      <c r="F50" s="523"/>
      <c r="G50" s="523"/>
      <c r="H50" s="43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c r="DU50" s="216"/>
      <c r="DV50" s="216"/>
      <c r="DW50" s="216"/>
      <c r="DX50" s="216"/>
      <c r="DY50" s="185"/>
      <c r="DZ50" s="187"/>
      <c r="EA50" s="127"/>
      <c r="EB50" s="127"/>
      <c r="EC50" s="127"/>
      <c r="ED50" s="127"/>
    </row>
    <row r="51" spans="1:134" s="74" customFormat="1" ht="11.25" x14ac:dyDescent="0.2">
      <c r="A51" s="581">
        <v>2</v>
      </c>
      <c r="B51" s="584" t="s">
        <v>640</v>
      </c>
      <c r="C51" s="457" t="str">
        <f>IFERROR(VLOOKUP(D51,MappingFromSetAgiletoTTSRole,2,FALSE),"SET Agile Resource Role")</f>
        <v>Architect Sr</v>
      </c>
      <c r="D51" s="398" t="s">
        <v>606</v>
      </c>
      <c r="E51" s="435" t="s">
        <v>600</v>
      </c>
      <c r="F51" s="443" t="str">
        <f>IFERROR(VLOOKUP(C51,MappingFromTTStoSU,2,FALSE),"SU Resource Role")</f>
        <v>DWMS</v>
      </c>
      <c r="G51" s="443"/>
      <c r="H51" s="434" t="str">
        <f>C50</f>
        <v>Integration</v>
      </c>
      <c r="I51" s="406"/>
      <c r="J51" s="406"/>
      <c r="K51" s="406"/>
      <c r="L51" s="406"/>
      <c r="M51" s="406"/>
      <c r="N51" s="406"/>
      <c r="O51" s="406"/>
      <c r="P51" s="406"/>
      <c r="Q51" s="406"/>
      <c r="R51" s="406"/>
      <c r="S51" s="406"/>
      <c r="T51" s="406"/>
      <c r="U51" s="179"/>
      <c r="V51" s="179"/>
      <c r="W51" s="179"/>
      <c r="X51" s="179"/>
      <c r="Y51" s="179"/>
      <c r="Z51" s="179"/>
      <c r="AA51" s="179"/>
      <c r="AB51" s="179"/>
      <c r="AC51" s="179"/>
      <c r="AD51" s="179"/>
      <c r="AE51" s="179"/>
      <c r="AF51" s="181"/>
      <c r="AG51" s="181"/>
      <c r="AH51" s="181"/>
      <c r="AI51" s="181"/>
      <c r="AJ51" s="181"/>
      <c r="AK51" s="181"/>
      <c r="AL51" s="181"/>
      <c r="AM51" s="181"/>
      <c r="AN51" s="181"/>
      <c r="AO51" s="181"/>
      <c r="AP51" s="181"/>
      <c r="AQ51" s="181"/>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c r="CX51" s="179"/>
      <c r="CY51" s="179"/>
      <c r="CZ51" s="179"/>
      <c r="DA51" s="179"/>
      <c r="DB51" s="179"/>
      <c r="DC51" s="179"/>
      <c r="DD51" s="179"/>
      <c r="DE51" s="179"/>
      <c r="DF51" s="179"/>
      <c r="DG51" s="179"/>
      <c r="DH51" s="179"/>
      <c r="DI51" s="179"/>
      <c r="DJ51" s="179"/>
      <c r="DK51" s="179"/>
      <c r="DL51" s="179"/>
      <c r="DM51" s="179"/>
      <c r="DN51" s="179"/>
      <c r="DO51" s="179"/>
      <c r="DP51" s="179"/>
      <c r="DQ51" s="179"/>
      <c r="DR51" s="179"/>
      <c r="DS51" s="179"/>
      <c r="DT51" s="179"/>
      <c r="DU51" s="179"/>
      <c r="DV51" s="179"/>
      <c r="DW51" s="179"/>
      <c r="DX51" s="179"/>
      <c r="DY51" s="583"/>
      <c r="DZ51" s="187"/>
      <c r="EA51" s="82">
        <f>SUMIF(I$8:DY$8,"&lt;&gt;"&amp;AgileIteration_Warranty,I51:DY51)*5*Scenario1Utilisation</f>
        <v>0</v>
      </c>
      <c r="EB51" s="82">
        <f t="shared" ref="EB51" si="78">EA51*Scenario1AgileContingency</f>
        <v>0</v>
      </c>
      <c r="EC51" s="82">
        <f>IF(Scenario1Warranty=AgileWarrantyDefault, (SUMIF(I$8:DY$8,AgileIteration_Warranty,I51:DY51)*5*Scenario1Utilisation), (EA51*Scenario1Warranty))</f>
        <v>0</v>
      </c>
      <c r="ED51" s="127">
        <f t="shared" ref="ED51" si="79">SUM(EA51:EC51)</f>
        <v>0</v>
      </c>
    </row>
    <row r="52" spans="1:134" s="74" customFormat="1" ht="11.25" x14ac:dyDescent="0.2">
      <c r="A52" s="210">
        <v>2</v>
      </c>
      <c r="B52" s="211" t="s">
        <v>640</v>
      </c>
      <c r="C52" s="457" t="str">
        <f>IFERROR(VLOOKUP(D52,MappingFromSetAgiletoTTSRole,2,FALSE),"SET Agile Resource Role")</f>
        <v>Project Manager</v>
      </c>
      <c r="D52" s="398" t="s">
        <v>599</v>
      </c>
      <c r="E52" s="435" t="s">
        <v>600</v>
      </c>
      <c r="F52" s="443" t="str">
        <f>IFERROR(VLOOKUP(C52,MappingFromTTStoSU,2,FALSE),"SU Resource Role")</f>
        <v>DWMS</v>
      </c>
      <c r="G52" s="443"/>
      <c r="H52" s="434" t="str">
        <f>H51</f>
        <v>Integration</v>
      </c>
      <c r="I52" s="406"/>
      <c r="J52" s="406"/>
      <c r="K52" s="406"/>
      <c r="L52" s="406"/>
      <c r="M52" s="406"/>
      <c r="N52" s="406"/>
      <c r="O52" s="406"/>
      <c r="P52" s="406"/>
      <c r="Q52" s="406"/>
      <c r="R52" s="406"/>
      <c r="S52" s="406"/>
      <c r="T52" s="406"/>
      <c r="U52" s="179"/>
      <c r="V52" s="179"/>
      <c r="W52" s="179"/>
      <c r="X52" s="179"/>
      <c r="Y52" s="179"/>
      <c r="Z52" s="179"/>
      <c r="AA52" s="179"/>
      <c r="AB52" s="179"/>
      <c r="AC52" s="179"/>
      <c r="AD52" s="179"/>
      <c r="AE52" s="179"/>
      <c r="AF52" s="181"/>
      <c r="AG52" s="181"/>
      <c r="AH52" s="181"/>
      <c r="AI52" s="181"/>
      <c r="AJ52" s="181"/>
      <c r="AK52" s="181"/>
      <c r="AL52" s="181"/>
      <c r="AM52" s="181"/>
      <c r="AN52" s="181"/>
      <c r="AO52" s="181"/>
      <c r="AP52" s="181"/>
      <c r="AQ52" s="181"/>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c r="CX52" s="179"/>
      <c r="CY52" s="179"/>
      <c r="CZ52" s="179"/>
      <c r="DA52" s="179"/>
      <c r="DB52" s="179"/>
      <c r="DC52" s="179"/>
      <c r="DD52" s="179"/>
      <c r="DE52" s="179"/>
      <c r="DF52" s="179"/>
      <c r="DG52" s="179"/>
      <c r="DH52" s="179"/>
      <c r="DI52" s="179"/>
      <c r="DJ52" s="179"/>
      <c r="DK52" s="179"/>
      <c r="DL52" s="179"/>
      <c r="DM52" s="179"/>
      <c r="DN52" s="179"/>
      <c r="DO52" s="179"/>
      <c r="DP52" s="179"/>
      <c r="DQ52" s="179"/>
      <c r="DR52" s="179"/>
      <c r="DS52" s="179"/>
      <c r="DT52" s="179"/>
      <c r="DU52" s="179"/>
      <c r="DV52" s="179"/>
      <c r="DW52" s="179"/>
      <c r="DX52" s="179"/>
      <c r="DY52" s="180"/>
      <c r="DZ52" s="187"/>
      <c r="EA52" s="82">
        <f>SUMIF(I$8:DY$8,"&lt;&gt;"&amp;AgileIteration_Warranty,I52:DY52)*5*Scenario1Utilisation</f>
        <v>0</v>
      </c>
      <c r="EB52" s="82">
        <f t="shared" ref="EB52" si="80">EA52*Scenario1AgileContingency</f>
        <v>0</v>
      </c>
      <c r="EC52" s="82">
        <f>IF(Scenario1Warranty=AgileWarrantyDefault, (SUMIF(I$8:DY$8,AgileIteration_Warranty,I52:DY52)*5*Scenario1Utilisation), (EA52*Scenario1Warranty))</f>
        <v>0</v>
      </c>
      <c r="ED52" s="127">
        <f t="shared" ref="ED52" si="81">SUM(EA52:EC52)</f>
        <v>0</v>
      </c>
    </row>
    <row r="53" spans="1:134" s="74" customFormat="1" ht="11.25" x14ac:dyDescent="0.2">
      <c r="A53" s="210">
        <v>2</v>
      </c>
      <c r="B53" s="211" t="s">
        <v>640</v>
      </c>
      <c r="C53" s="457" t="str">
        <f>IFERROR(VLOOKUP(D53,MappingFromSetAgiletoTTSRole,2,FALSE),"SET Agile Resource Role")</f>
        <v>Business Consultant</v>
      </c>
      <c r="D53" s="398" t="s">
        <v>584</v>
      </c>
      <c r="E53" s="435"/>
      <c r="F53" s="443" t="str">
        <f>IFERROR(VLOOKUP(C53,MappingFromTTStoSU,2,FALSE),"SU Resource Role")</f>
        <v>DWMS</v>
      </c>
      <c r="G53" s="443"/>
      <c r="H53" s="434" t="str">
        <f>H52</f>
        <v>Integration</v>
      </c>
      <c r="I53" s="406"/>
      <c r="J53" s="406"/>
      <c r="K53" s="406"/>
      <c r="L53" s="406"/>
      <c r="M53" s="406"/>
      <c r="N53" s="406"/>
      <c r="O53" s="406"/>
      <c r="P53" s="406"/>
      <c r="Q53" s="406"/>
      <c r="R53" s="406"/>
      <c r="S53" s="406"/>
      <c r="T53" s="406"/>
      <c r="U53" s="179"/>
      <c r="V53" s="179"/>
      <c r="W53" s="179"/>
      <c r="X53" s="179"/>
      <c r="Y53" s="179"/>
      <c r="Z53" s="179"/>
      <c r="AA53" s="179"/>
      <c r="AB53" s="179"/>
      <c r="AC53" s="179"/>
      <c r="AD53" s="179"/>
      <c r="AE53" s="179"/>
      <c r="AF53" s="181"/>
      <c r="AG53" s="181"/>
      <c r="AH53" s="181"/>
      <c r="AI53" s="181"/>
      <c r="AJ53" s="181"/>
      <c r="AK53" s="181"/>
      <c r="AL53" s="181"/>
      <c r="AM53" s="181"/>
      <c r="AN53" s="181"/>
      <c r="AO53" s="181"/>
      <c r="AP53" s="181"/>
      <c r="AQ53" s="181"/>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c r="CX53" s="179"/>
      <c r="CY53" s="179"/>
      <c r="CZ53" s="179"/>
      <c r="DA53" s="179"/>
      <c r="DB53" s="179"/>
      <c r="DC53" s="179"/>
      <c r="DD53" s="179"/>
      <c r="DE53" s="179"/>
      <c r="DF53" s="179"/>
      <c r="DG53" s="179"/>
      <c r="DH53" s="179"/>
      <c r="DI53" s="179"/>
      <c r="DJ53" s="179"/>
      <c r="DK53" s="179"/>
      <c r="DL53" s="179"/>
      <c r="DM53" s="179"/>
      <c r="DN53" s="179"/>
      <c r="DO53" s="179"/>
      <c r="DP53" s="179"/>
      <c r="DQ53" s="179"/>
      <c r="DR53" s="179"/>
      <c r="DS53" s="179"/>
      <c r="DT53" s="179"/>
      <c r="DU53" s="179"/>
      <c r="DV53" s="179"/>
      <c r="DW53" s="179"/>
      <c r="DX53" s="179"/>
      <c r="DY53" s="180"/>
      <c r="DZ53" s="187"/>
      <c r="EA53" s="82">
        <f>SUMIF(I$8:DY$8,"&lt;&gt;"&amp;AgileIteration_Warranty,I53:DY53)*5*Scenario1Utilisation</f>
        <v>0</v>
      </c>
      <c r="EB53" s="82">
        <f t="shared" ref="EB53" si="82">EA53*Scenario1AgileContingency</f>
        <v>0</v>
      </c>
      <c r="EC53" s="82">
        <f>IF(Scenario1Warranty=AgileWarrantyDefault, (SUMIF(I$8:DY$8,AgileIteration_Warranty,I53:DY53)*5*Scenario1Utilisation), (EA53*Scenario1Warranty))</f>
        <v>0</v>
      </c>
      <c r="ED53" s="127">
        <f t="shared" ref="ED53" si="83">SUM(EA53:EC53)</f>
        <v>0</v>
      </c>
    </row>
    <row r="54" spans="1:134" s="74" customFormat="1" ht="22.5" x14ac:dyDescent="0.2">
      <c r="A54" s="210">
        <v>1</v>
      </c>
      <c r="B54" s="211" t="s">
        <v>640</v>
      </c>
      <c r="C54" s="206" t="s">
        <v>653</v>
      </c>
      <c r="D54" s="206" t="s">
        <v>654</v>
      </c>
      <c r="E54" s="436"/>
      <c r="F54" s="523"/>
      <c r="G54" s="523" t="s">
        <v>655</v>
      </c>
      <c r="H54" s="436"/>
      <c r="I54" s="216"/>
      <c r="J54" s="216"/>
      <c r="K54" s="216"/>
      <c r="L54" s="216"/>
      <c r="M54" s="216"/>
      <c r="N54" s="216"/>
      <c r="O54" s="216"/>
      <c r="P54" s="216"/>
      <c r="Q54" s="216"/>
      <c r="R54" s="216"/>
      <c r="S54" s="216"/>
      <c r="T54" s="216"/>
      <c r="U54" s="216"/>
      <c r="V54" s="216"/>
      <c r="W54" s="216"/>
      <c r="X54" s="216"/>
      <c r="Y54" s="216"/>
      <c r="Z54" s="216" t="s">
        <v>570</v>
      </c>
      <c r="AA54" s="216" t="s">
        <v>570</v>
      </c>
      <c r="AB54" s="216" t="s">
        <v>570</v>
      </c>
      <c r="AC54" s="216" t="s">
        <v>570</v>
      </c>
      <c r="AD54" s="216" t="s">
        <v>570</v>
      </c>
      <c r="AE54" s="216" t="s">
        <v>656</v>
      </c>
      <c r="AF54" s="216" t="s">
        <v>656</v>
      </c>
      <c r="AG54" s="216" t="s">
        <v>656</v>
      </c>
      <c r="AH54" s="216" t="s">
        <v>656</v>
      </c>
      <c r="AI54" s="216" t="s">
        <v>656</v>
      </c>
      <c r="AJ54" s="216" t="s">
        <v>656</v>
      </c>
      <c r="AK54" s="216" t="s">
        <v>656</v>
      </c>
      <c r="AL54" s="216" t="s">
        <v>656</v>
      </c>
      <c r="AM54" s="216" t="s">
        <v>656</v>
      </c>
      <c r="AN54" s="216" t="s">
        <v>656</v>
      </c>
      <c r="AO54" s="216" t="s">
        <v>657</v>
      </c>
      <c r="AP54" s="216" t="s">
        <v>644</v>
      </c>
      <c r="AQ54" s="216" t="s">
        <v>644</v>
      </c>
      <c r="AR54" s="216" t="s">
        <v>644</v>
      </c>
      <c r="AS54" s="216" t="s">
        <v>644</v>
      </c>
      <c r="AT54" s="216" t="s">
        <v>578</v>
      </c>
      <c r="AU54" s="216" t="s">
        <v>578</v>
      </c>
      <c r="AV54" s="216" t="s">
        <v>578</v>
      </c>
      <c r="AW54" s="216" t="s">
        <v>578</v>
      </c>
      <c r="AX54" s="216" t="s">
        <v>578</v>
      </c>
      <c r="AY54" s="216" t="s">
        <v>578</v>
      </c>
      <c r="AZ54" s="216" t="s">
        <v>567</v>
      </c>
      <c r="BA54" s="216" t="s">
        <v>567</v>
      </c>
      <c r="BB54" s="216" t="s">
        <v>567</v>
      </c>
      <c r="BC54" s="216" t="s">
        <v>649</v>
      </c>
      <c r="BD54" s="216" t="s">
        <v>649</v>
      </c>
      <c r="BE54" s="216" t="s">
        <v>649</v>
      </c>
      <c r="BF54" s="216" t="s">
        <v>649</v>
      </c>
      <c r="BG54" s="216" t="s">
        <v>649</v>
      </c>
      <c r="BH54" s="216" t="s">
        <v>649</v>
      </c>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c r="DU54" s="216"/>
      <c r="DV54" s="216"/>
      <c r="DW54" s="216"/>
      <c r="DX54" s="216"/>
      <c r="DY54" s="185"/>
      <c r="DZ54" s="187"/>
      <c r="EA54" s="127"/>
      <c r="EB54" s="127"/>
      <c r="EC54" s="127"/>
      <c r="ED54" s="127"/>
    </row>
    <row r="55" spans="1:134" s="74" customFormat="1" ht="11.25" x14ac:dyDescent="0.2">
      <c r="A55" s="581">
        <v>2</v>
      </c>
      <c r="B55" s="584" t="s">
        <v>640</v>
      </c>
      <c r="C55" s="457" t="s">
        <v>658</v>
      </c>
      <c r="D55" s="398" t="s">
        <v>636</v>
      </c>
      <c r="E55" s="435" t="s">
        <v>600</v>
      </c>
      <c r="F55" s="443" t="s">
        <v>607</v>
      </c>
      <c r="G55" s="443"/>
      <c r="H55" s="434" t="str">
        <f>C54</f>
        <v xml:space="preserve">Non-CUT  </v>
      </c>
      <c r="I55" s="406"/>
      <c r="J55" s="406"/>
      <c r="K55" s="406"/>
      <c r="L55" s="406"/>
      <c r="M55" s="406"/>
      <c r="N55" s="406"/>
      <c r="O55" s="406"/>
      <c r="P55" s="406"/>
      <c r="Q55" s="406"/>
      <c r="R55" s="406"/>
      <c r="S55" s="406"/>
      <c r="T55" s="406"/>
      <c r="U55" s="179"/>
      <c r="V55" s="179"/>
      <c r="W55" s="179"/>
      <c r="X55" s="179"/>
      <c r="Y55" s="179"/>
      <c r="Z55" s="179">
        <v>1</v>
      </c>
      <c r="AA55" s="179">
        <v>1</v>
      </c>
      <c r="AB55" s="179">
        <v>1</v>
      </c>
      <c r="AC55" s="179">
        <v>1</v>
      </c>
      <c r="AD55" s="179">
        <v>1</v>
      </c>
      <c r="AE55" s="179">
        <v>1</v>
      </c>
      <c r="AF55" s="181">
        <v>1</v>
      </c>
      <c r="AG55" s="181">
        <v>1</v>
      </c>
      <c r="AH55" s="181">
        <v>1</v>
      </c>
      <c r="AI55" s="181">
        <v>1</v>
      </c>
      <c r="AJ55" s="181">
        <v>1</v>
      </c>
      <c r="AK55" s="181">
        <v>1</v>
      </c>
      <c r="AL55" s="181">
        <v>1</v>
      </c>
      <c r="AM55" s="181">
        <v>1</v>
      </c>
      <c r="AN55" s="181">
        <v>1</v>
      </c>
      <c r="AO55" s="181">
        <v>1</v>
      </c>
      <c r="AP55" s="181">
        <v>1</v>
      </c>
      <c r="AQ55" s="181">
        <v>1</v>
      </c>
      <c r="AR55" s="179">
        <v>1</v>
      </c>
      <c r="AS55" s="179">
        <v>1</v>
      </c>
      <c r="AT55" s="179">
        <v>1</v>
      </c>
      <c r="AU55" s="179">
        <v>1</v>
      </c>
      <c r="AV55" s="179">
        <v>1</v>
      </c>
      <c r="AW55" s="179">
        <v>1</v>
      </c>
      <c r="AX55" s="179">
        <v>1</v>
      </c>
      <c r="AY55" s="179">
        <v>1</v>
      </c>
      <c r="AZ55" s="179">
        <v>1</v>
      </c>
      <c r="BA55" s="179">
        <v>1</v>
      </c>
      <c r="BB55" s="179">
        <v>1</v>
      </c>
      <c r="BC55" s="179">
        <v>1</v>
      </c>
      <c r="BD55" s="179">
        <v>1</v>
      </c>
      <c r="BE55" s="179">
        <v>1</v>
      </c>
      <c r="BF55" s="179">
        <v>1</v>
      </c>
      <c r="BG55" s="179">
        <v>1</v>
      </c>
      <c r="BH55" s="179">
        <v>1</v>
      </c>
      <c r="BI55" s="179">
        <v>1</v>
      </c>
      <c r="BJ55" s="179">
        <v>1</v>
      </c>
      <c r="BK55" s="179">
        <v>1</v>
      </c>
      <c r="BL55" s="179">
        <v>1</v>
      </c>
      <c r="BM55" s="179">
        <v>1</v>
      </c>
      <c r="BN55" s="179">
        <v>1</v>
      </c>
      <c r="BO55" s="179">
        <v>1</v>
      </c>
      <c r="BP55" s="179">
        <v>1</v>
      </c>
      <c r="BQ55" s="179">
        <v>1</v>
      </c>
      <c r="BR55" s="179">
        <v>1</v>
      </c>
      <c r="BS55" s="179">
        <v>1</v>
      </c>
      <c r="BT55" s="179">
        <v>1</v>
      </c>
      <c r="BU55" s="179">
        <v>1</v>
      </c>
      <c r="BV55" s="179">
        <v>1</v>
      </c>
      <c r="BW55" s="179">
        <v>1</v>
      </c>
      <c r="BX55" s="179">
        <v>1</v>
      </c>
      <c r="BY55" s="179">
        <v>1</v>
      </c>
      <c r="BZ55" s="179">
        <v>1</v>
      </c>
      <c r="CA55" s="179">
        <v>1</v>
      </c>
      <c r="CB55" s="179">
        <v>1</v>
      </c>
      <c r="CC55" s="179">
        <v>1</v>
      </c>
      <c r="CD55" s="179">
        <v>1</v>
      </c>
      <c r="CE55" s="179">
        <v>1</v>
      </c>
      <c r="CF55" s="179">
        <v>1</v>
      </c>
      <c r="CG55" s="179">
        <v>1</v>
      </c>
      <c r="CH55" s="179">
        <v>1</v>
      </c>
      <c r="CI55" s="179">
        <v>1</v>
      </c>
      <c r="CJ55" s="179">
        <v>1</v>
      </c>
      <c r="CK55" s="179">
        <v>1</v>
      </c>
      <c r="CL55" s="179">
        <v>1</v>
      </c>
      <c r="CM55" s="179">
        <v>1</v>
      </c>
      <c r="CN55" s="179">
        <v>1</v>
      </c>
      <c r="CO55" s="179">
        <v>1</v>
      </c>
      <c r="CP55" s="179">
        <v>1</v>
      </c>
      <c r="CQ55" s="179">
        <v>1</v>
      </c>
      <c r="CR55" s="179">
        <v>1</v>
      </c>
      <c r="CS55" s="179">
        <v>1</v>
      </c>
      <c r="CT55" s="179">
        <v>1</v>
      </c>
      <c r="CU55" s="179">
        <v>1</v>
      </c>
      <c r="CV55" s="179">
        <v>0.5</v>
      </c>
      <c r="CW55" s="179">
        <v>0.5</v>
      </c>
      <c r="CX55" s="179">
        <v>0.5</v>
      </c>
      <c r="CY55" s="179">
        <v>0.5</v>
      </c>
      <c r="CZ55" s="179">
        <v>0.5</v>
      </c>
      <c r="DA55" s="179">
        <v>0.5</v>
      </c>
      <c r="DB55" s="179">
        <v>0.5</v>
      </c>
      <c r="DC55" s="179">
        <v>0.5</v>
      </c>
      <c r="DD55" s="179">
        <v>0.5</v>
      </c>
      <c r="DE55" s="179">
        <v>0.5</v>
      </c>
      <c r="DF55" s="179">
        <v>0.5</v>
      </c>
      <c r="DG55" s="179">
        <v>0.5</v>
      </c>
      <c r="DH55" s="179">
        <v>0.5</v>
      </c>
      <c r="DI55" s="179">
        <v>0.5</v>
      </c>
      <c r="DJ55" s="179">
        <v>0.5</v>
      </c>
      <c r="DK55" s="179">
        <v>0.5</v>
      </c>
      <c r="DL55" s="179">
        <v>0.5</v>
      </c>
      <c r="DM55" s="179">
        <v>0.5</v>
      </c>
      <c r="DN55" s="179">
        <v>0.5</v>
      </c>
      <c r="DO55" s="179">
        <v>0.5</v>
      </c>
      <c r="DP55" s="179">
        <v>0.5</v>
      </c>
      <c r="DQ55" s="179">
        <v>0.5</v>
      </c>
      <c r="DR55" s="179">
        <v>0.5</v>
      </c>
      <c r="DS55" s="179">
        <v>0.5</v>
      </c>
      <c r="DT55" s="179">
        <v>0.5</v>
      </c>
      <c r="DU55" s="179">
        <v>0.5</v>
      </c>
      <c r="DV55" s="179">
        <v>0.5</v>
      </c>
      <c r="DW55" s="179">
        <v>0.5</v>
      </c>
      <c r="DX55" s="179">
        <v>0.5</v>
      </c>
      <c r="DY55" s="583"/>
      <c r="DZ55" s="187"/>
      <c r="EA55" s="82">
        <f t="shared" ref="EA55:EA61" si="84">SUMIF(I$8:DY$8,"&lt;&gt;"&amp;AgileIteration_Warranty,I55:DY55)*5*Scenario1Utilisation</f>
        <v>348.5</v>
      </c>
      <c r="EB55" s="82">
        <f t="shared" ref="EB55" si="85">EA55*Scenario1AgileContingency</f>
        <v>69.7</v>
      </c>
      <c r="EC55" s="82">
        <f t="shared" ref="EC55:EC61" si="86">IF(Scenario1Warranty=AgileWarrantyDefault, (SUMIF(I$8:DY$8,AgileIteration_Warranty,I55:DY55)*5*Scenario1Utilisation), (EA55*Scenario1Warranty))</f>
        <v>27.625</v>
      </c>
      <c r="ED55" s="127">
        <f t="shared" ref="ED55" si="87">SUM(EA55:EC55)</f>
        <v>445.82499999999999</v>
      </c>
    </row>
    <row r="56" spans="1:134" s="74" customFormat="1" ht="11.25" x14ac:dyDescent="0.2">
      <c r="A56" s="581">
        <v>2</v>
      </c>
      <c r="B56" s="584" t="s">
        <v>640</v>
      </c>
      <c r="C56" s="457" t="s">
        <v>635</v>
      </c>
      <c r="D56" s="398" t="s">
        <v>636</v>
      </c>
      <c r="E56" s="435" t="s">
        <v>600</v>
      </c>
      <c r="F56" s="443" t="str">
        <f t="shared" ref="F56:F61" si="88">IFERROR(VLOOKUP(C56,MappingFromTTStoSU,2,FALSE),"SU Resource Role")</f>
        <v>DWMS</v>
      </c>
      <c r="G56" s="443"/>
      <c r="H56" s="434" t="str">
        <f>H55</f>
        <v xml:space="preserve">Non-CUT  </v>
      </c>
      <c r="I56" s="406"/>
      <c r="J56" s="406"/>
      <c r="K56" s="406"/>
      <c r="L56" s="406"/>
      <c r="M56" s="406"/>
      <c r="N56" s="406"/>
      <c r="O56" s="406"/>
      <c r="P56" s="406"/>
      <c r="Q56" s="406"/>
      <c r="R56" s="406"/>
      <c r="S56" s="406"/>
      <c r="T56" s="406"/>
      <c r="U56" s="179"/>
      <c r="V56" s="179"/>
      <c r="W56" s="179"/>
      <c r="X56" s="179"/>
      <c r="Y56" s="179"/>
      <c r="Z56" s="179">
        <v>1</v>
      </c>
      <c r="AA56" s="179">
        <v>1</v>
      </c>
      <c r="AB56" s="179">
        <v>1</v>
      </c>
      <c r="AC56" s="179">
        <v>1</v>
      </c>
      <c r="AD56" s="179">
        <v>1</v>
      </c>
      <c r="AE56" s="179">
        <v>1</v>
      </c>
      <c r="AF56" s="181">
        <v>1</v>
      </c>
      <c r="AG56" s="181">
        <v>1</v>
      </c>
      <c r="AH56" s="181">
        <v>1</v>
      </c>
      <c r="AI56" s="181">
        <v>1</v>
      </c>
      <c r="AJ56" s="181">
        <v>1</v>
      </c>
      <c r="AK56" s="181">
        <v>1</v>
      </c>
      <c r="AL56" s="181">
        <v>1</v>
      </c>
      <c r="AM56" s="181">
        <v>1</v>
      </c>
      <c r="AN56" s="181">
        <v>1</v>
      </c>
      <c r="AO56" s="181">
        <v>1</v>
      </c>
      <c r="AP56" s="181">
        <v>1</v>
      </c>
      <c r="AQ56" s="181">
        <v>1</v>
      </c>
      <c r="AR56" s="179">
        <v>1</v>
      </c>
      <c r="AS56" s="179">
        <v>1</v>
      </c>
      <c r="AT56" s="179">
        <v>1</v>
      </c>
      <c r="AU56" s="179">
        <v>1</v>
      </c>
      <c r="AV56" s="179">
        <v>1</v>
      </c>
      <c r="AW56" s="179">
        <v>1</v>
      </c>
      <c r="AX56" s="179">
        <v>1</v>
      </c>
      <c r="AY56" s="179">
        <v>1</v>
      </c>
      <c r="AZ56" s="179">
        <v>1</v>
      </c>
      <c r="BA56" s="179">
        <v>1</v>
      </c>
      <c r="BB56" s="179">
        <v>1</v>
      </c>
      <c r="BC56" s="179">
        <v>1</v>
      </c>
      <c r="BD56" s="179">
        <v>1</v>
      </c>
      <c r="BE56" s="179">
        <v>1</v>
      </c>
      <c r="BF56" s="179">
        <v>1</v>
      </c>
      <c r="BG56" s="179">
        <v>1</v>
      </c>
      <c r="BH56" s="179">
        <v>1</v>
      </c>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c r="CX56" s="179"/>
      <c r="CY56" s="179"/>
      <c r="CZ56" s="179"/>
      <c r="DA56" s="179"/>
      <c r="DB56" s="179"/>
      <c r="DC56" s="179"/>
      <c r="DD56" s="179"/>
      <c r="DE56" s="179"/>
      <c r="DF56" s="179"/>
      <c r="DG56" s="179"/>
      <c r="DH56" s="179"/>
      <c r="DI56" s="179"/>
      <c r="DJ56" s="179"/>
      <c r="DK56" s="179"/>
      <c r="DL56" s="179"/>
      <c r="DM56" s="179"/>
      <c r="DN56" s="179"/>
      <c r="DO56" s="179"/>
      <c r="DP56" s="179"/>
      <c r="DQ56" s="179"/>
      <c r="DR56" s="179"/>
      <c r="DS56" s="179"/>
      <c r="DT56" s="179"/>
      <c r="DU56" s="179"/>
      <c r="DV56" s="179"/>
      <c r="DW56" s="179"/>
      <c r="DX56" s="179"/>
      <c r="DY56" s="583"/>
      <c r="DZ56" s="187"/>
      <c r="EA56" s="82">
        <f t="shared" si="84"/>
        <v>148.75</v>
      </c>
      <c r="EB56" s="82">
        <f t="shared" ref="EB56" si="89">EA56*Scenario1AgileContingency</f>
        <v>29.75</v>
      </c>
      <c r="EC56" s="82">
        <f t="shared" si="86"/>
        <v>0</v>
      </c>
      <c r="ED56" s="127">
        <f t="shared" ref="ED56" si="90">SUM(EA56:EC56)</f>
        <v>178.5</v>
      </c>
    </row>
    <row r="57" spans="1:134" s="74" customFormat="1" ht="11.25" x14ac:dyDescent="0.2">
      <c r="A57" s="581">
        <v>2</v>
      </c>
      <c r="B57" s="584" t="s">
        <v>640</v>
      </c>
      <c r="C57" s="457" t="s">
        <v>659</v>
      </c>
      <c r="D57" s="398" t="s">
        <v>636</v>
      </c>
      <c r="E57" s="435" t="s">
        <v>600</v>
      </c>
      <c r="F57" s="443" t="str">
        <f t="shared" si="88"/>
        <v>DWMS</v>
      </c>
      <c r="G57" s="443"/>
      <c r="H57" s="434" t="str">
        <f>H56</f>
        <v xml:space="preserve">Non-CUT  </v>
      </c>
      <c r="I57" s="406"/>
      <c r="J57" s="406"/>
      <c r="K57" s="406"/>
      <c r="L57" s="406"/>
      <c r="M57" s="406"/>
      <c r="N57" s="406"/>
      <c r="O57" s="406"/>
      <c r="P57" s="406"/>
      <c r="Q57" s="406"/>
      <c r="R57" s="406"/>
      <c r="S57" s="406"/>
      <c r="T57" s="406"/>
      <c r="U57" s="179"/>
      <c r="V57" s="179"/>
      <c r="W57" s="179"/>
      <c r="X57" s="179"/>
      <c r="Y57" s="179"/>
      <c r="Z57" s="179"/>
      <c r="AA57" s="179"/>
      <c r="AB57" s="179"/>
      <c r="AC57" s="179"/>
      <c r="AD57" s="179"/>
      <c r="AE57" s="179">
        <v>1</v>
      </c>
      <c r="AF57" s="181">
        <v>1</v>
      </c>
      <c r="AG57" s="181">
        <v>1</v>
      </c>
      <c r="AH57" s="181">
        <v>1</v>
      </c>
      <c r="AI57" s="181">
        <v>1</v>
      </c>
      <c r="AJ57" s="181">
        <v>1</v>
      </c>
      <c r="AK57" s="181">
        <v>1</v>
      </c>
      <c r="AL57" s="181">
        <v>1</v>
      </c>
      <c r="AM57" s="181">
        <v>1</v>
      </c>
      <c r="AN57" s="181">
        <v>1</v>
      </c>
      <c r="AO57" s="181">
        <v>1</v>
      </c>
      <c r="AP57" s="181">
        <v>1</v>
      </c>
      <c r="AQ57" s="181">
        <v>1</v>
      </c>
      <c r="AR57" s="179">
        <v>1</v>
      </c>
      <c r="AS57" s="179">
        <v>1</v>
      </c>
      <c r="AT57" s="179">
        <v>1</v>
      </c>
      <c r="AU57" s="179">
        <v>1</v>
      </c>
      <c r="AV57" s="179">
        <v>1</v>
      </c>
      <c r="AW57" s="179">
        <v>1</v>
      </c>
      <c r="AX57" s="179">
        <v>1</v>
      </c>
      <c r="AY57" s="179">
        <v>1</v>
      </c>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c r="CX57" s="179"/>
      <c r="CY57" s="179"/>
      <c r="CZ57" s="179"/>
      <c r="DA57" s="179"/>
      <c r="DB57" s="179"/>
      <c r="DC57" s="179"/>
      <c r="DD57" s="179"/>
      <c r="DE57" s="179"/>
      <c r="DF57" s="179"/>
      <c r="DG57" s="179"/>
      <c r="DH57" s="179"/>
      <c r="DI57" s="179"/>
      <c r="DJ57" s="179"/>
      <c r="DK57" s="179"/>
      <c r="DL57" s="179"/>
      <c r="DM57" s="179"/>
      <c r="DN57" s="179"/>
      <c r="DO57" s="179"/>
      <c r="DP57" s="179"/>
      <c r="DQ57" s="179"/>
      <c r="DR57" s="179"/>
      <c r="DS57" s="179"/>
      <c r="DT57" s="179"/>
      <c r="DU57" s="179"/>
      <c r="DV57" s="179"/>
      <c r="DW57" s="179"/>
      <c r="DX57" s="179"/>
      <c r="DY57" s="583"/>
      <c r="DZ57" s="187"/>
      <c r="EA57" s="82">
        <f t="shared" si="84"/>
        <v>89.25</v>
      </c>
      <c r="EB57" s="82">
        <f t="shared" ref="EB57" si="91">EA57*Scenario1AgileContingency</f>
        <v>17.850000000000001</v>
      </c>
      <c r="EC57" s="82">
        <f t="shared" si="86"/>
        <v>0</v>
      </c>
      <c r="ED57" s="127">
        <f t="shared" ref="ED57" si="92">SUM(EA57:EC57)</f>
        <v>107.1</v>
      </c>
    </row>
    <row r="58" spans="1:134" s="74" customFormat="1" ht="11.25" x14ac:dyDescent="0.2">
      <c r="A58" s="581">
        <v>2</v>
      </c>
      <c r="B58" s="584" t="s">
        <v>640</v>
      </c>
      <c r="C58" s="457" t="s">
        <v>659</v>
      </c>
      <c r="D58" s="398" t="s">
        <v>636</v>
      </c>
      <c r="E58" s="435" t="s">
        <v>600</v>
      </c>
      <c r="F58" s="443" t="str">
        <f t="shared" si="88"/>
        <v>DWMS</v>
      </c>
      <c r="G58" s="443"/>
      <c r="H58" s="434" t="str">
        <f>H57</f>
        <v xml:space="preserve">Non-CUT  </v>
      </c>
      <c r="I58" s="406"/>
      <c r="J58" s="406"/>
      <c r="K58" s="406"/>
      <c r="L58" s="406"/>
      <c r="M58" s="406"/>
      <c r="N58" s="406"/>
      <c r="O58" s="406"/>
      <c r="P58" s="406"/>
      <c r="Q58" s="406"/>
      <c r="R58" s="406"/>
      <c r="S58" s="406"/>
      <c r="T58" s="406"/>
      <c r="U58" s="179"/>
      <c r="V58" s="179"/>
      <c r="W58" s="179"/>
      <c r="X58" s="179"/>
      <c r="Y58" s="179"/>
      <c r="Z58" s="179"/>
      <c r="AA58" s="179"/>
      <c r="AB58" s="179"/>
      <c r="AC58" s="179"/>
      <c r="AD58" s="179"/>
      <c r="AE58" s="179">
        <v>1</v>
      </c>
      <c r="AF58" s="181">
        <v>1</v>
      </c>
      <c r="AG58" s="181">
        <v>1</v>
      </c>
      <c r="AH58" s="181">
        <v>1</v>
      </c>
      <c r="AI58" s="181">
        <v>1</v>
      </c>
      <c r="AJ58" s="181">
        <v>1</v>
      </c>
      <c r="AK58" s="181">
        <v>1</v>
      </c>
      <c r="AL58" s="181">
        <v>1</v>
      </c>
      <c r="AM58" s="181">
        <v>1</v>
      </c>
      <c r="AN58" s="181">
        <v>1</v>
      </c>
      <c r="AO58" s="181">
        <v>1</v>
      </c>
      <c r="AP58" s="181">
        <v>1</v>
      </c>
      <c r="AQ58" s="181">
        <v>1</v>
      </c>
      <c r="AR58" s="179">
        <v>1</v>
      </c>
      <c r="AS58" s="179">
        <v>1</v>
      </c>
      <c r="AT58" s="179">
        <v>1</v>
      </c>
      <c r="AU58" s="179">
        <v>1</v>
      </c>
      <c r="AV58" s="179">
        <v>1</v>
      </c>
      <c r="AW58" s="179">
        <v>1</v>
      </c>
      <c r="AX58" s="179">
        <v>1</v>
      </c>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c r="CX58" s="179"/>
      <c r="CY58" s="179"/>
      <c r="CZ58" s="179"/>
      <c r="DA58" s="179"/>
      <c r="DB58" s="179"/>
      <c r="DC58" s="179"/>
      <c r="DD58" s="179"/>
      <c r="DE58" s="179"/>
      <c r="DF58" s="179"/>
      <c r="DG58" s="179"/>
      <c r="DH58" s="179"/>
      <c r="DI58" s="179"/>
      <c r="DJ58" s="179"/>
      <c r="DK58" s="179"/>
      <c r="DL58" s="179"/>
      <c r="DM58" s="179"/>
      <c r="DN58" s="179"/>
      <c r="DO58" s="179"/>
      <c r="DP58" s="179"/>
      <c r="DQ58" s="179"/>
      <c r="DR58" s="179"/>
      <c r="DS58" s="179"/>
      <c r="DT58" s="179"/>
      <c r="DU58" s="179"/>
      <c r="DV58" s="179"/>
      <c r="DW58" s="179"/>
      <c r="DX58" s="179"/>
      <c r="DY58" s="583"/>
      <c r="DZ58" s="187"/>
      <c r="EA58" s="82">
        <f t="shared" si="84"/>
        <v>85</v>
      </c>
      <c r="EB58" s="82">
        <f t="shared" ref="EB58" si="93">EA58*Scenario1AgileContingency</f>
        <v>17</v>
      </c>
      <c r="EC58" s="82">
        <f t="shared" si="86"/>
        <v>0</v>
      </c>
      <c r="ED58" s="127">
        <f t="shared" ref="ED58" si="94">SUM(EA58:EC58)</f>
        <v>102</v>
      </c>
    </row>
    <row r="59" spans="1:134" s="74" customFormat="1" ht="11.25" x14ac:dyDescent="0.2">
      <c r="A59" s="581">
        <v>2</v>
      </c>
      <c r="B59" s="584" t="s">
        <v>640</v>
      </c>
      <c r="C59" s="457" t="str">
        <f>IFERROR(VLOOKUP(D59,MappingFromSetAgiletoTTSRole,2,FALSE),"SET Agile Resource Role")</f>
        <v>Software Developer</v>
      </c>
      <c r="D59" s="398" t="s">
        <v>636</v>
      </c>
      <c r="E59" s="435" t="s">
        <v>600</v>
      </c>
      <c r="F59" s="443" t="str">
        <f t="shared" si="88"/>
        <v>DWMS</v>
      </c>
      <c r="G59" s="443"/>
      <c r="H59" s="434" t="str">
        <f>H56</f>
        <v xml:space="preserve">Non-CUT  </v>
      </c>
      <c r="I59" s="406"/>
      <c r="J59" s="406"/>
      <c r="K59" s="406"/>
      <c r="L59" s="406"/>
      <c r="M59" s="406"/>
      <c r="N59" s="406"/>
      <c r="O59" s="406"/>
      <c r="P59" s="406"/>
      <c r="Q59" s="406"/>
      <c r="R59" s="406"/>
      <c r="S59" s="406"/>
      <c r="T59" s="406"/>
      <c r="U59" s="179"/>
      <c r="V59" s="179"/>
      <c r="W59" s="179"/>
      <c r="X59" s="179"/>
      <c r="Y59" s="179"/>
      <c r="Z59" s="179"/>
      <c r="AA59" s="179"/>
      <c r="AB59" s="179"/>
      <c r="AC59" s="179"/>
      <c r="AD59" s="179"/>
      <c r="AE59" s="179">
        <v>1</v>
      </c>
      <c r="AF59" s="181">
        <v>1</v>
      </c>
      <c r="AG59" s="181">
        <v>1</v>
      </c>
      <c r="AH59" s="181">
        <v>1</v>
      </c>
      <c r="AI59" s="181">
        <v>1</v>
      </c>
      <c r="AJ59" s="181">
        <v>1</v>
      </c>
      <c r="AK59" s="181">
        <v>1</v>
      </c>
      <c r="AL59" s="181">
        <v>1</v>
      </c>
      <c r="AM59" s="181">
        <v>1</v>
      </c>
      <c r="AN59" s="181">
        <v>1</v>
      </c>
      <c r="AO59" s="181">
        <v>1</v>
      </c>
      <c r="AP59" s="181">
        <v>1</v>
      </c>
      <c r="AQ59" s="181">
        <v>1</v>
      </c>
      <c r="AR59" s="179">
        <v>1</v>
      </c>
      <c r="AS59" s="179">
        <v>1</v>
      </c>
      <c r="AT59" s="179">
        <v>1</v>
      </c>
      <c r="AU59" s="179">
        <v>1</v>
      </c>
      <c r="AV59" s="179">
        <v>1</v>
      </c>
      <c r="AW59" s="179">
        <v>1</v>
      </c>
      <c r="AX59" s="179">
        <v>1</v>
      </c>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c r="CX59" s="179"/>
      <c r="CY59" s="179"/>
      <c r="CZ59" s="179"/>
      <c r="DA59" s="179"/>
      <c r="DB59" s="179"/>
      <c r="DC59" s="179"/>
      <c r="DD59" s="179"/>
      <c r="DE59" s="179"/>
      <c r="DF59" s="179"/>
      <c r="DG59" s="179"/>
      <c r="DH59" s="179"/>
      <c r="DI59" s="179"/>
      <c r="DJ59" s="179"/>
      <c r="DK59" s="179"/>
      <c r="DL59" s="179"/>
      <c r="DM59" s="179"/>
      <c r="DN59" s="179"/>
      <c r="DO59" s="179"/>
      <c r="DP59" s="179"/>
      <c r="DQ59" s="179"/>
      <c r="DR59" s="179"/>
      <c r="DS59" s="179"/>
      <c r="DT59" s="179"/>
      <c r="DU59" s="179"/>
      <c r="DV59" s="179"/>
      <c r="DW59" s="179"/>
      <c r="DX59" s="179"/>
      <c r="DY59" s="583"/>
      <c r="DZ59" s="187"/>
      <c r="EA59" s="82">
        <f t="shared" si="84"/>
        <v>85</v>
      </c>
      <c r="EB59" s="82">
        <f t="shared" ref="EB59" si="95">EA59*Scenario1AgileContingency</f>
        <v>17</v>
      </c>
      <c r="EC59" s="82">
        <f t="shared" si="86"/>
        <v>0</v>
      </c>
      <c r="ED59" s="127">
        <f t="shared" ref="ED59" si="96">SUM(EA59:EC59)</f>
        <v>102</v>
      </c>
    </row>
    <row r="60" spans="1:134" s="74" customFormat="1" ht="11.25" x14ac:dyDescent="0.2">
      <c r="A60" s="581">
        <v>2</v>
      </c>
      <c r="B60" s="584" t="s">
        <v>640</v>
      </c>
      <c r="C60" s="457" t="s">
        <v>651</v>
      </c>
      <c r="D60" s="398" t="s">
        <v>633</v>
      </c>
      <c r="E60" s="435" t="s">
        <v>600</v>
      </c>
      <c r="F60" s="443" t="str">
        <f t="shared" si="88"/>
        <v>DWMS</v>
      </c>
      <c r="G60" s="443"/>
      <c r="H60" s="434" t="str">
        <f>H55</f>
        <v xml:space="preserve">Non-CUT  </v>
      </c>
      <c r="I60" s="406"/>
      <c r="J60" s="406"/>
      <c r="K60" s="406"/>
      <c r="L60" s="406"/>
      <c r="M60" s="406"/>
      <c r="N60" s="406"/>
      <c r="O60" s="406"/>
      <c r="P60" s="406"/>
      <c r="Q60" s="406"/>
      <c r="R60" s="406"/>
      <c r="S60" s="406"/>
      <c r="T60" s="406"/>
      <c r="U60" s="179"/>
      <c r="V60" s="179"/>
      <c r="W60" s="179"/>
      <c r="X60" s="179"/>
      <c r="Y60" s="179"/>
      <c r="Z60" s="179"/>
      <c r="AA60" s="179"/>
      <c r="AB60" s="179"/>
      <c r="AC60" s="179"/>
      <c r="AD60" s="179"/>
      <c r="AE60" s="179"/>
      <c r="AF60" s="181"/>
      <c r="AG60" s="181"/>
      <c r="AH60" s="181"/>
      <c r="AI60" s="181">
        <v>1</v>
      </c>
      <c r="AJ60" s="181">
        <v>1</v>
      </c>
      <c r="AK60" s="181">
        <v>1</v>
      </c>
      <c r="AL60" s="181">
        <v>1</v>
      </c>
      <c r="AM60" s="181">
        <v>1</v>
      </c>
      <c r="AN60" s="181">
        <v>1</v>
      </c>
      <c r="AO60" s="181">
        <v>1</v>
      </c>
      <c r="AP60" s="181">
        <v>1</v>
      </c>
      <c r="AQ60" s="181">
        <v>1</v>
      </c>
      <c r="AR60" s="179">
        <v>1</v>
      </c>
      <c r="AS60" s="179">
        <v>1</v>
      </c>
      <c r="AT60" s="179">
        <v>1</v>
      </c>
      <c r="AU60" s="179">
        <v>1</v>
      </c>
      <c r="AV60" s="179">
        <v>1</v>
      </c>
      <c r="AW60" s="179">
        <v>1</v>
      </c>
      <c r="AX60" s="179">
        <v>1</v>
      </c>
      <c r="AY60" s="179">
        <v>1</v>
      </c>
      <c r="AZ60" s="179">
        <v>1</v>
      </c>
      <c r="BA60" s="179">
        <v>1</v>
      </c>
      <c r="BB60" s="179">
        <v>1</v>
      </c>
      <c r="BC60" s="179">
        <v>1</v>
      </c>
      <c r="BD60" s="179">
        <v>1</v>
      </c>
      <c r="BE60" s="179">
        <v>1</v>
      </c>
      <c r="BF60" s="179">
        <v>1</v>
      </c>
      <c r="BG60" s="179">
        <v>1</v>
      </c>
      <c r="BH60" s="179">
        <v>1</v>
      </c>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583"/>
      <c r="DZ60" s="187"/>
      <c r="EA60" s="82">
        <f t="shared" si="84"/>
        <v>110.5</v>
      </c>
      <c r="EB60" s="82">
        <f t="shared" ref="EB60" si="97">EA60*Scenario1AgileContingency</f>
        <v>22.1</v>
      </c>
      <c r="EC60" s="82">
        <f t="shared" si="86"/>
        <v>0</v>
      </c>
      <c r="ED60" s="127">
        <f t="shared" ref="ED60" si="98">SUM(EA60:EC60)</f>
        <v>132.6</v>
      </c>
    </row>
    <row r="61" spans="1:134" s="74" customFormat="1" ht="11.25" x14ac:dyDescent="0.2">
      <c r="A61" s="581">
        <v>2</v>
      </c>
      <c r="B61" s="584" t="s">
        <v>640</v>
      </c>
      <c r="C61" s="457" t="s">
        <v>660</v>
      </c>
      <c r="D61" s="398" t="s">
        <v>633</v>
      </c>
      <c r="E61" s="435" t="s">
        <v>600</v>
      </c>
      <c r="F61" s="443" t="str">
        <f t="shared" si="88"/>
        <v>DWMS</v>
      </c>
      <c r="G61" s="443"/>
      <c r="H61" s="434" t="str">
        <f>H60</f>
        <v xml:space="preserve">Non-CUT  </v>
      </c>
      <c r="I61" s="406"/>
      <c r="J61" s="406"/>
      <c r="K61" s="406"/>
      <c r="L61" s="406"/>
      <c r="M61" s="406"/>
      <c r="N61" s="406"/>
      <c r="O61" s="406"/>
      <c r="P61" s="406"/>
      <c r="Q61" s="406"/>
      <c r="R61" s="406"/>
      <c r="S61" s="406"/>
      <c r="T61" s="406"/>
      <c r="U61" s="179"/>
      <c r="V61" s="179"/>
      <c r="W61" s="179"/>
      <c r="X61" s="179"/>
      <c r="Y61" s="179"/>
      <c r="Z61" s="179"/>
      <c r="AA61" s="179"/>
      <c r="AB61" s="179"/>
      <c r="AC61" s="179"/>
      <c r="AD61" s="179"/>
      <c r="AE61" s="179"/>
      <c r="AF61" s="181"/>
      <c r="AG61" s="181"/>
      <c r="AH61" s="181"/>
      <c r="AI61" s="181">
        <v>1</v>
      </c>
      <c r="AJ61" s="181">
        <v>1</v>
      </c>
      <c r="AK61" s="181">
        <v>1</v>
      </c>
      <c r="AL61" s="181">
        <v>1</v>
      </c>
      <c r="AM61" s="181">
        <v>1</v>
      </c>
      <c r="AN61" s="181">
        <v>1</v>
      </c>
      <c r="AO61" s="181">
        <v>1</v>
      </c>
      <c r="AP61" s="181">
        <v>1</v>
      </c>
      <c r="AQ61" s="181">
        <v>1</v>
      </c>
      <c r="AR61" s="179">
        <v>1</v>
      </c>
      <c r="AS61" s="179">
        <v>1</v>
      </c>
      <c r="AT61" s="179">
        <v>1</v>
      </c>
      <c r="AU61" s="179">
        <v>1</v>
      </c>
      <c r="AV61" s="179">
        <v>1</v>
      </c>
      <c r="AW61" s="179">
        <v>1</v>
      </c>
      <c r="AX61" s="179">
        <v>1</v>
      </c>
      <c r="AY61" s="179">
        <v>1</v>
      </c>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c r="CX61" s="179"/>
      <c r="CY61" s="179"/>
      <c r="CZ61" s="179"/>
      <c r="DA61" s="179"/>
      <c r="DB61" s="179"/>
      <c r="DC61" s="179"/>
      <c r="DD61" s="179"/>
      <c r="DE61" s="179"/>
      <c r="DF61" s="179"/>
      <c r="DG61" s="179"/>
      <c r="DH61" s="179"/>
      <c r="DI61" s="179"/>
      <c r="DJ61" s="179"/>
      <c r="DK61" s="179"/>
      <c r="DL61" s="179"/>
      <c r="DM61" s="179"/>
      <c r="DN61" s="179"/>
      <c r="DO61" s="179"/>
      <c r="DP61" s="179"/>
      <c r="DQ61" s="179"/>
      <c r="DR61" s="179"/>
      <c r="DS61" s="179"/>
      <c r="DT61" s="179"/>
      <c r="DU61" s="179"/>
      <c r="DV61" s="179"/>
      <c r="DW61" s="179"/>
      <c r="DX61" s="179"/>
      <c r="DY61" s="583"/>
      <c r="DZ61" s="187"/>
      <c r="EA61" s="82">
        <f t="shared" si="84"/>
        <v>72.25</v>
      </c>
      <c r="EB61" s="82">
        <f t="shared" ref="EB61" si="99">EA61*Scenario1AgileContingency</f>
        <v>14.450000000000001</v>
      </c>
      <c r="EC61" s="82">
        <f t="shared" si="86"/>
        <v>0</v>
      </c>
      <c r="ED61" s="127">
        <f t="shared" ref="ED61" si="100">SUM(EA61:EC61)</f>
        <v>86.7</v>
      </c>
    </row>
    <row r="62" spans="1:134" s="74" customFormat="1" ht="45" x14ac:dyDescent="0.2">
      <c r="A62" s="210">
        <v>1</v>
      </c>
      <c r="B62" s="211" t="s">
        <v>640</v>
      </c>
      <c r="C62" s="206" t="s">
        <v>653</v>
      </c>
      <c r="D62" s="206" t="s">
        <v>518</v>
      </c>
      <c r="E62" s="436"/>
      <c r="F62" s="523"/>
      <c r="G62" s="523" t="s">
        <v>661</v>
      </c>
      <c r="H62" s="436"/>
      <c r="I62" s="216"/>
      <c r="J62" s="216"/>
      <c r="K62" s="216"/>
      <c r="L62" s="216"/>
      <c r="M62" s="216"/>
      <c r="N62" s="216"/>
      <c r="O62" s="216"/>
      <c r="P62" s="216"/>
      <c r="Q62" s="216"/>
      <c r="R62" s="216"/>
      <c r="S62" s="216"/>
      <c r="T62" s="216"/>
      <c r="U62" s="216"/>
      <c r="V62" s="216"/>
      <c r="W62" s="216"/>
      <c r="X62" s="216"/>
      <c r="Y62" s="216"/>
      <c r="Z62" s="216"/>
      <c r="AA62" s="216"/>
      <c r="AB62" s="216"/>
      <c r="AC62" s="216"/>
      <c r="AD62" s="216"/>
      <c r="AE62" s="216"/>
      <c r="AF62" s="216"/>
      <c r="AG62" s="216"/>
      <c r="AH62" s="216"/>
      <c r="AI62" s="216"/>
      <c r="AJ62" s="216"/>
      <c r="AK62" s="216"/>
      <c r="AL62" s="216"/>
      <c r="AM62" s="216"/>
      <c r="AN62" s="216"/>
      <c r="AO62" s="216"/>
      <c r="AP62" s="216"/>
      <c r="AQ62" s="216"/>
      <c r="AR62" s="216"/>
      <c r="AS62" s="216" t="s">
        <v>662</v>
      </c>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185"/>
      <c r="DZ62" s="187"/>
      <c r="EA62" s="127"/>
      <c r="EB62" s="127"/>
      <c r="EC62" s="127"/>
      <c r="ED62" s="127"/>
    </row>
    <row r="63" spans="1:134" s="74" customFormat="1" ht="11.25" x14ac:dyDescent="0.2">
      <c r="A63" s="581">
        <v>2</v>
      </c>
      <c r="B63" s="584" t="s">
        <v>640</v>
      </c>
      <c r="C63" s="457" t="s">
        <v>658</v>
      </c>
      <c r="D63" s="398" t="s">
        <v>636</v>
      </c>
      <c r="E63" s="435" t="s">
        <v>600</v>
      </c>
      <c r="F63" s="443" t="str">
        <f t="shared" ref="F63:F65" si="101">IFERROR(VLOOKUP(C63,MappingFromTTStoSU,2,FALSE),"SU Resource Role")</f>
        <v>DWMS</v>
      </c>
      <c r="G63" s="443"/>
      <c r="H63" s="434" t="str">
        <f>C62</f>
        <v xml:space="preserve">Non-CUT  </v>
      </c>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06"/>
      <c r="AK63" s="406"/>
      <c r="AL63" s="406"/>
      <c r="AM63" s="406"/>
      <c r="AN63" s="406"/>
      <c r="AO63" s="181"/>
      <c r="AP63" s="181"/>
      <c r="AQ63" s="181"/>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583"/>
      <c r="DZ63" s="187"/>
      <c r="EA63" s="82">
        <f>SUMIF(I$8:DY$8,"&lt;&gt;"&amp;AgileIteration_Warranty,I63:DY63)*5*Scenario1Utilisation</f>
        <v>0</v>
      </c>
      <c r="EB63" s="82">
        <f t="shared" ref="EB63" si="102">EA63*Scenario1AgileContingency</f>
        <v>0</v>
      </c>
      <c r="EC63" s="82">
        <f>IF(Scenario1Warranty=AgileWarrantyDefault, (SUMIF(I$8:DY$8,AgileIteration_Warranty,I63:DY63)*5*Scenario1Utilisation), (EA63*Scenario1Warranty))</f>
        <v>0</v>
      </c>
      <c r="ED63" s="127">
        <f t="shared" ref="ED63" si="103">SUM(EA63:EC63)</f>
        <v>0</v>
      </c>
    </row>
    <row r="64" spans="1:134" s="74" customFormat="1" ht="11.25" x14ac:dyDescent="0.2">
      <c r="A64" s="581">
        <v>2</v>
      </c>
      <c r="B64" s="584" t="s">
        <v>640</v>
      </c>
      <c r="C64" s="457" t="s">
        <v>635</v>
      </c>
      <c r="D64" s="398" t="s">
        <v>636</v>
      </c>
      <c r="E64" s="435" t="s">
        <v>600</v>
      </c>
      <c r="F64" s="443" t="str">
        <f t="shared" si="101"/>
        <v>DWMS</v>
      </c>
      <c r="G64" s="443"/>
      <c r="H64" s="434" t="str">
        <f>H63</f>
        <v xml:space="preserve">Non-CUT  </v>
      </c>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06"/>
      <c r="AK64" s="406"/>
      <c r="AL64" s="406"/>
      <c r="AM64" s="406"/>
      <c r="AN64" s="406"/>
      <c r="AO64" s="181"/>
      <c r="AP64" s="181"/>
      <c r="AQ64" s="181"/>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c r="CX64" s="179"/>
      <c r="CY64" s="179"/>
      <c r="CZ64" s="179"/>
      <c r="DA64" s="179"/>
      <c r="DB64" s="179"/>
      <c r="DC64" s="179"/>
      <c r="DD64" s="179"/>
      <c r="DE64" s="179"/>
      <c r="DF64" s="179"/>
      <c r="DG64" s="179"/>
      <c r="DH64" s="179"/>
      <c r="DI64" s="179"/>
      <c r="DJ64" s="179"/>
      <c r="DK64" s="179"/>
      <c r="DL64" s="179"/>
      <c r="DM64" s="179"/>
      <c r="DN64" s="179"/>
      <c r="DO64" s="179"/>
      <c r="DP64" s="179"/>
      <c r="DQ64" s="179"/>
      <c r="DR64" s="179"/>
      <c r="DS64" s="179"/>
      <c r="DT64" s="179"/>
      <c r="DU64" s="179"/>
      <c r="DV64" s="179"/>
      <c r="DW64" s="179"/>
      <c r="DX64" s="179"/>
      <c r="DY64" s="583"/>
      <c r="DZ64" s="187"/>
      <c r="EA64" s="82">
        <f>SUMIF(I$8:DY$8,"&lt;&gt;"&amp;AgileIteration_Warranty,I64:DY64)*5*Scenario1Utilisation</f>
        <v>0</v>
      </c>
      <c r="EB64" s="82">
        <f t="shared" ref="EB64" si="104">EA64*Scenario1AgileContingency</f>
        <v>0</v>
      </c>
      <c r="EC64" s="82">
        <f>IF(Scenario1Warranty=AgileWarrantyDefault, (SUMIF(I$8:DY$8,AgileIteration_Warranty,I64:DY64)*5*Scenario1Utilisation), (EA64*Scenario1Warranty))</f>
        <v>0</v>
      </c>
      <c r="ED64" s="127">
        <f t="shared" ref="ED64" si="105">SUM(EA64:EC64)</f>
        <v>0</v>
      </c>
    </row>
    <row r="65" spans="1:134" s="74" customFormat="1" ht="11.25" x14ac:dyDescent="0.2">
      <c r="A65" s="581">
        <v>2</v>
      </c>
      <c r="B65" s="584" t="s">
        <v>640</v>
      </c>
      <c r="C65" s="457" t="s">
        <v>659</v>
      </c>
      <c r="D65" s="398" t="s">
        <v>636</v>
      </c>
      <c r="E65" s="435" t="s">
        <v>600</v>
      </c>
      <c r="F65" s="443" t="str">
        <f t="shared" si="101"/>
        <v>DWMS</v>
      </c>
      <c r="G65" s="443"/>
      <c r="H65" s="434" t="str">
        <f t="shared" ref="H65" si="106">H64</f>
        <v xml:space="preserve">Non-CUT  </v>
      </c>
      <c r="I65" s="406"/>
      <c r="J65" s="406"/>
      <c r="K65" s="406"/>
      <c r="L65" s="406"/>
      <c r="M65" s="406"/>
      <c r="N65" s="406"/>
      <c r="O65" s="406"/>
      <c r="P65" s="406"/>
      <c r="Q65" s="406"/>
      <c r="R65" s="406">
        <v>1</v>
      </c>
      <c r="S65" s="406">
        <v>1</v>
      </c>
      <c r="T65" s="406">
        <v>1</v>
      </c>
      <c r="U65" s="406">
        <v>1</v>
      </c>
      <c r="V65" s="406">
        <v>1</v>
      </c>
      <c r="W65" s="406">
        <v>1</v>
      </c>
      <c r="X65" s="406">
        <v>1</v>
      </c>
      <c r="Y65" s="406">
        <v>1</v>
      </c>
      <c r="Z65" s="406">
        <v>1</v>
      </c>
      <c r="AA65" s="406">
        <v>1</v>
      </c>
      <c r="AB65" s="406">
        <v>1</v>
      </c>
      <c r="AC65" s="406">
        <v>1</v>
      </c>
      <c r="AD65" s="406">
        <v>1</v>
      </c>
      <c r="AE65" s="406">
        <v>1</v>
      </c>
      <c r="AF65" s="406">
        <v>1</v>
      </c>
      <c r="AG65" s="406">
        <v>1</v>
      </c>
      <c r="AH65" s="406">
        <v>1</v>
      </c>
      <c r="AI65" s="406">
        <v>1</v>
      </c>
      <c r="AJ65" s="406">
        <v>1</v>
      </c>
      <c r="AK65" s="406">
        <v>1</v>
      </c>
      <c r="AL65" s="406">
        <v>1</v>
      </c>
      <c r="AM65" s="406">
        <v>1</v>
      </c>
      <c r="AN65" s="406">
        <v>1</v>
      </c>
      <c r="AO65" s="406">
        <v>1</v>
      </c>
      <c r="AP65" s="406">
        <v>1</v>
      </c>
      <c r="AQ65" s="406">
        <v>1</v>
      </c>
      <c r="AR65" s="406">
        <v>1</v>
      </c>
      <c r="AS65" s="179">
        <v>1</v>
      </c>
      <c r="AT65" s="179">
        <v>1</v>
      </c>
      <c r="AU65" s="179">
        <v>1</v>
      </c>
      <c r="AV65" s="179">
        <v>1</v>
      </c>
      <c r="AW65" s="179">
        <v>1</v>
      </c>
      <c r="AX65" s="179">
        <v>1</v>
      </c>
      <c r="AY65" s="179">
        <v>1</v>
      </c>
      <c r="AZ65" s="179">
        <v>1</v>
      </c>
      <c r="BA65" s="179">
        <v>1</v>
      </c>
      <c r="BB65" s="179">
        <v>1</v>
      </c>
      <c r="BC65" s="179">
        <v>1</v>
      </c>
      <c r="BD65" s="179">
        <v>1</v>
      </c>
      <c r="BE65" s="179">
        <v>1</v>
      </c>
      <c r="BF65" s="179">
        <v>1</v>
      </c>
      <c r="BG65" s="179">
        <v>1</v>
      </c>
      <c r="BH65" s="179">
        <v>1</v>
      </c>
      <c r="BI65" s="179">
        <v>1</v>
      </c>
      <c r="BJ65" s="179">
        <v>1</v>
      </c>
      <c r="BK65" s="179">
        <v>1</v>
      </c>
      <c r="BL65" s="179">
        <v>1</v>
      </c>
      <c r="BM65" s="179">
        <v>1</v>
      </c>
      <c r="BN65" s="179">
        <v>1</v>
      </c>
      <c r="BO65" s="179">
        <v>1</v>
      </c>
      <c r="BP65" s="179">
        <v>1</v>
      </c>
      <c r="BQ65" s="179">
        <v>1</v>
      </c>
      <c r="BR65" s="179">
        <v>1</v>
      </c>
      <c r="BS65" s="179">
        <v>1</v>
      </c>
      <c r="BT65" s="179">
        <v>1</v>
      </c>
      <c r="BU65" s="179">
        <v>1</v>
      </c>
      <c r="BV65" s="179">
        <v>1</v>
      </c>
      <c r="BW65" s="179">
        <v>1</v>
      </c>
      <c r="BX65" s="179">
        <v>1</v>
      </c>
      <c r="BY65" s="179">
        <v>1</v>
      </c>
      <c r="BZ65" s="179">
        <v>1</v>
      </c>
      <c r="CA65" s="179">
        <v>1</v>
      </c>
      <c r="CB65" s="179">
        <v>1</v>
      </c>
      <c r="CC65" s="179">
        <v>1</v>
      </c>
      <c r="CD65" s="179">
        <v>1</v>
      </c>
      <c r="CE65" s="179">
        <v>1</v>
      </c>
      <c r="CF65" s="179">
        <v>1</v>
      </c>
      <c r="CG65" s="179">
        <v>1</v>
      </c>
      <c r="CH65" s="179">
        <v>1</v>
      </c>
      <c r="CI65" s="179">
        <v>1</v>
      </c>
      <c r="CJ65" s="179">
        <v>1</v>
      </c>
      <c r="CK65" s="179">
        <v>1</v>
      </c>
      <c r="CL65" s="179">
        <v>1</v>
      </c>
      <c r="CM65" s="179">
        <v>1</v>
      </c>
      <c r="CN65" s="179">
        <v>1</v>
      </c>
      <c r="CO65" s="179">
        <v>1</v>
      </c>
      <c r="CP65" s="179">
        <v>1</v>
      </c>
      <c r="CQ65" s="179">
        <v>1</v>
      </c>
      <c r="CR65" s="179">
        <v>1</v>
      </c>
      <c r="CS65" s="179">
        <v>1</v>
      </c>
      <c r="CT65" s="179">
        <v>1</v>
      </c>
      <c r="CU65" s="179">
        <v>1</v>
      </c>
      <c r="CV65" s="179">
        <v>0.5</v>
      </c>
      <c r="CW65" s="179">
        <v>0.5</v>
      </c>
      <c r="CX65" s="179">
        <v>0.5</v>
      </c>
      <c r="CY65" s="179">
        <v>0.5</v>
      </c>
      <c r="CZ65" s="179">
        <v>0.5</v>
      </c>
      <c r="DA65" s="179">
        <v>0.5</v>
      </c>
      <c r="DB65" s="179">
        <v>0.5</v>
      </c>
      <c r="DC65" s="179">
        <v>0.5</v>
      </c>
      <c r="DD65" s="179">
        <v>0.5</v>
      </c>
      <c r="DE65" s="179">
        <v>0.5</v>
      </c>
      <c r="DF65" s="179">
        <v>0.5</v>
      </c>
      <c r="DG65" s="179">
        <v>0.5</v>
      </c>
      <c r="DH65" s="179">
        <v>0.5</v>
      </c>
      <c r="DI65" s="179">
        <v>0.5</v>
      </c>
      <c r="DJ65" s="179">
        <v>0.5</v>
      </c>
      <c r="DK65" s="179">
        <v>0.5</v>
      </c>
      <c r="DL65" s="179"/>
      <c r="DM65" s="179"/>
      <c r="DN65" s="179"/>
      <c r="DO65" s="179"/>
      <c r="DP65" s="179"/>
      <c r="DQ65" s="179"/>
      <c r="DR65" s="179"/>
      <c r="DS65" s="179"/>
      <c r="DT65" s="179"/>
      <c r="DU65" s="179"/>
      <c r="DV65" s="179"/>
      <c r="DW65" s="179"/>
      <c r="DX65" s="179"/>
      <c r="DY65" s="583"/>
      <c r="DZ65" s="187"/>
      <c r="EA65" s="82">
        <f>SUMIF(I$8:DY$8,"&lt;&gt;"&amp;AgileIteration_Warranty,I65:DY65)*5*Scenario1Utilisation</f>
        <v>382.5</v>
      </c>
      <c r="EB65" s="82">
        <f t="shared" ref="EB65" si="107">EA65*Scenario1AgileContingency</f>
        <v>76.5</v>
      </c>
      <c r="EC65" s="82">
        <f>IF(Scenario1Warranty=AgileWarrantyDefault, (SUMIF(I$8:DY$8,AgileIteration_Warranty,I65:DY65)*5*Scenario1Utilisation), (EA65*Scenario1Warranty))</f>
        <v>0</v>
      </c>
      <c r="ED65" s="127">
        <f t="shared" ref="ED65" si="108">SUM(EA65:EC65)</f>
        <v>459</v>
      </c>
    </row>
    <row r="66" spans="1:134" s="74" customFormat="1" ht="11.25" customHeight="1" x14ac:dyDescent="0.2">
      <c r="A66" s="210">
        <v>1</v>
      </c>
      <c r="B66" s="392" t="s">
        <v>663</v>
      </c>
      <c r="C66" s="206" t="s">
        <v>663</v>
      </c>
      <c r="D66" s="206" t="s">
        <v>663</v>
      </c>
      <c r="E66" s="436"/>
      <c r="F66" s="523"/>
      <c r="G66" s="523"/>
      <c r="H66" s="436"/>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185"/>
      <c r="DZ66" s="187"/>
      <c r="EA66" s="127"/>
      <c r="EB66" s="127"/>
      <c r="EC66" s="127"/>
      <c r="ED66" s="127"/>
    </row>
    <row r="67" spans="1:134" s="74" customFormat="1" ht="17.25" customHeight="1" x14ac:dyDescent="0.2">
      <c r="A67" s="210">
        <v>2</v>
      </c>
      <c r="B67" s="392" t="s">
        <v>663</v>
      </c>
      <c r="C67" s="457" t="str">
        <f>IFERROR(VLOOKUP(D67,MappingFromSetAgiletoTTSRole,2,FALSE),"SET Agile Resource Role")</f>
        <v>Business Consultant</v>
      </c>
      <c r="D67" s="401" t="s">
        <v>664</v>
      </c>
      <c r="E67" s="435" t="s">
        <v>600</v>
      </c>
      <c r="F67" s="443" t="s">
        <v>607</v>
      </c>
      <c r="G67" s="443"/>
      <c r="H67" s="434" t="str">
        <f>C66</f>
        <v>Documentation</v>
      </c>
      <c r="I67" s="409"/>
      <c r="J67" s="409"/>
      <c r="K67" s="409"/>
      <c r="L67" s="409"/>
      <c r="M67" s="409"/>
      <c r="N67" s="409"/>
      <c r="O67" s="409"/>
      <c r="P67" s="409"/>
      <c r="Q67" s="409"/>
      <c r="R67" s="409"/>
      <c r="S67" s="409"/>
      <c r="T67" s="409"/>
      <c r="U67" s="182"/>
      <c r="V67" s="182"/>
      <c r="W67" s="182"/>
      <c r="X67" s="182"/>
      <c r="Y67" s="182"/>
      <c r="Z67" s="182"/>
      <c r="AA67" s="182"/>
      <c r="AB67" s="182"/>
      <c r="AC67" s="182"/>
      <c r="AD67" s="182"/>
      <c r="AE67" s="182"/>
      <c r="AF67" s="183"/>
      <c r="AG67" s="183"/>
      <c r="AH67" s="183"/>
      <c r="AI67" s="183"/>
      <c r="AJ67" s="183">
        <v>1</v>
      </c>
      <c r="AK67" s="183">
        <v>1</v>
      </c>
      <c r="AL67" s="183"/>
      <c r="AM67" s="183"/>
      <c r="AN67" s="183">
        <v>1</v>
      </c>
      <c r="AO67" s="183"/>
      <c r="AP67" s="183"/>
      <c r="AQ67" s="183"/>
      <c r="AR67" s="182"/>
      <c r="AS67" s="182"/>
      <c r="AT67" s="182"/>
      <c r="AU67" s="182"/>
      <c r="AV67" s="182"/>
      <c r="AW67" s="182"/>
      <c r="AX67" s="182">
        <v>1</v>
      </c>
      <c r="AY67" s="182"/>
      <c r="AZ67" s="182"/>
      <c r="BA67" s="182"/>
      <c r="BB67" s="182"/>
      <c r="BC67" s="182"/>
      <c r="BD67" s="182"/>
      <c r="BE67" s="182"/>
      <c r="BF67" s="182"/>
      <c r="BG67" s="182">
        <v>1</v>
      </c>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4"/>
      <c r="DZ67" s="187"/>
      <c r="EA67" s="82">
        <f>SUMIF(I$8:DY$8,"&lt;&gt;"&amp;AgileIteration_Warranty,I67:DY67)*5*Scenario1Utilisation</f>
        <v>21.25</v>
      </c>
      <c r="EB67" s="82">
        <f t="shared" si="8"/>
        <v>4.25</v>
      </c>
      <c r="EC67" s="82">
        <f>IF(Scenario1Warranty=AgileWarrantyDefault, (SUMIF(I$8:DY$8,AgileIteration_Warranty,I67:DY67)*5*Scenario1Utilisation), (EA67*Scenario1Warranty))</f>
        <v>0</v>
      </c>
      <c r="ED67" s="127">
        <f t="shared" si="10"/>
        <v>25.5</v>
      </c>
    </row>
    <row r="68" spans="1:134" s="74" customFormat="1" ht="11.25" customHeight="1" x14ac:dyDescent="0.2">
      <c r="A68" s="210">
        <v>1</v>
      </c>
      <c r="B68" s="392" t="s">
        <v>665</v>
      </c>
      <c r="C68" s="206" t="s">
        <v>666</v>
      </c>
      <c r="D68" s="206" t="s">
        <v>665</v>
      </c>
      <c r="E68" s="436"/>
      <c r="F68" s="523"/>
      <c r="G68" s="523" t="s">
        <v>667</v>
      </c>
      <c r="H68" s="436"/>
      <c r="I68" s="216"/>
      <c r="J68" s="216"/>
      <c r="K68" s="216"/>
      <c r="L68" s="216"/>
      <c r="M68" s="216"/>
      <c r="N68" s="216"/>
      <c r="O68" s="216"/>
      <c r="P68" s="216" t="s">
        <v>570</v>
      </c>
      <c r="Q68" s="216" t="s">
        <v>570</v>
      </c>
      <c r="R68" s="216" t="s">
        <v>570</v>
      </c>
      <c r="S68" s="216" t="s">
        <v>570</v>
      </c>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185"/>
      <c r="DZ68" s="187"/>
      <c r="EA68" s="127"/>
      <c r="EB68" s="127"/>
      <c r="EC68" s="127"/>
      <c r="ED68" s="127"/>
    </row>
    <row r="69" spans="1:134" s="74" customFormat="1" ht="11.25" x14ac:dyDescent="0.2">
      <c r="A69" s="581">
        <v>2</v>
      </c>
      <c r="B69" s="582" t="s">
        <v>665</v>
      </c>
      <c r="C69" s="457" t="s">
        <v>604</v>
      </c>
      <c r="D69" s="398" t="s">
        <v>668</v>
      </c>
      <c r="E69" s="435" t="s">
        <v>600</v>
      </c>
      <c r="F69" s="443" t="s">
        <v>607</v>
      </c>
      <c r="G69" s="443"/>
      <c r="H69" s="434" t="str">
        <f>C68</f>
        <v>Ref Data Configuration/Documentation</v>
      </c>
      <c r="I69" s="406"/>
      <c r="J69" s="406"/>
      <c r="K69" s="406"/>
      <c r="L69" s="406">
        <v>1</v>
      </c>
      <c r="M69" s="406">
        <v>1</v>
      </c>
      <c r="N69" s="406">
        <v>1</v>
      </c>
      <c r="O69" s="406">
        <v>1</v>
      </c>
      <c r="P69" s="406">
        <v>1</v>
      </c>
      <c r="Q69" s="406">
        <v>1</v>
      </c>
      <c r="R69" s="406">
        <v>1</v>
      </c>
      <c r="S69" s="406">
        <v>1</v>
      </c>
      <c r="T69" s="406">
        <v>1</v>
      </c>
      <c r="U69" s="179">
        <v>1</v>
      </c>
      <c r="V69" s="179">
        <v>1</v>
      </c>
      <c r="W69" s="179">
        <v>1</v>
      </c>
      <c r="X69" s="179">
        <v>1</v>
      </c>
      <c r="Y69" s="179">
        <v>1</v>
      </c>
      <c r="Z69" s="179">
        <v>1</v>
      </c>
      <c r="AA69" s="179">
        <v>1</v>
      </c>
      <c r="AB69" s="179">
        <v>1</v>
      </c>
      <c r="AC69" s="179">
        <v>1</v>
      </c>
      <c r="AD69" s="179">
        <v>1</v>
      </c>
      <c r="AE69" s="179">
        <v>1</v>
      </c>
      <c r="AF69" s="179">
        <v>1</v>
      </c>
      <c r="AG69" s="179">
        <v>1</v>
      </c>
      <c r="AH69" s="179">
        <v>1</v>
      </c>
      <c r="AI69" s="179">
        <v>1</v>
      </c>
      <c r="AJ69" s="179">
        <v>1</v>
      </c>
      <c r="AK69" s="179">
        <v>1</v>
      </c>
      <c r="AL69" s="179">
        <v>1</v>
      </c>
      <c r="AM69" s="179">
        <v>1</v>
      </c>
      <c r="AN69" s="179">
        <v>1</v>
      </c>
      <c r="AO69" s="179">
        <v>1</v>
      </c>
      <c r="AP69" s="179">
        <v>1</v>
      </c>
      <c r="AQ69" s="179">
        <v>1</v>
      </c>
      <c r="AR69" s="179">
        <v>1</v>
      </c>
      <c r="AS69" s="179">
        <v>1</v>
      </c>
      <c r="AT69" s="179">
        <v>1</v>
      </c>
      <c r="AU69" s="179">
        <v>1</v>
      </c>
      <c r="AV69" s="179">
        <v>1</v>
      </c>
      <c r="AW69" s="179">
        <v>1</v>
      </c>
      <c r="AX69" s="179">
        <v>1</v>
      </c>
      <c r="AY69" s="179">
        <v>1</v>
      </c>
      <c r="AZ69" s="179">
        <v>1</v>
      </c>
      <c r="BA69" s="179">
        <v>1</v>
      </c>
      <c r="BB69" s="179">
        <v>1</v>
      </c>
      <c r="BC69" s="179">
        <v>1</v>
      </c>
      <c r="BD69" s="179">
        <v>1</v>
      </c>
      <c r="BE69" s="179">
        <v>1</v>
      </c>
      <c r="BF69" s="179">
        <v>1</v>
      </c>
      <c r="BG69" s="179">
        <v>1</v>
      </c>
      <c r="BH69" s="179">
        <v>1</v>
      </c>
      <c r="BI69" s="179">
        <v>1</v>
      </c>
      <c r="BJ69" s="179">
        <v>1</v>
      </c>
      <c r="BK69" s="179">
        <v>1</v>
      </c>
      <c r="BL69" s="179">
        <v>1</v>
      </c>
      <c r="BM69" s="179">
        <v>1</v>
      </c>
      <c r="BN69" s="179">
        <v>1</v>
      </c>
      <c r="BO69" s="179">
        <v>1</v>
      </c>
      <c r="BP69" s="179">
        <v>1</v>
      </c>
      <c r="BQ69" s="179">
        <v>1</v>
      </c>
      <c r="BR69" s="179">
        <v>1</v>
      </c>
      <c r="BS69" s="179">
        <v>1</v>
      </c>
      <c r="BT69" s="179">
        <v>1</v>
      </c>
      <c r="BU69" s="179">
        <v>1</v>
      </c>
      <c r="BV69" s="179">
        <v>1</v>
      </c>
      <c r="BW69" s="179">
        <v>1</v>
      </c>
      <c r="BX69" s="179">
        <v>1</v>
      </c>
      <c r="BY69" s="179">
        <v>1</v>
      </c>
      <c r="BZ69" s="179">
        <v>1</v>
      </c>
      <c r="CA69" s="179">
        <v>1</v>
      </c>
      <c r="CB69" s="179">
        <v>1</v>
      </c>
      <c r="CC69" s="179">
        <v>1</v>
      </c>
      <c r="CD69" s="179">
        <v>1</v>
      </c>
      <c r="CE69" s="179">
        <v>1</v>
      </c>
      <c r="CF69" s="179">
        <v>1</v>
      </c>
      <c r="CG69" s="179">
        <v>1</v>
      </c>
      <c r="CH69" s="179">
        <v>1</v>
      </c>
      <c r="CI69" s="179">
        <v>1</v>
      </c>
      <c r="CJ69" s="179">
        <v>1</v>
      </c>
      <c r="CK69" s="179">
        <v>1</v>
      </c>
      <c r="CL69" s="179">
        <v>1</v>
      </c>
      <c r="CM69" s="179">
        <v>1</v>
      </c>
      <c r="CN69" s="179">
        <v>1</v>
      </c>
      <c r="CO69" s="179">
        <v>1</v>
      </c>
      <c r="CP69" s="179">
        <v>1</v>
      </c>
      <c r="CQ69" s="179">
        <v>1</v>
      </c>
      <c r="CR69" s="179">
        <v>1</v>
      </c>
      <c r="CS69" s="179">
        <v>1</v>
      </c>
      <c r="CT69" s="179">
        <v>1</v>
      </c>
      <c r="CU69" s="179">
        <v>1</v>
      </c>
      <c r="CV69" s="179">
        <v>1</v>
      </c>
      <c r="CW69" s="179">
        <v>1</v>
      </c>
      <c r="CX69" s="179">
        <v>1</v>
      </c>
      <c r="CY69" s="179">
        <v>1</v>
      </c>
      <c r="CZ69" s="179">
        <v>1</v>
      </c>
      <c r="DA69" s="179">
        <v>1</v>
      </c>
      <c r="DB69" s="179">
        <v>1</v>
      </c>
      <c r="DC69" s="179">
        <v>1</v>
      </c>
      <c r="DD69" s="179">
        <v>1</v>
      </c>
      <c r="DE69" s="179">
        <v>1</v>
      </c>
      <c r="DF69" s="179">
        <v>1</v>
      </c>
      <c r="DG69" s="179">
        <v>1</v>
      </c>
      <c r="DH69" s="179">
        <v>1</v>
      </c>
      <c r="DI69" s="179">
        <v>1</v>
      </c>
      <c r="DJ69" s="179">
        <v>1</v>
      </c>
      <c r="DK69" s="179">
        <v>1</v>
      </c>
      <c r="DL69" s="179"/>
      <c r="DM69" s="179"/>
      <c r="DN69" s="179"/>
      <c r="DO69" s="179"/>
      <c r="DP69" s="179"/>
      <c r="DQ69" s="179"/>
      <c r="DR69" s="179"/>
      <c r="DS69" s="179"/>
      <c r="DT69" s="179"/>
      <c r="DU69" s="179"/>
      <c r="DV69" s="179"/>
      <c r="DW69" s="179"/>
      <c r="DX69" s="179"/>
      <c r="DY69" s="583"/>
      <c r="DZ69" s="187"/>
      <c r="EA69" s="82">
        <f>SUMIF(I$8:DY$8,"&lt;&gt;"&amp;AgileIteration_Warranty,I69:DY69)*5*Scenario1Utilisation</f>
        <v>442</v>
      </c>
      <c r="EB69" s="82">
        <f t="shared" si="8"/>
        <v>88.4</v>
      </c>
      <c r="EC69" s="82">
        <f>IF(Scenario1Warranty=AgileWarrantyDefault, (SUMIF(I$8:DY$8,AgileIteration_Warranty,I69:DY69)*5*Scenario1Utilisation), (EA69*Scenario1Warranty))</f>
        <v>0</v>
      </c>
      <c r="ED69" s="127">
        <f t="shared" si="10"/>
        <v>530.4</v>
      </c>
    </row>
    <row r="70" spans="1:134" s="74" customFormat="1" ht="11.25" x14ac:dyDescent="0.2">
      <c r="A70" s="581">
        <v>2</v>
      </c>
      <c r="B70" s="582" t="s">
        <v>665</v>
      </c>
      <c r="C70" s="457" t="s">
        <v>635</v>
      </c>
      <c r="D70" s="398" t="s">
        <v>669</v>
      </c>
      <c r="E70" s="435" t="s">
        <v>600</v>
      </c>
      <c r="F70" s="443" t="str">
        <f>IFERROR(VLOOKUP(C70,MappingFromTTStoSU,2,FALSE),"SU Resource Role")</f>
        <v>DWMS</v>
      </c>
      <c r="G70" s="443"/>
      <c r="H70" s="434" t="str">
        <f>H69</f>
        <v>Ref Data Configuration/Documentation</v>
      </c>
      <c r="I70" s="406"/>
      <c r="J70" s="406"/>
      <c r="K70" s="406"/>
      <c r="L70" s="406"/>
      <c r="M70" s="406"/>
      <c r="N70" s="406"/>
      <c r="O70" s="406"/>
      <c r="P70" s="406"/>
      <c r="Q70" s="406"/>
      <c r="R70" s="406"/>
      <c r="S70" s="406"/>
      <c r="T70" s="406"/>
      <c r="U70" s="179">
        <v>1</v>
      </c>
      <c r="V70" s="179">
        <v>1</v>
      </c>
      <c r="W70" s="179">
        <v>1</v>
      </c>
      <c r="X70" s="179">
        <v>1</v>
      </c>
      <c r="Y70" s="179">
        <v>1</v>
      </c>
      <c r="Z70" s="179">
        <v>1</v>
      </c>
      <c r="AA70" s="179">
        <v>1</v>
      </c>
      <c r="AB70" s="179">
        <v>1</v>
      </c>
      <c r="AC70" s="179">
        <v>1</v>
      </c>
      <c r="AD70" s="179">
        <v>1</v>
      </c>
      <c r="AE70" s="179">
        <v>1</v>
      </c>
      <c r="AF70" s="179">
        <v>1</v>
      </c>
      <c r="AG70" s="179">
        <v>1</v>
      </c>
      <c r="AH70" s="179">
        <v>1</v>
      </c>
      <c r="AI70" s="179">
        <v>1</v>
      </c>
      <c r="AJ70" s="179">
        <v>1</v>
      </c>
      <c r="AK70" s="179">
        <v>1</v>
      </c>
      <c r="AL70" s="179">
        <v>1</v>
      </c>
      <c r="AM70" s="179">
        <v>1</v>
      </c>
      <c r="AN70" s="179">
        <v>1</v>
      </c>
      <c r="AO70" s="179">
        <v>1</v>
      </c>
      <c r="AP70" s="179">
        <v>1</v>
      </c>
      <c r="AQ70" s="179">
        <v>1</v>
      </c>
      <c r="AR70" s="179">
        <v>1</v>
      </c>
      <c r="AS70" s="179">
        <v>1</v>
      </c>
      <c r="AT70" s="179">
        <v>1</v>
      </c>
      <c r="AU70" s="179">
        <v>1</v>
      </c>
      <c r="AV70" s="179">
        <v>1</v>
      </c>
      <c r="AW70" s="179">
        <v>1</v>
      </c>
      <c r="AX70" s="179">
        <v>1</v>
      </c>
      <c r="AY70" s="179">
        <v>1</v>
      </c>
      <c r="AZ70" s="179">
        <v>1</v>
      </c>
      <c r="BA70" s="179">
        <v>1</v>
      </c>
      <c r="BB70" s="179">
        <v>1</v>
      </c>
      <c r="BC70" s="179">
        <v>1</v>
      </c>
      <c r="BD70" s="179">
        <v>1</v>
      </c>
      <c r="BE70" s="179">
        <v>1</v>
      </c>
      <c r="BF70" s="179">
        <v>1</v>
      </c>
      <c r="BG70" s="179">
        <v>1</v>
      </c>
      <c r="BH70" s="179">
        <v>1</v>
      </c>
      <c r="BI70" s="179">
        <v>1</v>
      </c>
      <c r="BJ70" s="179">
        <v>1</v>
      </c>
      <c r="BK70" s="179">
        <v>1</v>
      </c>
      <c r="BL70" s="179">
        <v>1</v>
      </c>
      <c r="BM70" s="179">
        <v>1</v>
      </c>
      <c r="BN70" s="179">
        <v>1</v>
      </c>
      <c r="BO70" s="179">
        <v>1</v>
      </c>
      <c r="BP70" s="179">
        <v>1</v>
      </c>
      <c r="BQ70" s="179">
        <v>1</v>
      </c>
      <c r="BR70" s="179">
        <v>1</v>
      </c>
      <c r="BS70" s="179">
        <v>1</v>
      </c>
      <c r="BT70" s="179">
        <v>1</v>
      </c>
      <c r="BU70" s="179">
        <v>1</v>
      </c>
      <c r="BV70" s="179">
        <v>1</v>
      </c>
      <c r="BW70" s="179">
        <v>1</v>
      </c>
      <c r="BX70" s="179">
        <v>1</v>
      </c>
      <c r="BY70" s="179">
        <v>1</v>
      </c>
      <c r="BZ70" s="179">
        <v>1</v>
      </c>
      <c r="CA70" s="179">
        <v>1</v>
      </c>
      <c r="CB70" s="179">
        <v>1</v>
      </c>
      <c r="CC70" s="179">
        <v>1</v>
      </c>
      <c r="CD70" s="179">
        <v>1</v>
      </c>
      <c r="CE70" s="179">
        <v>1</v>
      </c>
      <c r="CF70" s="179">
        <v>1</v>
      </c>
      <c r="CG70" s="179">
        <v>1</v>
      </c>
      <c r="CH70" s="179">
        <v>1</v>
      </c>
      <c r="CI70" s="179">
        <v>1</v>
      </c>
      <c r="CJ70" s="179">
        <v>1</v>
      </c>
      <c r="CK70" s="179">
        <v>1</v>
      </c>
      <c r="CL70" s="179">
        <v>1</v>
      </c>
      <c r="CM70" s="179">
        <v>1</v>
      </c>
      <c r="CN70" s="179">
        <v>1</v>
      </c>
      <c r="CO70" s="179">
        <v>1</v>
      </c>
      <c r="CP70" s="179">
        <v>1</v>
      </c>
      <c r="CQ70" s="179">
        <v>1</v>
      </c>
      <c r="CR70" s="179">
        <v>1</v>
      </c>
      <c r="CS70" s="179">
        <v>1</v>
      </c>
      <c r="CT70" s="179">
        <v>1</v>
      </c>
      <c r="CU70" s="179">
        <v>1</v>
      </c>
      <c r="CV70" s="179">
        <v>1</v>
      </c>
      <c r="CW70" s="179">
        <v>1</v>
      </c>
      <c r="CX70" s="179">
        <v>1</v>
      </c>
      <c r="CY70" s="179">
        <v>1</v>
      </c>
      <c r="CZ70" s="179">
        <v>1</v>
      </c>
      <c r="DA70" s="179">
        <v>1</v>
      </c>
      <c r="DB70" s="179">
        <v>1</v>
      </c>
      <c r="DC70" s="179">
        <v>1</v>
      </c>
      <c r="DD70" s="179">
        <v>1</v>
      </c>
      <c r="DE70" s="179">
        <v>1</v>
      </c>
      <c r="DF70" s="179">
        <v>1</v>
      </c>
      <c r="DG70" s="179">
        <v>1</v>
      </c>
      <c r="DH70" s="179">
        <v>1</v>
      </c>
      <c r="DI70" s="179">
        <v>1</v>
      </c>
      <c r="DJ70" s="179">
        <v>1</v>
      </c>
      <c r="DK70" s="179">
        <v>1</v>
      </c>
      <c r="DL70" s="179"/>
      <c r="DM70" s="179"/>
      <c r="DN70" s="179"/>
      <c r="DO70" s="179"/>
      <c r="DP70" s="179"/>
      <c r="DQ70" s="179"/>
      <c r="DR70" s="179"/>
      <c r="DS70" s="179"/>
      <c r="DT70" s="179"/>
      <c r="DU70" s="179"/>
      <c r="DV70" s="179"/>
      <c r="DW70" s="179"/>
      <c r="DX70" s="179"/>
      <c r="DY70" s="583"/>
      <c r="DZ70" s="187"/>
      <c r="EA70" s="82">
        <f>SUMIF(I$8:DY$8,"&lt;&gt;"&amp;AgileIteration_Warranty,I70:DY70)*5*Scenario1Utilisation</f>
        <v>403.75</v>
      </c>
      <c r="EB70" s="82">
        <f t="shared" ref="EB70" si="109">EA70*Scenario1AgileContingency</f>
        <v>80.75</v>
      </c>
      <c r="EC70" s="82">
        <f>IF(Scenario1Warranty=AgileWarrantyDefault, (SUMIF(I$8:DY$8,AgileIteration_Warranty,I70:DY70)*5*Scenario1Utilisation), (EA70*Scenario1Warranty))</f>
        <v>0</v>
      </c>
      <c r="ED70" s="127">
        <f t="shared" ref="ED70" si="110">SUM(EA70:EC70)</f>
        <v>484.5</v>
      </c>
    </row>
    <row r="71" spans="1:134" s="74" customFormat="1" ht="11.25" x14ac:dyDescent="0.2">
      <c r="A71" s="581">
        <v>2</v>
      </c>
      <c r="B71" s="582" t="s">
        <v>665</v>
      </c>
      <c r="C71" s="457" t="s">
        <v>659</v>
      </c>
      <c r="D71" s="398" t="s">
        <v>669</v>
      </c>
      <c r="E71" s="435" t="s">
        <v>600</v>
      </c>
      <c r="F71" s="443" t="str">
        <f>IFERROR(VLOOKUP(C71,MappingFromTTStoSU,2,FALSE),"SU Resource Role")</f>
        <v>DWMS</v>
      </c>
      <c r="G71" s="443"/>
      <c r="H71" s="434" t="str">
        <f>H70</f>
        <v>Ref Data Configuration/Documentation</v>
      </c>
      <c r="I71" s="406"/>
      <c r="J71" s="406"/>
      <c r="K71" s="406"/>
      <c r="L71" s="406"/>
      <c r="M71" s="406"/>
      <c r="N71" s="406"/>
      <c r="O71" s="406"/>
      <c r="P71" s="406"/>
      <c r="Q71" s="406"/>
      <c r="R71" s="406"/>
      <c r="S71" s="406"/>
      <c r="T71" s="406"/>
      <c r="U71" s="179"/>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v>1</v>
      </c>
      <c r="BM71" s="179">
        <v>1</v>
      </c>
      <c r="BN71" s="179">
        <v>1</v>
      </c>
      <c r="BO71" s="179">
        <v>1</v>
      </c>
      <c r="BP71" s="179">
        <v>1</v>
      </c>
      <c r="BQ71" s="179">
        <v>1</v>
      </c>
      <c r="BR71" s="179">
        <v>1</v>
      </c>
      <c r="BS71" s="179">
        <v>1</v>
      </c>
      <c r="BT71" s="179">
        <v>1</v>
      </c>
      <c r="BU71" s="179">
        <v>1</v>
      </c>
      <c r="BV71" s="179">
        <v>1</v>
      </c>
      <c r="BW71" s="179">
        <v>1</v>
      </c>
      <c r="BX71" s="179">
        <v>1</v>
      </c>
      <c r="BY71" s="179">
        <v>1</v>
      </c>
      <c r="BZ71" s="179">
        <v>1</v>
      </c>
      <c r="CA71" s="179">
        <v>1</v>
      </c>
      <c r="CB71" s="179">
        <v>1</v>
      </c>
      <c r="CC71" s="179">
        <v>1</v>
      </c>
      <c r="CD71" s="179">
        <v>1</v>
      </c>
      <c r="CE71" s="179">
        <v>1</v>
      </c>
      <c r="CF71" s="179">
        <v>1</v>
      </c>
      <c r="CG71" s="179">
        <v>1</v>
      </c>
      <c r="CH71" s="179">
        <v>1</v>
      </c>
      <c r="CI71" s="179">
        <v>1</v>
      </c>
      <c r="CJ71" s="179">
        <v>1</v>
      </c>
      <c r="CK71" s="179">
        <v>1</v>
      </c>
      <c r="CL71" s="179">
        <v>1</v>
      </c>
      <c r="CM71" s="179">
        <v>1</v>
      </c>
      <c r="CN71" s="179">
        <v>1</v>
      </c>
      <c r="CO71" s="179">
        <v>1</v>
      </c>
      <c r="CP71" s="179">
        <v>1</v>
      </c>
      <c r="CQ71" s="179">
        <v>1</v>
      </c>
      <c r="CR71" s="179">
        <v>1</v>
      </c>
      <c r="CS71" s="179">
        <v>1</v>
      </c>
      <c r="CT71" s="179">
        <v>1</v>
      </c>
      <c r="CU71" s="179">
        <v>1</v>
      </c>
      <c r="CV71" s="179">
        <v>1</v>
      </c>
      <c r="CW71" s="179">
        <v>1</v>
      </c>
      <c r="CX71" s="179">
        <v>1</v>
      </c>
      <c r="CY71" s="179">
        <v>1</v>
      </c>
      <c r="CZ71" s="179">
        <v>1</v>
      </c>
      <c r="DA71" s="179">
        <v>1</v>
      </c>
      <c r="DB71" s="179">
        <v>1</v>
      </c>
      <c r="DC71" s="179">
        <v>1</v>
      </c>
      <c r="DD71" s="179">
        <v>1</v>
      </c>
      <c r="DE71" s="179">
        <v>1</v>
      </c>
      <c r="DF71" s="179">
        <v>1</v>
      </c>
      <c r="DG71" s="179">
        <v>1</v>
      </c>
      <c r="DH71" s="179">
        <v>1</v>
      </c>
      <c r="DI71" s="179">
        <v>1</v>
      </c>
      <c r="DJ71" s="179">
        <v>1</v>
      </c>
      <c r="DK71" s="179">
        <v>1</v>
      </c>
      <c r="DL71" s="179"/>
      <c r="DM71" s="179"/>
      <c r="DN71" s="179"/>
      <c r="DO71" s="179"/>
      <c r="DP71" s="179"/>
      <c r="DQ71" s="179"/>
      <c r="DR71" s="179"/>
      <c r="DS71" s="179"/>
      <c r="DT71" s="179"/>
      <c r="DU71" s="179"/>
      <c r="DV71" s="179"/>
      <c r="DW71" s="179"/>
      <c r="DX71" s="179"/>
      <c r="DY71" s="583"/>
      <c r="DZ71" s="187"/>
      <c r="EA71" s="82">
        <f>SUMIF(I$8:DY$8,"&lt;&gt;"&amp;AgileIteration_Warranty,I71:DY71)*5*Scenario1Utilisation</f>
        <v>221</v>
      </c>
      <c r="EB71" s="82">
        <f t="shared" ref="EB71" si="111">EA71*Scenario1AgileContingency</f>
        <v>44.2</v>
      </c>
      <c r="EC71" s="82">
        <f>IF(Scenario1Warranty=AgileWarrantyDefault, (SUMIF(I$8:DY$8,AgileIteration_Warranty,I71:DY71)*5*Scenario1Utilisation), (EA71*Scenario1Warranty))</f>
        <v>0</v>
      </c>
      <c r="ED71" s="127">
        <f t="shared" ref="ED71" si="112">SUM(EA71:EC71)</f>
        <v>265.2</v>
      </c>
    </row>
    <row r="72" spans="1:134" s="74" customFormat="1" ht="11.25" x14ac:dyDescent="0.2">
      <c r="A72" s="210">
        <v>1</v>
      </c>
      <c r="B72" s="392" t="s">
        <v>670</v>
      </c>
      <c r="C72" s="206" t="s">
        <v>670</v>
      </c>
      <c r="D72" s="206" t="s">
        <v>670</v>
      </c>
      <c r="E72" s="436"/>
      <c r="F72" s="523"/>
      <c r="G72" s="523"/>
      <c r="H72" s="43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6"/>
      <c r="BH72" s="216"/>
      <c r="BI72" s="216"/>
      <c r="BJ72" s="216"/>
      <c r="BK72" s="216"/>
      <c r="BL72" s="216"/>
      <c r="BM72" s="216"/>
      <c r="BN72" s="216"/>
      <c r="BO72" s="216"/>
      <c r="BP72" s="216"/>
      <c r="BQ72" s="216"/>
      <c r="BR72" s="216"/>
      <c r="BS72" s="216"/>
      <c r="BT72" s="216"/>
      <c r="BU72" s="216"/>
      <c r="BV72" s="216"/>
      <c r="BW72" s="216"/>
      <c r="BX72" s="216"/>
      <c r="BY72" s="216"/>
      <c r="BZ72" s="216"/>
      <c r="CA72" s="216"/>
      <c r="CB72" s="216"/>
      <c r="CC72" s="216"/>
      <c r="CD72" s="216"/>
      <c r="CE72" s="216"/>
      <c r="CF72" s="216"/>
      <c r="CG72" s="216"/>
      <c r="CH72" s="216"/>
      <c r="CI72" s="216"/>
      <c r="CJ72" s="216"/>
      <c r="CK72" s="216"/>
      <c r="CL72" s="216"/>
      <c r="CM72" s="216"/>
      <c r="CN72" s="216"/>
      <c r="CO72" s="216"/>
      <c r="CP72" s="216"/>
      <c r="CQ72" s="216"/>
      <c r="CR72" s="216"/>
      <c r="CS72" s="216"/>
      <c r="CT72" s="216"/>
      <c r="CU72" s="216"/>
      <c r="CV72" s="216"/>
      <c r="CW72" s="216"/>
      <c r="CX72" s="216"/>
      <c r="CY72" s="216"/>
      <c r="CZ72" s="216"/>
      <c r="DA72" s="216"/>
      <c r="DB72" s="216"/>
      <c r="DC72" s="216"/>
      <c r="DD72" s="216"/>
      <c r="DE72" s="216"/>
      <c r="DF72" s="216"/>
      <c r="DG72" s="216"/>
      <c r="DH72" s="216"/>
      <c r="DI72" s="216"/>
      <c r="DJ72" s="216"/>
      <c r="DK72" s="216"/>
      <c r="DL72" s="216"/>
      <c r="DM72" s="216"/>
      <c r="DN72" s="216"/>
      <c r="DO72" s="216"/>
      <c r="DP72" s="216"/>
      <c r="DQ72" s="216"/>
      <c r="DR72" s="216"/>
      <c r="DS72" s="216"/>
      <c r="DT72" s="216"/>
      <c r="DU72" s="216"/>
      <c r="DV72" s="216"/>
      <c r="DW72" s="216"/>
      <c r="DX72" s="216"/>
      <c r="DY72" s="185"/>
      <c r="DZ72" s="187"/>
      <c r="EA72" s="127"/>
      <c r="EB72" s="127"/>
      <c r="EC72" s="127"/>
      <c r="ED72" s="127"/>
    </row>
    <row r="73" spans="1:134" s="74" customFormat="1" ht="11.25" x14ac:dyDescent="0.2">
      <c r="A73" s="210">
        <v>2</v>
      </c>
      <c r="B73" s="392" t="s">
        <v>670</v>
      </c>
      <c r="C73" s="457" t="str">
        <f>IFERROR(VLOOKUP(D73,MappingFromSetAgiletoTTSRole,2,FALSE),"SET Agile Resource Role")</f>
        <v>Business Analyst</v>
      </c>
      <c r="D73" s="398" t="s">
        <v>671</v>
      </c>
      <c r="E73" s="435"/>
      <c r="F73" s="443" t="s">
        <v>607</v>
      </c>
      <c r="G73" s="443"/>
      <c r="H73" s="434" t="str">
        <f>C72</f>
        <v>Training</v>
      </c>
      <c r="I73" s="406"/>
      <c r="J73" s="406"/>
      <c r="K73" s="406"/>
      <c r="L73" s="406"/>
      <c r="M73" s="406"/>
      <c r="N73" s="406"/>
      <c r="O73" s="406"/>
      <c r="P73" s="406"/>
      <c r="Q73" s="406"/>
      <c r="R73" s="406"/>
      <c r="S73" s="406"/>
      <c r="T73" s="406"/>
      <c r="U73" s="179"/>
      <c r="V73" s="179"/>
      <c r="W73" s="179"/>
      <c r="X73" s="179"/>
      <c r="Y73" s="179"/>
      <c r="Z73" s="179"/>
      <c r="AA73" s="179"/>
      <c r="AB73" s="179"/>
      <c r="AC73" s="179"/>
      <c r="AD73" s="179"/>
      <c r="AE73" s="179"/>
      <c r="AF73" s="181"/>
      <c r="AG73" s="181"/>
      <c r="AH73" s="181"/>
      <c r="AI73" s="181"/>
      <c r="AJ73" s="181"/>
      <c r="AK73" s="181"/>
      <c r="AL73" s="181"/>
      <c r="AM73" s="181"/>
      <c r="AN73" s="181"/>
      <c r="AO73" s="181"/>
      <c r="AP73" s="181"/>
      <c r="AQ73" s="181"/>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c r="CX73" s="179"/>
      <c r="CY73" s="179"/>
      <c r="CZ73" s="179"/>
      <c r="DA73" s="179"/>
      <c r="DB73" s="179"/>
      <c r="DC73" s="179"/>
      <c r="DD73" s="179"/>
      <c r="DE73" s="179"/>
      <c r="DF73" s="179"/>
      <c r="DG73" s="179"/>
      <c r="DH73" s="179"/>
      <c r="DI73" s="179"/>
      <c r="DJ73" s="179"/>
      <c r="DK73" s="179"/>
      <c r="DL73" s="179"/>
      <c r="DM73" s="179"/>
      <c r="DN73" s="179"/>
      <c r="DO73" s="179"/>
      <c r="DP73" s="179"/>
      <c r="DQ73" s="179"/>
      <c r="DR73" s="179"/>
      <c r="DS73" s="179"/>
      <c r="DT73" s="179"/>
      <c r="DU73" s="179"/>
      <c r="DV73" s="179"/>
      <c r="DW73" s="179"/>
      <c r="DX73" s="179"/>
      <c r="DY73" s="180"/>
      <c r="DZ73" s="187"/>
      <c r="EA73" s="82">
        <f>SUMIF(I$8:DY$8,"&lt;&gt;"&amp;AgileIteration_Warranty,I73:DY73)*5*Scenario1Utilisation</f>
        <v>0</v>
      </c>
      <c r="EB73" s="82">
        <f t="shared" si="8"/>
        <v>0</v>
      </c>
      <c r="EC73" s="82">
        <f>IF(Scenario1Warranty=AgileWarrantyDefault, (SUMIF(I$8:DY$8,AgileIteration_Warranty,I73:DY73)*5*Scenario1Utilisation), (EA73*Scenario1Warranty))</f>
        <v>0</v>
      </c>
      <c r="ED73" s="127">
        <f t="shared" si="10"/>
        <v>0</v>
      </c>
    </row>
    <row r="74" spans="1:134" s="74" customFormat="1" ht="11.25" x14ac:dyDescent="0.2">
      <c r="A74" s="210">
        <v>2</v>
      </c>
      <c r="B74" s="392" t="s">
        <v>670</v>
      </c>
      <c r="C74" s="457" t="str">
        <f>IFERROR(VLOOKUP(D74,MappingFromSetAgiletoTTSRole,2,FALSE),"SET Agile Resource Role")</f>
        <v>Business Consultant</v>
      </c>
      <c r="D74" s="400" t="s">
        <v>672</v>
      </c>
      <c r="E74" s="435" t="s">
        <v>600</v>
      </c>
      <c r="F74" s="443" t="s">
        <v>607</v>
      </c>
      <c r="G74" s="443"/>
      <c r="H74" s="434" t="str">
        <f>H73</f>
        <v>Training</v>
      </c>
      <c r="I74" s="408"/>
      <c r="J74" s="408"/>
      <c r="K74" s="408"/>
      <c r="L74" s="408"/>
      <c r="M74" s="408"/>
      <c r="N74" s="408"/>
      <c r="O74" s="408"/>
      <c r="P74" s="408"/>
      <c r="Q74" s="408"/>
      <c r="R74" s="408"/>
      <c r="S74" s="408"/>
      <c r="T74" s="408"/>
      <c r="U74" s="176"/>
      <c r="V74" s="176"/>
      <c r="W74" s="176"/>
      <c r="X74" s="176"/>
      <c r="Y74" s="176"/>
      <c r="Z74" s="176"/>
      <c r="AA74" s="176"/>
      <c r="AB74" s="176"/>
      <c r="AC74" s="176"/>
      <c r="AD74" s="176"/>
      <c r="AE74" s="176"/>
      <c r="AF74" s="177"/>
      <c r="AG74" s="177"/>
      <c r="AH74" s="177"/>
      <c r="AI74" s="177"/>
      <c r="AJ74" s="177"/>
      <c r="AK74" s="177"/>
      <c r="AL74" s="177"/>
      <c r="AM74" s="177"/>
      <c r="AN74" s="177"/>
      <c r="AO74" s="177"/>
      <c r="AP74" s="177"/>
      <c r="AQ74" s="177"/>
      <c r="AR74" s="176"/>
      <c r="AS74" s="176"/>
      <c r="AT74" s="176"/>
      <c r="AU74" s="176"/>
      <c r="AV74" s="176"/>
      <c r="AW74" s="176"/>
      <c r="AX74" s="176"/>
      <c r="AY74" s="176"/>
      <c r="AZ74" s="176"/>
      <c r="BA74" s="176"/>
      <c r="BB74" s="176"/>
      <c r="BC74" s="176"/>
      <c r="BD74" s="176"/>
      <c r="BE74" s="176"/>
      <c r="BF74" s="176"/>
      <c r="BG74" s="176"/>
      <c r="BH74" s="176"/>
      <c r="BI74" s="176"/>
      <c r="BJ74" s="176"/>
      <c r="BK74" s="176"/>
      <c r="BL74" s="176"/>
      <c r="BM74" s="176"/>
      <c r="BN74" s="176"/>
      <c r="BO74" s="176"/>
      <c r="BP74" s="176"/>
      <c r="BQ74" s="176"/>
      <c r="BR74" s="176"/>
      <c r="BS74" s="176"/>
      <c r="BT74" s="176"/>
      <c r="BU74" s="176"/>
      <c r="BV74" s="176"/>
      <c r="BW74" s="176"/>
      <c r="BX74" s="176"/>
      <c r="BY74" s="176"/>
      <c r="BZ74" s="176"/>
      <c r="CA74" s="176"/>
      <c r="CB74" s="176"/>
      <c r="CC74" s="176"/>
      <c r="CD74" s="176"/>
      <c r="CE74" s="176"/>
      <c r="CF74" s="176"/>
      <c r="CG74" s="176"/>
      <c r="CH74" s="176"/>
      <c r="CI74" s="176"/>
      <c r="CJ74" s="176"/>
      <c r="CK74" s="176"/>
      <c r="CL74" s="176"/>
      <c r="CM74" s="176"/>
      <c r="CN74" s="176"/>
      <c r="CO74" s="176"/>
      <c r="CP74" s="176"/>
      <c r="CQ74" s="176"/>
      <c r="CR74" s="176"/>
      <c r="CS74" s="176"/>
      <c r="CT74" s="176"/>
      <c r="CU74" s="176"/>
      <c r="CV74" s="176"/>
      <c r="CW74" s="176"/>
      <c r="CX74" s="176"/>
      <c r="CY74" s="176"/>
      <c r="CZ74" s="176"/>
      <c r="DA74" s="176"/>
      <c r="DB74" s="176"/>
      <c r="DC74" s="176"/>
      <c r="DD74" s="176"/>
      <c r="DE74" s="176"/>
      <c r="DF74" s="176"/>
      <c r="DG74" s="176"/>
      <c r="DH74" s="176"/>
      <c r="DI74" s="176"/>
      <c r="DJ74" s="176"/>
      <c r="DK74" s="176"/>
      <c r="DL74" s="176"/>
      <c r="DM74" s="176"/>
      <c r="DN74" s="176"/>
      <c r="DO74" s="176"/>
      <c r="DP74" s="176"/>
      <c r="DQ74" s="176"/>
      <c r="DR74" s="176"/>
      <c r="DS74" s="176"/>
      <c r="DT74" s="176"/>
      <c r="DU74" s="176"/>
      <c r="DV74" s="176"/>
      <c r="DW74" s="176"/>
      <c r="DX74" s="176"/>
      <c r="DY74" s="178"/>
      <c r="DZ74" s="187"/>
      <c r="EA74" s="82">
        <f>SUMIF(I$8:DY$8,"&lt;&gt;"&amp;AgileIteration_Warranty,I74:DY74)*5*Scenario1Utilisation</f>
        <v>0</v>
      </c>
      <c r="EB74" s="82">
        <f t="shared" si="8"/>
        <v>0</v>
      </c>
      <c r="EC74" s="82">
        <f>IF(Scenario1Warranty=AgileWarrantyDefault, (SUMIF(I$8:DY$8,AgileIteration_Warranty,I74:DY74)*5*Scenario1Utilisation), (EA74*Scenario1Warranty))</f>
        <v>0</v>
      </c>
      <c r="ED74" s="127">
        <f t="shared" si="10"/>
        <v>0</v>
      </c>
    </row>
    <row r="75" spans="1:134" s="74" customFormat="1" ht="11.25" x14ac:dyDescent="0.2">
      <c r="A75" s="210">
        <v>1</v>
      </c>
      <c r="B75" s="392" t="s">
        <v>673</v>
      </c>
      <c r="C75" s="206" t="s">
        <v>674</v>
      </c>
      <c r="D75" s="206" t="s">
        <v>674</v>
      </c>
      <c r="E75" s="436"/>
      <c r="F75" s="523"/>
      <c r="G75" s="523"/>
      <c r="H75" s="436"/>
      <c r="I75" s="216"/>
      <c r="J75" s="216"/>
      <c r="K75" s="216"/>
      <c r="L75" s="216"/>
      <c r="M75" s="216"/>
      <c r="N75" s="216"/>
      <c r="O75" s="216"/>
      <c r="P75" s="216"/>
      <c r="Q75" s="216"/>
      <c r="R75" s="216"/>
      <c r="S75" s="216"/>
      <c r="T75" s="216"/>
      <c r="U75" s="216"/>
      <c r="V75" s="216"/>
      <c r="W75" s="216"/>
      <c r="X75" s="216"/>
      <c r="Y75" s="216"/>
      <c r="Z75" s="216"/>
      <c r="AA75" s="216"/>
      <c r="AB75" s="216"/>
      <c r="AC75" s="216"/>
      <c r="AD75" s="216"/>
      <c r="AE75" s="216"/>
      <c r="AF75" s="216"/>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c r="CR75" s="216"/>
      <c r="CS75" s="216"/>
      <c r="CT75" s="216"/>
      <c r="CU75" s="216"/>
      <c r="CV75" s="216"/>
      <c r="CW75" s="216"/>
      <c r="CX75" s="216"/>
      <c r="CY75" s="216"/>
      <c r="CZ75" s="216"/>
      <c r="DA75" s="216"/>
      <c r="DB75" s="216"/>
      <c r="DC75" s="216"/>
      <c r="DD75" s="216"/>
      <c r="DE75" s="216"/>
      <c r="DF75" s="216"/>
      <c r="DG75" s="216"/>
      <c r="DH75" s="216"/>
      <c r="DI75" s="216"/>
      <c r="DJ75" s="216"/>
      <c r="DK75" s="216"/>
      <c r="DL75" s="216"/>
      <c r="DM75" s="216"/>
      <c r="DN75" s="216"/>
      <c r="DO75" s="216"/>
      <c r="DP75" s="216"/>
      <c r="DQ75" s="216"/>
      <c r="DR75" s="216"/>
      <c r="DS75" s="216"/>
      <c r="DT75" s="216"/>
      <c r="DU75" s="216"/>
      <c r="DV75" s="216"/>
      <c r="DW75" s="216"/>
      <c r="DX75" s="216"/>
      <c r="DY75" s="185"/>
      <c r="DZ75" s="187"/>
      <c r="EA75" s="127"/>
      <c r="EB75" s="127"/>
      <c r="EC75" s="127"/>
      <c r="ED75" s="127"/>
    </row>
    <row r="76" spans="1:134" s="74" customFormat="1" ht="11.25" x14ac:dyDescent="0.2">
      <c r="A76" s="210">
        <v>2</v>
      </c>
      <c r="B76" s="392" t="s">
        <v>673</v>
      </c>
      <c r="C76" s="457" t="s">
        <v>613</v>
      </c>
      <c r="D76" s="398" t="s">
        <v>675</v>
      </c>
      <c r="E76" s="435" t="s">
        <v>676</v>
      </c>
      <c r="F76" s="443" t="s">
        <v>607</v>
      </c>
      <c r="G76" s="443"/>
      <c r="H76" s="434" t="str">
        <f>C75</f>
        <v>EC Performance Testing</v>
      </c>
      <c r="I76" s="406"/>
      <c r="J76" s="406"/>
      <c r="K76" s="406"/>
      <c r="L76" s="406"/>
      <c r="M76" s="406"/>
      <c r="N76" s="406"/>
      <c r="O76" s="406"/>
      <c r="P76" s="406"/>
      <c r="Q76" s="406"/>
      <c r="R76" s="406"/>
      <c r="S76" s="406"/>
      <c r="T76" s="406"/>
      <c r="U76" s="181"/>
      <c r="V76" s="181"/>
      <c r="W76" s="181"/>
      <c r="X76" s="181"/>
      <c r="Y76" s="181"/>
      <c r="Z76" s="181"/>
      <c r="AA76" s="181"/>
      <c r="AB76" s="181"/>
      <c r="AC76" s="181"/>
      <c r="AD76" s="181"/>
      <c r="AE76" s="181"/>
      <c r="AF76" s="181"/>
      <c r="AG76" s="181"/>
      <c r="AH76" s="181"/>
      <c r="AI76" s="181"/>
      <c r="AJ76" s="181"/>
      <c r="AK76" s="181">
        <v>1</v>
      </c>
      <c r="AL76" s="181">
        <v>1</v>
      </c>
      <c r="AM76" s="181">
        <v>1</v>
      </c>
      <c r="AN76" s="181">
        <v>1</v>
      </c>
      <c r="AO76" s="181">
        <v>1</v>
      </c>
      <c r="AP76" s="181">
        <v>1</v>
      </c>
      <c r="AQ76" s="181">
        <v>1</v>
      </c>
      <c r="AR76" s="181">
        <v>1</v>
      </c>
      <c r="AS76" s="181">
        <v>1</v>
      </c>
      <c r="AT76" s="181">
        <v>1</v>
      </c>
      <c r="AU76" s="181">
        <v>1</v>
      </c>
      <c r="AV76" s="181">
        <v>1</v>
      </c>
      <c r="AW76" s="181">
        <v>1</v>
      </c>
      <c r="AX76" s="181">
        <v>1</v>
      </c>
      <c r="AY76" s="181">
        <v>1</v>
      </c>
      <c r="AZ76" s="181">
        <v>1</v>
      </c>
      <c r="BA76" s="181">
        <v>1</v>
      </c>
      <c r="BB76" s="181">
        <v>1</v>
      </c>
      <c r="BC76" s="181">
        <v>1</v>
      </c>
      <c r="BD76" s="181">
        <v>1</v>
      </c>
      <c r="BE76" s="181">
        <v>1</v>
      </c>
      <c r="BF76" s="181">
        <v>1</v>
      </c>
      <c r="BG76" s="181">
        <v>1</v>
      </c>
      <c r="BH76" s="181">
        <v>1</v>
      </c>
      <c r="BI76" s="181">
        <v>1</v>
      </c>
      <c r="BJ76" s="181">
        <v>1</v>
      </c>
      <c r="BK76" s="181">
        <v>1</v>
      </c>
      <c r="BL76" s="181">
        <v>1</v>
      </c>
      <c r="BM76" s="181">
        <v>1</v>
      </c>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c r="CX76" s="179"/>
      <c r="CY76" s="179"/>
      <c r="CZ76" s="179"/>
      <c r="DA76" s="179"/>
      <c r="DB76" s="179"/>
      <c r="DC76" s="179"/>
      <c r="DD76" s="179"/>
      <c r="DE76" s="179"/>
      <c r="DF76" s="179"/>
      <c r="DG76" s="179"/>
      <c r="DH76" s="179"/>
      <c r="DI76" s="179"/>
      <c r="DJ76" s="179"/>
      <c r="DK76" s="179"/>
      <c r="DL76" s="179"/>
      <c r="DM76" s="179"/>
      <c r="DN76" s="179"/>
      <c r="DO76" s="179"/>
      <c r="DP76" s="179"/>
      <c r="DQ76" s="179"/>
      <c r="DR76" s="179"/>
      <c r="DS76" s="179"/>
      <c r="DT76" s="179"/>
      <c r="DU76" s="179"/>
      <c r="DV76" s="179"/>
      <c r="DW76" s="179"/>
      <c r="DX76" s="179"/>
      <c r="DY76" s="180"/>
      <c r="DZ76" s="187"/>
      <c r="EA76" s="82">
        <f>SUMIF(I$8:DY$8,"&lt;&gt;"&amp;AgileIteration_Warranty,I76:DY76)*5*Scenario1Utilisation</f>
        <v>123.25</v>
      </c>
      <c r="EB76" s="82">
        <f t="shared" si="8"/>
        <v>24.650000000000002</v>
      </c>
      <c r="EC76" s="82">
        <f>IF(Scenario1Warranty=AgileWarrantyDefault, (SUMIF(I$8:DY$8,AgileIteration_Warranty,I76:DY76)*5*Scenario1Utilisation), (EA76*Scenario1Warranty))</f>
        <v>0</v>
      </c>
      <c r="ED76" s="127">
        <f t="shared" si="10"/>
        <v>147.9</v>
      </c>
    </row>
    <row r="77" spans="1:134" s="74" customFormat="1" ht="11.25" x14ac:dyDescent="0.2">
      <c r="A77" s="210">
        <v>2</v>
      </c>
      <c r="B77" s="392" t="s">
        <v>673</v>
      </c>
      <c r="C77" s="457" t="s">
        <v>651</v>
      </c>
      <c r="D77" s="400" t="s">
        <v>677</v>
      </c>
      <c r="E77" s="435"/>
      <c r="F77" s="443" t="s">
        <v>607</v>
      </c>
      <c r="G77" s="443"/>
      <c r="H77" s="434" t="str">
        <f>H76</f>
        <v>EC Performance Testing</v>
      </c>
      <c r="I77" s="408"/>
      <c r="J77" s="408"/>
      <c r="K77" s="408"/>
      <c r="L77" s="408"/>
      <c r="M77" s="408"/>
      <c r="N77" s="408"/>
      <c r="O77" s="408"/>
      <c r="P77" s="408"/>
      <c r="Q77" s="408"/>
      <c r="R77" s="408"/>
      <c r="S77" s="408"/>
      <c r="T77" s="408"/>
      <c r="U77" s="177"/>
      <c r="V77" s="177"/>
      <c r="W77" s="177"/>
      <c r="X77" s="177"/>
      <c r="Y77" s="177"/>
      <c r="Z77" s="177"/>
      <c r="AA77" s="177"/>
      <c r="AB77" s="177"/>
      <c r="AC77" s="177"/>
      <c r="AD77" s="177"/>
      <c r="AE77" s="177"/>
      <c r="AF77" s="177"/>
      <c r="AG77" s="177"/>
      <c r="AH77" s="177"/>
      <c r="AI77" s="177"/>
      <c r="AJ77" s="177"/>
      <c r="AK77" s="177"/>
      <c r="AL77" s="177"/>
      <c r="AM77" s="177"/>
      <c r="AN77" s="177"/>
      <c r="AO77" s="177"/>
      <c r="AP77" s="177"/>
      <c r="AQ77" s="177"/>
      <c r="AR77" s="177"/>
      <c r="AS77" s="177"/>
      <c r="AT77" s="176"/>
      <c r="AU77" s="176"/>
      <c r="AV77" s="176"/>
      <c r="AW77" s="176"/>
      <c r="AX77" s="176"/>
      <c r="AY77" s="176"/>
      <c r="AZ77" s="176"/>
      <c r="BA77" s="176"/>
      <c r="BB77" s="176"/>
      <c r="BC77" s="176"/>
      <c r="BD77" s="176"/>
      <c r="BE77" s="176"/>
      <c r="BF77" s="176"/>
      <c r="BG77" s="176"/>
      <c r="BH77" s="176"/>
      <c r="BI77" s="176"/>
      <c r="BJ77" s="176"/>
      <c r="BK77" s="176"/>
      <c r="BL77" s="176"/>
      <c r="BM77" s="176"/>
      <c r="BN77" s="176"/>
      <c r="BO77" s="176"/>
      <c r="BP77" s="176"/>
      <c r="BQ77" s="176"/>
      <c r="BR77" s="176"/>
      <c r="BS77" s="176"/>
      <c r="BT77" s="176"/>
      <c r="BU77" s="176"/>
      <c r="BV77" s="176"/>
      <c r="BW77" s="176"/>
      <c r="BX77" s="176"/>
      <c r="BY77" s="176"/>
      <c r="BZ77" s="176"/>
      <c r="CA77" s="176"/>
      <c r="CB77" s="176"/>
      <c r="CC77" s="176"/>
      <c r="CD77" s="176"/>
      <c r="CE77" s="176"/>
      <c r="CF77" s="176"/>
      <c r="CG77" s="176"/>
      <c r="CH77" s="176"/>
      <c r="CI77" s="176"/>
      <c r="CJ77" s="176"/>
      <c r="CK77" s="176"/>
      <c r="CL77" s="176"/>
      <c r="CM77" s="176"/>
      <c r="CN77" s="176"/>
      <c r="CO77" s="176"/>
      <c r="CP77" s="176"/>
      <c r="CQ77" s="176"/>
      <c r="CR77" s="176"/>
      <c r="CS77" s="176"/>
      <c r="CT77" s="176"/>
      <c r="CU77" s="176"/>
      <c r="CV77" s="176"/>
      <c r="CW77" s="176"/>
      <c r="CX77" s="176"/>
      <c r="CY77" s="176"/>
      <c r="CZ77" s="176"/>
      <c r="DA77" s="176"/>
      <c r="DB77" s="176"/>
      <c r="DC77" s="176"/>
      <c r="DD77" s="176"/>
      <c r="DE77" s="176"/>
      <c r="DF77" s="176"/>
      <c r="DG77" s="176"/>
      <c r="DH77" s="176"/>
      <c r="DI77" s="176"/>
      <c r="DJ77" s="176"/>
      <c r="DK77" s="176"/>
      <c r="DL77" s="176"/>
      <c r="DM77" s="176"/>
      <c r="DN77" s="176"/>
      <c r="DO77" s="176"/>
      <c r="DP77" s="176"/>
      <c r="DQ77" s="176"/>
      <c r="DR77" s="176"/>
      <c r="DS77" s="176"/>
      <c r="DT77" s="176"/>
      <c r="DU77" s="176"/>
      <c r="DV77" s="176"/>
      <c r="DW77" s="176"/>
      <c r="DX77" s="176"/>
      <c r="DY77" s="178"/>
      <c r="DZ77" s="187"/>
      <c r="EA77" s="82">
        <f>SUMIF(I$8:DY$8,"&lt;&gt;"&amp;AgileIteration_Warranty,I77:DY77)*5*Scenario1Utilisation</f>
        <v>0</v>
      </c>
      <c r="EB77" s="82">
        <f t="shared" si="8"/>
        <v>0</v>
      </c>
      <c r="EC77" s="82">
        <f>IF(Scenario1Warranty=AgileWarrantyDefault, (SUMIF(I$8:DY$8,AgileIteration_Warranty,I77:DY77)*5*Scenario1Utilisation), (EA77*Scenario1Warranty))</f>
        <v>0</v>
      </c>
      <c r="ED77" s="127">
        <f t="shared" si="10"/>
        <v>0</v>
      </c>
    </row>
    <row r="78" spans="1:134" s="74" customFormat="1" ht="11.25" x14ac:dyDescent="0.2">
      <c r="A78" s="210">
        <v>1</v>
      </c>
      <c r="B78" s="392" t="s">
        <v>673</v>
      </c>
      <c r="C78" s="206" t="s">
        <v>678</v>
      </c>
      <c r="D78" s="206" t="s">
        <v>678</v>
      </c>
      <c r="E78" s="436"/>
      <c r="F78" s="523"/>
      <c r="G78" s="523"/>
      <c r="H78" s="43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c r="CR78" s="216"/>
      <c r="CS78" s="216"/>
      <c r="CT78" s="216"/>
      <c r="CU78" s="216"/>
      <c r="CV78" s="216"/>
      <c r="CW78" s="216"/>
      <c r="CX78" s="216"/>
      <c r="CY78" s="216"/>
      <c r="CZ78" s="216"/>
      <c r="DA78" s="216"/>
      <c r="DB78" s="216"/>
      <c r="DC78" s="216"/>
      <c r="DD78" s="216"/>
      <c r="DE78" s="216"/>
      <c r="DF78" s="216"/>
      <c r="DG78" s="216"/>
      <c r="DH78" s="216"/>
      <c r="DI78" s="216"/>
      <c r="DJ78" s="216"/>
      <c r="DK78" s="216"/>
      <c r="DL78" s="216"/>
      <c r="DM78" s="216"/>
      <c r="DN78" s="216"/>
      <c r="DO78" s="216"/>
      <c r="DP78" s="216"/>
      <c r="DQ78" s="216"/>
      <c r="DR78" s="216"/>
      <c r="DS78" s="216"/>
      <c r="DT78" s="216"/>
      <c r="DU78" s="216"/>
      <c r="DV78" s="216"/>
      <c r="DW78" s="216"/>
      <c r="DX78" s="216"/>
      <c r="DY78" s="185"/>
      <c r="DZ78" s="187"/>
      <c r="EA78" s="127"/>
      <c r="EB78" s="127"/>
      <c r="EC78" s="127"/>
      <c r="ED78" s="127"/>
    </row>
    <row r="79" spans="1:134" s="74" customFormat="1" ht="11.25" x14ac:dyDescent="0.2">
      <c r="A79" s="210">
        <v>2</v>
      </c>
      <c r="B79" s="392" t="s">
        <v>673</v>
      </c>
      <c r="C79" s="457" t="str">
        <f>IFERROR(VLOOKUP(D79,MappingFromSetAgiletoTTSRole,2,FALSE),"SET Agile Resource Role")</f>
        <v>Architect Sr</v>
      </c>
      <c r="D79" s="398" t="s">
        <v>679</v>
      </c>
      <c r="E79" s="435"/>
      <c r="F79" s="443" t="s">
        <v>597</v>
      </c>
      <c r="G79" s="443"/>
      <c r="H79" s="434" t="str">
        <f>C78</f>
        <v>Digital Mediation - IME</v>
      </c>
      <c r="I79" s="406"/>
      <c r="J79" s="406"/>
      <c r="K79" s="406"/>
      <c r="L79" s="406"/>
      <c r="M79" s="406"/>
      <c r="N79" s="406"/>
      <c r="O79" s="406"/>
      <c r="P79" s="406"/>
      <c r="Q79" s="406"/>
      <c r="R79" s="406"/>
      <c r="S79" s="406"/>
      <c r="T79" s="406"/>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c r="CX79" s="179"/>
      <c r="CY79" s="179"/>
      <c r="CZ79" s="179"/>
      <c r="DA79" s="179"/>
      <c r="DB79" s="179"/>
      <c r="DC79" s="179"/>
      <c r="DD79" s="179"/>
      <c r="DE79" s="179"/>
      <c r="DF79" s="179"/>
      <c r="DG79" s="179"/>
      <c r="DH79" s="179"/>
      <c r="DI79" s="179"/>
      <c r="DJ79" s="179"/>
      <c r="DK79" s="179"/>
      <c r="DL79" s="179"/>
      <c r="DM79" s="179"/>
      <c r="DN79" s="179"/>
      <c r="DO79" s="179"/>
      <c r="DP79" s="179"/>
      <c r="DQ79" s="179"/>
      <c r="DR79" s="179"/>
      <c r="DS79" s="179"/>
      <c r="DT79" s="179"/>
      <c r="DU79" s="179"/>
      <c r="DV79" s="179"/>
      <c r="DW79" s="179"/>
      <c r="DX79" s="179"/>
      <c r="DY79" s="180"/>
      <c r="DZ79" s="187"/>
      <c r="EA79" s="82">
        <f t="shared" ref="EA79:EA86" si="113">SUMIF(I$8:DY$8,"&lt;&gt;"&amp;AgileIteration_Warranty,I79:DY79)*5*Scenario1Utilisation</f>
        <v>0</v>
      </c>
      <c r="EB79" s="82">
        <f t="shared" ref="EB79" si="114">EA79*Scenario1AgileContingency</f>
        <v>0</v>
      </c>
      <c r="EC79" s="82">
        <f t="shared" ref="EC79:EC86" si="115">IF(Scenario1Warranty=AgileWarrantyDefault, (SUMIF(I$8:DY$8,AgileIteration_Warranty,I79:DY79)*5*Scenario1Utilisation), (EA79*Scenario1Warranty))</f>
        <v>0</v>
      </c>
      <c r="ED79" s="127">
        <f t="shared" ref="ED79" si="116">SUM(EA79:EC79)</f>
        <v>0</v>
      </c>
    </row>
    <row r="80" spans="1:134" s="74" customFormat="1" ht="11.25" x14ac:dyDescent="0.2">
      <c r="A80" s="210">
        <v>2</v>
      </c>
      <c r="B80" s="392" t="s">
        <v>673</v>
      </c>
      <c r="C80" s="457" t="str">
        <f>IFERROR(VLOOKUP(D80,MappingFromSetAgiletoTTSRole,2,FALSE),"SET Agile Resource Role")</f>
        <v>Architect Sr</v>
      </c>
      <c r="D80" s="398" t="s">
        <v>679</v>
      </c>
      <c r="E80" s="435"/>
      <c r="F80" s="443" t="str">
        <f t="shared" ref="F80:F86" si="117">IFERROR(VLOOKUP(C80,MappingFromTTStoSU,2,FALSE),"SU Resource Role")</f>
        <v>DWMS</v>
      </c>
      <c r="G80" s="443"/>
      <c r="H80" s="434" t="str">
        <f t="shared" ref="H80:H86" si="118">H79</f>
        <v>Digital Mediation - IME</v>
      </c>
      <c r="I80" s="406"/>
      <c r="J80" s="406"/>
      <c r="K80" s="406"/>
      <c r="L80" s="406"/>
      <c r="M80" s="406"/>
      <c r="N80" s="406"/>
      <c r="O80" s="406"/>
      <c r="P80" s="406"/>
      <c r="Q80" s="406"/>
      <c r="R80" s="406"/>
      <c r="S80" s="406"/>
      <c r="T80" s="406"/>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c r="CX80" s="179"/>
      <c r="CY80" s="179"/>
      <c r="CZ80" s="179"/>
      <c r="DA80" s="179"/>
      <c r="DB80" s="179"/>
      <c r="DC80" s="179"/>
      <c r="DD80" s="179"/>
      <c r="DE80" s="179"/>
      <c r="DF80" s="179"/>
      <c r="DG80" s="179"/>
      <c r="DH80" s="179"/>
      <c r="DI80" s="179"/>
      <c r="DJ80" s="179"/>
      <c r="DK80" s="179"/>
      <c r="DL80" s="179"/>
      <c r="DM80" s="179"/>
      <c r="DN80" s="179"/>
      <c r="DO80" s="179"/>
      <c r="DP80" s="179"/>
      <c r="DQ80" s="179"/>
      <c r="DR80" s="179"/>
      <c r="DS80" s="179"/>
      <c r="DT80" s="179"/>
      <c r="DU80" s="179"/>
      <c r="DV80" s="179"/>
      <c r="DW80" s="179"/>
      <c r="DX80" s="179"/>
      <c r="DY80" s="180"/>
      <c r="DZ80" s="187"/>
      <c r="EA80" s="82">
        <f t="shared" si="113"/>
        <v>0</v>
      </c>
      <c r="EB80" s="82">
        <f t="shared" ref="EB80" si="119">EA80*Scenario1AgileContingency</f>
        <v>0</v>
      </c>
      <c r="EC80" s="82">
        <f t="shared" si="115"/>
        <v>0</v>
      </c>
      <c r="ED80" s="127">
        <f t="shared" ref="ED80" si="120">SUM(EA80:EC80)</f>
        <v>0</v>
      </c>
    </row>
    <row r="81" spans="1:134" s="74" customFormat="1" ht="11.25" x14ac:dyDescent="0.2">
      <c r="A81" s="210">
        <v>2</v>
      </c>
      <c r="B81" s="392" t="s">
        <v>673</v>
      </c>
      <c r="C81" s="457" t="str">
        <f>IFERROR(VLOOKUP(D81,MappingFromSetAgiletoTTSRole,2,FALSE),"SET Agile Resource Role")</f>
        <v>Software Developer</v>
      </c>
      <c r="D81" s="398" t="s">
        <v>636</v>
      </c>
      <c r="E81" s="435"/>
      <c r="F81" s="443" t="str">
        <f t="shared" si="117"/>
        <v>DWMS</v>
      </c>
      <c r="G81" s="443"/>
      <c r="H81" s="434" t="str">
        <f>H80</f>
        <v>Digital Mediation - IME</v>
      </c>
      <c r="I81" s="406"/>
      <c r="J81" s="406"/>
      <c r="K81" s="406"/>
      <c r="L81" s="406"/>
      <c r="M81" s="406"/>
      <c r="N81" s="406"/>
      <c r="O81" s="406"/>
      <c r="P81" s="406"/>
      <c r="Q81" s="406"/>
      <c r="R81" s="406"/>
      <c r="S81" s="406"/>
      <c r="T81" s="406"/>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81"/>
      <c r="AS81" s="181"/>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c r="CX81" s="179"/>
      <c r="CY81" s="179"/>
      <c r="CZ81" s="179"/>
      <c r="DA81" s="179"/>
      <c r="DB81" s="179"/>
      <c r="DC81" s="179"/>
      <c r="DD81" s="179"/>
      <c r="DE81" s="179"/>
      <c r="DF81" s="179"/>
      <c r="DG81" s="179"/>
      <c r="DH81" s="179"/>
      <c r="DI81" s="179"/>
      <c r="DJ81" s="179"/>
      <c r="DK81" s="179"/>
      <c r="DL81" s="179"/>
      <c r="DM81" s="179"/>
      <c r="DN81" s="179"/>
      <c r="DO81" s="179"/>
      <c r="DP81" s="179"/>
      <c r="DQ81" s="179"/>
      <c r="DR81" s="179"/>
      <c r="DS81" s="179"/>
      <c r="DT81" s="179"/>
      <c r="DU81" s="179"/>
      <c r="DV81" s="179"/>
      <c r="DW81" s="179"/>
      <c r="DX81" s="179"/>
      <c r="DY81" s="180"/>
      <c r="DZ81" s="187"/>
      <c r="EA81" s="82">
        <f t="shared" si="113"/>
        <v>0</v>
      </c>
      <c r="EB81" s="82">
        <f t="shared" ref="EB81" si="121">EA81*Scenario1AgileContingency</f>
        <v>0</v>
      </c>
      <c r="EC81" s="82">
        <f t="shared" si="115"/>
        <v>0</v>
      </c>
      <c r="ED81" s="127">
        <f t="shared" ref="ED81" si="122">SUM(EA81:EC81)</f>
        <v>0</v>
      </c>
    </row>
    <row r="82" spans="1:134" s="74" customFormat="1" ht="11.25" x14ac:dyDescent="0.2">
      <c r="A82" s="210">
        <v>2</v>
      </c>
      <c r="B82" s="392" t="s">
        <v>673</v>
      </c>
      <c r="C82" s="457" t="str">
        <f>IFERROR(VLOOKUP(D82,MappingFromSetAgiletoTTSRole,2,FALSE),"SET Agile Resource Role")</f>
        <v>Test Consultant</v>
      </c>
      <c r="D82" s="398" t="s">
        <v>633</v>
      </c>
      <c r="E82" s="435"/>
      <c r="F82" s="443" t="str">
        <f t="shared" si="117"/>
        <v>DWMS</v>
      </c>
      <c r="G82" s="443"/>
      <c r="H82" s="434" t="str">
        <f t="shared" si="118"/>
        <v>Digital Mediation - IME</v>
      </c>
      <c r="I82" s="406"/>
      <c r="J82" s="406"/>
      <c r="K82" s="406"/>
      <c r="L82" s="406"/>
      <c r="M82" s="406"/>
      <c r="N82" s="406"/>
      <c r="O82" s="406"/>
      <c r="P82" s="406"/>
      <c r="Q82" s="406"/>
      <c r="R82" s="406"/>
      <c r="S82" s="406"/>
      <c r="T82" s="406"/>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81"/>
      <c r="AR82" s="181"/>
      <c r="AS82" s="181"/>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c r="CX82" s="179"/>
      <c r="CY82" s="179"/>
      <c r="CZ82" s="179"/>
      <c r="DA82" s="179"/>
      <c r="DB82" s="179"/>
      <c r="DC82" s="179"/>
      <c r="DD82" s="179"/>
      <c r="DE82" s="179"/>
      <c r="DF82" s="179"/>
      <c r="DG82" s="179"/>
      <c r="DH82" s="179"/>
      <c r="DI82" s="179"/>
      <c r="DJ82" s="179"/>
      <c r="DK82" s="179"/>
      <c r="DL82" s="179"/>
      <c r="DM82" s="179"/>
      <c r="DN82" s="179"/>
      <c r="DO82" s="179"/>
      <c r="DP82" s="179"/>
      <c r="DQ82" s="179"/>
      <c r="DR82" s="179"/>
      <c r="DS82" s="179"/>
      <c r="DT82" s="179"/>
      <c r="DU82" s="179"/>
      <c r="DV82" s="179"/>
      <c r="DW82" s="179"/>
      <c r="DX82" s="179"/>
      <c r="DY82" s="180"/>
      <c r="DZ82" s="187"/>
      <c r="EA82" s="82">
        <f t="shared" si="113"/>
        <v>0</v>
      </c>
      <c r="EB82" s="82">
        <f t="shared" ref="EB82" si="123">EA82*Scenario1AgileContingency</f>
        <v>0</v>
      </c>
      <c r="EC82" s="82">
        <f t="shared" si="115"/>
        <v>0</v>
      </c>
      <c r="ED82" s="127">
        <f t="shared" ref="ED82" si="124">SUM(EA82:EC82)</f>
        <v>0</v>
      </c>
    </row>
    <row r="83" spans="1:134" s="74" customFormat="1" ht="11.25" x14ac:dyDescent="0.2">
      <c r="A83" s="210">
        <v>2</v>
      </c>
      <c r="B83" s="392" t="s">
        <v>673</v>
      </c>
      <c r="C83" s="457" t="str">
        <f>IFERROR(VLOOKUP(D83,MappingFromSetAgiletoTTSRole,2,FALSE),"SET Agile Resource Role")</f>
        <v>Project Manager</v>
      </c>
      <c r="D83" s="398" t="s">
        <v>599</v>
      </c>
      <c r="E83" s="435"/>
      <c r="F83" s="443" t="str">
        <f t="shared" si="117"/>
        <v>DWMS</v>
      </c>
      <c r="G83" s="443"/>
      <c r="H83" s="434" t="str">
        <f t="shared" si="118"/>
        <v>Digital Mediation - IME</v>
      </c>
      <c r="I83" s="406"/>
      <c r="J83" s="406"/>
      <c r="K83" s="406"/>
      <c r="L83" s="406"/>
      <c r="M83" s="406"/>
      <c r="N83" s="406"/>
      <c r="O83" s="406"/>
      <c r="P83" s="406"/>
      <c r="Q83" s="406"/>
      <c r="R83" s="406"/>
      <c r="S83" s="406"/>
      <c r="T83" s="406"/>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81"/>
      <c r="AS83" s="181"/>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c r="CX83" s="179"/>
      <c r="CY83" s="179"/>
      <c r="CZ83" s="179"/>
      <c r="DA83" s="179"/>
      <c r="DB83" s="179"/>
      <c r="DC83" s="179"/>
      <c r="DD83" s="179"/>
      <c r="DE83" s="179"/>
      <c r="DF83" s="179"/>
      <c r="DG83" s="179"/>
      <c r="DH83" s="179"/>
      <c r="DI83" s="179"/>
      <c r="DJ83" s="179"/>
      <c r="DK83" s="179"/>
      <c r="DL83" s="179"/>
      <c r="DM83" s="179"/>
      <c r="DN83" s="179"/>
      <c r="DO83" s="179"/>
      <c r="DP83" s="179"/>
      <c r="DQ83" s="179"/>
      <c r="DR83" s="179"/>
      <c r="DS83" s="179"/>
      <c r="DT83" s="179"/>
      <c r="DU83" s="179"/>
      <c r="DV83" s="179"/>
      <c r="DW83" s="179"/>
      <c r="DX83" s="179"/>
      <c r="DY83" s="180"/>
      <c r="DZ83" s="187"/>
      <c r="EA83" s="82">
        <f t="shared" si="113"/>
        <v>0</v>
      </c>
      <c r="EB83" s="82">
        <f t="shared" ref="EB83" si="125">EA83*Scenario1AgileContingency</f>
        <v>0</v>
      </c>
      <c r="EC83" s="82">
        <f t="shared" si="115"/>
        <v>0</v>
      </c>
      <c r="ED83" s="127">
        <f t="shared" ref="ED83" si="126">SUM(EA83:EC83)</f>
        <v>0</v>
      </c>
    </row>
    <row r="84" spans="1:134" s="74" customFormat="1" ht="11.25" x14ac:dyDescent="0.2">
      <c r="A84" s="210">
        <v>2</v>
      </c>
      <c r="B84" s="392" t="s">
        <v>673</v>
      </c>
      <c r="C84" s="457" t="s">
        <v>630</v>
      </c>
      <c r="D84" s="398" t="s">
        <v>679</v>
      </c>
      <c r="E84" s="435"/>
      <c r="F84" s="443" t="str">
        <f t="shared" si="117"/>
        <v>DWMS</v>
      </c>
      <c r="G84" s="443"/>
      <c r="H84" s="434" t="str">
        <f t="shared" si="118"/>
        <v>Digital Mediation - IME</v>
      </c>
      <c r="I84" s="406"/>
      <c r="J84" s="406"/>
      <c r="K84" s="406"/>
      <c r="L84" s="406"/>
      <c r="M84" s="406"/>
      <c r="N84" s="406"/>
      <c r="O84" s="406"/>
      <c r="P84" s="406"/>
      <c r="Q84" s="406"/>
      <c r="R84" s="406"/>
      <c r="S84" s="406"/>
      <c r="T84" s="406"/>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81"/>
      <c r="AR84" s="181"/>
      <c r="AS84" s="181"/>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c r="CX84" s="179"/>
      <c r="CY84" s="179"/>
      <c r="CZ84" s="179"/>
      <c r="DA84" s="179"/>
      <c r="DB84" s="179"/>
      <c r="DC84" s="179"/>
      <c r="DD84" s="179"/>
      <c r="DE84" s="179"/>
      <c r="DF84" s="179"/>
      <c r="DG84" s="179"/>
      <c r="DH84" s="179"/>
      <c r="DI84" s="179"/>
      <c r="DJ84" s="179"/>
      <c r="DK84" s="179"/>
      <c r="DL84" s="179"/>
      <c r="DM84" s="179"/>
      <c r="DN84" s="179"/>
      <c r="DO84" s="179"/>
      <c r="DP84" s="179"/>
      <c r="DQ84" s="179"/>
      <c r="DR84" s="179"/>
      <c r="DS84" s="179"/>
      <c r="DT84" s="179"/>
      <c r="DU84" s="179"/>
      <c r="DV84" s="179"/>
      <c r="DW84" s="179"/>
      <c r="DX84" s="179"/>
      <c r="DY84" s="180"/>
      <c r="DZ84" s="187"/>
      <c r="EA84" s="82">
        <f t="shared" si="113"/>
        <v>0</v>
      </c>
      <c r="EB84" s="82">
        <f t="shared" ref="EB84" si="127">EA84*Scenario1AgileContingency</f>
        <v>0</v>
      </c>
      <c r="EC84" s="82">
        <f t="shared" si="115"/>
        <v>0</v>
      </c>
      <c r="ED84" s="127">
        <f t="shared" ref="ED84" si="128">SUM(EA84:EC84)</f>
        <v>0</v>
      </c>
    </row>
    <row r="85" spans="1:134" s="74" customFormat="1" ht="11.25" x14ac:dyDescent="0.2">
      <c r="A85" s="210">
        <v>2</v>
      </c>
      <c r="B85" s="392" t="s">
        <v>673</v>
      </c>
      <c r="C85" s="457" t="s">
        <v>630</v>
      </c>
      <c r="D85" s="398" t="s">
        <v>679</v>
      </c>
      <c r="E85" s="435"/>
      <c r="F85" s="443" t="str">
        <f t="shared" si="117"/>
        <v>DWMS</v>
      </c>
      <c r="G85" s="443"/>
      <c r="H85" s="434" t="str">
        <f t="shared" si="118"/>
        <v>Digital Mediation - IME</v>
      </c>
      <c r="I85" s="406"/>
      <c r="J85" s="406"/>
      <c r="K85" s="406"/>
      <c r="L85" s="406"/>
      <c r="M85" s="406"/>
      <c r="N85" s="406"/>
      <c r="O85" s="406"/>
      <c r="P85" s="406"/>
      <c r="Q85" s="406"/>
      <c r="R85" s="406"/>
      <c r="S85" s="406"/>
      <c r="T85" s="406"/>
      <c r="U85" s="181"/>
      <c r="V85" s="181"/>
      <c r="W85" s="181"/>
      <c r="X85" s="181"/>
      <c r="Y85" s="181"/>
      <c r="Z85" s="181"/>
      <c r="AA85" s="181"/>
      <c r="AB85" s="181"/>
      <c r="AC85" s="181"/>
      <c r="AD85" s="181"/>
      <c r="AE85" s="181"/>
      <c r="AF85" s="181"/>
      <c r="AG85" s="181"/>
      <c r="AH85" s="181"/>
      <c r="AI85" s="181"/>
      <c r="AJ85" s="181"/>
      <c r="AK85" s="181"/>
      <c r="AL85" s="181"/>
      <c r="AM85" s="181"/>
      <c r="AN85" s="181"/>
      <c r="AO85" s="181"/>
      <c r="AP85" s="181"/>
      <c r="AQ85" s="181"/>
      <c r="AR85" s="181"/>
      <c r="AS85" s="181"/>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c r="DM85" s="179"/>
      <c r="DN85" s="179"/>
      <c r="DO85" s="179"/>
      <c r="DP85" s="179"/>
      <c r="DQ85" s="179"/>
      <c r="DR85" s="179"/>
      <c r="DS85" s="179"/>
      <c r="DT85" s="179"/>
      <c r="DU85" s="179"/>
      <c r="DV85" s="179"/>
      <c r="DW85" s="179"/>
      <c r="DX85" s="179"/>
      <c r="DY85" s="180"/>
      <c r="DZ85" s="187"/>
      <c r="EA85" s="82">
        <f t="shared" si="113"/>
        <v>0</v>
      </c>
      <c r="EB85" s="82">
        <f t="shared" ref="EB85" si="129">EA85*Scenario1AgileContingency</f>
        <v>0</v>
      </c>
      <c r="EC85" s="82">
        <f t="shared" si="115"/>
        <v>0</v>
      </c>
      <c r="ED85" s="127">
        <f t="shared" ref="ED85" si="130">SUM(EA85:EC85)</f>
        <v>0</v>
      </c>
    </row>
    <row r="86" spans="1:134" s="74" customFormat="1" ht="11.25" x14ac:dyDescent="0.2">
      <c r="A86" s="210">
        <v>2</v>
      </c>
      <c r="B86" s="392" t="s">
        <v>673</v>
      </c>
      <c r="C86" s="457" t="s">
        <v>625</v>
      </c>
      <c r="D86" s="398" t="s">
        <v>672</v>
      </c>
      <c r="E86" s="435"/>
      <c r="F86" s="443" t="str">
        <f t="shared" si="117"/>
        <v>DE</v>
      </c>
      <c r="G86" s="443"/>
      <c r="H86" s="434" t="str">
        <f t="shared" si="118"/>
        <v>Digital Mediation - IME</v>
      </c>
      <c r="I86" s="406"/>
      <c r="J86" s="406"/>
      <c r="K86" s="406"/>
      <c r="L86" s="406"/>
      <c r="M86" s="406"/>
      <c r="N86" s="406"/>
      <c r="O86" s="406"/>
      <c r="P86" s="406"/>
      <c r="Q86" s="406"/>
      <c r="R86" s="406"/>
      <c r="S86" s="406"/>
      <c r="T86" s="406"/>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81"/>
      <c r="AR86" s="181"/>
      <c r="AS86" s="181"/>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c r="CX86" s="179"/>
      <c r="CY86" s="179"/>
      <c r="CZ86" s="179"/>
      <c r="DA86" s="179"/>
      <c r="DB86" s="179"/>
      <c r="DC86" s="179"/>
      <c r="DD86" s="179"/>
      <c r="DE86" s="179"/>
      <c r="DF86" s="179"/>
      <c r="DG86" s="179"/>
      <c r="DH86" s="179"/>
      <c r="DI86" s="179"/>
      <c r="DJ86" s="179"/>
      <c r="DK86" s="179"/>
      <c r="DL86" s="179"/>
      <c r="DM86" s="179"/>
      <c r="DN86" s="179"/>
      <c r="DO86" s="179"/>
      <c r="DP86" s="179"/>
      <c r="DQ86" s="179"/>
      <c r="DR86" s="179"/>
      <c r="DS86" s="179"/>
      <c r="DT86" s="179"/>
      <c r="DU86" s="179"/>
      <c r="DV86" s="179"/>
      <c r="DW86" s="179"/>
      <c r="DX86" s="179"/>
      <c r="DY86" s="180"/>
      <c r="DZ86" s="187"/>
      <c r="EA86" s="82">
        <f t="shared" si="113"/>
        <v>0</v>
      </c>
      <c r="EB86" s="82">
        <f t="shared" ref="EB86" si="131">EA86*Scenario1AgileContingency</f>
        <v>0</v>
      </c>
      <c r="EC86" s="82">
        <f t="shared" si="115"/>
        <v>0</v>
      </c>
      <c r="ED86" s="127">
        <f t="shared" ref="ED86" si="132">SUM(EA86:EC86)</f>
        <v>0</v>
      </c>
    </row>
    <row r="87" spans="1:134" s="74" customFormat="1" ht="11.25" x14ac:dyDescent="0.2">
      <c r="A87" s="210">
        <v>1</v>
      </c>
      <c r="B87" s="392" t="s">
        <v>673</v>
      </c>
      <c r="C87" s="206" t="s">
        <v>680</v>
      </c>
      <c r="D87" s="206" t="s">
        <v>680</v>
      </c>
      <c r="E87" s="436"/>
      <c r="F87" s="523"/>
      <c r="G87" s="523"/>
      <c r="H87" s="436"/>
      <c r="I87" s="216"/>
      <c r="J87" s="216"/>
      <c r="K87" s="216"/>
      <c r="L87" s="216"/>
      <c r="M87" s="216"/>
      <c r="N87" s="216"/>
      <c r="O87" s="216"/>
      <c r="P87" s="216"/>
      <c r="Q87" s="216"/>
      <c r="R87" s="216"/>
      <c r="S87" s="216"/>
      <c r="T87" s="216"/>
      <c r="U87" s="216"/>
      <c r="V87" s="216"/>
      <c r="W87" s="216"/>
      <c r="X87" s="216"/>
      <c r="Y87" s="216"/>
      <c r="Z87" s="216"/>
      <c r="AA87" s="216"/>
      <c r="AB87" s="216"/>
      <c r="AC87" s="216"/>
      <c r="AD87" s="216"/>
      <c r="AE87" s="216"/>
      <c r="AF87" s="216"/>
      <c r="AG87" s="216"/>
      <c r="AH87" s="216"/>
      <c r="AI87" s="216"/>
      <c r="AJ87" s="216"/>
      <c r="AK87" s="216"/>
      <c r="AL87" s="216"/>
      <c r="AM87" s="216"/>
      <c r="AN87" s="216"/>
      <c r="AO87" s="216"/>
      <c r="AP87" s="216"/>
      <c r="AQ87" s="216"/>
      <c r="AR87" s="216"/>
      <c r="AS87" s="216"/>
      <c r="AT87" s="216"/>
      <c r="AU87" s="216"/>
      <c r="AV87" s="216"/>
      <c r="AW87" s="216"/>
      <c r="AX87" s="216"/>
      <c r="AY87" s="216"/>
      <c r="AZ87" s="216"/>
      <c r="BA87" s="216"/>
      <c r="BB87" s="216"/>
      <c r="BC87" s="216"/>
      <c r="BD87" s="216"/>
      <c r="BE87" s="216"/>
      <c r="BF87" s="216"/>
      <c r="BG87" s="216"/>
      <c r="BH87" s="216"/>
      <c r="BI87" s="216"/>
      <c r="BJ87" s="216"/>
      <c r="BK87" s="216"/>
      <c r="BL87" s="216"/>
      <c r="BM87" s="216"/>
      <c r="BN87" s="216"/>
      <c r="BO87" s="216"/>
      <c r="BP87" s="216"/>
      <c r="BQ87" s="216"/>
      <c r="BR87" s="216"/>
      <c r="BS87" s="216"/>
      <c r="BT87" s="216"/>
      <c r="BU87" s="216"/>
      <c r="BV87" s="216"/>
      <c r="BW87" s="216"/>
      <c r="BX87" s="216"/>
      <c r="BY87" s="216"/>
      <c r="BZ87" s="216"/>
      <c r="CA87" s="216"/>
      <c r="CB87" s="216"/>
      <c r="CC87" s="216"/>
      <c r="CD87" s="216"/>
      <c r="CE87" s="216"/>
      <c r="CF87" s="216"/>
      <c r="CG87" s="216"/>
      <c r="CH87" s="216"/>
      <c r="CI87" s="216"/>
      <c r="CJ87" s="216"/>
      <c r="CK87" s="216"/>
      <c r="CL87" s="216"/>
      <c r="CM87" s="216"/>
      <c r="CN87" s="216"/>
      <c r="CO87" s="216"/>
      <c r="CP87" s="216"/>
      <c r="CQ87" s="216"/>
      <c r="CR87" s="216"/>
      <c r="CS87" s="216"/>
      <c r="CT87" s="216"/>
      <c r="CU87" s="216"/>
      <c r="CV87" s="216"/>
      <c r="CW87" s="216"/>
      <c r="CX87" s="216"/>
      <c r="CY87" s="216"/>
      <c r="CZ87" s="216"/>
      <c r="DA87" s="216"/>
      <c r="DB87" s="216"/>
      <c r="DC87" s="216"/>
      <c r="DD87" s="216"/>
      <c r="DE87" s="216"/>
      <c r="DF87" s="216"/>
      <c r="DG87" s="216"/>
      <c r="DH87" s="216"/>
      <c r="DI87" s="216"/>
      <c r="DJ87" s="216"/>
      <c r="DK87" s="216"/>
      <c r="DL87" s="216"/>
      <c r="DM87" s="216"/>
      <c r="DN87" s="216"/>
      <c r="DO87" s="216"/>
      <c r="DP87" s="216"/>
      <c r="DQ87" s="216"/>
      <c r="DR87" s="216"/>
      <c r="DS87" s="216"/>
      <c r="DT87" s="216"/>
      <c r="DU87" s="216"/>
      <c r="DV87" s="216"/>
      <c r="DW87" s="216"/>
      <c r="DX87" s="216"/>
      <c r="DY87" s="185"/>
      <c r="DZ87" s="187"/>
      <c r="EA87" s="127"/>
      <c r="EB87" s="127"/>
      <c r="EC87" s="127"/>
      <c r="ED87" s="127"/>
    </row>
    <row r="88" spans="1:134" s="74" customFormat="1" ht="11.25" x14ac:dyDescent="0.2">
      <c r="A88" s="210">
        <v>2</v>
      </c>
      <c r="B88" s="392" t="s">
        <v>673</v>
      </c>
      <c r="C88" s="457" t="str">
        <f>IFERROR(VLOOKUP(D88,MappingFromSetAgiletoTTSRole,2,FALSE),"SET Agile Resource Role")</f>
        <v>Architect Sr</v>
      </c>
      <c r="D88" s="398" t="s">
        <v>679</v>
      </c>
      <c r="E88" s="435"/>
      <c r="F88" s="443" t="str">
        <f t="shared" ref="F88:F94" si="133">IFERROR(VLOOKUP(C88,MappingFromTTStoSU,2,FALSE),"SU Resource Role")</f>
        <v>DWMS</v>
      </c>
      <c r="G88" s="443"/>
      <c r="H88" s="434" t="str">
        <f>C87</f>
        <v>Digital Mediation - IAT</v>
      </c>
      <c r="I88" s="406"/>
      <c r="J88" s="406"/>
      <c r="K88" s="406"/>
      <c r="L88" s="406"/>
      <c r="M88" s="406"/>
      <c r="N88" s="406"/>
      <c r="O88" s="406"/>
      <c r="P88" s="406"/>
      <c r="Q88" s="406"/>
      <c r="R88" s="406"/>
      <c r="S88" s="406"/>
      <c r="T88" s="406"/>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81"/>
      <c r="AR88" s="181"/>
      <c r="AS88" s="181"/>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c r="CX88" s="179"/>
      <c r="CY88" s="179"/>
      <c r="CZ88" s="179"/>
      <c r="DA88" s="179"/>
      <c r="DB88" s="179"/>
      <c r="DC88" s="179"/>
      <c r="DD88" s="179"/>
      <c r="DE88" s="179"/>
      <c r="DF88" s="179"/>
      <c r="DG88" s="179"/>
      <c r="DH88" s="179"/>
      <c r="DI88" s="179"/>
      <c r="DJ88" s="179"/>
      <c r="DK88" s="179"/>
      <c r="DL88" s="179"/>
      <c r="DM88" s="179"/>
      <c r="DN88" s="179"/>
      <c r="DO88" s="179"/>
      <c r="DP88" s="179"/>
      <c r="DQ88" s="179"/>
      <c r="DR88" s="179"/>
      <c r="DS88" s="179"/>
      <c r="DT88" s="179"/>
      <c r="DU88" s="179"/>
      <c r="DV88" s="179"/>
      <c r="DW88" s="179"/>
      <c r="DX88" s="179"/>
      <c r="DY88" s="180"/>
      <c r="DZ88" s="187"/>
      <c r="EA88" s="82">
        <f t="shared" ref="EA88:EA94" si="134">SUMIF(I$8:DY$8,"&lt;&gt;"&amp;AgileIteration_Warranty,I88:DY88)*5*Scenario1Utilisation</f>
        <v>0</v>
      </c>
      <c r="EB88" s="82">
        <f t="shared" ref="EB88" si="135">EA88*Scenario1AgileContingency</f>
        <v>0</v>
      </c>
      <c r="EC88" s="82">
        <f t="shared" ref="EC88:EC94" si="136">IF(Scenario1Warranty=AgileWarrantyDefault, (SUMIF(I$8:DY$8,AgileIteration_Warranty,I88:DY88)*5*Scenario1Utilisation), (EA88*Scenario1Warranty))</f>
        <v>0</v>
      </c>
      <c r="ED88" s="127">
        <f t="shared" ref="ED88" si="137">SUM(EA88:EC88)</f>
        <v>0</v>
      </c>
    </row>
    <row r="89" spans="1:134" s="74" customFormat="1" ht="11.25" x14ac:dyDescent="0.2">
      <c r="A89" s="210">
        <v>2</v>
      </c>
      <c r="B89" s="392" t="s">
        <v>673</v>
      </c>
      <c r="C89" s="457" t="str">
        <f>IFERROR(VLOOKUP(D89,MappingFromSetAgiletoTTSRole,2,FALSE),"SET Agile Resource Role")</f>
        <v>Architect Sr</v>
      </c>
      <c r="D89" s="398" t="s">
        <v>679</v>
      </c>
      <c r="E89" s="435"/>
      <c r="F89" s="443" t="str">
        <f t="shared" si="133"/>
        <v>DWMS</v>
      </c>
      <c r="G89" s="443"/>
      <c r="H89" s="434" t="str">
        <f t="shared" ref="H89:H94" si="138">H88</f>
        <v>Digital Mediation - IAT</v>
      </c>
      <c r="I89" s="406"/>
      <c r="J89" s="406"/>
      <c r="K89" s="406"/>
      <c r="L89" s="406"/>
      <c r="M89" s="406"/>
      <c r="N89" s="406"/>
      <c r="O89" s="406"/>
      <c r="P89" s="406"/>
      <c r="Q89" s="406"/>
      <c r="R89" s="406"/>
      <c r="S89" s="406"/>
      <c r="T89" s="406"/>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81"/>
      <c r="AR89" s="181"/>
      <c r="AS89" s="181"/>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c r="CX89" s="179"/>
      <c r="CY89" s="179"/>
      <c r="CZ89" s="179"/>
      <c r="DA89" s="179"/>
      <c r="DB89" s="179"/>
      <c r="DC89" s="179"/>
      <c r="DD89" s="179"/>
      <c r="DE89" s="179"/>
      <c r="DF89" s="179"/>
      <c r="DG89" s="179"/>
      <c r="DH89" s="179"/>
      <c r="DI89" s="179"/>
      <c r="DJ89" s="179"/>
      <c r="DK89" s="179"/>
      <c r="DL89" s="179"/>
      <c r="DM89" s="179"/>
      <c r="DN89" s="179"/>
      <c r="DO89" s="179"/>
      <c r="DP89" s="179"/>
      <c r="DQ89" s="179"/>
      <c r="DR89" s="179"/>
      <c r="DS89" s="179"/>
      <c r="DT89" s="179"/>
      <c r="DU89" s="179"/>
      <c r="DV89" s="179"/>
      <c r="DW89" s="179"/>
      <c r="DX89" s="179"/>
      <c r="DY89" s="180"/>
      <c r="DZ89" s="187"/>
      <c r="EA89" s="82">
        <f t="shared" si="134"/>
        <v>0</v>
      </c>
      <c r="EB89" s="82">
        <f t="shared" ref="EB89" si="139">EA89*Scenario1AgileContingency</f>
        <v>0</v>
      </c>
      <c r="EC89" s="82">
        <f t="shared" si="136"/>
        <v>0</v>
      </c>
      <c r="ED89" s="127">
        <f t="shared" ref="ED89" si="140">SUM(EA89:EC89)</f>
        <v>0</v>
      </c>
    </row>
    <row r="90" spans="1:134" s="74" customFormat="1" ht="11.25" x14ac:dyDescent="0.2">
      <c r="A90" s="210">
        <v>2</v>
      </c>
      <c r="B90" s="392" t="s">
        <v>673</v>
      </c>
      <c r="C90" s="457" t="str">
        <f>IFERROR(VLOOKUP(D90,MappingFromSetAgiletoTTSRole,2,FALSE),"SET Agile Resource Role")</f>
        <v>Software Developer</v>
      </c>
      <c r="D90" s="398" t="s">
        <v>636</v>
      </c>
      <c r="E90" s="435"/>
      <c r="F90" s="443" t="str">
        <f t="shared" si="133"/>
        <v>DWMS</v>
      </c>
      <c r="G90" s="443"/>
      <c r="H90" s="434" t="str">
        <f t="shared" si="138"/>
        <v>Digital Mediation - IAT</v>
      </c>
      <c r="I90" s="406"/>
      <c r="J90" s="406"/>
      <c r="K90" s="406"/>
      <c r="L90" s="406"/>
      <c r="M90" s="406"/>
      <c r="N90" s="406"/>
      <c r="O90" s="406"/>
      <c r="P90" s="406"/>
      <c r="Q90" s="406"/>
      <c r="R90" s="406"/>
      <c r="S90" s="406"/>
      <c r="T90" s="406"/>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81"/>
      <c r="AS90" s="181"/>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c r="CX90" s="179"/>
      <c r="CY90" s="179"/>
      <c r="CZ90" s="179"/>
      <c r="DA90" s="179"/>
      <c r="DB90" s="179"/>
      <c r="DC90" s="179"/>
      <c r="DD90" s="179"/>
      <c r="DE90" s="179"/>
      <c r="DF90" s="179"/>
      <c r="DG90" s="179"/>
      <c r="DH90" s="179"/>
      <c r="DI90" s="179"/>
      <c r="DJ90" s="179"/>
      <c r="DK90" s="179"/>
      <c r="DL90" s="179"/>
      <c r="DM90" s="179"/>
      <c r="DN90" s="179"/>
      <c r="DO90" s="179"/>
      <c r="DP90" s="179"/>
      <c r="DQ90" s="179"/>
      <c r="DR90" s="179"/>
      <c r="DS90" s="179"/>
      <c r="DT90" s="179"/>
      <c r="DU90" s="179"/>
      <c r="DV90" s="179"/>
      <c r="DW90" s="179"/>
      <c r="DX90" s="179"/>
      <c r="DY90" s="180"/>
      <c r="DZ90" s="187"/>
      <c r="EA90" s="82">
        <f t="shared" si="134"/>
        <v>0</v>
      </c>
      <c r="EB90" s="82">
        <f t="shared" ref="EB90" si="141">EA90*Scenario1AgileContingency</f>
        <v>0</v>
      </c>
      <c r="EC90" s="82">
        <f t="shared" si="136"/>
        <v>0</v>
      </c>
      <c r="ED90" s="127">
        <f t="shared" ref="ED90" si="142">SUM(EA90:EC90)</f>
        <v>0</v>
      </c>
    </row>
    <row r="91" spans="1:134" s="74" customFormat="1" ht="11.25" x14ac:dyDescent="0.2">
      <c r="A91" s="210">
        <v>2</v>
      </c>
      <c r="B91" s="392" t="s">
        <v>673</v>
      </c>
      <c r="C91" s="457" t="str">
        <f>IFERROR(VLOOKUP(D91,MappingFromSetAgiletoTTSRole,2,FALSE),"SET Agile Resource Role")</f>
        <v>Test Consultant</v>
      </c>
      <c r="D91" s="398" t="s">
        <v>633</v>
      </c>
      <c r="E91" s="435"/>
      <c r="F91" s="443" t="str">
        <f t="shared" si="133"/>
        <v>DWMS</v>
      </c>
      <c r="G91" s="443"/>
      <c r="H91" s="434" t="str">
        <f t="shared" si="138"/>
        <v>Digital Mediation - IAT</v>
      </c>
      <c r="I91" s="406"/>
      <c r="J91" s="406"/>
      <c r="K91" s="406"/>
      <c r="L91" s="406"/>
      <c r="M91" s="406"/>
      <c r="N91" s="406"/>
      <c r="O91" s="406"/>
      <c r="P91" s="406"/>
      <c r="Q91" s="406"/>
      <c r="R91" s="406"/>
      <c r="S91" s="406"/>
      <c r="T91" s="406"/>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81"/>
      <c r="AS91" s="181"/>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c r="CX91" s="179"/>
      <c r="CY91" s="179"/>
      <c r="CZ91" s="179"/>
      <c r="DA91" s="179"/>
      <c r="DB91" s="179"/>
      <c r="DC91" s="179"/>
      <c r="DD91" s="179"/>
      <c r="DE91" s="179"/>
      <c r="DF91" s="179"/>
      <c r="DG91" s="179"/>
      <c r="DH91" s="179"/>
      <c r="DI91" s="179"/>
      <c r="DJ91" s="179"/>
      <c r="DK91" s="179"/>
      <c r="DL91" s="179"/>
      <c r="DM91" s="179"/>
      <c r="DN91" s="179"/>
      <c r="DO91" s="179"/>
      <c r="DP91" s="179"/>
      <c r="DQ91" s="179"/>
      <c r="DR91" s="179"/>
      <c r="DS91" s="179"/>
      <c r="DT91" s="179"/>
      <c r="DU91" s="179"/>
      <c r="DV91" s="179"/>
      <c r="DW91" s="179"/>
      <c r="DX91" s="179"/>
      <c r="DY91" s="180"/>
      <c r="DZ91" s="187"/>
      <c r="EA91" s="82">
        <f t="shared" si="134"/>
        <v>0</v>
      </c>
      <c r="EB91" s="82">
        <f t="shared" ref="EB91" si="143">EA91*Scenario1AgileContingency</f>
        <v>0</v>
      </c>
      <c r="EC91" s="82">
        <f t="shared" si="136"/>
        <v>0</v>
      </c>
      <c r="ED91" s="127">
        <f t="shared" ref="ED91" si="144">SUM(EA91:EC91)</f>
        <v>0</v>
      </c>
    </row>
    <row r="92" spans="1:134" s="74" customFormat="1" ht="11.25" x14ac:dyDescent="0.2">
      <c r="A92" s="210">
        <v>2</v>
      </c>
      <c r="B92" s="392" t="s">
        <v>673</v>
      </c>
      <c r="C92" s="457" t="str">
        <f>IFERROR(VLOOKUP(D92,MappingFromSetAgiletoTTSRole,2,FALSE),"SET Agile Resource Role")</f>
        <v>Project Manager</v>
      </c>
      <c r="D92" s="398" t="s">
        <v>599</v>
      </c>
      <c r="E92" s="435"/>
      <c r="F92" s="443" t="str">
        <f t="shared" si="133"/>
        <v>DWMS</v>
      </c>
      <c r="G92" s="443"/>
      <c r="H92" s="434" t="str">
        <f t="shared" si="138"/>
        <v>Digital Mediation - IAT</v>
      </c>
      <c r="I92" s="406"/>
      <c r="J92" s="406"/>
      <c r="K92" s="406"/>
      <c r="L92" s="406"/>
      <c r="M92" s="406"/>
      <c r="N92" s="406"/>
      <c r="O92" s="406"/>
      <c r="P92" s="406"/>
      <c r="Q92" s="406"/>
      <c r="R92" s="406"/>
      <c r="S92" s="406"/>
      <c r="T92" s="406"/>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81"/>
      <c r="AS92" s="181"/>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c r="CX92" s="179"/>
      <c r="CY92" s="179"/>
      <c r="CZ92" s="179"/>
      <c r="DA92" s="179"/>
      <c r="DB92" s="179"/>
      <c r="DC92" s="179"/>
      <c r="DD92" s="179"/>
      <c r="DE92" s="179"/>
      <c r="DF92" s="179"/>
      <c r="DG92" s="179"/>
      <c r="DH92" s="179"/>
      <c r="DI92" s="179"/>
      <c r="DJ92" s="179"/>
      <c r="DK92" s="179"/>
      <c r="DL92" s="179"/>
      <c r="DM92" s="179"/>
      <c r="DN92" s="179"/>
      <c r="DO92" s="179"/>
      <c r="DP92" s="179"/>
      <c r="DQ92" s="179"/>
      <c r="DR92" s="179"/>
      <c r="DS92" s="179"/>
      <c r="DT92" s="179"/>
      <c r="DU92" s="179"/>
      <c r="DV92" s="179"/>
      <c r="DW92" s="179"/>
      <c r="DX92" s="179"/>
      <c r="DY92" s="180"/>
      <c r="DZ92" s="187"/>
      <c r="EA92" s="82">
        <f t="shared" si="134"/>
        <v>0</v>
      </c>
      <c r="EB92" s="82">
        <f t="shared" ref="EB92" si="145">EA92*Scenario1AgileContingency</f>
        <v>0</v>
      </c>
      <c r="EC92" s="82">
        <f t="shared" si="136"/>
        <v>0</v>
      </c>
      <c r="ED92" s="127">
        <f t="shared" ref="ED92" si="146">SUM(EA92:EC92)</f>
        <v>0</v>
      </c>
    </row>
    <row r="93" spans="1:134" s="74" customFormat="1" ht="11.25" x14ac:dyDescent="0.2">
      <c r="A93" s="210">
        <v>2</v>
      </c>
      <c r="B93" s="392" t="s">
        <v>673</v>
      </c>
      <c r="C93" s="457" t="s">
        <v>630</v>
      </c>
      <c r="D93" s="398" t="s">
        <v>679</v>
      </c>
      <c r="E93" s="435"/>
      <c r="F93" s="443" t="str">
        <f t="shared" si="133"/>
        <v>DWMS</v>
      </c>
      <c r="G93" s="443"/>
      <c r="H93" s="434" t="str">
        <f t="shared" si="138"/>
        <v>Digital Mediation - IAT</v>
      </c>
      <c r="I93" s="406"/>
      <c r="J93" s="406"/>
      <c r="K93" s="406"/>
      <c r="L93" s="406"/>
      <c r="M93" s="406"/>
      <c r="N93" s="406"/>
      <c r="O93" s="406"/>
      <c r="P93" s="406"/>
      <c r="Q93" s="406"/>
      <c r="R93" s="406"/>
      <c r="S93" s="406"/>
      <c r="T93" s="406"/>
      <c r="U93" s="181"/>
      <c r="V93" s="181"/>
      <c r="W93" s="181"/>
      <c r="X93" s="181"/>
      <c r="Y93" s="181"/>
      <c r="Z93" s="181"/>
      <c r="AA93" s="181"/>
      <c r="AB93" s="181"/>
      <c r="AC93" s="181"/>
      <c r="AD93" s="181"/>
      <c r="AE93" s="181"/>
      <c r="AF93" s="181"/>
      <c r="AG93" s="181"/>
      <c r="AH93" s="181"/>
      <c r="AI93" s="181"/>
      <c r="AJ93" s="181"/>
      <c r="AK93" s="181"/>
      <c r="AL93" s="181"/>
      <c r="AM93" s="181"/>
      <c r="AN93" s="181"/>
      <c r="AO93" s="181"/>
      <c r="AP93" s="181"/>
      <c r="AQ93" s="181"/>
      <c r="AR93" s="181"/>
      <c r="AS93" s="181"/>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c r="CX93" s="179"/>
      <c r="CY93" s="179"/>
      <c r="CZ93" s="179"/>
      <c r="DA93" s="179"/>
      <c r="DB93" s="179"/>
      <c r="DC93" s="179"/>
      <c r="DD93" s="179"/>
      <c r="DE93" s="179"/>
      <c r="DF93" s="179"/>
      <c r="DG93" s="179"/>
      <c r="DH93" s="179"/>
      <c r="DI93" s="179"/>
      <c r="DJ93" s="179"/>
      <c r="DK93" s="179"/>
      <c r="DL93" s="179"/>
      <c r="DM93" s="179"/>
      <c r="DN93" s="179"/>
      <c r="DO93" s="179"/>
      <c r="DP93" s="179"/>
      <c r="DQ93" s="179"/>
      <c r="DR93" s="179"/>
      <c r="DS93" s="179"/>
      <c r="DT93" s="179"/>
      <c r="DU93" s="179"/>
      <c r="DV93" s="179"/>
      <c r="DW93" s="179"/>
      <c r="DX93" s="179"/>
      <c r="DY93" s="180"/>
      <c r="DZ93" s="187"/>
      <c r="EA93" s="82">
        <f t="shared" si="134"/>
        <v>0</v>
      </c>
      <c r="EB93" s="82">
        <f t="shared" ref="EB93" si="147">EA93*Scenario1AgileContingency</f>
        <v>0</v>
      </c>
      <c r="EC93" s="82">
        <f t="shared" si="136"/>
        <v>0</v>
      </c>
      <c r="ED93" s="127">
        <f t="shared" ref="ED93" si="148">SUM(EA93:EC93)</f>
        <v>0</v>
      </c>
    </row>
    <row r="94" spans="1:134" s="74" customFormat="1" ht="11.25" x14ac:dyDescent="0.2">
      <c r="A94" s="210">
        <v>2</v>
      </c>
      <c r="B94" s="392" t="s">
        <v>673</v>
      </c>
      <c r="C94" s="457" t="s">
        <v>625</v>
      </c>
      <c r="D94" s="398" t="s">
        <v>672</v>
      </c>
      <c r="E94" s="435"/>
      <c r="F94" s="443" t="str">
        <f t="shared" si="133"/>
        <v>DE</v>
      </c>
      <c r="G94" s="443"/>
      <c r="H94" s="434" t="str">
        <f t="shared" si="138"/>
        <v>Digital Mediation - IAT</v>
      </c>
      <c r="I94" s="406"/>
      <c r="J94" s="406"/>
      <c r="K94" s="406"/>
      <c r="L94" s="406"/>
      <c r="M94" s="406"/>
      <c r="N94" s="406"/>
      <c r="O94" s="406"/>
      <c r="P94" s="406"/>
      <c r="Q94" s="406"/>
      <c r="R94" s="406"/>
      <c r="S94" s="406"/>
      <c r="T94" s="406"/>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81"/>
      <c r="AR94" s="181"/>
      <c r="AS94" s="181"/>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c r="CX94" s="179"/>
      <c r="CY94" s="179"/>
      <c r="CZ94" s="179"/>
      <c r="DA94" s="179"/>
      <c r="DB94" s="179"/>
      <c r="DC94" s="179"/>
      <c r="DD94" s="179"/>
      <c r="DE94" s="179"/>
      <c r="DF94" s="179"/>
      <c r="DG94" s="179"/>
      <c r="DH94" s="179"/>
      <c r="DI94" s="179"/>
      <c r="DJ94" s="179"/>
      <c r="DK94" s="179"/>
      <c r="DL94" s="179"/>
      <c r="DM94" s="179"/>
      <c r="DN94" s="179"/>
      <c r="DO94" s="179"/>
      <c r="DP94" s="179"/>
      <c r="DQ94" s="179"/>
      <c r="DR94" s="179"/>
      <c r="DS94" s="179"/>
      <c r="DT94" s="179"/>
      <c r="DU94" s="179"/>
      <c r="DV94" s="179"/>
      <c r="DW94" s="179"/>
      <c r="DX94" s="179"/>
      <c r="DY94" s="180"/>
      <c r="DZ94" s="187"/>
      <c r="EA94" s="82">
        <f t="shared" si="134"/>
        <v>0</v>
      </c>
      <c r="EB94" s="82">
        <f t="shared" ref="EB94" si="149">EA94*Scenario1AgileContingency</f>
        <v>0</v>
      </c>
      <c r="EC94" s="82">
        <f t="shared" si="136"/>
        <v>0</v>
      </c>
      <c r="ED94" s="127">
        <f t="shared" ref="ED94" si="150">SUM(EA94:EC94)</f>
        <v>0</v>
      </c>
    </row>
    <row r="95" spans="1:134" s="74" customFormat="1" ht="11.25" x14ac:dyDescent="0.2">
      <c r="A95" s="210">
        <v>1</v>
      </c>
      <c r="B95" s="392" t="s">
        <v>673</v>
      </c>
      <c r="C95" s="206" t="s">
        <v>681</v>
      </c>
      <c r="D95" s="206" t="s">
        <v>681</v>
      </c>
      <c r="E95" s="436"/>
      <c r="F95" s="523"/>
      <c r="G95" s="523"/>
      <c r="H95" s="436"/>
      <c r="I95" s="216"/>
      <c r="J95" s="216"/>
      <c r="K95" s="216"/>
      <c r="L95" s="216"/>
      <c r="M95" s="216"/>
      <c r="N95" s="216"/>
      <c r="O95" s="216"/>
      <c r="P95" s="216"/>
      <c r="Q95" s="216"/>
      <c r="R95" s="216"/>
      <c r="S95" s="216"/>
      <c r="T95" s="216"/>
      <c r="U95" s="216"/>
      <c r="V95" s="216"/>
      <c r="W95" s="216"/>
      <c r="X95" s="216"/>
      <c r="Y95" s="216"/>
      <c r="Z95" s="216"/>
      <c r="AA95" s="216"/>
      <c r="AB95" s="216"/>
      <c r="AC95" s="216"/>
      <c r="AD95" s="216"/>
      <c r="AE95" s="216"/>
      <c r="AF95" s="216"/>
      <c r="AG95" s="216"/>
      <c r="AH95" s="216"/>
      <c r="AI95" s="216"/>
      <c r="AJ95" s="216"/>
      <c r="AK95" s="216"/>
      <c r="AL95" s="216"/>
      <c r="AM95" s="216"/>
      <c r="AN95" s="216"/>
      <c r="AO95" s="216"/>
      <c r="AP95" s="216"/>
      <c r="AQ95" s="216"/>
      <c r="AR95" s="216"/>
      <c r="AS95" s="216"/>
      <c r="AT95" s="216"/>
      <c r="AU95" s="216"/>
      <c r="AV95" s="216"/>
      <c r="AW95" s="216"/>
      <c r="AX95" s="216"/>
      <c r="AY95" s="216"/>
      <c r="AZ95" s="216"/>
      <c r="BA95" s="216"/>
      <c r="BB95" s="216"/>
      <c r="BC95" s="216"/>
      <c r="BD95" s="216"/>
      <c r="BE95" s="216"/>
      <c r="BF95" s="216"/>
      <c r="BG95" s="216"/>
      <c r="BH95" s="216"/>
      <c r="BI95" s="216"/>
      <c r="BJ95" s="216"/>
      <c r="BK95" s="216"/>
      <c r="BL95" s="216"/>
      <c r="BM95" s="216"/>
      <c r="BN95" s="216"/>
      <c r="BO95" s="216"/>
      <c r="BP95" s="216"/>
      <c r="BQ95" s="216"/>
      <c r="BR95" s="216"/>
      <c r="BS95" s="216"/>
      <c r="BT95" s="216"/>
      <c r="BU95" s="216"/>
      <c r="BV95" s="216"/>
      <c r="BW95" s="216"/>
      <c r="BX95" s="216"/>
      <c r="BY95" s="216"/>
      <c r="BZ95" s="216"/>
      <c r="CA95" s="216"/>
      <c r="CB95" s="216"/>
      <c r="CC95" s="216"/>
      <c r="CD95" s="216"/>
      <c r="CE95" s="216"/>
      <c r="CF95" s="216"/>
      <c r="CG95" s="216"/>
      <c r="CH95" s="216"/>
      <c r="CI95" s="216"/>
      <c r="CJ95" s="216"/>
      <c r="CK95" s="216"/>
      <c r="CL95" s="216"/>
      <c r="CM95" s="216"/>
      <c r="CN95" s="216"/>
      <c r="CO95" s="216"/>
      <c r="CP95" s="216"/>
      <c r="CQ95" s="216"/>
      <c r="CR95" s="216"/>
      <c r="CS95" s="216"/>
      <c r="CT95" s="216"/>
      <c r="CU95" s="216"/>
      <c r="CV95" s="216"/>
      <c r="CW95" s="216"/>
      <c r="CX95" s="216"/>
      <c r="CY95" s="216"/>
      <c r="CZ95" s="216"/>
      <c r="DA95" s="216"/>
      <c r="DB95" s="216"/>
      <c r="DC95" s="216"/>
      <c r="DD95" s="216"/>
      <c r="DE95" s="216"/>
      <c r="DF95" s="216"/>
      <c r="DG95" s="216"/>
      <c r="DH95" s="216"/>
      <c r="DI95" s="216"/>
      <c r="DJ95" s="216"/>
      <c r="DK95" s="216"/>
      <c r="DL95" s="216"/>
      <c r="DM95" s="216"/>
      <c r="DN95" s="216"/>
      <c r="DO95" s="216"/>
      <c r="DP95" s="216"/>
      <c r="DQ95" s="216"/>
      <c r="DR95" s="216"/>
      <c r="DS95" s="216"/>
      <c r="DT95" s="216"/>
      <c r="DU95" s="216"/>
      <c r="DV95" s="216"/>
      <c r="DW95" s="216"/>
      <c r="DX95" s="216"/>
      <c r="DY95" s="185"/>
      <c r="DZ95" s="187"/>
      <c r="EA95" s="127"/>
      <c r="EB95" s="127"/>
      <c r="EC95" s="127"/>
      <c r="ED95" s="127"/>
    </row>
    <row r="96" spans="1:134" s="74" customFormat="1" ht="11.25" x14ac:dyDescent="0.2">
      <c r="A96" s="210">
        <v>2</v>
      </c>
      <c r="B96" s="392" t="s">
        <v>673</v>
      </c>
      <c r="C96" s="457" t="str">
        <f>IFERROR(VLOOKUP(D96,MappingFromSetAgiletoTTSRole,2,FALSE),"SET Agile Resource Role")</f>
        <v>Architect Sr</v>
      </c>
      <c r="D96" s="398" t="s">
        <v>679</v>
      </c>
      <c r="E96" s="435"/>
      <c r="F96" s="443" t="str">
        <f t="shared" ref="F96:F102" si="151">IFERROR(VLOOKUP(C96,MappingFromTTStoSU,2,FALSE),"SU Resource Role")</f>
        <v>DWMS</v>
      </c>
      <c r="G96" s="443"/>
      <c r="H96" s="434" t="str">
        <f>C95</f>
        <v>Digital Mediation - AMM</v>
      </c>
      <c r="I96" s="406"/>
      <c r="J96" s="406"/>
      <c r="K96" s="406"/>
      <c r="L96" s="406"/>
      <c r="M96" s="406"/>
      <c r="N96" s="406"/>
      <c r="O96" s="406"/>
      <c r="P96" s="406"/>
      <c r="Q96" s="406"/>
      <c r="R96" s="406"/>
      <c r="S96" s="406"/>
      <c r="T96" s="406"/>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81"/>
      <c r="AS96" s="181"/>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c r="CX96" s="179"/>
      <c r="CY96" s="179"/>
      <c r="CZ96" s="179"/>
      <c r="DA96" s="179"/>
      <c r="DB96" s="179"/>
      <c r="DC96" s="179"/>
      <c r="DD96" s="179"/>
      <c r="DE96" s="179"/>
      <c r="DF96" s="179"/>
      <c r="DG96" s="179"/>
      <c r="DH96" s="179"/>
      <c r="DI96" s="179"/>
      <c r="DJ96" s="179"/>
      <c r="DK96" s="179"/>
      <c r="DL96" s="179"/>
      <c r="DM96" s="179"/>
      <c r="DN96" s="179"/>
      <c r="DO96" s="179"/>
      <c r="DP96" s="179"/>
      <c r="DQ96" s="179"/>
      <c r="DR96" s="179"/>
      <c r="DS96" s="179"/>
      <c r="DT96" s="179"/>
      <c r="DU96" s="179"/>
      <c r="DV96" s="179"/>
      <c r="DW96" s="179"/>
      <c r="DX96" s="179"/>
      <c r="DY96" s="180"/>
      <c r="DZ96" s="187"/>
      <c r="EA96" s="82">
        <f t="shared" ref="EA96:EA102" si="152">SUMIF(I$8:DY$8,"&lt;&gt;"&amp;AgileIteration_Warranty,I96:DY96)*5*Scenario1Utilisation</f>
        <v>0</v>
      </c>
      <c r="EB96" s="82">
        <f t="shared" ref="EB96" si="153">EA96*Scenario1AgileContingency</f>
        <v>0</v>
      </c>
      <c r="EC96" s="82">
        <f t="shared" ref="EC96:EC102" si="154">IF(Scenario1Warranty=AgileWarrantyDefault, (SUMIF(I$8:DY$8,AgileIteration_Warranty,I96:DY96)*5*Scenario1Utilisation), (EA96*Scenario1Warranty))</f>
        <v>0</v>
      </c>
      <c r="ED96" s="127">
        <f t="shared" ref="ED96" si="155">SUM(EA96:EC96)</f>
        <v>0</v>
      </c>
    </row>
    <row r="97" spans="1:134" s="74" customFormat="1" ht="11.25" x14ac:dyDescent="0.2">
      <c r="A97" s="210">
        <v>2</v>
      </c>
      <c r="B97" s="392" t="s">
        <v>673</v>
      </c>
      <c r="C97" s="457" t="str">
        <f>IFERROR(VLOOKUP(D97,MappingFromSetAgiletoTTSRole,2,FALSE),"SET Agile Resource Role")</f>
        <v>Architect Sr</v>
      </c>
      <c r="D97" s="398" t="s">
        <v>679</v>
      </c>
      <c r="E97" s="435"/>
      <c r="F97" s="443" t="str">
        <f t="shared" si="151"/>
        <v>DWMS</v>
      </c>
      <c r="G97" s="443"/>
      <c r="H97" s="434" t="str">
        <f t="shared" ref="H97:H102" si="156">H96</f>
        <v>Digital Mediation - AMM</v>
      </c>
      <c r="I97" s="406"/>
      <c r="J97" s="406"/>
      <c r="K97" s="406"/>
      <c r="L97" s="406"/>
      <c r="M97" s="406"/>
      <c r="N97" s="406"/>
      <c r="O97" s="406"/>
      <c r="P97" s="406"/>
      <c r="Q97" s="406"/>
      <c r="R97" s="406"/>
      <c r="S97" s="406"/>
      <c r="T97" s="406"/>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81"/>
      <c r="AR97" s="181"/>
      <c r="AS97" s="181"/>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c r="CX97" s="179"/>
      <c r="CY97" s="179"/>
      <c r="CZ97" s="179"/>
      <c r="DA97" s="179"/>
      <c r="DB97" s="179"/>
      <c r="DC97" s="179"/>
      <c r="DD97" s="179"/>
      <c r="DE97" s="179"/>
      <c r="DF97" s="179"/>
      <c r="DG97" s="179"/>
      <c r="DH97" s="179"/>
      <c r="DI97" s="179"/>
      <c r="DJ97" s="179"/>
      <c r="DK97" s="179"/>
      <c r="DL97" s="179"/>
      <c r="DM97" s="179"/>
      <c r="DN97" s="179"/>
      <c r="DO97" s="179"/>
      <c r="DP97" s="179"/>
      <c r="DQ97" s="179"/>
      <c r="DR97" s="179"/>
      <c r="DS97" s="179"/>
      <c r="DT97" s="179"/>
      <c r="DU97" s="179"/>
      <c r="DV97" s="179"/>
      <c r="DW97" s="179"/>
      <c r="DX97" s="179"/>
      <c r="DY97" s="180"/>
      <c r="DZ97" s="187"/>
      <c r="EA97" s="82">
        <f t="shared" si="152"/>
        <v>0</v>
      </c>
      <c r="EB97" s="82">
        <f t="shared" ref="EB97" si="157">EA97*Scenario1AgileContingency</f>
        <v>0</v>
      </c>
      <c r="EC97" s="82">
        <f t="shared" si="154"/>
        <v>0</v>
      </c>
      <c r="ED97" s="127">
        <f t="shared" ref="ED97" si="158">SUM(EA97:EC97)</f>
        <v>0</v>
      </c>
    </row>
    <row r="98" spans="1:134" s="74" customFormat="1" ht="11.25" x14ac:dyDescent="0.2">
      <c r="A98" s="210">
        <v>2</v>
      </c>
      <c r="B98" s="392" t="s">
        <v>673</v>
      </c>
      <c r="C98" s="457" t="str">
        <f>IFERROR(VLOOKUP(D98,MappingFromSetAgiletoTTSRole,2,FALSE),"SET Agile Resource Role")</f>
        <v>Software Developer</v>
      </c>
      <c r="D98" s="398" t="s">
        <v>636</v>
      </c>
      <c r="E98" s="435"/>
      <c r="F98" s="443" t="str">
        <f t="shared" si="151"/>
        <v>DWMS</v>
      </c>
      <c r="G98" s="443"/>
      <c r="H98" s="434" t="str">
        <f t="shared" si="156"/>
        <v>Digital Mediation - AMM</v>
      </c>
      <c r="I98" s="406"/>
      <c r="J98" s="406"/>
      <c r="K98" s="406"/>
      <c r="L98" s="406"/>
      <c r="M98" s="406"/>
      <c r="N98" s="406"/>
      <c r="O98" s="406"/>
      <c r="P98" s="406"/>
      <c r="Q98" s="406"/>
      <c r="R98" s="406"/>
      <c r="S98" s="406"/>
      <c r="T98" s="406"/>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c r="CX98" s="179"/>
      <c r="CY98" s="179"/>
      <c r="CZ98" s="179"/>
      <c r="DA98" s="179"/>
      <c r="DB98" s="179"/>
      <c r="DC98" s="179"/>
      <c r="DD98" s="179"/>
      <c r="DE98" s="179"/>
      <c r="DF98" s="179"/>
      <c r="DG98" s="179"/>
      <c r="DH98" s="179"/>
      <c r="DI98" s="179"/>
      <c r="DJ98" s="179"/>
      <c r="DK98" s="179"/>
      <c r="DL98" s="179"/>
      <c r="DM98" s="179"/>
      <c r="DN98" s="179"/>
      <c r="DO98" s="179"/>
      <c r="DP98" s="179"/>
      <c r="DQ98" s="179"/>
      <c r="DR98" s="179"/>
      <c r="DS98" s="179"/>
      <c r="DT98" s="179"/>
      <c r="DU98" s="179"/>
      <c r="DV98" s="179"/>
      <c r="DW98" s="179"/>
      <c r="DX98" s="179"/>
      <c r="DY98" s="180"/>
      <c r="DZ98" s="187"/>
      <c r="EA98" s="82">
        <f t="shared" si="152"/>
        <v>0</v>
      </c>
      <c r="EB98" s="82">
        <f t="shared" ref="EB98" si="159">EA98*Scenario1AgileContingency</f>
        <v>0</v>
      </c>
      <c r="EC98" s="82">
        <f t="shared" si="154"/>
        <v>0</v>
      </c>
      <c r="ED98" s="127">
        <f t="shared" ref="ED98" si="160">SUM(EA98:EC98)</f>
        <v>0</v>
      </c>
    </row>
    <row r="99" spans="1:134" s="74" customFormat="1" ht="11.25" x14ac:dyDescent="0.2">
      <c r="A99" s="210">
        <v>2</v>
      </c>
      <c r="B99" s="392" t="s">
        <v>673</v>
      </c>
      <c r="C99" s="457" t="str">
        <f>IFERROR(VLOOKUP(D99,MappingFromSetAgiletoTTSRole,2,FALSE),"SET Agile Resource Role")</f>
        <v>Test Consultant</v>
      </c>
      <c r="D99" s="398" t="s">
        <v>633</v>
      </c>
      <c r="E99" s="435"/>
      <c r="F99" s="443" t="str">
        <f t="shared" si="151"/>
        <v>DWMS</v>
      </c>
      <c r="G99" s="443"/>
      <c r="H99" s="434" t="str">
        <f t="shared" si="156"/>
        <v>Digital Mediation - AMM</v>
      </c>
      <c r="I99" s="406"/>
      <c r="J99" s="406"/>
      <c r="K99" s="406"/>
      <c r="L99" s="406"/>
      <c r="M99" s="406"/>
      <c r="N99" s="406"/>
      <c r="O99" s="406"/>
      <c r="P99" s="406"/>
      <c r="Q99" s="406"/>
      <c r="R99" s="406"/>
      <c r="S99" s="406"/>
      <c r="T99" s="406"/>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81"/>
      <c r="AR99" s="181"/>
      <c r="AS99" s="181"/>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c r="CX99" s="179"/>
      <c r="CY99" s="179"/>
      <c r="CZ99" s="179"/>
      <c r="DA99" s="179"/>
      <c r="DB99" s="179"/>
      <c r="DC99" s="179"/>
      <c r="DD99" s="179"/>
      <c r="DE99" s="179"/>
      <c r="DF99" s="179"/>
      <c r="DG99" s="179"/>
      <c r="DH99" s="179"/>
      <c r="DI99" s="179"/>
      <c r="DJ99" s="179"/>
      <c r="DK99" s="179"/>
      <c r="DL99" s="179"/>
      <c r="DM99" s="179"/>
      <c r="DN99" s="179"/>
      <c r="DO99" s="179"/>
      <c r="DP99" s="179"/>
      <c r="DQ99" s="179"/>
      <c r="DR99" s="179"/>
      <c r="DS99" s="179"/>
      <c r="DT99" s="179"/>
      <c r="DU99" s="179"/>
      <c r="DV99" s="179"/>
      <c r="DW99" s="179"/>
      <c r="DX99" s="179"/>
      <c r="DY99" s="180"/>
      <c r="DZ99" s="187"/>
      <c r="EA99" s="82">
        <f t="shared" si="152"/>
        <v>0</v>
      </c>
      <c r="EB99" s="82">
        <f t="shared" ref="EB99" si="161">EA99*Scenario1AgileContingency</f>
        <v>0</v>
      </c>
      <c r="EC99" s="82">
        <f t="shared" si="154"/>
        <v>0</v>
      </c>
      <c r="ED99" s="127">
        <f t="shared" ref="ED99" si="162">SUM(EA99:EC99)</f>
        <v>0</v>
      </c>
    </row>
    <row r="100" spans="1:134" s="74" customFormat="1" ht="11.25" x14ac:dyDescent="0.2">
      <c r="A100" s="210">
        <v>2</v>
      </c>
      <c r="B100" s="392" t="s">
        <v>673</v>
      </c>
      <c r="C100" s="457" t="str">
        <f>IFERROR(VLOOKUP(D100,MappingFromSetAgiletoTTSRole,2,FALSE),"SET Agile Resource Role")</f>
        <v>Project Manager</v>
      </c>
      <c r="D100" s="398" t="s">
        <v>599</v>
      </c>
      <c r="E100" s="435"/>
      <c r="F100" s="443" t="str">
        <f t="shared" si="151"/>
        <v>DWMS</v>
      </c>
      <c r="G100" s="443"/>
      <c r="H100" s="434" t="str">
        <f t="shared" si="156"/>
        <v>Digital Mediation - AMM</v>
      </c>
      <c r="I100" s="406"/>
      <c r="J100" s="406"/>
      <c r="K100" s="406"/>
      <c r="L100" s="406"/>
      <c r="M100" s="406"/>
      <c r="N100" s="406"/>
      <c r="O100" s="406"/>
      <c r="P100" s="406"/>
      <c r="Q100" s="406"/>
      <c r="R100" s="406"/>
      <c r="S100" s="406"/>
      <c r="T100" s="406"/>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81"/>
      <c r="AS100" s="181"/>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c r="CX100" s="179"/>
      <c r="CY100" s="179"/>
      <c r="CZ100" s="179"/>
      <c r="DA100" s="179"/>
      <c r="DB100" s="179"/>
      <c r="DC100" s="179"/>
      <c r="DD100" s="179"/>
      <c r="DE100" s="179"/>
      <c r="DF100" s="179"/>
      <c r="DG100" s="179"/>
      <c r="DH100" s="179"/>
      <c r="DI100" s="179"/>
      <c r="DJ100" s="179"/>
      <c r="DK100" s="179"/>
      <c r="DL100" s="179"/>
      <c r="DM100" s="179"/>
      <c r="DN100" s="179"/>
      <c r="DO100" s="179"/>
      <c r="DP100" s="179"/>
      <c r="DQ100" s="179"/>
      <c r="DR100" s="179"/>
      <c r="DS100" s="179"/>
      <c r="DT100" s="179"/>
      <c r="DU100" s="179"/>
      <c r="DV100" s="179"/>
      <c r="DW100" s="179"/>
      <c r="DX100" s="179"/>
      <c r="DY100" s="180"/>
      <c r="DZ100" s="187"/>
      <c r="EA100" s="82">
        <f t="shared" si="152"/>
        <v>0</v>
      </c>
      <c r="EB100" s="82">
        <f t="shared" ref="EB100" si="163">EA100*Scenario1AgileContingency</f>
        <v>0</v>
      </c>
      <c r="EC100" s="82">
        <f t="shared" si="154"/>
        <v>0</v>
      </c>
      <c r="ED100" s="127">
        <f t="shared" ref="ED100" si="164">SUM(EA100:EC100)</f>
        <v>0</v>
      </c>
    </row>
    <row r="101" spans="1:134" s="74" customFormat="1" ht="11.25" x14ac:dyDescent="0.2">
      <c r="A101" s="210">
        <v>2</v>
      </c>
      <c r="B101" s="392" t="s">
        <v>673</v>
      </c>
      <c r="C101" s="457" t="s">
        <v>630</v>
      </c>
      <c r="D101" s="398" t="s">
        <v>679</v>
      </c>
      <c r="E101" s="435"/>
      <c r="F101" s="443" t="str">
        <f t="shared" si="151"/>
        <v>DWMS</v>
      </c>
      <c r="G101" s="443"/>
      <c r="H101" s="434" t="str">
        <f t="shared" si="156"/>
        <v>Digital Mediation - AMM</v>
      </c>
      <c r="I101" s="406"/>
      <c r="J101" s="406"/>
      <c r="K101" s="406"/>
      <c r="L101" s="406"/>
      <c r="M101" s="406"/>
      <c r="N101" s="406"/>
      <c r="O101" s="406"/>
      <c r="P101" s="406"/>
      <c r="Q101" s="406"/>
      <c r="R101" s="406"/>
      <c r="S101" s="406"/>
      <c r="T101" s="406"/>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c r="CX101" s="179"/>
      <c r="CY101" s="179"/>
      <c r="CZ101" s="179"/>
      <c r="DA101" s="179"/>
      <c r="DB101" s="179"/>
      <c r="DC101" s="179"/>
      <c r="DD101" s="179"/>
      <c r="DE101" s="179"/>
      <c r="DF101" s="179"/>
      <c r="DG101" s="179"/>
      <c r="DH101" s="179"/>
      <c r="DI101" s="179"/>
      <c r="DJ101" s="179"/>
      <c r="DK101" s="179"/>
      <c r="DL101" s="179"/>
      <c r="DM101" s="179"/>
      <c r="DN101" s="179"/>
      <c r="DO101" s="179"/>
      <c r="DP101" s="179"/>
      <c r="DQ101" s="179"/>
      <c r="DR101" s="179"/>
      <c r="DS101" s="179"/>
      <c r="DT101" s="179"/>
      <c r="DU101" s="179"/>
      <c r="DV101" s="179"/>
      <c r="DW101" s="179"/>
      <c r="DX101" s="179"/>
      <c r="DY101" s="180"/>
      <c r="DZ101" s="187"/>
      <c r="EA101" s="82">
        <f t="shared" si="152"/>
        <v>0</v>
      </c>
      <c r="EB101" s="82">
        <f t="shared" ref="EB101" si="165">EA101*Scenario1AgileContingency</f>
        <v>0</v>
      </c>
      <c r="EC101" s="82">
        <f t="shared" si="154"/>
        <v>0</v>
      </c>
      <c r="ED101" s="127">
        <f t="shared" ref="ED101" si="166">SUM(EA101:EC101)</f>
        <v>0</v>
      </c>
    </row>
    <row r="102" spans="1:134" s="74" customFormat="1" ht="11.25" x14ac:dyDescent="0.2">
      <c r="A102" s="210">
        <v>2</v>
      </c>
      <c r="B102" s="392" t="s">
        <v>673</v>
      </c>
      <c r="C102" s="457" t="s">
        <v>625</v>
      </c>
      <c r="D102" s="398" t="s">
        <v>672</v>
      </c>
      <c r="E102" s="435"/>
      <c r="F102" s="443" t="str">
        <f t="shared" si="151"/>
        <v>DE</v>
      </c>
      <c r="G102" s="443"/>
      <c r="H102" s="434" t="str">
        <f t="shared" si="156"/>
        <v>Digital Mediation - AMM</v>
      </c>
      <c r="I102" s="406"/>
      <c r="J102" s="406"/>
      <c r="K102" s="406"/>
      <c r="L102" s="406"/>
      <c r="M102" s="406"/>
      <c r="N102" s="406"/>
      <c r="O102" s="406"/>
      <c r="P102" s="406"/>
      <c r="Q102" s="406"/>
      <c r="R102" s="406"/>
      <c r="S102" s="406"/>
      <c r="T102" s="406"/>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c r="CX102" s="179"/>
      <c r="CY102" s="179"/>
      <c r="CZ102" s="179"/>
      <c r="DA102" s="179"/>
      <c r="DB102" s="179"/>
      <c r="DC102" s="179"/>
      <c r="DD102" s="179"/>
      <c r="DE102" s="179"/>
      <c r="DF102" s="179"/>
      <c r="DG102" s="179"/>
      <c r="DH102" s="179"/>
      <c r="DI102" s="179"/>
      <c r="DJ102" s="179"/>
      <c r="DK102" s="179"/>
      <c r="DL102" s="179"/>
      <c r="DM102" s="179"/>
      <c r="DN102" s="179"/>
      <c r="DO102" s="179"/>
      <c r="DP102" s="179"/>
      <c r="DQ102" s="179"/>
      <c r="DR102" s="179"/>
      <c r="DS102" s="179"/>
      <c r="DT102" s="179"/>
      <c r="DU102" s="179"/>
      <c r="DV102" s="179"/>
      <c r="DW102" s="179"/>
      <c r="DX102" s="179"/>
      <c r="DY102" s="180"/>
      <c r="DZ102" s="187"/>
      <c r="EA102" s="82">
        <f t="shared" si="152"/>
        <v>0</v>
      </c>
      <c r="EB102" s="82">
        <f t="shared" ref="EB102" si="167">EA102*Scenario1AgileContingency</f>
        <v>0</v>
      </c>
      <c r="EC102" s="82">
        <f t="shared" si="154"/>
        <v>0</v>
      </c>
      <c r="ED102" s="127">
        <f t="shared" ref="ED102" si="168">SUM(EA102:EC102)</f>
        <v>0</v>
      </c>
    </row>
    <row r="103" spans="1:134" s="74" customFormat="1" ht="11.25" x14ac:dyDescent="0.2">
      <c r="A103" s="210">
        <v>1</v>
      </c>
      <c r="B103" s="392" t="s">
        <v>673</v>
      </c>
      <c r="C103" s="206" t="s">
        <v>682</v>
      </c>
      <c r="D103" s="206" t="s">
        <v>682</v>
      </c>
      <c r="E103" s="436"/>
      <c r="F103" s="523"/>
      <c r="G103" s="523"/>
      <c r="H103" s="436"/>
      <c r="I103" s="216"/>
      <c r="J103" s="216"/>
      <c r="K103" s="216"/>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c r="CR103" s="216"/>
      <c r="CS103" s="216"/>
      <c r="CT103" s="216"/>
      <c r="CU103" s="216"/>
      <c r="CV103" s="216"/>
      <c r="CW103" s="216"/>
      <c r="CX103" s="216"/>
      <c r="CY103" s="216"/>
      <c r="CZ103" s="216"/>
      <c r="DA103" s="216"/>
      <c r="DB103" s="216"/>
      <c r="DC103" s="216"/>
      <c r="DD103" s="216"/>
      <c r="DE103" s="216"/>
      <c r="DF103" s="216"/>
      <c r="DG103" s="216"/>
      <c r="DH103" s="216"/>
      <c r="DI103" s="216"/>
      <c r="DJ103" s="216"/>
      <c r="DK103" s="216"/>
      <c r="DL103" s="216"/>
      <c r="DM103" s="216"/>
      <c r="DN103" s="216"/>
      <c r="DO103" s="216"/>
      <c r="DP103" s="216"/>
      <c r="DQ103" s="216"/>
      <c r="DR103" s="216"/>
      <c r="DS103" s="216"/>
      <c r="DT103" s="216"/>
      <c r="DU103" s="216"/>
      <c r="DV103" s="216"/>
      <c r="DW103" s="216"/>
      <c r="DX103" s="216"/>
      <c r="DY103" s="185"/>
      <c r="DZ103" s="187"/>
      <c r="EA103" s="127"/>
      <c r="EB103" s="127"/>
      <c r="EC103" s="127"/>
      <c r="ED103" s="127"/>
    </row>
    <row r="104" spans="1:134" s="74" customFormat="1" ht="11.25" x14ac:dyDescent="0.2">
      <c r="A104" s="210">
        <v>2</v>
      </c>
      <c r="B104" s="392" t="s">
        <v>673</v>
      </c>
      <c r="C104" s="457" t="str">
        <f>IFERROR(VLOOKUP(D104,MappingFromSetAgiletoTTSRole,2,FALSE),"SET Agile Resource Role")</f>
        <v>Architect Sr</v>
      </c>
      <c r="D104" s="398" t="s">
        <v>679</v>
      </c>
      <c r="E104" s="435"/>
      <c r="F104" s="443" t="str">
        <f t="shared" ref="F104:F110" si="169">IFERROR(VLOOKUP(C104,MappingFromTTStoSU,2,FALSE),"SU Resource Role")</f>
        <v>DWMS</v>
      </c>
      <c r="G104" s="443"/>
      <c r="H104" s="434" t="str">
        <f>C103</f>
        <v>Charging &amp; Billing 5G CHF</v>
      </c>
      <c r="I104" s="406"/>
      <c r="J104" s="406"/>
      <c r="K104" s="406"/>
      <c r="L104" s="406"/>
      <c r="M104" s="406"/>
      <c r="N104" s="406"/>
      <c r="O104" s="406"/>
      <c r="P104" s="406"/>
      <c r="Q104" s="406"/>
      <c r="R104" s="406"/>
      <c r="S104" s="406"/>
      <c r="T104" s="406"/>
      <c r="U104" s="181"/>
      <c r="V104" s="181"/>
      <c r="W104" s="181"/>
      <c r="X104" s="181"/>
      <c r="Y104" s="181"/>
      <c r="Z104" s="181"/>
      <c r="AA104" s="181"/>
      <c r="AB104" s="181"/>
      <c r="AC104" s="181"/>
      <c r="AD104" s="181"/>
      <c r="AE104" s="181"/>
      <c r="AF104" s="181"/>
      <c r="AG104" s="181"/>
      <c r="AH104" s="181"/>
      <c r="AI104" s="181"/>
      <c r="AJ104" s="181"/>
      <c r="AK104" s="181"/>
      <c r="AL104" s="181"/>
      <c r="AM104" s="181"/>
      <c r="AN104" s="181"/>
      <c r="AO104" s="181"/>
      <c r="AP104" s="181"/>
      <c r="AQ104" s="181"/>
      <c r="AR104" s="181"/>
      <c r="AS104" s="181"/>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80"/>
      <c r="DZ104" s="187"/>
      <c r="EA104" s="82">
        <f t="shared" ref="EA104:EA110" si="170">SUMIF(I$8:DY$8,"&lt;&gt;"&amp;AgileIteration_Warranty,I104:DY104)*5*Scenario1Utilisation</f>
        <v>0</v>
      </c>
      <c r="EB104" s="82">
        <f t="shared" ref="EB104" si="171">EA104*Scenario1AgileContingency</f>
        <v>0</v>
      </c>
      <c r="EC104" s="82">
        <f t="shared" ref="EC104:EC110" si="172">IF(Scenario1Warranty=AgileWarrantyDefault, (SUMIF(I$8:DY$8,AgileIteration_Warranty,I104:DY104)*5*Scenario1Utilisation), (EA104*Scenario1Warranty))</f>
        <v>0</v>
      </c>
      <c r="ED104" s="127">
        <f t="shared" ref="ED104" si="173">SUM(EA104:EC104)</f>
        <v>0</v>
      </c>
    </row>
    <row r="105" spans="1:134" s="74" customFormat="1" ht="11.25" x14ac:dyDescent="0.2">
      <c r="A105" s="210">
        <v>2</v>
      </c>
      <c r="B105" s="392" t="s">
        <v>673</v>
      </c>
      <c r="C105" s="457" t="str">
        <f>IFERROR(VLOOKUP(D105,MappingFromSetAgiletoTTSRole,2,FALSE),"SET Agile Resource Role")</f>
        <v>Architect Sr</v>
      </c>
      <c r="D105" s="398" t="s">
        <v>679</v>
      </c>
      <c r="E105" s="435"/>
      <c r="F105" s="443" t="str">
        <f t="shared" si="169"/>
        <v>DWMS</v>
      </c>
      <c r="G105" s="443"/>
      <c r="H105" s="434" t="str">
        <f t="shared" ref="H105:H110" si="174">H104</f>
        <v>Charging &amp; Billing 5G CHF</v>
      </c>
      <c r="I105" s="406"/>
      <c r="J105" s="406"/>
      <c r="K105" s="406"/>
      <c r="L105" s="406"/>
      <c r="M105" s="406"/>
      <c r="N105" s="406"/>
      <c r="O105" s="406"/>
      <c r="P105" s="406"/>
      <c r="Q105" s="406"/>
      <c r="R105" s="406"/>
      <c r="S105" s="406"/>
      <c r="T105" s="406"/>
      <c r="U105" s="181"/>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c r="CX105" s="179"/>
      <c r="CY105" s="179"/>
      <c r="CZ105" s="179"/>
      <c r="DA105" s="179"/>
      <c r="DB105" s="179"/>
      <c r="DC105" s="179"/>
      <c r="DD105" s="179"/>
      <c r="DE105" s="179"/>
      <c r="DF105" s="179"/>
      <c r="DG105" s="179"/>
      <c r="DH105" s="179"/>
      <c r="DI105" s="179"/>
      <c r="DJ105" s="179"/>
      <c r="DK105" s="179"/>
      <c r="DL105" s="179"/>
      <c r="DM105" s="179"/>
      <c r="DN105" s="179"/>
      <c r="DO105" s="179"/>
      <c r="DP105" s="179"/>
      <c r="DQ105" s="179"/>
      <c r="DR105" s="179"/>
      <c r="DS105" s="179"/>
      <c r="DT105" s="179"/>
      <c r="DU105" s="179"/>
      <c r="DV105" s="179"/>
      <c r="DW105" s="179"/>
      <c r="DX105" s="179"/>
      <c r="DY105" s="180"/>
      <c r="DZ105" s="187"/>
      <c r="EA105" s="82">
        <f t="shared" si="170"/>
        <v>0</v>
      </c>
      <c r="EB105" s="82">
        <f t="shared" ref="EB105" si="175">EA105*Scenario1AgileContingency</f>
        <v>0</v>
      </c>
      <c r="EC105" s="82">
        <f t="shared" si="172"/>
        <v>0</v>
      </c>
      <c r="ED105" s="127">
        <f t="shared" ref="ED105" si="176">SUM(EA105:EC105)</f>
        <v>0</v>
      </c>
    </row>
    <row r="106" spans="1:134" s="74" customFormat="1" ht="11.25" x14ac:dyDescent="0.2">
      <c r="A106" s="210">
        <v>2</v>
      </c>
      <c r="B106" s="392" t="s">
        <v>673</v>
      </c>
      <c r="C106" s="457" t="str">
        <f>IFERROR(VLOOKUP(D106,MappingFromSetAgiletoTTSRole,2,FALSE),"SET Agile Resource Role")</f>
        <v>Software Developer</v>
      </c>
      <c r="D106" s="398" t="s">
        <v>636</v>
      </c>
      <c r="E106" s="435"/>
      <c r="F106" s="443" t="str">
        <f t="shared" si="169"/>
        <v>DWMS</v>
      </c>
      <c r="G106" s="443"/>
      <c r="H106" s="434" t="str">
        <f t="shared" si="174"/>
        <v>Charging &amp; Billing 5G CHF</v>
      </c>
      <c r="I106" s="406"/>
      <c r="J106" s="406"/>
      <c r="K106" s="406"/>
      <c r="L106" s="406"/>
      <c r="M106" s="406"/>
      <c r="N106" s="406"/>
      <c r="O106" s="406"/>
      <c r="P106" s="406"/>
      <c r="Q106" s="406"/>
      <c r="R106" s="406"/>
      <c r="S106" s="406"/>
      <c r="T106" s="406"/>
      <c r="U106" s="181"/>
      <c r="V106" s="181"/>
      <c r="W106" s="181"/>
      <c r="X106" s="181"/>
      <c r="Y106" s="181"/>
      <c r="Z106" s="181"/>
      <c r="AA106" s="181"/>
      <c r="AB106" s="181"/>
      <c r="AC106" s="181"/>
      <c r="AD106" s="181"/>
      <c r="AE106" s="181"/>
      <c r="AF106" s="181"/>
      <c r="AG106" s="181"/>
      <c r="AH106" s="181"/>
      <c r="AI106" s="181"/>
      <c r="AJ106" s="181"/>
      <c r="AK106" s="181"/>
      <c r="AL106" s="181"/>
      <c r="AM106" s="181"/>
      <c r="AN106" s="181"/>
      <c r="AO106" s="181"/>
      <c r="AP106" s="181"/>
      <c r="AQ106" s="181"/>
      <c r="AR106" s="181"/>
      <c r="AS106" s="181"/>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c r="CX106" s="179"/>
      <c r="CY106" s="179"/>
      <c r="CZ106" s="179"/>
      <c r="DA106" s="179"/>
      <c r="DB106" s="179"/>
      <c r="DC106" s="179"/>
      <c r="DD106" s="179"/>
      <c r="DE106" s="179"/>
      <c r="DF106" s="179"/>
      <c r="DG106" s="179"/>
      <c r="DH106" s="179"/>
      <c r="DI106" s="179"/>
      <c r="DJ106" s="179"/>
      <c r="DK106" s="179"/>
      <c r="DL106" s="179"/>
      <c r="DM106" s="179"/>
      <c r="DN106" s="179"/>
      <c r="DO106" s="179"/>
      <c r="DP106" s="179"/>
      <c r="DQ106" s="179"/>
      <c r="DR106" s="179"/>
      <c r="DS106" s="179"/>
      <c r="DT106" s="179"/>
      <c r="DU106" s="179"/>
      <c r="DV106" s="179"/>
      <c r="DW106" s="179"/>
      <c r="DX106" s="179"/>
      <c r="DY106" s="180"/>
      <c r="DZ106" s="187"/>
      <c r="EA106" s="82">
        <f t="shared" si="170"/>
        <v>0</v>
      </c>
      <c r="EB106" s="82">
        <f t="shared" ref="EB106" si="177">EA106*Scenario1AgileContingency</f>
        <v>0</v>
      </c>
      <c r="EC106" s="82">
        <f t="shared" si="172"/>
        <v>0</v>
      </c>
      <c r="ED106" s="127">
        <f t="shared" ref="ED106" si="178">SUM(EA106:EC106)</f>
        <v>0</v>
      </c>
    </row>
    <row r="107" spans="1:134" s="74" customFormat="1" ht="11.25" x14ac:dyDescent="0.2">
      <c r="A107" s="210">
        <v>2</v>
      </c>
      <c r="B107" s="392" t="s">
        <v>673</v>
      </c>
      <c r="C107" s="457" t="str">
        <f>IFERROR(VLOOKUP(D107,MappingFromSetAgiletoTTSRole,2,FALSE),"SET Agile Resource Role")</f>
        <v>Test Consultant</v>
      </c>
      <c r="D107" s="398" t="s">
        <v>633</v>
      </c>
      <c r="E107" s="435"/>
      <c r="F107" s="443" t="str">
        <f t="shared" si="169"/>
        <v>DWMS</v>
      </c>
      <c r="G107" s="443"/>
      <c r="H107" s="434" t="str">
        <f t="shared" si="174"/>
        <v>Charging &amp; Billing 5G CHF</v>
      </c>
      <c r="I107" s="406"/>
      <c r="J107" s="406"/>
      <c r="K107" s="406"/>
      <c r="L107" s="406"/>
      <c r="M107" s="406"/>
      <c r="N107" s="406"/>
      <c r="O107" s="406"/>
      <c r="P107" s="406"/>
      <c r="Q107" s="406"/>
      <c r="R107" s="406"/>
      <c r="S107" s="406"/>
      <c r="T107" s="406"/>
      <c r="U107" s="181"/>
      <c r="V107" s="181"/>
      <c r="W107" s="181"/>
      <c r="X107" s="181"/>
      <c r="Y107" s="181"/>
      <c r="Z107" s="181"/>
      <c r="AA107" s="181"/>
      <c r="AB107" s="181"/>
      <c r="AC107" s="181"/>
      <c r="AD107" s="181"/>
      <c r="AE107" s="181"/>
      <c r="AF107" s="181"/>
      <c r="AG107" s="181"/>
      <c r="AH107" s="181"/>
      <c r="AI107" s="181"/>
      <c r="AJ107" s="181"/>
      <c r="AK107" s="181"/>
      <c r="AL107" s="181"/>
      <c r="AM107" s="181"/>
      <c r="AN107" s="181"/>
      <c r="AO107" s="181"/>
      <c r="AP107" s="181"/>
      <c r="AQ107" s="181"/>
      <c r="AR107" s="181"/>
      <c r="AS107" s="181"/>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c r="CX107" s="179"/>
      <c r="CY107" s="179"/>
      <c r="CZ107" s="179"/>
      <c r="DA107" s="179"/>
      <c r="DB107" s="179"/>
      <c r="DC107" s="179"/>
      <c r="DD107" s="179"/>
      <c r="DE107" s="179"/>
      <c r="DF107" s="179"/>
      <c r="DG107" s="179"/>
      <c r="DH107" s="179"/>
      <c r="DI107" s="179"/>
      <c r="DJ107" s="179"/>
      <c r="DK107" s="179"/>
      <c r="DL107" s="179"/>
      <c r="DM107" s="179"/>
      <c r="DN107" s="179"/>
      <c r="DO107" s="179"/>
      <c r="DP107" s="179"/>
      <c r="DQ107" s="179"/>
      <c r="DR107" s="179"/>
      <c r="DS107" s="179"/>
      <c r="DT107" s="179"/>
      <c r="DU107" s="179"/>
      <c r="DV107" s="179"/>
      <c r="DW107" s="179"/>
      <c r="DX107" s="179"/>
      <c r="DY107" s="180"/>
      <c r="DZ107" s="187"/>
      <c r="EA107" s="82">
        <f t="shared" si="170"/>
        <v>0</v>
      </c>
      <c r="EB107" s="82">
        <f t="shared" ref="EB107" si="179">EA107*Scenario1AgileContingency</f>
        <v>0</v>
      </c>
      <c r="EC107" s="82">
        <f t="shared" si="172"/>
        <v>0</v>
      </c>
      <c r="ED107" s="127">
        <f t="shared" ref="ED107" si="180">SUM(EA107:EC107)</f>
        <v>0</v>
      </c>
    </row>
    <row r="108" spans="1:134" s="74" customFormat="1" ht="11.25" x14ac:dyDescent="0.2">
      <c r="A108" s="210">
        <v>2</v>
      </c>
      <c r="B108" s="392" t="s">
        <v>673</v>
      </c>
      <c r="C108" s="457" t="str">
        <f>IFERROR(VLOOKUP(D108,MappingFromSetAgiletoTTSRole,2,FALSE),"SET Agile Resource Role")</f>
        <v>Project Manager</v>
      </c>
      <c r="D108" s="398" t="s">
        <v>599</v>
      </c>
      <c r="E108" s="435"/>
      <c r="F108" s="443" t="str">
        <f t="shared" si="169"/>
        <v>DWMS</v>
      </c>
      <c r="G108" s="443"/>
      <c r="H108" s="434" t="str">
        <f t="shared" si="174"/>
        <v>Charging &amp; Billing 5G CHF</v>
      </c>
      <c r="I108" s="406"/>
      <c r="J108" s="406"/>
      <c r="K108" s="406"/>
      <c r="L108" s="406"/>
      <c r="M108" s="406"/>
      <c r="N108" s="406"/>
      <c r="O108" s="406"/>
      <c r="P108" s="406"/>
      <c r="Q108" s="406"/>
      <c r="R108" s="406"/>
      <c r="S108" s="406"/>
      <c r="T108" s="406"/>
      <c r="U108" s="181"/>
      <c r="V108" s="181"/>
      <c r="W108" s="181"/>
      <c r="X108" s="181"/>
      <c r="Y108" s="181"/>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c r="CX108" s="179"/>
      <c r="CY108" s="179"/>
      <c r="CZ108" s="179"/>
      <c r="DA108" s="179"/>
      <c r="DB108" s="179"/>
      <c r="DC108" s="179"/>
      <c r="DD108" s="179"/>
      <c r="DE108" s="179"/>
      <c r="DF108" s="179"/>
      <c r="DG108" s="179"/>
      <c r="DH108" s="179"/>
      <c r="DI108" s="179"/>
      <c r="DJ108" s="179"/>
      <c r="DK108" s="179"/>
      <c r="DL108" s="179"/>
      <c r="DM108" s="179"/>
      <c r="DN108" s="179"/>
      <c r="DO108" s="179"/>
      <c r="DP108" s="179"/>
      <c r="DQ108" s="179"/>
      <c r="DR108" s="179"/>
      <c r="DS108" s="179"/>
      <c r="DT108" s="179"/>
      <c r="DU108" s="179"/>
      <c r="DV108" s="179"/>
      <c r="DW108" s="179"/>
      <c r="DX108" s="179"/>
      <c r="DY108" s="180"/>
      <c r="DZ108" s="187"/>
      <c r="EA108" s="82">
        <f t="shared" si="170"/>
        <v>0</v>
      </c>
      <c r="EB108" s="82">
        <f t="shared" ref="EB108" si="181">EA108*Scenario1AgileContingency</f>
        <v>0</v>
      </c>
      <c r="EC108" s="82">
        <f t="shared" si="172"/>
        <v>0</v>
      </c>
      <c r="ED108" s="127">
        <f t="shared" ref="ED108" si="182">SUM(EA108:EC108)</f>
        <v>0</v>
      </c>
    </row>
    <row r="109" spans="1:134" s="74" customFormat="1" ht="11.25" x14ac:dyDescent="0.2">
      <c r="A109" s="210">
        <v>2</v>
      </c>
      <c r="B109" s="392" t="s">
        <v>673</v>
      </c>
      <c r="C109" s="457" t="s">
        <v>630</v>
      </c>
      <c r="D109" s="398" t="s">
        <v>679</v>
      </c>
      <c r="E109" s="435"/>
      <c r="F109" s="443" t="str">
        <f t="shared" si="169"/>
        <v>DWMS</v>
      </c>
      <c r="G109" s="443"/>
      <c r="H109" s="434" t="str">
        <f t="shared" si="174"/>
        <v>Charging &amp; Billing 5G CHF</v>
      </c>
      <c r="I109" s="406"/>
      <c r="J109" s="406"/>
      <c r="K109" s="406"/>
      <c r="L109" s="406"/>
      <c r="M109" s="406"/>
      <c r="N109" s="406"/>
      <c r="O109" s="406"/>
      <c r="P109" s="406"/>
      <c r="Q109" s="406"/>
      <c r="R109" s="406"/>
      <c r="S109" s="406"/>
      <c r="T109" s="406"/>
      <c r="U109" s="181"/>
      <c r="V109" s="181"/>
      <c r="W109" s="181"/>
      <c r="X109" s="181"/>
      <c r="Y109" s="181"/>
      <c r="Z109" s="181"/>
      <c r="AA109" s="181"/>
      <c r="AB109" s="181"/>
      <c r="AC109" s="181"/>
      <c r="AD109" s="181"/>
      <c r="AE109" s="181"/>
      <c r="AF109" s="181"/>
      <c r="AG109" s="181"/>
      <c r="AH109" s="181"/>
      <c r="AI109" s="181"/>
      <c r="AJ109" s="181"/>
      <c r="AK109" s="181"/>
      <c r="AL109" s="181"/>
      <c r="AM109" s="181"/>
      <c r="AN109" s="181"/>
      <c r="AO109" s="181"/>
      <c r="AP109" s="181"/>
      <c r="AQ109" s="181"/>
      <c r="AR109" s="181"/>
      <c r="AS109" s="181"/>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c r="CX109" s="179"/>
      <c r="CY109" s="179"/>
      <c r="CZ109" s="179"/>
      <c r="DA109" s="179"/>
      <c r="DB109" s="179"/>
      <c r="DC109" s="179"/>
      <c r="DD109" s="179"/>
      <c r="DE109" s="179"/>
      <c r="DF109" s="179"/>
      <c r="DG109" s="179"/>
      <c r="DH109" s="179"/>
      <c r="DI109" s="179"/>
      <c r="DJ109" s="179"/>
      <c r="DK109" s="179"/>
      <c r="DL109" s="179"/>
      <c r="DM109" s="179"/>
      <c r="DN109" s="179"/>
      <c r="DO109" s="179"/>
      <c r="DP109" s="179"/>
      <c r="DQ109" s="179"/>
      <c r="DR109" s="179"/>
      <c r="DS109" s="179"/>
      <c r="DT109" s="179"/>
      <c r="DU109" s="179"/>
      <c r="DV109" s="179"/>
      <c r="DW109" s="179"/>
      <c r="DX109" s="179"/>
      <c r="DY109" s="180"/>
      <c r="DZ109" s="187"/>
      <c r="EA109" s="82">
        <f t="shared" si="170"/>
        <v>0</v>
      </c>
      <c r="EB109" s="82">
        <f t="shared" ref="EB109" si="183">EA109*Scenario1AgileContingency</f>
        <v>0</v>
      </c>
      <c r="EC109" s="82">
        <f t="shared" si="172"/>
        <v>0</v>
      </c>
      <c r="ED109" s="127">
        <f t="shared" ref="ED109" si="184">SUM(EA109:EC109)</f>
        <v>0</v>
      </c>
    </row>
    <row r="110" spans="1:134" s="74" customFormat="1" ht="11.25" x14ac:dyDescent="0.2">
      <c r="A110" s="210">
        <v>2</v>
      </c>
      <c r="B110" s="392" t="s">
        <v>673</v>
      </c>
      <c r="C110" s="457" t="s">
        <v>625</v>
      </c>
      <c r="D110" s="398" t="s">
        <v>672</v>
      </c>
      <c r="E110" s="435"/>
      <c r="F110" s="443" t="str">
        <f t="shared" si="169"/>
        <v>DE</v>
      </c>
      <c r="G110" s="443"/>
      <c r="H110" s="434" t="str">
        <f t="shared" si="174"/>
        <v>Charging &amp; Billing 5G CHF</v>
      </c>
      <c r="I110" s="406"/>
      <c r="J110" s="406"/>
      <c r="K110" s="406"/>
      <c r="L110" s="406"/>
      <c r="M110" s="406"/>
      <c r="N110" s="406"/>
      <c r="O110" s="406"/>
      <c r="P110" s="406"/>
      <c r="Q110" s="406"/>
      <c r="R110" s="406"/>
      <c r="S110" s="406"/>
      <c r="T110" s="406"/>
      <c r="U110" s="181"/>
      <c r="V110" s="181"/>
      <c r="W110" s="181"/>
      <c r="X110" s="181"/>
      <c r="Y110" s="181"/>
      <c r="Z110" s="181"/>
      <c r="AA110" s="181"/>
      <c r="AB110" s="181"/>
      <c r="AC110" s="181"/>
      <c r="AD110" s="181"/>
      <c r="AE110" s="181"/>
      <c r="AF110" s="181"/>
      <c r="AG110" s="181"/>
      <c r="AH110" s="181"/>
      <c r="AI110" s="181"/>
      <c r="AJ110" s="181"/>
      <c r="AK110" s="181"/>
      <c r="AL110" s="181"/>
      <c r="AM110" s="181"/>
      <c r="AN110" s="181"/>
      <c r="AO110" s="181"/>
      <c r="AP110" s="181"/>
      <c r="AQ110" s="181"/>
      <c r="AR110" s="181"/>
      <c r="AS110" s="181"/>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c r="CX110" s="179"/>
      <c r="CY110" s="179"/>
      <c r="CZ110" s="179"/>
      <c r="DA110" s="179"/>
      <c r="DB110" s="179"/>
      <c r="DC110" s="179"/>
      <c r="DD110" s="179"/>
      <c r="DE110" s="179"/>
      <c r="DF110" s="179"/>
      <c r="DG110" s="179"/>
      <c r="DH110" s="179"/>
      <c r="DI110" s="179"/>
      <c r="DJ110" s="179"/>
      <c r="DK110" s="179"/>
      <c r="DL110" s="179"/>
      <c r="DM110" s="179"/>
      <c r="DN110" s="179"/>
      <c r="DO110" s="179"/>
      <c r="DP110" s="179"/>
      <c r="DQ110" s="179"/>
      <c r="DR110" s="179"/>
      <c r="DS110" s="179"/>
      <c r="DT110" s="179"/>
      <c r="DU110" s="179"/>
      <c r="DV110" s="179"/>
      <c r="DW110" s="179"/>
      <c r="DX110" s="179"/>
      <c r="DY110" s="180"/>
      <c r="DZ110" s="187"/>
      <c r="EA110" s="82">
        <f t="shared" si="170"/>
        <v>0</v>
      </c>
      <c r="EB110" s="82">
        <f t="shared" ref="EB110" si="185">EA110*Scenario1AgileContingency</f>
        <v>0</v>
      </c>
      <c r="EC110" s="82">
        <f t="shared" si="172"/>
        <v>0</v>
      </c>
      <c r="ED110" s="127">
        <f t="shared" ref="ED110" si="186">SUM(EA110:EC110)</f>
        <v>0</v>
      </c>
    </row>
    <row r="111" spans="1:134" s="74" customFormat="1" ht="11.25" x14ac:dyDescent="0.2">
      <c r="A111" s="210">
        <v>1</v>
      </c>
      <c r="B111" s="392" t="s">
        <v>571</v>
      </c>
      <c r="C111" s="206" t="s">
        <v>683</v>
      </c>
      <c r="D111" s="206" t="s">
        <v>683</v>
      </c>
      <c r="E111" s="436"/>
      <c r="F111" s="523"/>
      <c r="G111" s="523"/>
      <c r="H111" s="436"/>
      <c r="I111" s="217"/>
      <c r="J111" s="217"/>
      <c r="K111" s="217"/>
      <c r="L111" s="217"/>
      <c r="M111" s="217"/>
      <c r="N111" s="217"/>
      <c r="O111" s="217"/>
      <c r="P111" s="217"/>
      <c r="Q111" s="217"/>
      <c r="R111" s="217"/>
      <c r="S111" s="217"/>
      <c r="T111" s="217"/>
      <c r="U111" s="217"/>
      <c r="V111" s="217"/>
      <c r="W111" s="217"/>
      <c r="X111" s="217"/>
      <c r="Y111" s="217"/>
      <c r="Z111" s="217"/>
      <c r="AA111" s="217"/>
      <c r="AB111" s="217"/>
      <c r="AC111" s="217"/>
      <c r="AD111" s="217"/>
      <c r="AE111" s="217"/>
      <c r="AF111" s="217"/>
      <c r="AG111" s="217"/>
      <c r="AH111" s="217"/>
      <c r="AI111" s="217"/>
      <c r="AJ111" s="217"/>
      <c r="AK111" s="217"/>
      <c r="AL111" s="217"/>
      <c r="AM111" s="217"/>
      <c r="AN111" s="217"/>
      <c r="AO111" s="217"/>
      <c r="AP111" s="217"/>
      <c r="AQ111" s="217"/>
      <c r="AR111" s="217"/>
      <c r="AS111" s="217"/>
      <c r="AT111" s="217"/>
      <c r="AU111" s="217"/>
      <c r="AV111" s="217"/>
      <c r="AW111" s="217"/>
      <c r="AX111" s="217"/>
      <c r="AY111" s="217"/>
      <c r="AZ111" s="217"/>
      <c r="BA111" s="217"/>
      <c r="BB111" s="217"/>
      <c r="BC111" s="217"/>
      <c r="BD111" s="217"/>
      <c r="BE111" s="217"/>
      <c r="BF111" s="217"/>
      <c r="BG111" s="217"/>
      <c r="BH111" s="217"/>
      <c r="BI111" s="217"/>
      <c r="BJ111" s="217"/>
      <c r="BK111" s="217"/>
      <c r="BL111" s="217"/>
      <c r="BM111" s="217"/>
      <c r="BN111" s="217"/>
      <c r="BO111" s="217"/>
      <c r="BP111" s="217"/>
      <c r="BQ111" s="217"/>
      <c r="BR111" s="217"/>
      <c r="BS111" s="217"/>
      <c r="BT111" s="217"/>
      <c r="BU111" s="217"/>
      <c r="BV111" s="217"/>
      <c r="BW111" s="217"/>
      <c r="BX111" s="217"/>
      <c r="BY111" s="217"/>
      <c r="BZ111" s="217"/>
      <c r="CA111" s="217"/>
      <c r="CB111" s="217"/>
      <c r="CC111" s="217"/>
      <c r="CD111" s="217"/>
      <c r="CE111" s="217"/>
      <c r="CF111" s="217"/>
      <c r="CG111" s="217"/>
      <c r="CH111" s="217"/>
      <c r="CI111" s="217"/>
      <c r="CJ111" s="217"/>
      <c r="CK111" s="217"/>
      <c r="CL111" s="217"/>
      <c r="CM111" s="217"/>
      <c r="CN111" s="217"/>
      <c r="CO111" s="217"/>
      <c r="CP111" s="217"/>
      <c r="CQ111" s="217"/>
      <c r="CR111" s="217"/>
      <c r="CS111" s="217"/>
      <c r="CT111" s="217"/>
      <c r="CU111" s="217"/>
      <c r="CV111" s="217"/>
      <c r="CW111" s="217"/>
      <c r="CX111" s="217"/>
      <c r="CY111" s="217"/>
      <c r="CZ111" s="217"/>
      <c r="DA111" s="217"/>
      <c r="DB111" s="217"/>
      <c r="DC111" s="217"/>
      <c r="DD111" s="217"/>
      <c r="DE111" s="217"/>
      <c r="DF111" s="217"/>
      <c r="DG111" s="217"/>
      <c r="DH111" s="217"/>
      <c r="DI111" s="217"/>
      <c r="DJ111" s="217"/>
      <c r="DK111" s="217"/>
      <c r="DL111" s="217"/>
      <c r="DM111" s="217"/>
      <c r="DN111" s="217"/>
      <c r="DO111" s="217"/>
      <c r="DP111" s="217"/>
      <c r="DQ111" s="217"/>
      <c r="DR111" s="217"/>
      <c r="DS111" s="217"/>
      <c r="DT111" s="217"/>
      <c r="DU111" s="217"/>
      <c r="DV111" s="217"/>
      <c r="DW111" s="217"/>
      <c r="DX111" s="217"/>
      <c r="DY111" s="186"/>
      <c r="DZ111" s="187"/>
      <c r="EA111" s="127"/>
      <c r="EB111" s="127"/>
      <c r="EC111" s="127"/>
      <c r="ED111" s="127"/>
    </row>
    <row r="112" spans="1:134" s="74" customFormat="1" ht="11.25" x14ac:dyDescent="0.2">
      <c r="A112" s="210">
        <v>2</v>
      </c>
      <c r="B112" s="392" t="s">
        <v>571</v>
      </c>
      <c r="C112" s="457" t="str">
        <f>IFERROR(VLOOKUP(D112,MappingFromSetAgiletoTTSRole,2,FALSE),"SET Agile Resource Role")</f>
        <v>Business Consultant</v>
      </c>
      <c r="D112" s="398" t="s">
        <v>684</v>
      </c>
      <c r="E112" s="435"/>
      <c r="F112" s="443" t="s">
        <v>607</v>
      </c>
      <c r="G112" s="443"/>
      <c r="H112" s="434" t="str">
        <f>C111</f>
        <v>SIT Support</v>
      </c>
      <c r="I112" s="406"/>
      <c r="J112" s="406"/>
      <c r="K112" s="406"/>
      <c r="L112" s="406"/>
      <c r="M112" s="406"/>
      <c r="N112" s="406"/>
      <c r="O112" s="406"/>
      <c r="P112" s="406"/>
      <c r="Q112" s="406"/>
      <c r="R112" s="406"/>
      <c r="S112" s="406"/>
      <c r="T112" s="406"/>
      <c r="U112" s="181"/>
      <c r="V112" s="181"/>
      <c r="W112" s="181"/>
      <c r="X112" s="181"/>
      <c r="Y112" s="181"/>
      <c r="Z112" s="181"/>
      <c r="AA112" s="181"/>
      <c r="AB112" s="181"/>
      <c r="AC112" s="181"/>
      <c r="AD112" s="181"/>
      <c r="AE112" s="181"/>
      <c r="AF112" s="181"/>
      <c r="AG112" s="181"/>
      <c r="AH112" s="181"/>
      <c r="AI112" s="181"/>
      <c r="AJ112" s="181"/>
      <c r="AK112" s="181"/>
      <c r="AL112" s="181"/>
      <c r="AM112" s="181"/>
      <c r="AN112" s="181"/>
      <c r="AO112" s="181"/>
      <c r="AP112" s="181"/>
      <c r="AQ112" s="181"/>
      <c r="AR112" s="181"/>
      <c r="AS112" s="181"/>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c r="CX112" s="179"/>
      <c r="CY112" s="179"/>
      <c r="CZ112" s="179"/>
      <c r="DA112" s="179"/>
      <c r="DB112" s="179"/>
      <c r="DC112" s="179"/>
      <c r="DD112" s="179"/>
      <c r="DE112" s="179"/>
      <c r="DF112" s="179"/>
      <c r="DG112" s="179"/>
      <c r="DH112" s="179"/>
      <c r="DI112" s="179"/>
      <c r="DJ112" s="179"/>
      <c r="DK112" s="179"/>
      <c r="DL112" s="179"/>
      <c r="DM112" s="179"/>
      <c r="DN112" s="179"/>
      <c r="DO112" s="179"/>
      <c r="DP112" s="179"/>
      <c r="DQ112" s="179"/>
      <c r="DR112" s="179"/>
      <c r="DS112" s="179"/>
      <c r="DT112" s="179"/>
      <c r="DU112" s="179"/>
      <c r="DV112" s="179"/>
      <c r="DW112" s="179"/>
      <c r="DX112" s="179"/>
      <c r="DY112" s="180"/>
      <c r="DZ112" s="187"/>
      <c r="EA112" s="82">
        <f t="shared" ref="EA112:EA121" si="187">SUMIF(I$8:DY$8,"&lt;&gt;"&amp;AgileIteration_Warranty,I112:DY112)*5*Scenario1Utilisation</f>
        <v>0</v>
      </c>
      <c r="EB112" s="82">
        <f t="shared" si="8"/>
        <v>0</v>
      </c>
      <c r="EC112" s="82">
        <f t="shared" ref="EC112:EC121" si="188">IF(Scenario1Warranty=AgileWarrantyDefault, (SUMIF(I$8:DY$8,AgileIteration_Warranty,I112:DY112)*5*Scenario1Utilisation), (EA112*Scenario1Warranty))</f>
        <v>0</v>
      </c>
      <c r="ED112" s="127">
        <f t="shared" si="10"/>
        <v>0</v>
      </c>
    </row>
    <row r="113" spans="1:134" s="74" customFormat="1" ht="11.25" x14ac:dyDescent="0.2">
      <c r="A113" s="210">
        <v>2</v>
      </c>
      <c r="B113" s="392" t="s">
        <v>571</v>
      </c>
      <c r="C113" s="457" t="s">
        <v>685</v>
      </c>
      <c r="D113" s="399" t="s">
        <v>686</v>
      </c>
      <c r="E113" s="435"/>
      <c r="F113" s="443" t="s">
        <v>607</v>
      </c>
      <c r="G113" s="443"/>
      <c r="H113" s="434" t="str">
        <f t="shared" ref="H113:H121" si="189">H112</f>
        <v>SIT Support</v>
      </c>
      <c r="I113" s="407"/>
      <c r="J113" s="407"/>
      <c r="K113" s="407"/>
      <c r="L113" s="407"/>
      <c r="M113" s="407"/>
      <c r="N113" s="407"/>
      <c r="O113" s="407"/>
      <c r="P113" s="407"/>
      <c r="Q113" s="407"/>
      <c r="R113" s="407"/>
      <c r="S113" s="407"/>
      <c r="T113" s="407"/>
      <c r="U113" s="174"/>
      <c r="V113" s="174"/>
      <c r="W113" s="174"/>
      <c r="X113" s="174"/>
      <c r="Y113" s="174"/>
      <c r="Z113" s="174"/>
      <c r="AA113" s="174"/>
      <c r="AB113" s="174"/>
      <c r="AC113" s="174"/>
      <c r="AD113" s="174"/>
      <c r="AE113" s="174"/>
      <c r="AF113" s="174"/>
      <c r="AG113" s="174"/>
      <c r="AH113" s="174"/>
      <c r="AI113" s="174"/>
      <c r="AJ113" s="174"/>
      <c r="AK113" s="174"/>
      <c r="AL113" s="174"/>
      <c r="AM113" s="174"/>
      <c r="AN113" s="174"/>
      <c r="AO113" s="174"/>
      <c r="AP113" s="174"/>
      <c r="AQ113" s="174"/>
      <c r="AR113" s="174"/>
      <c r="AS113" s="174"/>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72"/>
      <c r="BP113" s="172"/>
      <c r="BQ113" s="172"/>
      <c r="BR113" s="172"/>
      <c r="BS113" s="172"/>
      <c r="BT113" s="172"/>
      <c r="BU113" s="172"/>
      <c r="BV113" s="172"/>
      <c r="BW113" s="172"/>
      <c r="BX113" s="172"/>
      <c r="BY113" s="172"/>
      <c r="BZ113" s="172"/>
      <c r="CA113" s="172"/>
      <c r="CB113" s="172"/>
      <c r="CC113" s="172"/>
      <c r="CD113" s="172"/>
      <c r="CE113" s="172"/>
      <c r="CF113" s="172"/>
      <c r="CG113" s="172"/>
      <c r="CH113" s="172"/>
      <c r="CI113" s="172"/>
      <c r="CJ113" s="172"/>
      <c r="CK113" s="172"/>
      <c r="CL113" s="172"/>
      <c r="CM113" s="172"/>
      <c r="CN113" s="172"/>
      <c r="CO113" s="172"/>
      <c r="CP113" s="172"/>
      <c r="CQ113" s="172"/>
      <c r="CR113" s="172"/>
      <c r="CS113" s="172"/>
      <c r="CT113" s="172"/>
      <c r="CU113" s="172"/>
      <c r="CV113" s="172"/>
      <c r="CW113" s="172"/>
      <c r="CX113" s="172"/>
      <c r="CY113" s="172"/>
      <c r="CZ113" s="172"/>
      <c r="DA113" s="172"/>
      <c r="DB113" s="172"/>
      <c r="DC113" s="172"/>
      <c r="DD113" s="172"/>
      <c r="DE113" s="172"/>
      <c r="DF113" s="172"/>
      <c r="DG113" s="172"/>
      <c r="DH113" s="172"/>
      <c r="DI113" s="172"/>
      <c r="DJ113" s="172"/>
      <c r="DK113" s="172"/>
      <c r="DL113" s="172"/>
      <c r="DM113" s="172"/>
      <c r="DN113" s="172"/>
      <c r="DO113" s="172"/>
      <c r="DP113" s="172"/>
      <c r="DQ113" s="172"/>
      <c r="DR113" s="172"/>
      <c r="DS113" s="172"/>
      <c r="DT113" s="172"/>
      <c r="DU113" s="172"/>
      <c r="DV113" s="172"/>
      <c r="DW113" s="172"/>
      <c r="DX113" s="172"/>
      <c r="DY113" s="173"/>
      <c r="DZ113" s="187"/>
      <c r="EA113" s="82">
        <f t="shared" si="187"/>
        <v>0</v>
      </c>
      <c r="EB113" s="82">
        <f t="shared" si="8"/>
        <v>0</v>
      </c>
      <c r="EC113" s="82">
        <f t="shared" si="188"/>
        <v>0</v>
      </c>
      <c r="ED113" s="127">
        <f t="shared" si="10"/>
        <v>0</v>
      </c>
    </row>
    <row r="114" spans="1:134" s="74" customFormat="1" ht="11.25" x14ac:dyDescent="0.2">
      <c r="A114" s="210">
        <v>2</v>
      </c>
      <c r="B114" s="392" t="s">
        <v>571</v>
      </c>
      <c r="C114" s="457" t="s">
        <v>658</v>
      </c>
      <c r="D114" s="399" t="s">
        <v>687</v>
      </c>
      <c r="E114" s="435"/>
      <c r="F114" s="443" t="str">
        <f>IFERROR(VLOOKUP(C114,MappingFromTTStoSU,2,FALSE),"SU Resource Role")</f>
        <v>DWMS</v>
      </c>
      <c r="G114" s="443"/>
      <c r="H114" s="434" t="str">
        <f>H113</f>
        <v>SIT Support</v>
      </c>
      <c r="I114" s="407"/>
      <c r="J114" s="407"/>
      <c r="K114" s="407"/>
      <c r="L114" s="407"/>
      <c r="M114" s="407"/>
      <c r="N114" s="407"/>
      <c r="O114" s="407"/>
      <c r="P114" s="407"/>
      <c r="Q114" s="407"/>
      <c r="R114" s="407"/>
      <c r="S114" s="407"/>
      <c r="T114" s="407"/>
      <c r="U114" s="174"/>
      <c r="V114" s="174"/>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72"/>
      <c r="BP114" s="172"/>
      <c r="BQ114" s="172"/>
      <c r="BR114" s="172"/>
      <c r="BS114" s="172"/>
      <c r="BT114" s="172"/>
      <c r="BU114" s="172"/>
      <c r="BV114" s="172"/>
      <c r="BW114" s="172"/>
      <c r="BX114" s="172"/>
      <c r="BY114" s="172"/>
      <c r="BZ114" s="172"/>
      <c r="CA114" s="172"/>
      <c r="CB114" s="172"/>
      <c r="CC114" s="172"/>
      <c r="CD114" s="172"/>
      <c r="CE114" s="172"/>
      <c r="CF114" s="172"/>
      <c r="CG114" s="172"/>
      <c r="CH114" s="172"/>
      <c r="CI114" s="172"/>
      <c r="CJ114" s="172"/>
      <c r="CK114" s="172"/>
      <c r="CL114" s="172"/>
      <c r="CM114" s="172"/>
      <c r="CN114" s="172"/>
      <c r="CO114" s="172"/>
      <c r="CP114" s="172"/>
      <c r="CQ114" s="172"/>
      <c r="CR114" s="172"/>
      <c r="CS114" s="172"/>
      <c r="CT114" s="172"/>
      <c r="CU114" s="172"/>
      <c r="CV114" s="172"/>
      <c r="CW114" s="172"/>
      <c r="CX114" s="172"/>
      <c r="CY114" s="172"/>
      <c r="CZ114" s="172"/>
      <c r="DA114" s="172"/>
      <c r="DB114" s="172"/>
      <c r="DC114" s="172"/>
      <c r="DD114" s="172"/>
      <c r="DE114" s="172"/>
      <c r="DF114" s="172"/>
      <c r="DG114" s="172"/>
      <c r="DH114" s="172"/>
      <c r="DI114" s="172"/>
      <c r="DJ114" s="172"/>
      <c r="DK114" s="172"/>
      <c r="DL114" s="172"/>
      <c r="DM114" s="172"/>
      <c r="DN114" s="172"/>
      <c r="DO114" s="172"/>
      <c r="DP114" s="172"/>
      <c r="DQ114" s="172"/>
      <c r="DR114" s="172"/>
      <c r="DS114" s="172"/>
      <c r="DT114" s="172"/>
      <c r="DU114" s="172"/>
      <c r="DV114" s="172"/>
      <c r="DW114" s="172"/>
      <c r="DX114" s="172"/>
      <c r="DY114" s="173"/>
      <c r="DZ114" s="187"/>
      <c r="EA114" s="82">
        <f t="shared" si="187"/>
        <v>0</v>
      </c>
      <c r="EB114" s="82">
        <f t="shared" ref="EB114" si="190">EA114*Scenario1AgileContingency</f>
        <v>0</v>
      </c>
      <c r="EC114" s="82">
        <f t="shared" si="188"/>
        <v>0</v>
      </c>
      <c r="ED114" s="127">
        <f t="shared" ref="ED114" si="191">SUM(EA114:EC114)</f>
        <v>0</v>
      </c>
    </row>
    <row r="115" spans="1:134" s="74" customFormat="1" ht="11.25" customHeight="1" x14ac:dyDescent="0.2">
      <c r="A115" s="210">
        <v>2</v>
      </c>
      <c r="B115" s="392" t="s">
        <v>571</v>
      </c>
      <c r="C115" s="457" t="s">
        <v>635</v>
      </c>
      <c r="D115" s="399" t="s">
        <v>687</v>
      </c>
      <c r="E115" s="435"/>
      <c r="F115" s="443" t="str">
        <f t="shared" ref="F115:F121" si="192">IFERROR(VLOOKUP(C115,MappingFromTTStoSU,2,FALSE),"SU Resource Role")</f>
        <v>DWMS</v>
      </c>
      <c r="G115" s="443"/>
      <c r="H115" s="434" t="str">
        <f>H113</f>
        <v>SIT Support</v>
      </c>
      <c r="I115" s="407"/>
      <c r="J115" s="407"/>
      <c r="K115" s="407"/>
      <c r="L115" s="407"/>
      <c r="M115" s="407"/>
      <c r="N115" s="407"/>
      <c r="O115" s="407"/>
      <c r="P115" s="407"/>
      <c r="Q115" s="407"/>
      <c r="R115" s="407"/>
      <c r="S115" s="407"/>
      <c r="T115" s="407"/>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72"/>
      <c r="BP115" s="172"/>
      <c r="BQ115" s="172"/>
      <c r="BR115" s="172"/>
      <c r="BS115" s="172"/>
      <c r="BT115" s="172"/>
      <c r="BU115" s="172"/>
      <c r="BV115" s="172"/>
      <c r="BW115" s="172"/>
      <c r="BX115" s="172"/>
      <c r="BY115" s="172"/>
      <c r="BZ115" s="172"/>
      <c r="CA115" s="172"/>
      <c r="CB115" s="172"/>
      <c r="CC115" s="172"/>
      <c r="CD115" s="172"/>
      <c r="CE115" s="172"/>
      <c r="CF115" s="172"/>
      <c r="CG115" s="172"/>
      <c r="CH115" s="172"/>
      <c r="CI115" s="172"/>
      <c r="CJ115" s="172"/>
      <c r="CK115" s="172"/>
      <c r="CL115" s="172"/>
      <c r="CM115" s="172"/>
      <c r="CN115" s="172"/>
      <c r="CO115" s="172"/>
      <c r="CP115" s="172"/>
      <c r="CQ115" s="172"/>
      <c r="CR115" s="172"/>
      <c r="CS115" s="172"/>
      <c r="CT115" s="172"/>
      <c r="CU115" s="172"/>
      <c r="CV115" s="172"/>
      <c r="CW115" s="172"/>
      <c r="CX115" s="172"/>
      <c r="CY115" s="172"/>
      <c r="CZ115" s="172"/>
      <c r="DA115" s="172"/>
      <c r="DB115" s="172"/>
      <c r="DC115" s="172"/>
      <c r="DD115" s="172"/>
      <c r="DE115" s="172"/>
      <c r="DF115" s="172"/>
      <c r="DG115" s="172"/>
      <c r="DH115" s="172"/>
      <c r="DI115" s="172"/>
      <c r="DJ115" s="172"/>
      <c r="DK115" s="172"/>
      <c r="DL115" s="172"/>
      <c r="DM115" s="172"/>
      <c r="DN115" s="172"/>
      <c r="DO115" s="172"/>
      <c r="DP115" s="172"/>
      <c r="DQ115" s="172"/>
      <c r="DR115" s="172"/>
      <c r="DS115" s="172"/>
      <c r="DT115" s="172"/>
      <c r="DU115" s="172"/>
      <c r="DV115" s="172"/>
      <c r="DW115" s="172"/>
      <c r="DX115" s="172"/>
      <c r="DY115" s="173"/>
      <c r="DZ115" s="187"/>
      <c r="EA115" s="82">
        <f t="shared" si="187"/>
        <v>0</v>
      </c>
      <c r="EB115" s="82">
        <f t="shared" ref="EB115" si="193">EA115*Scenario1AgileContingency</f>
        <v>0</v>
      </c>
      <c r="EC115" s="82">
        <f t="shared" si="188"/>
        <v>0</v>
      </c>
      <c r="ED115" s="127">
        <f t="shared" ref="ED115" si="194">SUM(EA115:EC115)</f>
        <v>0</v>
      </c>
    </row>
    <row r="116" spans="1:134" s="74" customFormat="1" ht="11.25" customHeight="1" x14ac:dyDescent="0.2">
      <c r="A116" s="210">
        <v>2</v>
      </c>
      <c r="B116" s="392" t="s">
        <v>571</v>
      </c>
      <c r="C116" s="457" t="str">
        <f t="shared" ref="C116:C121" si="195">IFERROR(VLOOKUP(D116,MappingFromSetAgiletoTTSRole,2,FALSE),"SET Agile Resource Role")</f>
        <v>Software Developer</v>
      </c>
      <c r="D116" s="399" t="s">
        <v>687</v>
      </c>
      <c r="E116" s="435"/>
      <c r="F116" s="443" t="str">
        <f t="shared" si="192"/>
        <v>DWMS</v>
      </c>
      <c r="G116" s="443"/>
      <c r="H116" s="434" t="str">
        <f>H115</f>
        <v>SIT Support</v>
      </c>
      <c r="I116" s="407"/>
      <c r="J116" s="407"/>
      <c r="K116" s="407"/>
      <c r="L116" s="407"/>
      <c r="M116" s="407"/>
      <c r="N116" s="407"/>
      <c r="O116" s="407"/>
      <c r="P116" s="407"/>
      <c r="Q116" s="407"/>
      <c r="R116" s="407"/>
      <c r="S116" s="407"/>
      <c r="T116" s="407"/>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72"/>
      <c r="BP116" s="172"/>
      <c r="BQ116" s="172"/>
      <c r="BR116" s="172"/>
      <c r="BS116" s="172"/>
      <c r="BT116" s="172"/>
      <c r="BU116" s="172"/>
      <c r="BV116" s="172"/>
      <c r="BW116" s="172"/>
      <c r="BX116" s="172"/>
      <c r="BY116" s="172"/>
      <c r="BZ116" s="172"/>
      <c r="CA116" s="172"/>
      <c r="CB116" s="172"/>
      <c r="CC116" s="172"/>
      <c r="CD116" s="172"/>
      <c r="CE116" s="172"/>
      <c r="CF116" s="172"/>
      <c r="CG116" s="172"/>
      <c r="CH116" s="172"/>
      <c r="CI116" s="172"/>
      <c r="CJ116" s="172"/>
      <c r="CK116" s="172"/>
      <c r="CL116" s="172"/>
      <c r="CM116" s="172"/>
      <c r="CN116" s="172"/>
      <c r="CO116" s="172"/>
      <c r="CP116" s="172"/>
      <c r="CQ116" s="172"/>
      <c r="CR116" s="172"/>
      <c r="CS116" s="172"/>
      <c r="CT116" s="172"/>
      <c r="CU116" s="172"/>
      <c r="CV116" s="172"/>
      <c r="CW116" s="172"/>
      <c r="CX116" s="172"/>
      <c r="CY116" s="172"/>
      <c r="CZ116" s="172"/>
      <c r="DA116" s="172"/>
      <c r="DB116" s="172"/>
      <c r="DC116" s="172"/>
      <c r="DD116" s="172"/>
      <c r="DE116" s="172"/>
      <c r="DF116" s="172"/>
      <c r="DG116" s="172"/>
      <c r="DH116" s="172"/>
      <c r="DI116" s="172"/>
      <c r="DJ116" s="172"/>
      <c r="DK116" s="172"/>
      <c r="DL116" s="172"/>
      <c r="DM116" s="172"/>
      <c r="DN116" s="172"/>
      <c r="DO116" s="172"/>
      <c r="DP116" s="172"/>
      <c r="DQ116" s="172"/>
      <c r="DR116" s="172"/>
      <c r="DS116" s="172"/>
      <c r="DT116" s="172"/>
      <c r="DU116" s="172"/>
      <c r="DV116" s="172"/>
      <c r="DW116" s="172"/>
      <c r="DX116" s="172"/>
      <c r="DY116" s="173"/>
      <c r="DZ116" s="187"/>
      <c r="EA116" s="82">
        <f t="shared" si="187"/>
        <v>0</v>
      </c>
      <c r="EB116" s="82">
        <f t="shared" ref="EB116" si="196">EA116*Scenario1AgileContingency</f>
        <v>0</v>
      </c>
      <c r="EC116" s="82">
        <f t="shared" si="188"/>
        <v>0</v>
      </c>
      <c r="ED116" s="127">
        <f t="shared" ref="ED116" si="197">SUM(EA116:EC116)</f>
        <v>0</v>
      </c>
    </row>
    <row r="117" spans="1:134" s="74" customFormat="1" ht="11.25" customHeight="1" x14ac:dyDescent="0.2">
      <c r="A117" s="210">
        <v>2</v>
      </c>
      <c r="B117" s="392" t="s">
        <v>571</v>
      </c>
      <c r="C117" s="457" t="str">
        <f t="shared" si="195"/>
        <v>Software Developer</v>
      </c>
      <c r="D117" s="399" t="s">
        <v>687</v>
      </c>
      <c r="E117" s="435"/>
      <c r="F117" s="443" t="str">
        <f t="shared" si="192"/>
        <v>DWMS</v>
      </c>
      <c r="G117" s="443"/>
      <c r="H117" s="434" t="str">
        <f t="shared" si="189"/>
        <v>SIT Support</v>
      </c>
      <c r="I117" s="407"/>
      <c r="J117" s="407"/>
      <c r="K117" s="407"/>
      <c r="L117" s="407"/>
      <c r="M117" s="407"/>
      <c r="N117" s="407"/>
      <c r="O117" s="407"/>
      <c r="P117" s="407"/>
      <c r="Q117" s="407"/>
      <c r="R117" s="407"/>
      <c r="S117" s="407"/>
      <c r="T117" s="407"/>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72"/>
      <c r="BP117" s="172"/>
      <c r="BQ117" s="172"/>
      <c r="BR117" s="172"/>
      <c r="BS117" s="172"/>
      <c r="BT117" s="172"/>
      <c r="BU117" s="172"/>
      <c r="BV117" s="172"/>
      <c r="BW117" s="172"/>
      <c r="BX117" s="172"/>
      <c r="BY117" s="172"/>
      <c r="BZ117" s="172"/>
      <c r="CA117" s="172"/>
      <c r="CB117" s="172"/>
      <c r="CC117" s="172"/>
      <c r="CD117" s="172"/>
      <c r="CE117" s="172"/>
      <c r="CF117" s="172"/>
      <c r="CG117" s="172"/>
      <c r="CH117" s="172"/>
      <c r="CI117" s="172"/>
      <c r="CJ117" s="172"/>
      <c r="CK117" s="172"/>
      <c r="CL117" s="172"/>
      <c r="CM117" s="172"/>
      <c r="CN117" s="172"/>
      <c r="CO117" s="172"/>
      <c r="CP117" s="172"/>
      <c r="CQ117" s="172"/>
      <c r="CR117" s="172"/>
      <c r="CS117" s="172"/>
      <c r="CT117" s="172"/>
      <c r="CU117" s="172"/>
      <c r="CV117" s="172"/>
      <c r="CW117" s="172"/>
      <c r="CX117" s="172"/>
      <c r="CY117" s="172"/>
      <c r="CZ117" s="172"/>
      <c r="DA117" s="172"/>
      <c r="DB117" s="172"/>
      <c r="DC117" s="172"/>
      <c r="DD117" s="172"/>
      <c r="DE117" s="172"/>
      <c r="DF117" s="172"/>
      <c r="DG117" s="172"/>
      <c r="DH117" s="172"/>
      <c r="DI117" s="172"/>
      <c r="DJ117" s="172"/>
      <c r="DK117" s="172"/>
      <c r="DL117" s="172"/>
      <c r="DM117" s="172"/>
      <c r="DN117" s="172"/>
      <c r="DO117" s="172"/>
      <c r="DP117" s="172"/>
      <c r="DQ117" s="172"/>
      <c r="DR117" s="172"/>
      <c r="DS117" s="172"/>
      <c r="DT117" s="172"/>
      <c r="DU117" s="172"/>
      <c r="DV117" s="172"/>
      <c r="DW117" s="172"/>
      <c r="DX117" s="172"/>
      <c r="DY117" s="173"/>
      <c r="DZ117" s="187"/>
      <c r="EA117" s="82">
        <f t="shared" si="187"/>
        <v>0</v>
      </c>
      <c r="EB117" s="82">
        <f t="shared" ref="EB117" si="198">EA117*Scenario1AgileContingency</f>
        <v>0</v>
      </c>
      <c r="EC117" s="82">
        <f t="shared" si="188"/>
        <v>0</v>
      </c>
      <c r="ED117" s="127">
        <f t="shared" ref="ED117" si="199">SUM(EA117:EC117)</f>
        <v>0</v>
      </c>
    </row>
    <row r="118" spans="1:134" s="74" customFormat="1" ht="11.25" customHeight="1" x14ac:dyDescent="0.2">
      <c r="A118" s="210">
        <v>2</v>
      </c>
      <c r="B118" s="392" t="s">
        <v>571</v>
      </c>
      <c r="C118" s="457" t="str">
        <f t="shared" si="195"/>
        <v>Software Developer</v>
      </c>
      <c r="D118" s="399" t="s">
        <v>687</v>
      </c>
      <c r="E118" s="435" t="s">
        <v>600</v>
      </c>
      <c r="F118" s="443" t="str">
        <f t="shared" si="192"/>
        <v>DWMS</v>
      </c>
      <c r="G118" s="443"/>
      <c r="H118" s="434" t="str">
        <f t="shared" si="189"/>
        <v>SIT Support</v>
      </c>
      <c r="I118" s="407"/>
      <c r="J118" s="407"/>
      <c r="K118" s="407"/>
      <c r="L118" s="407"/>
      <c r="M118" s="407"/>
      <c r="N118" s="407"/>
      <c r="O118" s="407"/>
      <c r="P118" s="407"/>
      <c r="Q118" s="407"/>
      <c r="R118" s="407"/>
      <c r="S118" s="407"/>
      <c r="T118" s="407"/>
      <c r="U118" s="174"/>
      <c r="V118" s="174"/>
      <c r="W118" s="174"/>
      <c r="X118" s="174"/>
      <c r="Y118" s="174"/>
      <c r="Z118" s="174"/>
      <c r="AA118" s="174"/>
      <c r="AB118" s="174"/>
      <c r="AC118" s="174"/>
      <c r="AD118" s="174"/>
      <c r="AE118" s="174">
        <v>1</v>
      </c>
      <c r="AF118" s="174">
        <v>1</v>
      </c>
      <c r="AG118" s="174">
        <v>1</v>
      </c>
      <c r="AH118" s="174">
        <v>1</v>
      </c>
      <c r="AI118" s="174">
        <v>1</v>
      </c>
      <c r="AJ118" s="174">
        <v>1</v>
      </c>
      <c r="AK118" s="174">
        <v>1</v>
      </c>
      <c r="AL118" s="174">
        <v>1</v>
      </c>
      <c r="AM118" s="174">
        <v>1</v>
      </c>
      <c r="AN118" s="174">
        <v>1</v>
      </c>
      <c r="AO118" s="174"/>
      <c r="AP118" s="174"/>
      <c r="AQ118" s="174"/>
      <c r="AR118" s="174"/>
      <c r="AS118" s="174"/>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72"/>
      <c r="BP118" s="172"/>
      <c r="BQ118" s="172"/>
      <c r="BR118" s="172"/>
      <c r="BS118" s="172"/>
      <c r="BT118" s="172"/>
      <c r="BU118" s="172"/>
      <c r="BV118" s="172"/>
      <c r="BW118" s="172"/>
      <c r="BX118" s="172"/>
      <c r="BY118" s="172"/>
      <c r="BZ118" s="172"/>
      <c r="CA118" s="172"/>
      <c r="CB118" s="172"/>
      <c r="CC118" s="172"/>
      <c r="CD118" s="172"/>
      <c r="CE118" s="172"/>
      <c r="CF118" s="172"/>
      <c r="CG118" s="172"/>
      <c r="CH118" s="172"/>
      <c r="CI118" s="172"/>
      <c r="CJ118" s="172"/>
      <c r="CK118" s="172"/>
      <c r="CL118" s="172"/>
      <c r="CM118" s="172"/>
      <c r="CN118" s="172"/>
      <c r="CO118" s="172"/>
      <c r="CP118" s="172"/>
      <c r="CQ118" s="172"/>
      <c r="CR118" s="172"/>
      <c r="CS118" s="172"/>
      <c r="CT118" s="172"/>
      <c r="CU118" s="172"/>
      <c r="CV118" s="172"/>
      <c r="CW118" s="172"/>
      <c r="CX118" s="172"/>
      <c r="CY118" s="172"/>
      <c r="CZ118" s="172"/>
      <c r="DA118" s="172"/>
      <c r="DB118" s="172"/>
      <c r="DC118" s="172"/>
      <c r="DD118" s="172"/>
      <c r="DE118" s="172"/>
      <c r="DF118" s="172"/>
      <c r="DG118" s="172"/>
      <c r="DH118" s="172"/>
      <c r="DI118" s="172"/>
      <c r="DJ118" s="172"/>
      <c r="DK118" s="172"/>
      <c r="DL118" s="172"/>
      <c r="DM118" s="172"/>
      <c r="DN118" s="172"/>
      <c r="DO118" s="172"/>
      <c r="DP118" s="172"/>
      <c r="DQ118" s="172"/>
      <c r="DR118" s="172"/>
      <c r="DS118" s="172"/>
      <c r="DT118" s="172"/>
      <c r="DU118" s="172"/>
      <c r="DV118" s="172"/>
      <c r="DW118" s="172"/>
      <c r="DX118" s="172"/>
      <c r="DY118" s="173"/>
      <c r="DZ118" s="187"/>
      <c r="EA118" s="82">
        <f t="shared" si="187"/>
        <v>42.5</v>
      </c>
      <c r="EB118" s="82">
        <f t="shared" ref="EB118" si="200">EA118*Scenario1AgileContingency</f>
        <v>8.5</v>
      </c>
      <c r="EC118" s="82">
        <f t="shared" si="188"/>
        <v>0</v>
      </c>
      <c r="ED118" s="127">
        <f t="shared" ref="ED118" si="201">SUM(EA118:EC118)</f>
        <v>51</v>
      </c>
    </row>
    <row r="119" spans="1:134" s="74" customFormat="1" ht="11.25" customHeight="1" x14ac:dyDescent="0.2">
      <c r="A119" s="210">
        <v>2</v>
      </c>
      <c r="B119" s="392" t="s">
        <v>571</v>
      </c>
      <c r="C119" s="457" t="s">
        <v>651</v>
      </c>
      <c r="D119" s="399" t="s">
        <v>688</v>
      </c>
      <c r="E119" s="435" t="s">
        <v>600</v>
      </c>
      <c r="F119" s="443" t="str">
        <f t="shared" si="192"/>
        <v>DWMS</v>
      </c>
      <c r="G119" s="443"/>
      <c r="H119" s="434" t="str">
        <f t="shared" si="189"/>
        <v>SIT Support</v>
      </c>
      <c r="I119" s="407"/>
      <c r="J119" s="407"/>
      <c r="K119" s="407"/>
      <c r="L119" s="407"/>
      <c r="M119" s="407"/>
      <c r="N119" s="407"/>
      <c r="O119" s="407"/>
      <c r="P119" s="407"/>
      <c r="Q119" s="407"/>
      <c r="R119" s="407"/>
      <c r="S119" s="407"/>
      <c r="T119" s="407"/>
      <c r="U119" s="174"/>
      <c r="V119" s="174"/>
      <c r="W119" s="174"/>
      <c r="X119" s="174"/>
      <c r="Y119" s="174"/>
      <c r="Z119" s="174"/>
      <c r="AA119" s="174"/>
      <c r="AB119" s="174"/>
      <c r="AC119" s="174"/>
      <c r="AD119" s="174"/>
      <c r="AE119" s="174">
        <v>1</v>
      </c>
      <c r="AF119" s="174">
        <v>1</v>
      </c>
      <c r="AG119" s="174">
        <v>1</v>
      </c>
      <c r="AH119" s="174">
        <v>1</v>
      </c>
      <c r="AI119" s="174">
        <v>1</v>
      </c>
      <c r="AJ119" s="174">
        <v>1</v>
      </c>
      <c r="AK119" s="174">
        <v>1</v>
      </c>
      <c r="AL119" s="174">
        <v>1</v>
      </c>
      <c r="AM119" s="174">
        <v>1</v>
      </c>
      <c r="AN119" s="174">
        <v>1</v>
      </c>
      <c r="AO119" s="174"/>
      <c r="AP119" s="174"/>
      <c r="AQ119" s="174"/>
      <c r="AR119" s="174"/>
      <c r="AS119" s="174"/>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172"/>
      <c r="BU119" s="172"/>
      <c r="BV119" s="172"/>
      <c r="BW119" s="172"/>
      <c r="BX119" s="172"/>
      <c r="BY119" s="172"/>
      <c r="BZ119" s="172"/>
      <c r="CA119" s="172"/>
      <c r="CB119" s="172"/>
      <c r="CC119" s="172"/>
      <c r="CD119" s="172"/>
      <c r="CE119" s="172"/>
      <c r="CF119" s="172"/>
      <c r="CG119" s="172"/>
      <c r="CH119" s="172"/>
      <c r="CI119" s="172"/>
      <c r="CJ119" s="172"/>
      <c r="CK119" s="172"/>
      <c r="CL119" s="172"/>
      <c r="CM119" s="172"/>
      <c r="CN119" s="172"/>
      <c r="CO119" s="172"/>
      <c r="CP119" s="172"/>
      <c r="CQ119" s="172"/>
      <c r="CR119" s="172"/>
      <c r="CS119" s="172"/>
      <c r="CT119" s="172"/>
      <c r="CU119" s="172"/>
      <c r="CV119" s="172"/>
      <c r="CW119" s="172"/>
      <c r="CX119" s="172"/>
      <c r="CY119" s="172"/>
      <c r="CZ119" s="172"/>
      <c r="DA119" s="172"/>
      <c r="DB119" s="172"/>
      <c r="DC119" s="172"/>
      <c r="DD119" s="172"/>
      <c r="DE119" s="172"/>
      <c r="DF119" s="172"/>
      <c r="DG119" s="172"/>
      <c r="DH119" s="172"/>
      <c r="DI119" s="172"/>
      <c r="DJ119" s="172"/>
      <c r="DK119" s="172"/>
      <c r="DL119" s="172"/>
      <c r="DM119" s="172"/>
      <c r="DN119" s="172"/>
      <c r="DO119" s="172"/>
      <c r="DP119" s="172"/>
      <c r="DQ119" s="172"/>
      <c r="DR119" s="172"/>
      <c r="DS119" s="172"/>
      <c r="DT119" s="172"/>
      <c r="DU119" s="172"/>
      <c r="DV119" s="172"/>
      <c r="DW119" s="172"/>
      <c r="DX119" s="172"/>
      <c r="DY119" s="173"/>
      <c r="DZ119" s="187"/>
      <c r="EA119" s="82">
        <f t="shared" si="187"/>
        <v>42.5</v>
      </c>
      <c r="EB119" s="82">
        <f t="shared" ref="EB119" si="202">EA119*Scenario1AgileContingency</f>
        <v>8.5</v>
      </c>
      <c r="EC119" s="82">
        <f t="shared" si="188"/>
        <v>0</v>
      </c>
      <c r="ED119" s="127">
        <f t="shared" ref="ED119" si="203">SUM(EA119:EC119)</f>
        <v>51</v>
      </c>
    </row>
    <row r="120" spans="1:134" s="74" customFormat="1" ht="11.25" customHeight="1" x14ac:dyDescent="0.2">
      <c r="A120" s="210">
        <v>2</v>
      </c>
      <c r="B120" s="392" t="s">
        <v>571</v>
      </c>
      <c r="C120" s="457" t="str">
        <f t="shared" si="195"/>
        <v>Test Consultant</v>
      </c>
      <c r="D120" s="399" t="s">
        <v>688</v>
      </c>
      <c r="E120" s="435"/>
      <c r="F120" s="443" t="str">
        <f t="shared" si="192"/>
        <v>DWMS</v>
      </c>
      <c r="G120" s="443"/>
      <c r="H120" s="434" t="str">
        <f t="shared" si="189"/>
        <v>SIT Support</v>
      </c>
      <c r="I120" s="407"/>
      <c r="J120" s="407"/>
      <c r="K120" s="407"/>
      <c r="L120" s="407"/>
      <c r="M120" s="407"/>
      <c r="N120" s="407"/>
      <c r="O120" s="407"/>
      <c r="P120" s="407"/>
      <c r="Q120" s="407"/>
      <c r="R120" s="407"/>
      <c r="S120" s="407"/>
      <c r="T120" s="407"/>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72"/>
      <c r="BP120" s="172"/>
      <c r="BQ120" s="172"/>
      <c r="BR120" s="172"/>
      <c r="BS120" s="172"/>
      <c r="BT120" s="172"/>
      <c r="BU120" s="172"/>
      <c r="BV120" s="172"/>
      <c r="BW120" s="172"/>
      <c r="BX120" s="172"/>
      <c r="BY120" s="172"/>
      <c r="BZ120" s="172"/>
      <c r="CA120" s="172"/>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c r="DA120" s="172"/>
      <c r="DB120" s="172"/>
      <c r="DC120" s="172"/>
      <c r="DD120" s="172"/>
      <c r="DE120" s="172"/>
      <c r="DF120" s="172"/>
      <c r="DG120" s="172"/>
      <c r="DH120" s="172"/>
      <c r="DI120" s="172"/>
      <c r="DJ120" s="172"/>
      <c r="DK120" s="172"/>
      <c r="DL120" s="172"/>
      <c r="DM120" s="172"/>
      <c r="DN120" s="172"/>
      <c r="DO120" s="172"/>
      <c r="DP120" s="172"/>
      <c r="DQ120" s="172"/>
      <c r="DR120" s="172"/>
      <c r="DS120" s="172"/>
      <c r="DT120" s="172"/>
      <c r="DU120" s="172"/>
      <c r="DV120" s="172"/>
      <c r="DW120" s="172"/>
      <c r="DX120" s="172"/>
      <c r="DY120" s="173"/>
      <c r="DZ120" s="187"/>
      <c r="EA120" s="82">
        <f t="shared" si="187"/>
        <v>0</v>
      </c>
      <c r="EB120" s="82">
        <f t="shared" ref="EB120" si="204">EA120*Scenario1AgileContingency</f>
        <v>0</v>
      </c>
      <c r="EC120" s="82">
        <f t="shared" si="188"/>
        <v>0</v>
      </c>
      <c r="ED120" s="127">
        <f t="shared" ref="ED120" si="205">SUM(EA120:EC120)</f>
        <v>0</v>
      </c>
    </row>
    <row r="121" spans="1:134" s="74" customFormat="1" ht="11.25" customHeight="1" x14ac:dyDescent="0.2">
      <c r="A121" s="210">
        <v>2</v>
      </c>
      <c r="B121" s="392" t="s">
        <v>571</v>
      </c>
      <c r="C121" s="457" t="str">
        <f t="shared" si="195"/>
        <v>Test Consultant</v>
      </c>
      <c r="D121" s="399" t="s">
        <v>688</v>
      </c>
      <c r="E121" s="435"/>
      <c r="F121" s="443" t="str">
        <f t="shared" si="192"/>
        <v>DWMS</v>
      </c>
      <c r="G121" s="443"/>
      <c r="H121" s="434" t="str">
        <f t="shared" si="189"/>
        <v>SIT Support</v>
      </c>
      <c r="I121" s="407"/>
      <c r="J121" s="407"/>
      <c r="K121" s="407"/>
      <c r="L121" s="407"/>
      <c r="M121" s="407"/>
      <c r="N121" s="407"/>
      <c r="O121" s="407"/>
      <c r="P121" s="407"/>
      <c r="Q121" s="407"/>
      <c r="R121" s="407"/>
      <c r="S121" s="407"/>
      <c r="T121" s="407"/>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72"/>
      <c r="BP121" s="172"/>
      <c r="BQ121" s="172"/>
      <c r="BR121" s="172"/>
      <c r="BS121" s="172"/>
      <c r="BT121" s="172"/>
      <c r="BU121" s="172"/>
      <c r="BV121" s="172"/>
      <c r="BW121" s="172"/>
      <c r="BX121" s="172"/>
      <c r="BY121" s="172"/>
      <c r="BZ121" s="172"/>
      <c r="CA121" s="172"/>
      <c r="CB121" s="172"/>
      <c r="CC121" s="172"/>
      <c r="CD121" s="172"/>
      <c r="CE121" s="172"/>
      <c r="CF121" s="172"/>
      <c r="CG121" s="172"/>
      <c r="CH121" s="172"/>
      <c r="CI121" s="172"/>
      <c r="CJ121" s="172"/>
      <c r="CK121" s="172"/>
      <c r="CL121" s="172"/>
      <c r="CM121" s="172"/>
      <c r="CN121" s="172"/>
      <c r="CO121" s="172"/>
      <c r="CP121" s="172"/>
      <c r="CQ121" s="172"/>
      <c r="CR121" s="172"/>
      <c r="CS121" s="172"/>
      <c r="CT121" s="172"/>
      <c r="CU121" s="172"/>
      <c r="CV121" s="172"/>
      <c r="CW121" s="172"/>
      <c r="CX121" s="172"/>
      <c r="CY121" s="172"/>
      <c r="CZ121" s="172"/>
      <c r="DA121" s="172"/>
      <c r="DB121" s="172"/>
      <c r="DC121" s="172"/>
      <c r="DD121" s="172"/>
      <c r="DE121" s="172"/>
      <c r="DF121" s="172"/>
      <c r="DG121" s="172"/>
      <c r="DH121" s="172"/>
      <c r="DI121" s="172"/>
      <c r="DJ121" s="172"/>
      <c r="DK121" s="172"/>
      <c r="DL121" s="172"/>
      <c r="DM121" s="172"/>
      <c r="DN121" s="172"/>
      <c r="DO121" s="172"/>
      <c r="DP121" s="172"/>
      <c r="DQ121" s="172"/>
      <c r="DR121" s="172"/>
      <c r="DS121" s="172"/>
      <c r="DT121" s="172"/>
      <c r="DU121" s="172"/>
      <c r="DV121" s="172"/>
      <c r="DW121" s="172"/>
      <c r="DX121" s="172"/>
      <c r="DY121" s="173"/>
      <c r="DZ121" s="187"/>
      <c r="EA121" s="82">
        <f t="shared" si="187"/>
        <v>0</v>
      </c>
      <c r="EB121" s="82">
        <f t="shared" ref="EB121" si="206">EA121*Scenario1AgileContingency</f>
        <v>0</v>
      </c>
      <c r="EC121" s="82">
        <f t="shared" si="188"/>
        <v>0</v>
      </c>
      <c r="ED121" s="127">
        <f t="shared" ref="ED121" si="207">SUM(EA121:EC121)</f>
        <v>0</v>
      </c>
    </row>
    <row r="122" spans="1:134" s="74" customFormat="1" ht="11.25" x14ac:dyDescent="0.2">
      <c r="A122" s="210">
        <v>1</v>
      </c>
      <c r="B122" s="392" t="s">
        <v>578</v>
      </c>
      <c r="C122" s="206" t="s">
        <v>689</v>
      </c>
      <c r="D122" s="206" t="s">
        <v>689</v>
      </c>
      <c r="E122" s="436"/>
      <c r="F122" s="523"/>
      <c r="G122" s="523"/>
      <c r="H122" s="436"/>
      <c r="I122" s="217"/>
      <c r="J122" s="217"/>
      <c r="K122" s="217"/>
      <c r="L122" s="217"/>
      <c r="M122" s="217"/>
      <c r="N122" s="217"/>
      <c r="O122" s="217"/>
      <c r="P122" s="217"/>
      <c r="Q122" s="217"/>
      <c r="R122" s="217"/>
      <c r="S122" s="217"/>
      <c r="T122" s="217"/>
      <c r="U122" s="217"/>
      <c r="V122" s="217"/>
      <c r="W122" s="217"/>
      <c r="X122" s="217"/>
      <c r="Y122" s="217"/>
      <c r="Z122" s="217"/>
      <c r="AA122" s="217"/>
      <c r="AB122" s="217"/>
      <c r="AC122" s="217"/>
      <c r="AD122" s="217"/>
      <c r="AE122" s="217"/>
      <c r="AF122" s="217"/>
      <c r="AG122" s="217"/>
      <c r="AH122" s="217"/>
      <c r="AI122" s="217"/>
      <c r="AJ122" s="217"/>
      <c r="AK122" s="217"/>
      <c r="AL122" s="217"/>
      <c r="AM122" s="217"/>
      <c r="AN122" s="217"/>
      <c r="AO122" s="217"/>
      <c r="AP122" s="217"/>
      <c r="AQ122" s="217"/>
      <c r="AR122" s="217"/>
      <c r="AS122" s="217"/>
      <c r="AT122" s="217"/>
      <c r="AU122" s="217"/>
      <c r="AV122" s="217"/>
      <c r="AW122" s="217"/>
      <c r="AX122" s="217"/>
      <c r="AY122" s="217"/>
      <c r="AZ122" s="217"/>
      <c r="BA122" s="217"/>
      <c r="BB122" s="217"/>
      <c r="BC122" s="217"/>
      <c r="BD122" s="217"/>
      <c r="BE122" s="217"/>
      <c r="BF122" s="217"/>
      <c r="BG122" s="217"/>
      <c r="BH122" s="217"/>
      <c r="BI122" s="217"/>
      <c r="BJ122" s="217"/>
      <c r="BK122" s="217"/>
      <c r="BL122" s="217"/>
      <c r="BM122" s="217"/>
      <c r="BN122" s="217"/>
      <c r="BO122" s="217"/>
      <c r="BP122" s="217"/>
      <c r="BQ122" s="217"/>
      <c r="BR122" s="217"/>
      <c r="BS122" s="217"/>
      <c r="BT122" s="217"/>
      <c r="BU122" s="217"/>
      <c r="BV122" s="217"/>
      <c r="BW122" s="217"/>
      <c r="BX122" s="217"/>
      <c r="BY122" s="217"/>
      <c r="BZ122" s="217"/>
      <c r="CA122" s="217"/>
      <c r="CB122" s="217"/>
      <c r="CC122" s="217"/>
      <c r="CD122" s="217"/>
      <c r="CE122" s="217"/>
      <c r="CF122" s="217"/>
      <c r="CG122" s="217"/>
      <c r="CH122" s="217"/>
      <c r="CI122" s="217"/>
      <c r="CJ122" s="217"/>
      <c r="CK122" s="217"/>
      <c r="CL122" s="217"/>
      <c r="CM122" s="217"/>
      <c r="CN122" s="217"/>
      <c r="CO122" s="217"/>
      <c r="CP122" s="217"/>
      <c r="CQ122" s="217"/>
      <c r="CR122" s="217"/>
      <c r="CS122" s="217"/>
      <c r="CT122" s="217"/>
      <c r="CU122" s="217"/>
      <c r="CV122" s="217"/>
      <c r="CW122" s="217"/>
      <c r="CX122" s="217"/>
      <c r="CY122" s="217"/>
      <c r="CZ122" s="217"/>
      <c r="DA122" s="217"/>
      <c r="DB122" s="217"/>
      <c r="DC122" s="217"/>
      <c r="DD122" s="217"/>
      <c r="DE122" s="217"/>
      <c r="DF122" s="217"/>
      <c r="DG122" s="217"/>
      <c r="DH122" s="217"/>
      <c r="DI122" s="217"/>
      <c r="DJ122" s="217"/>
      <c r="DK122" s="217"/>
      <c r="DL122" s="217"/>
      <c r="DM122" s="217"/>
      <c r="DN122" s="217"/>
      <c r="DO122" s="217"/>
      <c r="DP122" s="217"/>
      <c r="DQ122" s="217"/>
      <c r="DR122" s="217"/>
      <c r="DS122" s="217"/>
      <c r="DT122" s="217"/>
      <c r="DU122" s="217"/>
      <c r="DV122" s="217"/>
      <c r="DW122" s="217"/>
      <c r="DX122" s="217"/>
      <c r="DY122" s="186"/>
      <c r="DZ122" s="187"/>
      <c r="EA122" s="127"/>
      <c r="EB122" s="127"/>
      <c r="EC122" s="127"/>
      <c r="ED122" s="127"/>
    </row>
    <row r="123" spans="1:134" s="74" customFormat="1" ht="11.25" x14ac:dyDescent="0.2">
      <c r="A123" s="210">
        <v>2</v>
      </c>
      <c r="B123" s="392" t="s">
        <v>578</v>
      </c>
      <c r="C123" s="457" t="str">
        <f t="shared" ref="C123:C128" si="208">IFERROR(VLOOKUP(D123,MappingFromSetAgiletoTTSRole,2,FALSE),"SET Agile Resource Role")</f>
        <v>Business Consultant</v>
      </c>
      <c r="D123" s="398" t="s">
        <v>684</v>
      </c>
      <c r="E123" s="435"/>
      <c r="F123" s="443" t="s">
        <v>607</v>
      </c>
      <c r="G123" s="443"/>
      <c r="H123" s="434" t="str">
        <f>C122</f>
        <v>UAT Support</v>
      </c>
      <c r="I123" s="406"/>
      <c r="J123" s="406"/>
      <c r="K123" s="406"/>
      <c r="L123" s="406"/>
      <c r="M123" s="406"/>
      <c r="N123" s="406"/>
      <c r="O123" s="406"/>
      <c r="P123" s="406"/>
      <c r="Q123" s="406"/>
      <c r="R123" s="406"/>
      <c r="S123" s="406"/>
      <c r="T123" s="406"/>
      <c r="U123" s="181"/>
      <c r="V123" s="181"/>
      <c r="W123" s="181"/>
      <c r="X123" s="181"/>
      <c r="Y123" s="181"/>
      <c r="Z123" s="181"/>
      <c r="AA123" s="181"/>
      <c r="AB123" s="181"/>
      <c r="AC123" s="181"/>
      <c r="AD123" s="181"/>
      <c r="AE123" s="181"/>
      <c r="AF123" s="181"/>
      <c r="AG123" s="181"/>
      <c r="AH123" s="181"/>
      <c r="AI123" s="179"/>
      <c r="AJ123" s="181"/>
      <c r="AK123" s="181"/>
      <c r="AL123" s="181"/>
      <c r="AM123" s="181"/>
      <c r="AN123" s="181"/>
      <c r="AO123" s="181"/>
      <c r="AP123" s="181"/>
      <c r="AQ123" s="181"/>
      <c r="AR123" s="181"/>
      <c r="AS123" s="181"/>
      <c r="AT123" s="181"/>
      <c r="AU123" s="181"/>
      <c r="AV123" s="181"/>
      <c r="AW123" s="181"/>
      <c r="AX123" s="181"/>
      <c r="AY123" s="181"/>
      <c r="AZ123" s="181"/>
      <c r="BA123" s="181"/>
      <c r="BB123" s="181"/>
      <c r="BC123" s="181"/>
      <c r="BD123" s="181"/>
      <c r="BE123" s="181"/>
      <c r="BF123" s="181"/>
      <c r="BG123" s="181"/>
      <c r="BH123" s="181"/>
      <c r="BI123" s="181"/>
      <c r="BJ123" s="181"/>
      <c r="BK123" s="181"/>
      <c r="BL123" s="181"/>
      <c r="BM123" s="181"/>
      <c r="BN123" s="181"/>
      <c r="BO123" s="181"/>
      <c r="BP123" s="181"/>
      <c r="BQ123" s="181"/>
      <c r="BR123" s="181"/>
      <c r="BS123" s="181"/>
      <c r="BT123" s="181"/>
      <c r="BU123" s="181"/>
      <c r="BV123" s="181"/>
      <c r="BW123" s="181"/>
      <c r="BX123" s="181"/>
      <c r="BY123" s="181"/>
      <c r="BZ123" s="181"/>
      <c r="CA123" s="181"/>
      <c r="CB123" s="181"/>
      <c r="CC123" s="181"/>
      <c r="CD123" s="181"/>
      <c r="CE123" s="181"/>
      <c r="CF123" s="181"/>
      <c r="CG123" s="181"/>
      <c r="CH123" s="181"/>
      <c r="CI123" s="181"/>
      <c r="CJ123" s="181"/>
      <c r="CK123" s="181"/>
      <c r="CL123" s="181"/>
      <c r="CM123" s="181"/>
      <c r="CN123" s="181"/>
      <c r="CO123" s="181"/>
      <c r="CP123" s="181"/>
      <c r="CQ123" s="181"/>
      <c r="CR123" s="181"/>
      <c r="CS123" s="181"/>
      <c r="CT123" s="181"/>
      <c r="CU123" s="181"/>
      <c r="CV123" s="181"/>
      <c r="CW123" s="181"/>
      <c r="CX123" s="181"/>
      <c r="CY123" s="181"/>
      <c r="CZ123" s="181"/>
      <c r="DA123" s="181"/>
      <c r="DB123" s="181"/>
      <c r="DC123" s="181"/>
      <c r="DD123" s="181"/>
      <c r="DE123" s="181"/>
      <c r="DF123" s="181"/>
      <c r="DG123" s="181"/>
      <c r="DH123" s="181"/>
      <c r="DI123" s="181"/>
      <c r="DJ123" s="181"/>
      <c r="DK123" s="181"/>
      <c r="DL123" s="181"/>
      <c r="DM123" s="181"/>
      <c r="DN123" s="181"/>
      <c r="DO123" s="181"/>
      <c r="DP123" s="181"/>
      <c r="DQ123" s="181"/>
      <c r="DR123" s="181"/>
      <c r="DS123" s="181"/>
      <c r="DT123" s="181"/>
      <c r="DU123" s="181"/>
      <c r="DV123" s="181"/>
      <c r="DW123" s="181"/>
      <c r="DX123" s="181"/>
      <c r="DY123" s="180"/>
      <c r="DZ123" s="187"/>
      <c r="EA123" s="82">
        <f t="shared" ref="EA123:EA132" si="209">SUMIF(I$8:DY$8,"&lt;&gt;"&amp;AgileIteration_Warranty,I123:DY123)*5*Scenario1Utilisation</f>
        <v>0</v>
      </c>
      <c r="EB123" s="82">
        <f t="shared" si="8"/>
        <v>0</v>
      </c>
      <c r="EC123" s="82">
        <f t="shared" ref="EC123:EC132" si="210">IF(Scenario1Warranty=AgileWarrantyDefault, (SUMIF(I$8:DY$8,AgileIteration_Warranty,I123:DY123)*5*Scenario1Utilisation), (EA123*Scenario1Warranty))</f>
        <v>0</v>
      </c>
      <c r="ED123" s="127">
        <f t="shared" ref="ED123:ED127" si="211">SUM(EA123:EC123)</f>
        <v>0</v>
      </c>
    </row>
    <row r="124" spans="1:134" s="74" customFormat="1" ht="11.25" x14ac:dyDescent="0.2">
      <c r="A124" s="210">
        <v>2</v>
      </c>
      <c r="B124" s="392" t="s">
        <v>578</v>
      </c>
      <c r="C124" s="457" t="s">
        <v>685</v>
      </c>
      <c r="D124" s="399" t="s">
        <v>686</v>
      </c>
      <c r="E124" s="435"/>
      <c r="F124" s="443" t="s">
        <v>607</v>
      </c>
      <c r="G124" s="443"/>
      <c r="H124" s="434" t="str">
        <f>H123</f>
        <v>UAT Support</v>
      </c>
      <c r="I124" s="407"/>
      <c r="J124" s="407"/>
      <c r="K124" s="407"/>
      <c r="L124" s="407"/>
      <c r="M124" s="407"/>
      <c r="N124" s="407"/>
      <c r="O124" s="407"/>
      <c r="P124" s="407"/>
      <c r="Q124" s="407"/>
      <c r="R124" s="407"/>
      <c r="S124" s="407"/>
      <c r="T124" s="407"/>
      <c r="U124" s="174"/>
      <c r="V124" s="174"/>
      <c r="W124" s="174"/>
      <c r="X124" s="174"/>
      <c r="Y124" s="174"/>
      <c r="Z124" s="174"/>
      <c r="AA124" s="174"/>
      <c r="AB124" s="174"/>
      <c r="AC124" s="174"/>
      <c r="AD124" s="174"/>
      <c r="AE124" s="174"/>
      <c r="AF124" s="174"/>
      <c r="AG124" s="174"/>
      <c r="AH124" s="174"/>
      <c r="AI124" s="172"/>
      <c r="AJ124" s="174"/>
      <c r="AK124" s="174"/>
      <c r="AL124" s="174"/>
      <c r="AM124" s="174"/>
      <c r="AN124" s="174"/>
      <c r="AO124" s="174"/>
      <c r="AP124" s="174"/>
      <c r="AQ124" s="174"/>
      <c r="AR124" s="174"/>
      <c r="AS124" s="174"/>
      <c r="AT124" s="174"/>
      <c r="AU124" s="174"/>
      <c r="AV124" s="174"/>
      <c r="AW124" s="174"/>
      <c r="AX124" s="174"/>
      <c r="AY124" s="174"/>
      <c r="AZ124" s="174"/>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c r="BV124" s="174"/>
      <c r="BW124" s="174"/>
      <c r="BX124" s="174"/>
      <c r="BY124" s="174"/>
      <c r="BZ124" s="174"/>
      <c r="CA124" s="174"/>
      <c r="CB124" s="174"/>
      <c r="CC124" s="174"/>
      <c r="CD124" s="174"/>
      <c r="CE124" s="174"/>
      <c r="CF124" s="174"/>
      <c r="CG124" s="174"/>
      <c r="CH124" s="174"/>
      <c r="CI124" s="174"/>
      <c r="CJ124" s="174"/>
      <c r="CK124" s="174"/>
      <c r="CL124" s="174"/>
      <c r="CM124" s="174"/>
      <c r="CN124" s="174"/>
      <c r="CO124" s="174"/>
      <c r="CP124" s="174"/>
      <c r="CQ124" s="174"/>
      <c r="CR124" s="174"/>
      <c r="CS124" s="174"/>
      <c r="CT124" s="174"/>
      <c r="CU124" s="174"/>
      <c r="CV124" s="174"/>
      <c r="CW124" s="174"/>
      <c r="CX124" s="174"/>
      <c r="CY124" s="174"/>
      <c r="CZ124" s="174"/>
      <c r="DA124" s="174"/>
      <c r="DB124" s="174"/>
      <c r="DC124" s="174"/>
      <c r="DD124" s="174"/>
      <c r="DE124" s="174"/>
      <c r="DF124" s="174"/>
      <c r="DG124" s="174"/>
      <c r="DH124" s="174"/>
      <c r="DI124" s="174"/>
      <c r="DJ124" s="174"/>
      <c r="DK124" s="174"/>
      <c r="DL124" s="174"/>
      <c r="DM124" s="174"/>
      <c r="DN124" s="174"/>
      <c r="DO124" s="174"/>
      <c r="DP124" s="174"/>
      <c r="DQ124" s="174"/>
      <c r="DR124" s="174"/>
      <c r="DS124" s="174"/>
      <c r="DT124" s="174"/>
      <c r="DU124" s="174"/>
      <c r="DV124" s="174"/>
      <c r="DW124" s="174"/>
      <c r="DX124" s="174"/>
      <c r="DY124" s="173"/>
      <c r="DZ124" s="187"/>
      <c r="EA124" s="82">
        <f t="shared" si="209"/>
        <v>0</v>
      </c>
      <c r="EB124" s="82">
        <f t="shared" si="8"/>
        <v>0</v>
      </c>
      <c r="EC124" s="82">
        <f t="shared" si="210"/>
        <v>0</v>
      </c>
      <c r="ED124" s="127">
        <f t="shared" si="211"/>
        <v>0</v>
      </c>
    </row>
    <row r="125" spans="1:134" s="74" customFormat="1" ht="11.25" x14ac:dyDescent="0.2">
      <c r="A125" s="210">
        <v>2</v>
      </c>
      <c r="B125" s="392" t="s">
        <v>578</v>
      </c>
      <c r="C125" s="457" t="s">
        <v>658</v>
      </c>
      <c r="D125" s="399" t="s">
        <v>687</v>
      </c>
      <c r="E125" s="435"/>
      <c r="F125" s="443" t="str">
        <f>IFERROR(VLOOKUP(C125,MappingFromTTStoSU,2,FALSE),"SU Resource Role")</f>
        <v>DWMS</v>
      </c>
      <c r="G125" s="443"/>
      <c r="H125" s="434" t="str">
        <f>H124</f>
        <v>UAT Support</v>
      </c>
      <c r="I125" s="407"/>
      <c r="J125" s="407"/>
      <c r="K125" s="407"/>
      <c r="L125" s="407"/>
      <c r="M125" s="407"/>
      <c r="N125" s="407"/>
      <c r="O125" s="407"/>
      <c r="P125" s="407"/>
      <c r="Q125" s="407"/>
      <c r="R125" s="407"/>
      <c r="S125" s="407"/>
      <c r="T125" s="407"/>
      <c r="U125" s="174"/>
      <c r="V125" s="174"/>
      <c r="W125" s="174"/>
      <c r="X125" s="174"/>
      <c r="Y125" s="174"/>
      <c r="Z125" s="174"/>
      <c r="AA125" s="174"/>
      <c r="AB125" s="174"/>
      <c r="AC125" s="174"/>
      <c r="AD125" s="174"/>
      <c r="AE125" s="174"/>
      <c r="AF125" s="174"/>
      <c r="AG125" s="174"/>
      <c r="AH125" s="174"/>
      <c r="AI125" s="172"/>
      <c r="AJ125" s="174"/>
      <c r="AK125" s="174"/>
      <c r="AL125" s="174"/>
      <c r="AM125" s="174"/>
      <c r="AN125" s="174"/>
      <c r="AO125" s="174"/>
      <c r="AP125" s="174"/>
      <c r="AQ125" s="174"/>
      <c r="AR125" s="174"/>
      <c r="AS125" s="174"/>
      <c r="AT125" s="174"/>
      <c r="AU125" s="174"/>
      <c r="AV125" s="174"/>
      <c r="AW125" s="174"/>
      <c r="AX125" s="174"/>
      <c r="AY125" s="174"/>
      <c r="AZ125" s="174"/>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c r="BV125" s="174"/>
      <c r="BW125" s="174"/>
      <c r="BX125" s="174"/>
      <c r="BY125" s="174"/>
      <c r="BZ125" s="174"/>
      <c r="CA125" s="174"/>
      <c r="CB125" s="174"/>
      <c r="CC125" s="174"/>
      <c r="CD125" s="174"/>
      <c r="CE125" s="174"/>
      <c r="CF125" s="174"/>
      <c r="CG125" s="174"/>
      <c r="CH125" s="174"/>
      <c r="CI125" s="174"/>
      <c r="CJ125" s="174"/>
      <c r="CK125" s="174"/>
      <c r="CL125" s="174"/>
      <c r="CM125" s="174"/>
      <c r="CN125" s="174"/>
      <c r="CO125" s="174"/>
      <c r="CP125" s="174"/>
      <c r="CQ125" s="174"/>
      <c r="CR125" s="174"/>
      <c r="CS125" s="174"/>
      <c r="CT125" s="174"/>
      <c r="CU125" s="174"/>
      <c r="CV125" s="174"/>
      <c r="CW125" s="174"/>
      <c r="CX125" s="174"/>
      <c r="CY125" s="174"/>
      <c r="CZ125" s="174"/>
      <c r="DA125" s="174"/>
      <c r="DB125" s="174"/>
      <c r="DC125" s="174"/>
      <c r="DD125" s="174"/>
      <c r="DE125" s="174"/>
      <c r="DF125" s="174"/>
      <c r="DG125" s="174"/>
      <c r="DH125" s="174"/>
      <c r="DI125" s="174"/>
      <c r="DJ125" s="174"/>
      <c r="DK125" s="174"/>
      <c r="DL125" s="174"/>
      <c r="DM125" s="174"/>
      <c r="DN125" s="174"/>
      <c r="DO125" s="174"/>
      <c r="DP125" s="174"/>
      <c r="DQ125" s="174"/>
      <c r="DR125" s="174"/>
      <c r="DS125" s="174"/>
      <c r="DT125" s="174"/>
      <c r="DU125" s="174"/>
      <c r="DV125" s="174"/>
      <c r="DW125" s="174"/>
      <c r="DX125" s="174"/>
      <c r="DY125" s="173"/>
      <c r="DZ125" s="187"/>
      <c r="EA125" s="82">
        <f t="shared" si="209"/>
        <v>0</v>
      </c>
      <c r="EB125" s="82">
        <f t="shared" ref="EB125" si="212">EA125*Scenario1AgileContingency</f>
        <v>0</v>
      </c>
      <c r="EC125" s="82">
        <f t="shared" si="210"/>
        <v>0</v>
      </c>
      <c r="ED125" s="127">
        <f t="shared" ref="ED125" si="213">SUM(EA125:EC125)</f>
        <v>0</v>
      </c>
    </row>
    <row r="126" spans="1:134" s="74" customFormat="1" ht="11.25" x14ac:dyDescent="0.2">
      <c r="A126" s="210">
        <v>2</v>
      </c>
      <c r="B126" s="392" t="s">
        <v>578</v>
      </c>
      <c r="C126" s="457" t="s">
        <v>635</v>
      </c>
      <c r="D126" s="399" t="s">
        <v>687</v>
      </c>
      <c r="E126" s="435"/>
      <c r="F126" s="443" t="s">
        <v>607</v>
      </c>
      <c r="G126" s="443"/>
      <c r="H126" s="434" t="str">
        <f>H124</f>
        <v>UAT Support</v>
      </c>
      <c r="I126" s="407"/>
      <c r="J126" s="407"/>
      <c r="K126" s="407"/>
      <c r="L126" s="407"/>
      <c r="M126" s="407"/>
      <c r="N126" s="407"/>
      <c r="O126" s="407"/>
      <c r="P126" s="407"/>
      <c r="Q126" s="407"/>
      <c r="R126" s="407"/>
      <c r="S126" s="407"/>
      <c r="T126" s="407"/>
      <c r="U126" s="174"/>
      <c r="V126" s="174"/>
      <c r="W126" s="174"/>
      <c r="X126" s="174"/>
      <c r="Y126" s="174"/>
      <c r="Z126" s="174"/>
      <c r="AA126" s="174"/>
      <c r="AB126" s="174"/>
      <c r="AC126" s="174"/>
      <c r="AD126" s="174"/>
      <c r="AE126" s="174"/>
      <c r="AF126" s="174"/>
      <c r="AG126" s="174"/>
      <c r="AH126" s="174"/>
      <c r="AI126" s="174"/>
      <c r="AJ126" s="174"/>
      <c r="AK126" s="174"/>
      <c r="AL126" s="174"/>
      <c r="AM126" s="174"/>
      <c r="AN126" s="174"/>
      <c r="AO126" s="174"/>
      <c r="AP126" s="174"/>
      <c r="AQ126" s="174"/>
      <c r="AR126" s="174"/>
      <c r="AS126" s="174"/>
      <c r="AT126" s="174"/>
      <c r="AU126" s="174"/>
      <c r="AV126" s="174"/>
      <c r="AW126" s="174"/>
      <c r="AX126" s="174"/>
      <c r="AY126" s="174"/>
      <c r="AZ126" s="174"/>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c r="BV126" s="174"/>
      <c r="BW126" s="174"/>
      <c r="BX126" s="174"/>
      <c r="BY126" s="174"/>
      <c r="BZ126" s="174"/>
      <c r="CA126" s="174"/>
      <c r="CB126" s="174"/>
      <c r="CC126" s="174"/>
      <c r="CD126" s="174"/>
      <c r="CE126" s="174"/>
      <c r="CF126" s="174"/>
      <c r="CG126" s="174"/>
      <c r="CH126" s="174"/>
      <c r="CI126" s="174"/>
      <c r="CJ126" s="174"/>
      <c r="CK126" s="174"/>
      <c r="CL126" s="174"/>
      <c r="CM126" s="174"/>
      <c r="CN126" s="174"/>
      <c r="CO126" s="174"/>
      <c r="CP126" s="174"/>
      <c r="CQ126" s="174"/>
      <c r="CR126" s="174"/>
      <c r="CS126" s="174"/>
      <c r="CT126" s="174"/>
      <c r="CU126" s="174"/>
      <c r="CV126" s="174"/>
      <c r="CW126" s="174"/>
      <c r="CX126" s="174"/>
      <c r="CY126" s="174"/>
      <c r="CZ126" s="174"/>
      <c r="DA126" s="174"/>
      <c r="DB126" s="174"/>
      <c r="DC126" s="174"/>
      <c r="DD126" s="174"/>
      <c r="DE126" s="174"/>
      <c r="DF126" s="174"/>
      <c r="DG126" s="174"/>
      <c r="DH126" s="174"/>
      <c r="DI126" s="174"/>
      <c r="DJ126" s="174"/>
      <c r="DK126" s="174"/>
      <c r="DL126" s="174"/>
      <c r="DM126" s="174"/>
      <c r="DN126" s="174"/>
      <c r="DO126" s="174"/>
      <c r="DP126" s="174"/>
      <c r="DQ126" s="174"/>
      <c r="DR126" s="174"/>
      <c r="DS126" s="174"/>
      <c r="DT126" s="174"/>
      <c r="DU126" s="174"/>
      <c r="DV126" s="174"/>
      <c r="DW126" s="174"/>
      <c r="DX126" s="174"/>
      <c r="DY126" s="173"/>
      <c r="DZ126" s="187"/>
      <c r="EA126" s="82">
        <f t="shared" si="209"/>
        <v>0</v>
      </c>
      <c r="EB126" s="82">
        <f t="shared" si="8"/>
        <v>0</v>
      </c>
      <c r="EC126" s="82">
        <f t="shared" si="210"/>
        <v>0</v>
      </c>
      <c r="ED126" s="127">
        <f t="shared" si="211"/>
        <v>0</v>
      </c>
    </row>
    <row r="127" spans="1:134" s="74" customFormat="1" ht="11.25" x14ac:dyDescent="0.2">
      <c r="A127" s="210">
        <v>2</v>
      </c>
      <c r="B127" s="392" t="s">
        <v>578</v>
      </c>
      <c r="C127" s="457" t="str">
        <f t="shared" si="208"/>
        <v>Software Developer</v>
      </c>
      <c r="D127" s="399" t="s">
        <v>687</v>
      </c>
      <c r="E127" s="435"/>
      <c r="F127" s="443" t="s">
        <v>607</v>
      </c>
      <c r="G127" s="443"/>
      <c r="H127" s="434" t="str">
        <f t="shared" ref="H127:H129" si="214">H126</f>
        <v>UAT Support</v>
      </c>
      <c r="I127" s="407"/>
      <c r="J127" s="407"/>
      <c r="K127" s="407"/>
      <c r="L127" s="407"/>
      <c r="M127" s="407"/>
      <c r="N127" s="407"/>
      <c r="O127" s="407"/>
      <c r="P127" s="407"/>
      <c r="Q127" s="407"/>
      <c r="R127" s="407"/>
      <c r="S127" s="407"/>
      <c r="T127" s="407"/>
      <c r="U127" s="174"/>
      <c r="V127" s="174"/>
      <c r="W127" s="174"/>
      <c r="X127" s="174"/>
      <c r="Y127" s="174"/>
      <c r="Z127" s="174"/>
      <c r="AA127" s="174"/>
      <c r="AB127" s="174"/>
      <c r="AC127" s="174"/>
      <c r="AD127" s="174"/>
      <c r="AE127" s="174"/>
      <c r="AF127" s="174"/>
      <c r="AG127" s="174"/>
      <c r="AH127" s="174"/>
      <c r="AI127" s="174"/>
      <c r="AJ127" s="174"/>
      <c r="AK127" s="174"/>
      <c r="AL127" s="174"/>
      <c r="AM127" s="174"/>
      <c r="AN127" s="174"/>
      <c r="AO127" s="174"/>
      <c r="AP127" s="174"/>
      <c r="AQ127" s="174"/>
      <c r="AR127" s="174"/>
      <c r="AS127" s="174"/>
      <c r="AT127" s="174"/>
      <c r="AU127" s="174"/>
      <c r="AV127" s="174"/>
      <c r="AW127" s="174"/>
      <c r="AX127" s="174"/>
      <c r="AY127" s="174"/>
      <c r="AZ127" s="174"/>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c r="BV127" s="174"/>
      <c r="BW127" s="174"/>
      <c r="BX127" s="174"/>
      <c r="BY127" s="174"/>
      <c r="BZ127" s="174"/>
      <c r="CA127" s="174"/>
      <c r="CB127" s="174"/>
      <c r="CC127" s="174"/>
      <c r="CD127" s="174"/>
      <c r="CE127" s="174"/>
      <c r="CF127" s="174"/>
      <c r="CG127" s="174"/>
      <c r="CH127" s="174"/>
      <c r="CI127" s="174"/>
      <c r="CJ127" s="174"/>
      <c r="CK127" s="174"/>
      <c r="CL127" s="174"/>
      <c r="CM127" s="174"/>
      <c r="CN127" s="174"/>
      <c r="CO127" s="174"/>
      <c r="CP127" s="174"/>
      <c r="CQ127" s="174"/>
      <c r="CR127" s="174"/>
      <c r="CS127" s="174"/>
      <c r="CT127" s="174"/>
      <c r="CU127" s="174"/>
      <c r="CV127" s="174"/>
      <c r="CW127" s="174"/>
      <c r="CX127" s="174"/>
      <c r="CY127" s="174"/>
      <c r="CZ127" s="174"/>
      <c r="DA127" s="174"/>
      <c r="DB127" s="174"/>
      <c r="DC127" s="174"/>
      <c r="DD127" s="174"/>
      <c r="DE127" s="174"/>
      <c r="DF127" s="174"/>
      <c r="DG127" s="174"/>
      <c r="DH127" s="174"/>
      <c r="DI127" s="174"/>
      <c r="DJ127" s="174"/>
      <c r="DK127" s="174"/>
      <c r="DL127" s="174"/>
      <c r="DM127" s="174"/>
      <c r="DN127" s="174"/>
      <c r="DO127" s="174"/>
      <c r="DP127" s="174"/>
      <c r="DQ127" s="174"/>
      <c r="DR127" s="174"/>
      <c r="DS127" s="174"/>
      <c r="DT127" s="174"/>
      <c r="DU127" s="174"/>
      <c r="DV127" s="174"/>
      <c r="DW127" s="174"/>
      <c r="DX127" s="174"/>
      <c r="DY127" s="173"/>
      <c r="DZ127" s="187"/>
      <c r="EA127" s="82">
        <f t="shared" si="209"/>
        <v>0</v>
      </c>
      <c r="EB127" s="82">
        <f t="shared" si="8"/>
        <v>0</v>
      </c>
      <c r="EC127" s="82">
        <f t="shared" si="210"/>
        <v>0</v>
      </c>
      <c r="ED127" s="127">
        <f t="shared" si="211"/>
        <v>0</v>
      </c>
    </row>
    <row r="128" spans="1:134" s="74" customFormat="1" ht="11.25" x14ac:dyDescent="0.2">
      <c r="A128" s="210">
        <v>2</v>
      </c>
      <c r="B128" s="392" t="s">
        <v>578</v>
      </c>
      <c r="C128" s="457" t="str">
        <f t="shared" si="208"/>
        <v>Software Developer</v>
      </c>
      <c r="D128" s="399" t="s">
        <v>687</v>
      </c>
      <c r="E128" s="435"/>
      <c r="F128" s="443" t="str">
        <f>IFERROR(VLOOKUP(C128,MappingFromTTStoSU,2,FALSE),"SU Resource Role")</f>
        <v>DWMS</v>
      </c>
      <c r="G128" s="443"/>
      <c r="H128" s="434" t="str">
        <f t="shared" si="214"/>
        <v>UAT Support</v>
      </c>
      <c r="I128" s="407"/>
      <c r="J128" s="407"/>
      <c r="K128" s="407"/>
      <c r="L128" s="407"/>
      <c r="M128" s="407"/>
      <c r="N128" s="407"/>
      <c r="O128" s="407"/>
      <c r="P128" s="407"/>
      <c r="Q128" s="407"/>
      <c r="R128" s="407"/>
      <c r="S128" s="407"/>
      <c r="T128" s="407"/>
      <c r="U128" s="174"/>
      <c r="V128" s="174"/>
      <c r="W128" s="174"/>
      <c r="X128" s="174"/>
      <c r="Y128" s="174"/>
      <c r="Z128" s="174"/>
      <c r="AA128" s="174"/>
      <c r="AB128" s="174"/>
      <c r="AC128" s="174"/>
      <c r="AD128" s="174"/>
      <c r="AE128" s="174"/>
      <c r="AF128" s="174"/>
      <c r="AG128" s="174"/>
      <c r="AH128" s="174"/>
      <c r="AI128" s="174"/>
      <c r="AJ128" s="174"/>
      <c r="AK128" s="174"/>
      <c r="AL128" s="174"/>
      <c r="AM128" s="174"/>
      <c r="AN128" s="174"/>
      <c r="AO128" s="174"/>
      <c r="AP128" s="174"/>
      <c r="AQ128" s="174"/>
      <c r="AR128" s="174"/>
      <c r="AS128" s="174"/>
      <c r="AT128" s="174"/>
      <c r="AU128" s="174"/>
      <c r="AV128" s="174"/>
      <c r="AW128" s="174"/>
      <c r="AX128" s="174"/>
      <c r="AY128" s="174"/>
      <c r="AZ128" s="174"/>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c r="BV128" s="174"/>
      <c r="BW128" s="174"/>
      <c r="BX128" s="174"/>
      <c r="BY128" s="174"/>
      <c r="BZ128" s="174"/>
      <c r="CA128" s="174"/>
      <c r="CB128" s="174"/>
      <c r="CC128" s="174"/>
      <c r="CD128" s="174"/>
      <c r="CE128" s="174"/>
      <c r="CF128" s="174"/>
      <c r="CG128" s="174"/>
      <c r="CH128" s="174"/>
      <c r="CI128" s="174"/>
      <c r="CJ128" s="174"/>
      <c r="CK128" s="174"/>
      <c r="CL128" s="174"/>
      <c r="CM128" s="174"/>
      <c r="CN128" s="174"/>
      <c r="CO128" s="174"/>
      <c r="CP128" s="174"/>
      <c r="CQ128" s="174"/>
      <c r="CR128" s="174"/>
      <c r="CS128" s="174"/>
      <c r="CT128" s="174"/>
      <c r="CU128" s="174"/>
      <c r="CV128" s="174"/>
      <c r="CW128" s="174"/>
      <c r="CX128" s="174"/>
      <c r="CY128" s="174"/>
      <c r="CZ128" s="174"/>
      <c r="DA128" s="174"/>
      <c r="DB128" s="174"/>
      <c r="DC128" s="174"/>
      <c r="DD128" s="174"/>
      <c r="DE128" s="174"/>
      <c r="DF128" s="174"/>
      <c r="DG128" s="174"/>
      <c r="DH128" s="174"/>
      <c r="DI128" s="174"/>
      <c r="DJ128" s="174"/>
      <c r="DK128" s="174"/>
      <c r="DL128" s="174"/>
      <c r="DM128" s="174"/>
      <c r="DN128" s="174"/>
      <c r="DO128" s="174"/>
      <c r="DP128" s="174"/>
      <c r="DQ128" s="174"/>
      <c r="DR128" s="174"/>
      <c r="DS128" s="174"/>
      <c r="DT128" s="174"/>
      <c r="DU128" s="174"/>
      <c r="DV128" s="174"/>
      <c r="DW128" s="174"/>
      <c r="DX128" s="174"/>
      <c r="DY128" s="173"/>
      <c r="DZ128" s="187"/>
      <c r="EA128" s="82">
        <f t="shared" si="209"/>
        <v>0</v>
      </c>
      <c r="EB128" s="82">
        <f t="shared" ref="EB128" si="215">EA128*Scenario1AgileContingency</f>
        <v>0</v>
      </c>
      <c r="EC128" s="82">
        <f t="shared" si="210"/>
        <v>0</v>
      </c>
      <c r="ED128" s="127">
        <f t="shared" ref="ED128" si="216">SUM(EA128:EC128)</f>
        <v>0</v>
      </c>
    </row>
    <row r="129" spans="1:134" s="74" customFormat="1" ht="11.25" x14ac:dyDescent="0.2">
      <c r="A129" s="210">
        <v>2</v>
      </c>
      <c r="B129" s="392" t="s">
        <v>578</v>
      </c>
      <c r="C129" s="457" t="str">
        <f>IFERROR(VLOOKUP(D129,MappingFromSetAgiletoTTSRole,2,FALSE),"SET Agile Resource Role")</f>
        <v>Software Developer</v>
      </c>
      <c r="D129" s="399" t="s">
        <v>687</v>
      </c>
      <c r="E129" s="435"/>
      <c r="F129" s="443" t="str">
        <f>IFERROR(VLOOKUP(C129,MappingFromTTStoSU,2,FALSE),"SU Resource Role")</f>
        <v>DWMS</v>
      </c>
      <c r="G129" s="443"/>
      <c r="H129" s="434" t="str">
        <f t="shared" si="214"/>
        <v>UAT Support</v>
      </c>
      <c r="I129" s="407"/>
      <c r="J129" s="407"/>
      <c r="K129" s="407"/>
      <c r="L129" s="407"/>
      <c r="M129" s="407"/>
      <c r="N129" s="407"/>
      <c r="O129" s="407"/>
      <c r="P129" s="407"/>
      <c r="Q129" s="407"/>
      <c r="R129" s="407"/>
      <c r="S129" s="407"/>
      <c r="T129" s="407"/>
      <c r="U129" s="174"/>
      <c r="V129" s="174"/>
      <c r="W129" s="174"/>
      <c r="X129" s="174"/>
      <c r="Y129" s="174"/>
      <c r="Z129" s="174"/>
      <c r="AA129" s="174"/>
      <c r="AB129" s="174"/>
      <c r="AC129" s="174"/>
      <c r="AD129" s="174"/>
      <c r="AE129" s="174"/>
      <c r="AF129" s="174"/>
      <c r="AG129" s="174"/>
      <c r="AH129" s="174"/>
      <c r="AI129" s="174"/>
      <c r="AJ129" s="174"/>
      <c r="AK129" s="174"/>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c r="BV129" s="174"/>
      <c r="BW129" s="174"/>
      <c r="BX129" s="174"/>
      <c r="BY129" s="174"/>
      <c r="BZ129" s="174"/>
      <c r="CA129" s="174"/>
      <c r="CB129" s="174"/>
      <c r="CC129" s="174"/>
      <c r="CD129" s="174"/>
      <c r="CE129" s="174"/>
      <c r="CF129" s="174"/>
      <c r="CG129" s="174"/>
      <c r="CH129" s="174"/>
      <c r="CI129" s="174"/>
      <c r="CJ129" s="174"/>
      <c r="CK129" s="174"/>
      <c r="CL129" s="174"/>
      <c r="CM129" s="174"/>
      <c r="CN129" s="174"/>
      <c r="CO129" s="174"/>
      <c r="CP129" s="174"/>
      <c r="CQ129" s="174"/>
      <c r="CR129" s="174"/>
      <c r="CS129" s="174"/>
      <c r="CT129" s="174"/>
      <c r="CU129" s="174"/>
      <c r="CV129" s="174"/>
      <c r="CW129" s="174"/>
      <c r="CX129" s="174"/>
      <c r="CY129" s="174"/>
      <c r="CZ129" s="174"/>
      <c r="DA129" s="174"/>
      <c r="DB129" s="174"/>
      <c r="DC129" s="174"/>
      <c r="DD129" s="174"/>
      <c r="DE129" s="174"/>
      <c r="DF129" s="174"/>
      <c r="DG129" s="174"/>
      <c r="DH129" s="174"/>
      <c r="DI129" s="174"/>
      <c r="DJ129" s="174"/>
      <c r="DK129" s="174"/>
      <c r="DL129" s="174"/>
      <c r="DM129" s="174"/>
      <c r="DN129" s="174"/>
      <c r="DO129" s="174"/>
      <c r="DP129" s="174"/>
      <c r="DQ129" s="174"/>
      <c r="DR129" s="174"/>
      <c r="DS129" s="174"/>
      <c r="DT129" s="174"/>
      <c r="DU129" s="174"/>
      <c r="DV129" s="174"/>
      <c r="DW129" s="174"/>
      <c r="DX129" s="174"/>
      <c r="DY129" s="173"/>
      <c r="DZ129" s="187"/>
      <c r="EA129" s="82">
        <f t="shared" si="209"/>
        <v>0</v>
      </c>
      <c r="EB129" s="82">
        <f t="shared" ref="EB129" si="217">EA129*Scenario1AgileContingency</f>
        <v>0</v>
      </c>
      <c r="EC129" s="82">
        <f t="shared" si="210"/>
        <v>0</v>
      </c>
      <c r="ED129" s="127">
        <f t="shared" ref="ED129" si="218">SUM(EA129:EC129)</f>
        <v>0</v>
      </c>
    </row>
    <row r="130" spans="1:134" s="74" customFormat="1" ht="11.25" x14ac:dyDescent="0.2">
      <c r="A130" s="210">
        <v>2</v>
      </c>
      <c r="B130" s="392" t="s">
        <v>578</v>
      </c>
      <c r="C130" s="457" t="s">
        <v>651</v>
      </c>
      <c r="D130" s="399" t="s">
        <v>688</v>
      </c>
      <c r="E130" s="435"/>
      <c r="F130" s="443" t="str">
        <f>IFERROR(VLOOKUP(C130,MappingFromTTStoSU,2,FALSE),"SU Resource Role")</f>
        <v>DWMS</v>
      </c>
      <c r="G130" s="443"/>
      <c r="H130" s="434" t="str">
        <f>H129</f>
        <v>UAT Support</v>
      </c>
      <c r="I130" s="407"/>
      <c r="J130" s="407"/>
      <c r="K130" s="407"/>
      <c r="L130" s="407"/>
      <c r="M130" s="407"/>
      <c r="N130" s="407"/>
      <c r="O130" s="407"/>
      <c r="P130" s="407"/>
      <c r="Q130" s="407"/>
      <c r="R130" s="407"/>
      <c r="S130" s="407"/>
      <c r="T130" s="407"/>
      <c r="U130" s="174"/>
      <c r="V130" s="174"/>
      <c r="W130" s="174"/>
      <c r="X130" s="174"/>
      <c r="Y130" s="174"/>
      <c r="Z130" s="174"/>
      <c r="AA130" s="174"/>
      <c r="AB130" s="174"/>
      <c r="AC130" s="174"/>
      <c r="AD130" s="174"/>
      <c r="AE130" s="174"/>
      <c r="AF130" s="174"/>
      <c r="AG130" s="174"/>
      <c r="AH130" s="174"/>
      <c r="AI130" s="174"/>
      <c r="AJ130" s="174"/>
      <c r="AK130" s="174"/>
      <c r="AL130" s="174"/>
      <c r="AM130" s="174"/>
      <c r="AN130" s="174"/>
      <c r="AO130" s="174"/>
      <c r="AP130" s="174"/>
      <c r="AQ130" s="174"/>
      <c r="AR130" s="174"/>
      <c r="AS130" s="174"/>
      <c r="AT130" s="174"/>
      <c r="AU130" s="174"/>
      <c r="AV130" s="174"/>
      <c r="AW130" s="174"/>
      <c r="AX130" s="174"/>
      <c r="AY130" s="174"/>
      <c r="AZ130" s="174"/>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c r="BV130" s="174"/>
      <c r="BW130" s="174"/>
      <c r="BX130" s="174"/>
      <c r="BY130" s="174"/>
      <c r="BZ130" s="174"/>
      <c r="CA130" s="174"/>
      <c r="CB130" s="174"/>
      <c r="CC130" s="174"/>
      <c r="CD130" s="174"/>
      <c r="CE130" s="174"/>
      <c r="CF130" s="174"/>
      <c r="CG130" s="174"/>
      <c r="CH130" s="174"/>
      <c r="CI130" s="174"/>
      <c r="CJ130" s="174"/>
      <c r="CK130" s="174"/>
      <c r="CL130" s="174"/>
      <c r="CM130" s="174"/>
      <c r="CN130" s="174"/>
      <c r="CO130" s="174"/>
      <c r="CP130" s="174"/>
      <c r="CQ130" s="174"/>
      <c r="CR130" s="174"/>
      <c r="CS130" s="174"/>
      <c r="CT130" s="174"/>
      <c r="CU130" s="174"/>
      <c r="CV130" s="174"/>
      <c r="CW130" s="174"/>
      <c r="CX130" s="174"/>
      <c r="CY130" s="174"/>
      <c r="CZ130" s="174"/>
      <c r="DA130" s="174"/>
      <c r="DB130" s="174"/>
      <c r="DC130" s="174"/>
      <c r="DD130" s="174"/>
      <c r="DE130" s="174"/>
      <c r="DF130" s="174"/>
      <c r="DG130" s="174"/>
      <c r="DH130" s="174"/>
      <c r="DI130" s="174"/>
      <c r="DJ130" s="174"/>
      <c r="DK130" s="174"/>
      <c r="DL130" s="174"/>
      <c r="DM130" s="174"/>
      <c r="DN130" s="174"/>
      <c r="DO130" s="174"/>
      <c r="DP130" s="174"/>
      <c r="DQ130" s="174"/>
      <c r="DR130" s="174"/>
      <c r="DS130" s="174"/>
      <c r="DT130" s="174"/>
      <c r="DU130" s="174"/>
      <c r="DV130" s="174"/>
      <c r="DW130" s="174"/>
      <c r="DX130" s="174"/>
      <c r="DY130" s="173"/>
      <c r="DZ130" s="187"/>
      <c r="EA130" s="82">
        <f t="shared" si="209"/>
        <v>0</v>
      </c>
      <c r="EB130" s="82">
        <f t="shared" ref="EB130" si="219">EA130*Scenario1AgileContingency</f>
        <v>0</v>
      </c>
      <c r="EC130" s="82">
        <f t="shared" si="210"/>
        <v>0</v>
      </c>
      <c r="ED130" s="127">
        <f t="shared" ref="ED130" si="220">SUM(EA130:EC130)</f>
        <v>0</v>
      </c>
    </row>
    <row r="131" spans="1:134" s="74" customFormat="1" ht="11.25" x14ac:dyDescent="0.2">
      <c r="A131" s="210">
        <v>2</v>
      </c>
      <c r="B131" s="392" t="s">
        <v>578</v>
      </c>
      <c r="C131" s="457" t="str">
        <f>IFERROR(VLOOKUP(D131,MappingFromSetAgiletoTTSRole,2,FALSE),"SET Agile Resource Role")</f>
        <v>Test Consultant</v>
      </c>
      <c r="D131" s="399" t="s">
        <v>688</v>
      </c>
      <c r="E131" s="435"/>
      <c r="F131" s="443" t="str">
        <f>IFERROR(VLOOKUP(C131,MappingFromTTStoSU,2,FALSE),"SU Resource Role")</f>
        <v>DWMS</v>
      </c>
      <c r="G131" s="443"/>
      <c r="H131" s="434" t="str">
        <f>H129</f>
        <v>UAT Support</v>
      </c>
      <c r="I131" s="407"/>
      <c r="J131" s="407"/>
      <c r="K131" s="407"/>
      <c r="L131" s="407"/>
      <c r="M131" s="407"/>
      <c r="N131" s="407"/>
      <c r="O131" s="407"/>
      <c r="P131" s="407"/>
      <c r="Q131" s="407"/>
      <c r="R131" s="407"/>
      <c r="S131" s="407"/>
      <c r="T131" s="407"/>
      <c r="U131" s="174"/>
      <c r="V131" s="174"/>
      <c r="W131" s="174"/>
      <c r="X131" s="174"/>
      <c r="Y131" s="174"/>
      <c r="Z131" s="174"/>
      <c r="AA131" s="174"/>
      <c r="AB131" s="174"/>
      <c r="AC131" s="174"/>
      <c r="AD131" s="174"/>
      <c r="AE131" s="174"/>
      <c r="AF131" s="174"/>
      <c r="AG131" s="174"/>
      <c r="AH131" s="174"/>
      <c r="AI131" s="174"/>
      <c r="AJ131" s="174"/>
      <c r="AK131" s="174"/>
      <c r="AL131" s="174"/>
      <c r="AM131" s="174"/>
      <c r="AN131" s="174"/>
      <c r="AO131" s="174"/>
      <c r="AP131" s="174"/>
      <c r="AQ131" s="174"/>
      <c r="AR131" s="174"/>
      <c r="AS131" s="174"/>
      <c r="AT131" s="174"/>
      <c r="AU131" s="174"/>
      <c r="AV131" s="174"/>
      <c r="AW131" s="174"/>
      <c r="AX131" s="174"/>
      <c r="AY131" s="174"/>
      <c r="AZ131" s="174"/>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c r="BV131" s="174"/>
      <c r="BW131" s="174"/>
      <c r="BX131" s="174"/>
      <c r="BY131" s="174"/>
      <c r="BZ131" s="174"/>
      <c r="CA131" s="174"/>
      <c r="CB131" s="174"/>
      <c r="CC131" s="174"/>
      <c r="CD131" s="174"/>
      <c r="CE131" s="174"/>
      <c r="CF131" s="174"/>
      <c r="CG131" s="174"/>
      <c r="CH131" s="174"/>
      <c r="CI131" s="174"/>
      <c r="CJ131" s="174"/>
      <c r="CK131" s="174"/>
      <c r="CL131" s="174"/>
      <c r="CM131" s="174"/>
      <c r="CN131" s="174"/>
      <c r="CO131" s="174"/>
      <c r="CP131" s="174"/>
      <c r="CQ131" s="174"/>
      <c r="CR131" s="174"/>
      <c r="CS131" s="174"/>
      <c r="CT131" s="174"/>
      <c r="CU131" s="174"/>
      <c r="CV131" s="174"/>
      <c r="CW131" s="174"/>
      <c r="CX131" s="174"/>
      <c r="CY131" s="174"/>
      <c r="CZ131" s="174"/>
      <c r="DA131" s="174"/>
      <c r="DB131" s="174"/>
      <c r="DC131" s="174"/>
      <c r="DD131" s="174"/>
      <c r="DE131" s="174"/>
      <c r="DF131" s="174"/>
      <c r="DG131" s="174"/>
      <c r="DH131" s="174"/>
      <c r="DI131" s="174"/>
      <c r="DJ131" s="174"/>
      <c r="DK131" s="174"/>
      <c r="DL131" s="174"/>
      <c r="DM131" s="174"/>
      <c r="DN131" s="174"/>
      <c r="DO131" s="174"/>
      <c r="DP131" s="174"/>
      <c r="DQ131" s="174"/>
      <c r="DR131" s="174"/>
      <c r="DS131" s="174"/>
      <c r="DT131" s="174"/>
      <c r="DU131" s="174"/>
      <c r="DV131" s="174"/>
      <c r="DW131" s="174"/>
      <c r="DX131" s="174"/>
      <c r="DY131" s="173"/>
      <c r="DZ131" s="187"/>
      <c r="EA131" s="82">
        <f t="shared" si="209"/>
        <v>0</v>
      </c>
      <c r="EB131" s="82">
        <f t="shared" ref="EB131" si="221">EA131*Scenario1AgileContingency</f>
        <v>0</v>
      </c>
      <c r="EC131" s="82">
        <f t="shared" si="210"/>
        <v>0</v>
      </c>
      <c r="ED131" s="127">
        <f t="shared" ref="ED131" si="222">SUM(EA131:EC131)</f>
        <v>0</v>
      </c>
    </row>
    <row r="132" spans="1:134" s="74" customFormat="1" ht="11.25" x14ac:dyDescent="0.2">
      <c r="A132" s="210">
        <v>2</v>
      </c>
      <c r="B132" s="392" t="s">
        <v>578</v>
      </c>
      <c r="C132" s="457" t="str">
        <f>IFERROR(VLOOKUP(D132,MappingFromSetAgiletoTTSRole,2,FALSE),"SET Agile Resource Role")</f>
        <v>Test Consultant</v>
      </c>
      <c r="D132" s="399" t="s">
        <v>688</v>
      </c>
      <c r="E132" s="435"/>
      <c r="F132" s="443" t="str">
        <f>IFERROR(VLOOKUP(C132,MappingFromTTStoSU,2,FALSE),"SU Resource Role")</f>
        <v>DWMS</v>
      </c>
      <c r="G132" s="443"/>
      <c r="H132" s="434" t="str">
        <f>H129</f>
        <v>UAT Support</v>
      </c>
      <c r="I132" s="407"/>
      <c r="J132" s="407"/>
      <c r="K132" s="407"/>
      <c r="L132" s="407"/>
      <c r="M132" s="407"/>
      <c r="N132" s="407"/>
      <c r="O132" s="407"/>
      <c r="P132" s="407"/>
      <c r="Q132" s="407"/>
      <c r="R132" s="407"/>
      <c r="S132" s="407"/>
      <c r="T132" s="407"/>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c r="BV132" s="174"/>
      <c r="BW132" s="174"/>
      <c r="BX132" s="174"/>
      <c r="BY132" s="174"/>
      <c r="BZ132" s="174"/>
      <c r="CA132" s="174"/>
      <c r="CB132" s="174"/>
      <c r="CC132" s="174"/>
      <c r="CD132" s="174"/>
      <c r="CE132" s="174"/>
      <c r="CF132" s="174"/>
      <c r="CG132" s="174"/>
      <c r="CH132" s="174"/>
      <c r="CI132" s="174"/>
      <c r="CJ132" s="174"/>
      <c r="CK132" s="174"/>
      <c r="CL132" s="174"/>
      <c r="CM132" s="174"/>
      <c r="CN132" s="174"/>
      <c r="CO132" s="174"/>
      <c r="CP132" s="174"/>
      <c r="CQ132" s="174"/>
      <c r="CR132" s="174"/>
      <c r="CS132" s="174"/>
      <c r="CT132" s="174"/>
      <c r="CU132" s="174"/>
      <c r="CV132" s="174"/>
      <c r="CW132" s="174"/>
      <c r="CX132" s="174"/>
      <c r="CY132" s="174"/>
      <c r="CZ132" s="174"/>
      <c r="DA132" s="174"/>
      <c r="DB132" s="174"/>
      <c r="DC132" s="174"/>
      <c r="DD132" s="174"/>
      <c r="DE132" s="174"/>
      <c r="DF132" s="174"/>
      <c r="DG132" s="174"/>
      <c r="DH132" s="174"/>
      <c r="DI132" s="174"/>
      <c r="DJ132" s="174"/>
      <c r="DK132" s="174"/>
      <c r="DL132" s="174"/>
      <c r="DM132" s="174"/>
      <c r="DN132" s="174"/>
      <c r="DO132" s="174"/>
      <c r="DP132" s="174"/>
      <c r="DQ132" s="174"/>
      <c r="DR132" s="174"/>
      <c r="DS132" s="174"/>
      <c r="DT132" s="174"/>
      <c r="DU132" s="174"/>
      <c r="DV132" s="174"/>
      <c r="DW132" s="174"/>
      <c r="DX132" s="174"/>
      <c r="DY132" s="173"/>
      <c r="DZ132" s="187"/>
      <c r="EA132" s="82">
        <f t="shared" si="209"/>
        <v>0</v>
      </c>
      <c r="EB132" s="82">
        <f t="shared" ref="EB132" si="223">EA132*Scenario1AgileContingency</f>
        <v>0</v>
      </c>
      <c r="EC132" s="82">
        <f t="shared" si="210"/>
        <v>0</v>
      </c>
      <c r="ED132" s="127">
        <f t="shared" ref="ED132" si="224">SUM(EA132:EC132)</f>
        <v>0</v>
      </c>
    </row>
    <row r="133" spans="1:134" s="74" customFormat="1" ht="11.25" x14ac:dyDescent="0.2">
      <c r="A133" s="210">
        <v>1</v>
      </c>
      <c r="B133" s="392" t="s">
        <v>690</v>
      </c>
      <c r="C133" s="206" t="s">
        <v>691</v>
      </c>
      <c r="D133" s="206" t="s">
        <v>691</v>
      </c>
      <c r="E133" s="436"/>
      <c r="F133" s="523"/>
      <c r="G133" s="523"/>
      <c r="H133" s="436"/>
      <c r="I133" s="217"/>
      <c r="J133" s="217"/>
      <c r="K133" s="217"/>
      <c r="L133" s="217"/>
      <c r="M133" s="217"/>
      <c r="N133" s="217"/>
      <c r="O133" s="217"/>
      <c r="P133" s="217"/>
      <c r="Q133" s="217"/>
      <c r="R133" s="217"/>
      <c r="S133" s="217"/>
      <c r="T133" s="217"/>
      <c r="U133" s="217"/>
      <c r="V133" s="217"/>
      <c r="W133" s="217"/>
      <c r="X133" s="217"/>
      <c r="Y133" s="217"/>
      <c r="Z133" s="217"/>
      <c r="AA133" s="217"/>
      <c r="AB133" s="217"/>
      <c r="AC133" s="217"/>
      <c r="AD133" s="217"/>
      <c r="AE133" s="217"/>
      <c r="AF133" s="217"/>
      <c r="AG133" s="217"/>
      <c r="AH133" s="217"/>
      <c r="AI133" s="217"/>
      <c r="AJ133" s="217"/>
      <c r="AK133" s="217"/>
      <c r="AL133" s="217"/>
      <c r="AM133" s="217"/>
      <c r="AN133" s="217"/>
      <c r="AO133" s="217"/>
      <c r="AP133" s="217"/>
      <c r="AQ133" s="217"/>
      <c r="AR133" s="217"/>
      <c r="AS133" s="217"/>
      <c r="AT133" s="217"/>
      <c r="AU133" s="217"/>
      <c r="AV133" s="217"/>
      <c r="AW133" s="217"/>
      <c r="AX133" s="217"/>
      <c r="AY133" s="217"/>
      <c r="AZ133" s="217"/>
      <c r="BA133" s="217"/>
      <c r="BB133" s="217"/>
      <c r="BC133" s="217"/>
      <c r="BD133" s="217"/>
      <c r="BE133" s="217"/>
      <c r="BF133" s="217"/>
      <c r="BG133" s="217"/>
      <c r="BH133" s="217"/>
      <c r="BI133" s="217"/>
      <c r="BJ133" s="217"/>
      <c r="BK133" s="217"/>
      <c r="BL133" s="217"/>
      <c r="BM133" s="217"/>
      <c r="BN133" s="217"/>
      <c r="BO133" s="217"/>
      <c r="BP133" s="217"/>
      <c r="BQ133" s="217"/>
      <c r="BR133" s="217"/>
      <c r="BS133" s="217"/>
      <c r="BT133" s="217"/>
      <c r="BU133" s="217"/>
      <c r="BV133" s="217"/>
      <c r="BW133" s="217"/>
      <c r="BX133" s="217"/>
      <c r="BY133" s="217"/>
      <c r="BZ133" s="217"/>
      <c r="CA133" s="217"/>
      <c r="CB133" s="217"/>
      <c r="CC133" s="217"/>
      <c r="CD133" s="217"/>
      <c r="CE133" s="217"/>
      <c r="CF133" s="217"/>
      <c r="CG133" s="217"/>
      <c r="CH133" s="217"/>
      <c r="CI133" s="217"/>
      <c r="CJ133" s="217"/>
      <c r="CK133" s="217"/>
      <c r="CL133" s="217"/>
      <c r="CM133" s="217"/>
      <c r="CN133" s="217"/>
      <c r="CO133" s="217"/>
      <c r="CP133" s="217"/>
      <c r="CQ133" s="217"/>
      <c r="CR133" s="217"/>
      <c r="CS133" s="217"/>
      <c r="CT133" s="217"/>
      <c r="CU133" s="217"/>
      <c r="CV133" s="217"/>
      <c r="CW133" s="217"/>
      <c r="CX133" s="217"/>
      <c r="CY133" s="217"/>
      <c r="CZ133" s="217"/>
      <c r="DA133" s="217"/>
      <c r="DB133" s="217"/>
      <c r="DC133" s="217"/>
      <c r="DD133" s="217"/>
      <c r="DE133" s="217"/>
      <c r="DF133" s="217"/>
      <c r="DG133" s="217"/>
      <c r="DH133" s="217"/>
      <c r="DI133" s="217"/>
      <c r="DJ133" s="217"/>
      <c r="DK133" s="217"/>
      <c r="DL133" s="217"/>
      <c r="DM133" s="217"/>
      <c r="DN133" s="217"/>
      <c r="DO133" s="217"/>
      <c r="DP133" s="217"/>
      <c r="DQ133" s="217"/>
      <c r="DR133" s="217"/>
      <c r="DS133" s="217"/>
      <c r="DT133" s="217"/>
      <c r="DU133" s="217"/>
      <c r="DV133" s="217"/>
      <c r="DW133" s="217"/>
      <c r="DX133" s="217"/>
      <c r="DY133" s="186"/>
      <c r="DZ133" s="187"/>
      <c r="EA133" s="127"/>
      <c r="EB133" s="127"/>
      <c r="EC133" s="127"/>
      <c r="ED133" s="127"/>
    </row>
    <row r="134" spans="1:134" s="74" customFormat="1" ht="11.25" x14ac:dyDescent="0.2">
      <c r="A134" s="210">
        <v>2</v>
      </c>
      <c r="B134" s="392" t="s">
        <v>690</v>
      </c>
      <c r="C134" s="457" t="s">
        <v>618</v>
      </c>
      <c r="D134" s="398" t="s">
        <v>622</v>
      </c>
      <c r="E134" s="435"/>
      <c r="F134" s="443" t="str">
        <f>IFERROR(VLOOKUP(C134,MappingFromTTStoSU,2,FALSE),"SU Resource Role")</f>
        <v>DWMS</v>
      </c>
      <c r="G134" s="443" t="s">
        <v>692</v>
      </c>
      <c r="H134" s="434" t="str">
        <f>C133</f>
        <v>Customer SIT &amp; UAT</v>
      </c>
      <c r="I134" s="406"/>
      <c r="J134" s="406"/>
      <c r="K134" s="406"/>
      <c r="L134" s="406"/>
      <c r="M134" s="406"/>
      <c r="N134" s="406"/>
      <c r="O134" s="406"/>
      <c r="P134" s="406"/>
      <c r="Q134" s="406"/>
      <c r="R134" s="406"/>
      <c r="S134" s="406"/>
      <c r="T134" s="406"/>
      <c r="U134" s="181"/>
      <c r="V134" s="181"/>
      <c r="W134" s="181"/>
      <c r="X134" s="181"/>
      <c r="Y134" s="181"/>
      <c r="Z134" s="181"/>
      <c r="AA134" s="181"/>
      <c r="AB134" s="181"/>
      <c r="AC134" s="181"/>
      <c r="AD134" s="181"/>
      <c r="AE134" s="181"/>
      <c r="AF134" s="181"/>
      <c r="AG134" s="181"/>
      <c r="AH134" s="181"/>
      <c r="AI134" s="179"/>
      <c r="AJ134" s="181"/>
      <c r="AK134" s="181"/>
      <c r="AL134" s="181"/>
      <c r="AM134" s="181"/>
      <c r="AN134" s="181"/>
      <c r="AO134" s="181"/>
      <c r="AP134" s="181"/>
      <c r="AQ134" s="181"/>
      <c r="AR134" s="181"/>
      <c r="AS134" s="181"/>
      <c r="AT134" s="181"/>
      <c r="AU134" s="181"/>
      <c r="AV134" s="181"/>
      <c r="AW134" s="181"/>
      <c r="AX134" s="181"/>
      <c r="AY134" s="181"/>
      <c r="AZ134" s="181"/>
      <c r="BA134" s="181"/>
      <c r="BB134" s="181"/>
      <c r="BC134" s="181"/>
      <c r="BD134" s="181"/>
      <c r="BE134" s="181"/>
      <c r="BF134" s="181"/>
      <c r="BG134" s="181"/>
      <c r="BH134" s="181"/>
      <c r="BI134" s="181"/>
      <c r="BJ134" s="181"/>
      <c r="BK134" s="181"/>
      <c r="BL134" s="181"/>
      <c r="BM134" s="181"/>
      <c r="BN134" s="181"/>
      <c r="BO134" s="181"/>
      <c r="BP134" s="181"/>
      <c r="BQ134" s="181"/>
      <c r="BR134" s="181"/>
      <c r="BS134" s="181"/>
      <c r="BT134" s="181"/>
      <c r="BU134" s="181"/>
      <c r="BV134" s="181"/>
      <c r="BW134" s="181"/>
      <c r="BX134" s="181"/>
      <c r="BY134" s="181"/>
      <c r="BZ134" s="181"/>
      <c r="CA134" s="181"/>
      <c r="CB134" s="181"/>
      <c r="CC134" s="181"/>
      <c r="CD134" s="181"/>
      <c r="CE134" s="181"/>
      <c r="CF134" s="181"/>
      <c r="CG134" s="181"/>
      <c r="CH134" s="181"/>
      <c r="CI134" s="181"/>
      <c r="CJ134" s="181"/>
      <c r="CK134" s="181"/>
      <c r="CL134" s="181"/>
      <c r="CM134" s="181"/>
      <c r="CN134" s="181"/>
      <c r="CO134" s="181"/>
      <c r="CP134" s="181"/>
      <c r="CQ134" s="181"/>
      <c r="CR134" s="181"/>
      <c r="CS134" s="181"/>
      <c r="CT134" s="181"/>
      <c r="CU134" s="181"/>
      <c r="CV134" s="181"/>
      <c r="CW134" s="181"/>
      <c r="CX134" s="181"/>
      <c r="CY134" s="181"/>
      <c r="CZ134" s="181"/>
      <c r="DA134" s="181"/>
      <c r="DB134" s="181"/>
      <c r="DC134" s="181"/>
      <c r="DD134" s="181"/>
      <c r="DE134" s="181"/>
      <c r="DF134" s="181"/>
      <c r="DG134" s="181"/>
      <c r="DH134" s="181"/>
      <c r="DI134" s="181"/>
      <c r="DJ134" s="181"/>
      <c r="DK134" s="181"/>
      <c r="DL134" s="181"/>
      <c r="DM134" s="181"/>
      <c r="DN134" s="181"/>
      <c r="DO134" s="181"/>
      <c r="DP134" s="181"/>
      <c r="DQ134" s="181"/>
      <c r="DR134" s="181"/>
      <c r="DS134" s="181"/>
      <c r="DT134" s="181"/>
      <c r="DU134" s="181"/>
      <c r="DV134" s="181"/>
      <c r="DW134" s="181"/>
      <c r="DX134" s="181"/>
      <c r="DY134" s="180"/>
      <c r="DZ134" s="187"/>
      <c r="EA134" s="82">
        <f>SUMIF(I$8:DY$8,"&lt;&gt;"&amp;AgileIteration_Warranty,I134:DY134)*5*Scenario1Utilisation</f>
        <v>0</v>
      </c>
      <c r="EB134" s="82">
        <f t="shared" ref="EB134" si="225">EA134*Scenario1AgileContingency</f>
        <v>0</v>
      </c>
      <c r="EC134" s="82">
        <f>IF(Scenario1Warranty=AgileWarrantyDefault, (SUMIF(I$8:DY$8,AgileIteration_Warranty,I134:DY134)*5*Scenario1Utilisation), (EA134*Scenario1Warranty))</f>
        <v>0</v>
      </c>
      <c r="ED134" s="127">
        <f t="shared" ref="ED134" si="226">SUM(EA134:EC134)</f>
        <v>0</v>
      </c>
    </row>
    <row r="135" spans="1:134" s="74" customFormat="1" ht="11.25" x14ac:dyDescent="0.2">
      <c r="A135" s="210">
        <v>2</v>
      </c>
      <c r="B135" s="392" t="s">
        <v>690</v>
      </c>
      <c r="C135" s="457" t="str">
        <f>IFERROR(VLOOKUP(D135,MappingFromSetAgiletoTTSRole,2,FALSE),"SET Agile Resource Role")</f>
        <v>Test Consultant</v>
      </c>
      <c r="D135" s="398" t="s">
        <v>633</v>
      </c>
      <c r="E135" s="435"/>
      <c r="F135" s="443" t="str">
        <f>IFERROR(VLOOKUP(C135,MappingFromTTStoSU,2,FALSE),"SU Resource Role")</f>
        <v>DWMS</v>
      </c>
      <c r="G135" s="443" t="s">
        <v>693</v>
      </c>
      <c r="H135" s="434" t="str">
        <f>H134</f>
        <v>Customer SIT &amp; UAT</v>
      </c>
      <c r="I135" s="406"/>
      <c r="J135" s="406"/>
      <c r="K135" s="406"/>
      <c r="L135" s="406"/>
      <c r="M135" s="406"/>
      <c r="N135" s="406"/>
      <c r="O135" s="406"/>
      <c r="P135" s="406"/>
      <c r="Q135" s="406"/>
      <c r="R135" s="406"/>
      <c r="S135" s="406"/>
      <c r="T135" s="406"/>
      <c r="U135" s="181"/>
      <c r="V135" s="181"/>
      <c r="W135" s="181"/>
      <c r="X135" s="181"/>
      <c r="Y135" s="181"/>
      <c r="Z135" s="181"/>
      <c r="AA135" s="181"/>
      <c r="AB135" s="181"/>
      <c r="AC135" s="181"/>
      <c r="AD135" s="181"/>
      <c r="AE135" s="181"/>
      <c r="AF135" s="181"/>
      <c r="AG135" s="181"/>
      <c r="AH135" s="181"/>
      <c r="AI135" s="179"/>
      <c r="AJ135" s="181"/>
      <c r="AK135" s="181"/>
      <c r="AL135" s="181"/>
      <c r="AM135" s="181"/>
      <c r="AN135" s="181"/>
      <c r="AO135" s="181"/>
      <c r="AP135" s="181"/>
      <c r="AQ135" s="181"/>
      <c r="AR135" s="181"/>
      <c r="AS135" s="181"/>
      <c r="AT135" s="181"/>
      <c r="AU135" s="181"/>
      <c r="AV135" s="181"/>
      <c r="AW135" s="181"/>
      <c r="AX135" s="181"/>
      <c r="AY135" s="181"/>
      <c r="AZ135" s="181"/>
      <c r="BA135" s="181"/>
      <c r="BB135" s="181"/>
      <c r="BC135" s="181"/>
      <c r="BD135" s="181"/>
      <c r="BE135" s="181"/>
      <c r="BF135" s="181"/>
      <c r="BG135" s="181"/>
      <c r="BH135" s="181"/>
      <c r="BI135" s="181"/>
      <c r="BJ135" s="181"/>
      <c r="BK135" s="181"/>
      <c r="BL135" s="181"/>
      <c r="BM135" s="181"/>
      <c r="BN135" s="181"/>
      <c r="BO135" s="181"/>
      <c r="BP135" s="181"/>
      <c r="BQ135" s="181"/>
      <c r="BR135" s="181"/>
      <c r="BS135" s="181"/>
      <c r="BT135" s="181"/>
      <c r="BU135" s="181"/>
      <c r="BV135" s="181"/>
      <c r="BW135" s="181"/>
      <c r="BX135" s="181"/>
      <c r="BY135" s="181"/>
      <c r="BZ135" s="181"/>
      <c r="CA135" s="181"/>
      <c r="CB135" s="181"/>
      <c r="CC135" s="181"/>
      <c r="CD135" s="181"/>
      <c r="CE135" s="181"/>
      <c r="CF135" s="181"/>
      <c r="CG135" s="181"/>
      <c r="CH135" s="181"/>
      <c r="CI135" s="181"/>
      <c r="CJ135" s="181"/>
      <c r="CK135" s="181"/>
      <c r="CL135" s="181"/>
      <c r="CM135" s="181"/>
      <c r="CN135" s="181"/>
      <c r="CO135" s="181"/>
      <c r="CP135" s="181"/>
      <c r="CQ135" s="181"/>
      <c r="CR135" s="181"/>
      <c r="CS135" s="181"/>
      <c r="CT135" s="181"/>
      <c r="CU135" s="181"/>
      <c r="CV135" s="181"/>
      <c r="CW135" s="181"/>
      <c r="CX135" s="181"/>
      <c r="CY135" s="181"/>
      <c r="CZ135" s="181"/>
      <c r="DA135" s="181"/>
      <c r="DB135" s="181"/>
      <c r="DC135" s="181"/>
      <c r="DD135" s="181"/>
      <c r="DE135" s="181"/>
      <c r="DF135" s="181"/>
      <c r="DG135" s="181"/>
      <c r="DH135" s="181"/>
      <c r="DI135" s="181"/>
      <c r="DJ135" s="181"/>
      <c r="DK135" s="181"/>
      <c r="DL135" s="181"/>
      <c r="DM135" s="181"/>
      <c r="DN135" s="181"/>
      <c r="DO135" s="181"/>
      <c r="DP135" s="181"/>
      <c r="DQ135" s="181"/>
      <c r="DR135" s="181"/>
      <c r="DS135" s="181"/>
      <c r="DT135" s="181"/>
      <c r="DU135" s="181"/>
      <c r="DV135" s="181"/>
      <c r="DW135" s="181"/>
      <c r="DX135" s="181"/>
      <c r="DY135" s="180"/>
      <c r="DZ135" s="187"/>
      <c r="EA135" s="82">
        <f>SUMIF(I$8:DY$8,"&lt;&gt;"&amp;AgileIteration_Warranty,I135:DY135)*5*Scenario1Utilisation</f>
        <v>0</v>
      </c>
      <c r="EB135" s="82">
        <f t="shared" ref="EB135" si="227">EA135*Scenario1AgileContingency</f>
        <v>0</v>
      </c>
      <c r="EC135" s="82">
        <f>IF(Scenario1Warranty=AgileWarrantyDefault, (SUMIF(I$8:DY$8,AgileIteration_Warranty,I135:DY135)*5*Scenario1Utilisation), (EA135*Scenario1Warranty))</f>
        <v>0</v>
      </c>
      <c r="ED135" s="127">
        <f t="shared" ref="ED135" si="228">SUM(EA135:EC135)</f>
        <v>0</v>
      </c>
    </row>
    <row r="136" spans="1:134" s="74" customFormat="1" ht="11.25" x14ac:dyDescent="0.2">
      <c r="A136" s="210">
        <v>2</v>
      </c>
      <c r="B136" s="392" t="s">
        <v>690</v>
      </c>
      <c r="C136" s="457" t="s">
        <v>685</v>
      </c>
      <c r="D136" s="398" t="s">
        <v>622</v>
      </c>
      <c r="E136" s="435"/>
      <c r="F136" s="443" t="str">
        <f>IFERROR(VLOOKUP(C136,MappingFromTTStoSU,2,FALSE),"SU Resource Role")</f>
        <v>DWMS</v>
      </c>
      <c r="G136" s="443" t="s">
        <v>694</v>
      </c>
      <c r="H136" s="434" t="str">
        <f>H135</f>
        <v>Customer SIT &amp; UAT</v>
      </c>
      <c r="I136" s="406"/>
      <c r="J136" s="406"/>
      <c r="K136" s="406"/>
      <c r="L136" s="406"/>
      <c r="M136" s="406"/>
      <c r="N136" s="406"/>
      <c r="O136" s="406"/>
      <c r="P136" s="406"/>
      <c r="Q136" s="406"/>
      <c r="R136" s="406"/>
      <c r="S136" s="406"/>
      <c r="T136" s="406"/>
      <c r="U136" s="181"/>
      <c r="V136" s="181"/>
      <c r="W136" s="181"/>
      <c r="X136" s="181"/>
      <c r="Y136" s="181"/>
      <c r="Z136" s="181"/>
      <c r="AA136" s="181"/>
      <c r="AB136" s="181"/>
      <c r="AC136" s="181"/>
      <c r="AD136" s="181"/>
      <c r="AE136" s="181"/>
      <c r="AF136" s="181"/>
      <c r="AG136" s="181"/>
      <c r="AH136" s="181"/>
      <c r="AI136" s="179"/>
      <c r="AJ136" s="181"/>
      <c r="AK136" s="181"/>
      <c r="AL136" s="181"/>
      <c r="AM136" s="181"/>
      <c r="AN136" s="181"/>
      <c r="AO136" s="181"/>
      <c r="AP136" s="181"/>
      <c r="AQ136" s="181"/>
      <c r="AR136" s="181"/>
      <c r="AS136" s="181"/>
      <c r="AT136" s="181"/>
      <c r="AU136" s="181"/>
      <c r="AV136" s="181"/>
      <c r="AW136" s="181"/>
      <c r="AX136" s="181"/>
      <c r="AY136" s="181"/>
      <c r="AZ136" s="181"/>
      <c r="BA136" s="181"/>
      <c r="BB136" s="181"/>
      <c r="BC136" s="181"/>
      <c r="BD136" s="181"/>
      <c r="BE136" s="181"/>
      <c r="BF136" s="181"/>
      <c r="BG136" s="181"/>
      <c r="BH136" s="181"/>
      <c r="BI136" s="181"/>
      <c r="BJ136" s="181"/>
      <c r="BK136" s="181"/>
      <c r="BL136" s="181"/>
      <c r="BM136" s="181"/>
      <c r="BN136" s="181"/>
      <c r="BO136" s="181"/>
      <c r="BP136" s="181"/>
      <c r="BQ136" s="181"/>
      <c r="BR136" s="181"/>
      <c r="BS136" s="181"/>
      <c r="BT136" s="181"/>
      <c r="BU136" s="181"/>
      <c r="BV136" s="181"/>
      <c r="BW136" s="181"/>
      <c r="BX136" s="181"/>
      <c r="BY136" s="181"/>
      <c r="BZ136" s="181"/>
      <c r="CA136" s="181"/>
      <c r="CB136" s="181"/>
      <c r="CC136" s="181"/>
      <c r="CD136" s="181"/>
      <c r="CE136" s="181"/>
      <c r="CF136" s="181"/>
      <c r="CG136" s="181"/>
      <c r="CH136" s="181"/>
      <c r="CI136" s="181"/>
      <c r="CJ136" s="181"/>
      <c r="CK136" s="181"/>
      <c r="CL136" s="181"/>
      <c r="CM136" s="181"/>
      <c r="CN136" s="181"/>
      <c r="CO136" s="181"/>
      <c r="CP136" s="181"/>
      <c r="CQ136" s="181"/>
      <c r="CR136" s="181"/>
      <c r="CS136" s="181"/>
      <c r="CT136" s="181"/>
      <c r="CU136" s="181"/>
      <c r="CV136" s="181"/>
      <c r="CW136" s="181"/>
      <c r="CX136" s="181"/>
      <c r="CY136" s="181"/>
      <c r="CZ136" s="181"/>
      <c r="DA136" s="181"/>
      <c r="DB136" s="181"/>
      <c r="DC136" s="181"/>
      <c r="DD136" s="181"/>
      <c r="DE136" s="181"/>
      <c r="DF136" s="181"/>
      <c r="DG136" s="181"/>
      <c r="DH136" s="181"/>
      <c r="DI136" s="181"/>
      <c r="DJ136" s="181"/>
      <c r="DK136" s="181"/>
      <c r="DL136" s="181"/>
      <c r="DM136" s="181"/>
      <c r="DN136" s="181"/>
      <c r="DO136" s="181"/>
      <c r="DP136" s="181"/>
      <c r="DQ136" s="181"/>
      <c r="DR136" s="181"/>
      <c r="DS136" s="181"/>
      <c r="DT136" s="181"/>
      <c r="DU136" s="181"/>
      <c r="DV136" s="181"/>
      <c r="DW136" s="181"/>
      <c r="DX136" s="181"/>
      <c r="DY136" s="180"/>
      <c r="DZ136" s="187"/>
      <c r="EA136" s="82">
        <f>SUMIF(I$8:DY$8,"&lt;&gt;"&amp;AgileIteration_Warranty,I136:DY136)*5*Scenario1Utilisation</f>
        <v>0</v>
      </c>
      <c r="EB136" s="82">
        <f t="shared" ref="EB136" si="229">EA136*Scenario1AgileContingency</f>
        <v>0</v>
      </c>
      <c r="EC136" s="82">
        <f>IF(Scenario1Warranty=AgileWarrantyDefault, (SUMIF(I$8:DY$8,AgileIteration_Warranty,I136:DY136)*5*Scenario1Utilisation), (EA136*Scenario1Warranty))</f>
        <v>0</v>
      </c>
      <c r="ED136" s="127">
        <f t="shared" ref="ED136" si="230">SUM(EA136:EC136)</f>
        <v>0</v>
      </c>
    </row>
    <row r="137" spans="1:134" s="74" customFormat="1" ht="11.25" x14ac:dyDescent="0.2">
      <c r="A137" s="210">
        <v>2</v>
      </c>
      <c r="B137" s="392" t="s">
        <v>690</v>
      </c>
      <c r="C137" s="457" t="str">
        <f>IFERROR(VLOOKUP(D137,MappingFromSetAgiletoTTSRole,2,FALSE),"SET Agile Resource Role")</f>
        <v>Test Consultant</v>
      </c>
      <c r="D137" s="398" t="s">
        <v>633</v>
      </c>
      <c r="E137" s="435"/>
      <c r="F137" s="443" t="str">
        <f>IFERROR(VLOOKUP(C137,MappingFromTTStoSU,2,FALSE),"SU Resource Role")</f>
        <v>DWMS</v>
      </c>
      <c r="G137" s="443" t="s">
        <v>695</v>
      </c>
      <c r="H137" s="434" t="str">
        <f>H136</f>
        <v>Customer SIT &amp; UAT</v>
      </c>
      <c r="I137" s="406"/>
      <c r="J137" s="406"/>
      <c r="K137" s="406"/>
      <c r="L137" s="406"/>
      <c r="M137" s="406"/>
      <c r="N137" s="406"/>
      <c r="O137" s="406"/>
      <c r="P137" s="406"/>
      <c r="Q137" s="406"/>
      <c r="R137" s="406"/>
      <c r="S137" s="406"/>
      <c r="T137" s="406"/>
      <c r="U137" s="181"/>
      <c r="V137" s="181"/>
      <c r="W137" s="181"/>
      <c r="X137" s="181"/>
      <c r="Y137" s="181"/>
      <c r="Z137" s="181"/>
      <c r="AA137" s="181"/>
      <c r="AB137" s="181"/>
      <c r="AC137" s="181"/>
      <c r="AD137" s="181"/>
      <c r="AE137" s="181"/>
      <c r="AF137" s="181"/>
      <c r="AG137" s="181"/>
      <c r="AH137" s="181"/>
      <c r="AI137" s="179"/>
      <c r="AJ137" s="181"/>
      <c r="AK137" s="181"/>
      <c r="AL137" s="181"/>
      <c r="AM137" s="181"/>
      <c r="AN137" s="181"/>
      <c r="AO137" s="181"/>
      <c r="AP137" s="181"/>
      <c r="AQ137" s="181"/>
      <c r="AR137" s="181"/>
      <c r="AS137" s="181"/>
      <c r="AT137" s="181"/>
      <c r="AU137" s="181"/>
      <c r="AV137" s="181"/>
      <c r="AW137" s="181"/>
      <c r="AX137" s="181"/>
      <c r="AY137" s="181"/>
      <c r="AZ137" s="181"/>
      <c r="BA137" s="181"/>
      <c r="BB137" s="181"/>
      <c r="BC137" s="181"/>
      <c r="BD137" s="181"/>
      <c r="BE137" s="181"/>
      <c r="BF137" s="181"/>
      <c r="BG137" s="181"/>
      <c r="BH137" s="181"/>
      <c r="BI137" s="181"/>
      <c r="BJ137" s="181"/>
      <c r="BK137" s="181"/>
      <c r="BL137" s="181"/>
      <c r="BM137" s="181"/>
      <c r="BN137" s="181"/>
      <c r="BO137" s="181"/>
      <c r="BP137" s="181"/>
      <c r="BQ137" s="181"/>
      <c r="BR137" s="181"/>
      <c r="BS137" s="181"/>
      <c r="BT137" s="181"/>
      <c r="BU137" s="181"/>
      <c r="BV137" s="181"/>
      <c r="BW137" s="181"/>
      <c r="BX137" s="181"/>
      <c r="BY137" s="181"/>
      <c r="BZ137" s="181"/>
      <c r="CA137" s="181"/>
      <c r="CB137" s="181"/>
      <c r="CC137" s="181"/>
      <c r="CD137" s="181"/>
      <c r="CE137" s="181"/>
      <c r="CF137" s="181"/>
      <c r="CG137" s="181"/>
      <c r="CH137" s="181"/>
      <c r="CI137" s="181"/>
      <c r="CJ137" s="181"/>
      <c r="CK137" s="181"/>
      <c r="CL137" s="181"/>
      <c r="CM137" s="181"/>
      <c r="CN137" s="181"/>
      <c r="CO137" s="181"/>
      <c r="CP137" s="181"/>
      <c r="CQ137" s="181"/>
      <c r="CR137" s="181"/>
      <c r="CS137" s="181"/>
      <c r="CT137" s="181"/>
      <c r="CU137" s="181"/>
      <c r="CV137" s="181"/>
      <c r="CW137" s="181"/>
      <c r="CX137" s="181"/>
      <c r="CY137" s="181"/>
      <c r="CZ137" s="181"/>
      <c r="DA137" s="181"/>
      <c r="DB137" s="181"/>
      <c r="DC137" s="181"/>
      <c r="DD137" s="181"/>
      <c r="DE137" s="181"/>
      <c r="DF137" s="181"/>
      <c r="DG137" s="181"/>
      <c r="DH137" s="181"/>
      <c r="DI137" s="181"/>
      <c r="DJ137" s="181"/>
      <c r="DK137" s="181"/>
      <c r="DL137" s="181"/>
      <c r="DM137" s="181"/>
      <c r="DN137" s="181"/>
      <c r="DO137" s="181"/>
      <c r="DP137" s="181"/>
      <c r="DQ137" s="181"/>
      <c r="DR137" s="181"/>
      <c r="DS137" s="181"/>
      <c r="DT137" s="181"/>
      <c r="DU137" s="181"/>
      <c r="DV137" s="181"/>
      <c r="DW137" s="181"/>
      <c r="DX137" s="181"/>
      <c r="DY137" s="180"/>
      <c r="DZ137" s="187"/>
      <c r="EA137" s="82">
        <f>SUMIF(I$8:DY$8,"&lt;&gt;"&amp;AgileIteration_Warranty,I137:DY137)*5*Scenario1Utilisation</f>
        <v>0</v>
      </c>
      <c r="EB137" s="82">
        <f t="shared" ref="EB137" si="231">EA137*Scenario1AgileContingency</f>
        <v>0</v>
      </c>
      <c r="EC137" s="82">
        <f>IF(Scenario1Warranty=AgileWarrantyDefault, (SUMIF(I$8:DY$8,AgileIteration_Warranty,I137:DY137)*5*Scenario1Utilisation), (EA137*Scenario1Warranty))</f>
        <v>0</v>
      </c>
      <c r="ED137" s="127">
        <f t="shared" ref="ED137" si="232">SUM(EA137:EC137)</f>
        <v>0</v>
      </c>
    </row>
    <row r="138" spans="1:134" s="74" customFormat="1" ht="11.25" x14ac:dyDescent="0.2">
      <c r="A138" s="210">
        <v>1</v>
      </c>
      <c r="B138" s="392" t="s">
        <v>690</v>
      </c>
      <c r="C138" s="545" t="s">
        <v>696</v>
      </c>
      <c r="D138" s="206" t="s">
        <v>696</v>
      </c>
      <c r="E138" s="436"/>
      <c r="F138" s="523"/>
      <c r="G138" s="523"/>
      <c r="H138" s="436"/>
      <c r="I138" s="217"/>
      <c r="J138" s="217"/>
      <c r="K138" s="217"/>
      <c r="L138" s="217"/>
      <c r="M138" s="217"/>
      <c r="N138" s="217"/>
      <c r="O138" s="217"/>
      <c r="P138" s="217"/>
      <c r="Q138" s="217"/>
      <c r="R138" s="217"/>
      <c r="S138" s="217"/>
      <c r="T138" s="217"/>
      <c r="U138" s="217"/>
      <c r="V138" s="217"/>
      <c r="W138" s="217"/>
      <c r="X138" s="217"/>
      <c r="Y138" s="217"/>
      <c r="Z138" s="217"/>
      <c r="AA138" s="217"/>
      <c r="AB138" s="217"/>
      <c r="AC138" s="217"/>
      <c r="AD138" s="217"/>
      <c r="AE138" s="217"/>
      <c r="AF138" s="217"/>
      <c r="AG138" s="217"/>
      <c r="AH138" s="217"/>
      <c r="AI138" s="217"/>
      <c r="AJ138" s="217"/>
      <c r="AK138" s="217"/>
      <c r="AL138" s="217"/>
      <c r="AM138" s="217"/>
      <c r="AN138" s="217"/>
      <c r="AO138" s="217"/>
      <c r="AP138" s="217"/>
      <c r="AQ138" s="217"/>
      <c r="AR138" s="217"/>
      <c r="AS138" s="217"/>
      <c r="AT138" s="217"/>
      <c r="AU138" s="217"/>
      <c r="AV138" s="217"/>
      <c r="AW138" s="217"/>
      <c r="AX138" s="217"/>
      <c r="AY138" s="217"/>
      <c r="AZ138" s="217"/>
      <c r="BA138" s="217"/>
      <c r="BB138" s="217"/>
      <c r="BC138" s="217"/>
      <c r="BD138" s="217"/>
      <c r="BE138" s="217"/>
      <c r="BF138" s="217"/>
      <c r="BG138" s="217"/>
      <c r="BH138" s="217"/>
      <c r="BI138" s="217"/>
      <c r="BJ138" s="217"/>
      <c r="BK138" s="217"/>
      <c r="BL138" s="217"/>
      <c r="BM138" s="217"/>
      <c r="BN138" s="217"/>
      <c r="BO138" s="217"/>
      <c r="BP138" s="217"/>
      <c r="BQ138" s="217"/>
      <c r="BR138" s="217"/>
      <c r="BS138" s="217"/>
      <c r="BT138" s="217"/>
      <c r="BU138" s="217"/>
      <c r="BV138" s="217"/>
      <c r="BW138" s="217"/>
      <c r="BX138" s="217"/>
      <c r="BY138" s="217"/>
      <c r="BZ138" s="217"/>
      <c r="CA138" s="217"/>
      <c r="CB138" s="217"/>
      <c r="CC138" s="217"/>
      <c r="CD138" s="217"/>
      <c r="CE138" s="217"/>
      <c r="CF138" s="217"/>
      <c r="CG138" s="217"/>
      <c r="CH138" s="217"/>
      <c r="CI138" s="217"/>
      <c r="CJ138" s="217"/>
      <c r="CK138" s="217"/>
      <c r="CL138" s="217"/>
      <c r="CM138" s="217"/>
      <c r="CN138" s="217"/>
      <c r="CO138" s="217"/>
      <c r="CP138" s="217"/>
      <c r="CQ138" s="217"/>
      <c r="CR138" s="217"/>
      <c r="CS138" s="217"/>
      <c r="CT138" s="217"/>
      <c r="CU138" s="217"/>
      <c r="CV138" s="217"/>
      <c r="CW138" s="217"/>
      <c r="CX138" s="217"/>
      <c r="CY138" s="217"/>
      <c r="CZ138" s="217"/>
      <c r="DA138" s="217"/>
      <c r="DB138" s="217"/>
      <c r="DC138" s="217"/>
      <c r="DD138" s="217"/>
      <c r="DE138" s="217"/>
      <c r="DF138" s="217"/>
      <c r="DG138" s="217"/>
      <c r="DH138" s="217"/>
      <c r="DI138" s="217"/>
      <c r="DJ138" s="217"/>
      <c r="DK138" s="217"/>
      <c r="DL138" s="217"/>
      <c r="DM138" s="217"/>
      <c r="DN138" s="217"/>
      <c r="DO138" s="217"/>
      <c r="DP138" s="217"/>
      <c r="DQ138" s="217"/>
      <c r="DR138" s="217"/>
      <c r="DS138" s="217"/>
      <c r="DT138" s="217"/>
      <c r="DU138" s="217"/>
      <c r="DV138" s="217"/>
      <c r="DW138" s="217"/>
      <c r="DX138" s="217"/>
      <c r="DY138" s="186"/>
      <c r="DZ138" s="187"/>
      <c r="EA138" s="127"/>
      <c r="EB138" s="127"/>
      <c r="EC138" s="127"/>
      <c r="ED138" s="127"/>
    </row>
    <row r="139" spans="1:134" s="74" customFormat="1" ht="11.25" x14ac:dyDescent="0.2">
      <c r="A139" s="210">
        <v>2</v>
      </c>
      <c r="B139" s="392" t="s">
        <v>690</v>
      </c>
      <c r="C139" s="457" t="str">
        <f>IFERROR(VLOOKUP(D139,MappingFromSetAgiletoTTSRole,2,FALSE),"SET Agile Resource Role")</f>
        <v>Test Consultant Sr</v>
      </c>
      <c r="D139" s="398" t="s">
        <v>634</v>
      </c>
      <c r="E139" s="435"/>
      <c r="F139" s="443" t="str">
        <f>IFERROR(VLOOKUP(C139,MappingFromTTStoSU,2,FALSE),"SU Resource Role")</f>
        <v>DWMS</v>
      </c>
      <c r="G139" s="443"/>
      <c r="H139" s="434" t="str">
        <f>C138</f>
        <v>Internal SIT Support</v>
      </c>
      <c r="I139" s="406"/>
      <c r="J139" s="406"/>
      <c r="K139" s="406"/>
      <c r="L139" s="406"/>
      <c r="M139" s="406"/>
      <c r="N139" s="406"/>
      <c r="O139" s="406"/>
      <c r="P139" s="406"/>
      <c r="Q139" s="406"/>
      <c r="R139" s="406"/>
      <c r="S139" s="406"/>
      <c r="T139" s="406"/>
      <c r="U139" s="181"/>
      <c r="V139" s="181"/>
      <c r="W139" s="181"/>
      <c r="X139" s="181"/>
      <c r="Y139" s="181"/>
      <c r="Z139" s="181"/>
      <c r="AA139" s="181"/>
      <c r="AB139" s="181"/>
      <c r="AC139" s="181"/>
      <c r="AD139" s="181"/>
      <c r="AE139" s="181"/>
      <c r="AF139" s="181"/>
      <c r="AG139" s="181"/>
      <c r="AH139" s="181"/>
      <c r="AI139" s="179"/>
      <c r="AJ139" s="181"/>
      <c r="AK139" s="181"/>
      <c r="AL139" s="181"/>
      <c r="AM139" s="181"/>
      <c r="AN139" s="181"/>
      <c r="AO139" s="181"/>
      <c r="AP139" s="181"/>
      <c r="AQ139" s="181"/>
      <c r="AR139" s="181"/>
      <c r="AS139" s="181"/>
      <c r="AT139" s="181"/>
      <c r="AU139" s="181"/>
      <c r="AV139" s="181"/>
      <c r="AW139" s="181"/>
      <c r="AX139" s="181"/>
      <c r="AY139" s="181"/>
      <c r="AZ139" s="181"/>
      <c r="BA139" s="181"/>
      <c r="BB139" s="181"/>
      <c r="BC139" s="181"/>
      <c r="BD139" s="181"/>
      <c r="BE139" s="181"/>
      <c r="BF139" s="181"/>
      <c r="BG139" s="181"/>
      <c r="BH139" s="181"/>
      <c r="BI139" s="181"/>
      <c r="BJ139" s="181"/>
      <c r="BK139" s="181"/>
      <c r="BL139" s="181"/>
      <c r="BM139" s="181"/>
      <c r="BN139" s="181"/>
      <c r="BO139" s="181"/>
      <c r="BP139" s="181"/>
      <c r="BQ139" s="181"/>
      <c r="BR139" s="181"/>
      <c r="BS139" s="181"/>
      <c r="BT139" s="181"/>
      <c r="BU139" s="181"/>
      <c r="BV139" s="181"/>
      <c r="BW139" s="181"/>
      <c r="BX139" s="181"/>
      <c r="BY139" s="181"/>
      <c r="BZ139" s="181"/>
      <c r="CA139" s="181"/>
      <c r="CB139" s="181"/>
      <c r="CC139" s="181"/>
      <c r="CD139" s="181"/>
      <c r="CE139" s="181"/>
      <c r="CF139" s="181"/>
      <c r="CG139" s="181"/>
      <c r="CH139" s="181"/>
      <c r="CI139" s="181"/>
      <c r="CJ139" s="181"/>
      <c r="CK139" s="181"/>
      <c r="CL139" s="181"/>
      <c r="CM139" s="181"/>
      <c r="CN139" s="181"/>
      <c r="CO139" s="181"/>
      <c r="CP139" s="181"/>
      <c r="CQ139" s="181"/>
      <c r="CR139" s="181"/>
      <c r="CS139" s="181"/>
      <c r="CT139" s="181"/>
      <c r="CU139" s="181"/>
      <c r="CV139" s="181"/>
      <c r="CW139" s="181"/>
      <c r="CX139" s="181"/>
      <c r="CY139" s="181"/>
      <c r="CZ139" s="181"/>
      <c r="DA139" s="181"/>
      <c r="DB139" s="181"/>
      <c r="DC139" s="181"/>
      <c r="DD139" s="181"/>
      <c r="DE139" s="181"/>
      <c r="DF139" s="181"/>
      <c r="DG139" s="181"/>
      <c r="DH139" s="181"/>
      <c r="DI139" s="181"/>
      <c r="DJ139" s="181"/>
      <c r="DK139" s="181"/>
      <c r="DL139" s="181"/>
      <c r="DM139" s="181"/>
      <c r="DN139" s="181"/>
      <c r="DO139" s="181"/>
      <c r="DP139" s="181"/>
      <c r="DQ139" s="181"/>
      <c r="DR139" s="181"/>
      <c r="DS139" s="181"/>
      <c r="DT139" s="181"/>
      <c r="DU139" s="181"/>
      <c r="DV139" s="181"/>
      <c r="DW139" s="181"/>
      <c r="DX139" s="181"/>
      <c r="DY139" s="180"/>
      <c r="DZ139" s="187"/>
      <c r="EA139" s="82">
        <f>SUMIF(I$8:DY$8,"&lt;&gt;"&amp;AgileIteration_Warranty,I139:DY139)*5*Scenario1Utilisation</f>
        <v>0</v>
      </c>
      <c r="EB139" s="82">
        <f t="shared" ref="EB139" si="233">EA139*Scenario1AgileContingency</f>
        <v>0</v>
      </c>
      <c r="EC139" s="82">
        <f>IF(Scenario1Warranty=AgileWarrantyDefault, (SUMIF(I$8:DY$8,AgileIteration_Warranty,I139:DY139)*5*Scenario1Utilisation), (EA139*Scenario1Warranty))</f>
        <v>0</v>
      </c>
      <c r="ED139" s="127">
        <f t="shared" ref="ED139" si="234">SUM(EA139:EC139)</f>
        <v>0</v>
      </c>
    </row>
    <row r="140" spans="1:134" s="74" customFormat="1" ht="11.25" x14ac:dyDescent="0.2">
      <c r="A140" s="210">
        <v>2</v>
      </c>
      <c r="B140" s="392" t="s">
        <v>690</v>
      </c>
      <c r="C140" s="457" t="str">
        <f>IFERROR(VLOOKUP(D140,MappingFromSetAgiletoTTSRole,2,FALSE),"SET Agile Resource Role")</f>
        <v>Test Consultant</v>
      </c>
      <c r="D140" s="398" t="s">
        <v>633</v>
      </c>
      <c r="E140" s="435"/>
      <c r="F140" s="443" t="str">
        <f>IFERROR(VLOOKUP(C140,MappingFromTTStoSU,2,FALSE),"SU Resource Role")</f>
        <v>DWMS</v>
      </c>
      <c r="G140" s="443"/>
      <c r="H140" s="434" t="str">
        <f>H139</f>
        <v>Internal SIT Support</v>
      </c>
      <c r="I140" s="406"/>
      <c r="J140" s="406"/>
      <c r="K140" s="406"/>
      <c r="L140" s="406"/>
      <c r="M140" s="406"/>
      <c r="N140" s="406"/>
      <c r="O140" s="406"/>
      <c r="P140" s="406"/>
      <c r="Q140" s="406"/>
      <c r="R140" s="406"/>
      <c r="S140" s="406"/>
      <c r="T140" s="406"/>
      <c r="U140" s="181"/>
      <c r="V140" s="181"/>
      <c r="W140" s="181"/>
      <c r="X140" s="181"/>
      <c r="Y140" s="181"/>
      <c r="Z140" s="181"/>
      <c r="AA140" s="181"/>
      <c r="AB140" s="181"/>
      <c r="AC140" s="181"/>
      <c r="AD140" s="181"/>
      <c r="AE140" s="181"/>
      <c r="AF140" s="181"/>
      <c r="AG140" s="181"/>
      <c r="AH140" s="181"/>
      <c r="AI140" s="179"/>
      <c r="AJ140" s="181"/>
      <c r="AK140" s="181"/>
      <c r="AL140" s="181"/>
      <c r="AM140" s="181"/>
      <c r="AN140" s="181"/>
      <c r="AO140" s="181"/>
      <c r="AP140" s="181"/>
      <c r="AQ140" s="181"/>
      <c r="AR140" s="181"/>
      <c r="AS140" s="181"/>
      <c r="AT140" s="181"/>
      <c r="AU140" s="181"/>
      <c r="AV140" s="181"/>
      <c r="AW140" s="181"/>
      <c r="AX140" s="181"/>
      <c r="AY140" s="181"/>
      <c r="AZ140" s="181"/>
      <c r="BA140" s="181"/>
      <c r="BB140" s="181"/>
      <c r="BC140" s="181"/>
      <c r="BD140" s="181"/>
      <c r="BE140" s="181"/>
      <c r="BF140" s="181"/>
      <c r="BG140" s="181"/>
      <c r="BH140" s="181"/>
      <c r="BI140" s="181"/>
      <c r="BJ140" s="181"/>
      <c r="BK140" s="181"/>
      <c r="BL140" s="181"/>
      <c r="BM140" s="181"/>
      <c r="BN140" s="181"/>
      <c r="BO140" s="181"/>
      <c r="BP140" s="181"/>
      <c r="BQ140" s="181"/>
      <c r="BR140" s="181"/>
      <c r="BS140" s="181"/>
      <c r="BT140" s="181"/>
      <c r="BU140" s="181"/>
      <c r="BV140" s="181"/>
      <c r="BW140" s="181"/>
      <c r="BX140" s="181"/>
      <c r="BY140" s="181"/>
      <c r="BZ140" s="181"/>
      <c r="CA140" s="181"/>
      <c r="CB140" s="181"/>
      <c r="CC140" s="181"/>
      <c r="CD140" s="181"/>
      <c r="CE140" s="181"/>
      <c r="CF140" s="181"/>
      <c r="CG140" s="181"/>
      <c r="CH140" s="181"/>
      <c r="CI140" s="181"/>
      <c r="CJ140" s="181"/>
      <c r="CK140" s="181"/>
      <c r="CL140" s="181"/>
      <c r="CM140" s="181"/>
      <c r="CN140" s="181"/>
      <c r="CO140" s="181"/>
      <c r="CP140" s="181"/>
      <c r="CQ140" s="181"/>
      <c r="CR140" s="181"/>
      <c r="CS140" s="181"/>
      <c r="CT140" s="181"/>
      <c r="CU140" s="181"/>
      <c r="CV140" s="181"/>
      <c r="CW140" s="181"/>
      <c r="CX140" s="181"/>
      <c r="CY140" s="181"/>
      <c r="CZ140" s="181"/>
      <c r="DA140" s="181"/>
      <c r="DB140" s="181"/>
      <c r="DC140" s="181"/>
      <c r="DD140" s="181"/>
      <c r="DE140" s="181"/>
      <c r="DF140" s="181"/>
      <c r="DG140" s="181"/>
      <c r="DH140" s="181"/>
      <c r="DI140" s="181"/>
      <c r="DJ140" s="181"/>
      <c r="DK140" s="181"/>
      <c r="DL140" s="181"/>
      <c r="DM140" s="181"/>
      <c r="DN140" s="181"/>
      <c r="DO140" s="181"/>
      <c r="DP140" s="181"/>
      <c r="DQ140" s="181"/>
      <c r="DR140" s="181"/>
      <c r="DS140" s="181"/>
      <c r="DT140" s="181"/>
      <c r="DU140" s="181"/>
      <c r="DV140" s="181"/>
      <c r="DW140" s="181"/>
      <c r="DX140" s="181"/>
      <c r="DY140" s="180"/>
      <c r="DZ140" s="187"/>
      <c r="EA140" s="82">
        <f>SUMIF(I$8:DY$8,"&lt;&gt;"&amp;AgileIteration_Warranty,I140:DY140)*5*Scenario1Utilisation</f>
        <v>0</v>
      </c>
      <c r="EB140" s="82">
        <f t="shared" ref="EB140" si="235">EA140*Scenario1AgileContingency</f>
        <v>0</v>
      </c>
      <c r="EC140" s="82">
        <f>IF(Scenario1Warranty=AgileWarrantyDefault, (SUMIF(I$8:DY$8,AgileIteration_Warranty,I140:DY140)*5*Scenario1Utilisation), (EA140*Scenario1Warranty))</f>
        <v>0</v>
      </c>
      <c r="ED140" s="127">
        <f t="shared" ref="ED140" si="236">SUM(EA140:EC140)</f>
        <v>0</v>
      </c>
    </row>
    <row r="141" spans="1:134" s="74" customFormat="1" ht="56.25" x14ac:dyDescent="0.2">
      <c r="A141" s="210">
        <v>1</v>
      </c>
      <c r="B141" s="211" t="s">
        <v>697</v>
      </c>
      <c r="C141" s="207" t="s">
        <v>698</v>
      </c>
      <c r="D141" s="207" t="s">
        <v>698</v>
      </c>
      <c r="E141" s="437"/>
      <c r="F141" s="524"/>
      <c r="G141" s="524"/>
      <c r="H141" s="437"/>
      <c r="I141" s="214"/>
      <c r="J141" s="214"/>
      <c r="K141" s="214"/>
      <c r="L141" s="214"/>
      <c r="M141" s="214"/>
      <c r="N141" s="214"/>
      <c r="O141" s="214"/>
      <c r="P141" s="214"/>
      <c r="Q141" s="214"/>
      <c r="R141" s="214"/>
      <c r="S141" s="214"/>
      <c r="T141" s="214"/>
      <c r="U141" s="214"/>
      <c r="V141" s="214"/>
      <c r="W141" s="214"/>
      <c r="X141" s="214"/>
      <c r="Y141" s="214"/>
      <c r="Z141" s="214"/>
      <c r="AA141" s="214"/>
      <c r="AB141" s="214"/>
      <c r="AC141" s="214"/>
      <c r="AD141" s="214"/>
      <c r="AE141" s="214" t="s">
        <v>699</v>
      </c>
      <c r="AF141" s="214"/>
      <c r="AG141" s="214"/>
      <c r="AH141" s="214"/>
      <c r="AI141" s="214"/>
      <c r="AJ141" s="214"/>
      <c r="AK141" s="214"/>
      <c r="AL141" s="214"/>
      <c r="AM141" s="214"/>
      <c r="AN141" s="214"/>
      <c r="AO141" s="214" t="s">
        <v>700</v>
      </c>
      <c r="AP141" s="214"/>
      <c r="AQ141" s="214"/>
      <c r="AR141" s="214"/>
      <c r="AS141" s="214"/>
      <c r="AT141" s="214"/>
      <c r="AU141" s="214"/>
      <c r="AV141" s="214"/>
      <c r="AW141" s="214"/>
      <c r="AX141" s="214"/>
      <c r="AY141" s="214" t="s">
        <v>701</v>
      </c>
      <c r="AZ141" s="214"/>
      <c r="BA141" s="214"/>
      <c r="BB141" s="214"/>
      <c r="BC141" s="214"/>
      <c r="BD141" s="214"/>
      <c r="BE141" s="214"/>
      <c r="BF141" s="214"/>
      <c r="BG141" s="214"/>
      <c r="BH141" s="214"/>
      <c r="BI141" s="214"/>
      <c r="BJ141" s="214"/>
      <c r="BK141" s="214"/>
      <c r="BL141" s="214"/>
      <c r="BM141" s="214"/>
      <c r="BN141" s="214"/>
      <c r="BO141" s="214"/>
      <c r="BP141" s="214"/>
      <c r="BQ141" s="214"/>
      <c r="BR141" s="214"/>
      <c r="BS141" s="214"/>
      <c r="BT141" s="214"/>
      <c r="BU141" s="214"/>
      <c r="BV141" s="214"/>
      <c r="BW141" s="214"/>
      <c r="BX141" s="214"/>
      <c r="BY141" s="214"/>
      <c r="BZ141" s="214"/>
      <c r="CA141" s="214"/>
      <c r="CB141" s="214"/>
      <c r="CC141" s="214"/>
      <c r="CD141" s="214"/>
      <c r="CE141" s="214"/>
      <c r="CF141" s="214"/>
      <c r="CG141" s="214"/>
      <c r="CH141" s="214"/>
      <c r="CI141" s="214"/>
      <c r="CJ141" s="214"/>
      <c r="CK141" s="214"/>
      <c r="CL141" s="214"/>
      <c r="CM141" s="214"/>
      <c r="CN141" s="214"/>
      <c r="CO141" s="214"/>
      <c r="CP141" s="214"/>
      <c r="CQ141" s="214"/>
      <c r="CR141" s="214"/>
      <c r="CS141" s="214"/>
      <c r="CT141" s="214"/>
      <c r="CU141" s="214"/>
      <c r="CV141" s="214"/>
      <c r="CW141" s="214"/>
      <c r="CX141" s="214"/>
      <c r="CY141" s="214"/>
      <c r="CZ141" s="214"/>
      <c r="DA141" s="214"/>
      <c r="DB141" s="214"/>
      <c r="DC141" s="214"/>
      <c r="DD141" s="214"/>
      <c r="DE141" s="214"/>
      <c r="DF141" s="214"/>
      <c r="DG141" s="214"/>
      <c r="DH141" s="214"/>
      <c r="DI141" s="214"/>
      <c r="DJ141" s="214"/>
      <c r="DK141" s="214"/>
      <c r="DL141" s="214"/>
      <c r="DM141" s="214"/>
      <c r="DN141" s="214"/>
      <c r="DO141" s="214"/>
      <c r="DP141" s="214"/>
      <c r="DQ141" s="214"/>
      <c r="DR141" s="214"/>
      <c r="DS141" s="214"/>
      <c r="DT141" s="214"/>
      <c r="DU141" s="214"/>
      <c r="DV141" s="214"/>
      <c r="DW141" s="214"/>
      <c r="DX141" s="214"/>
      <c r="DY141" s="186"/>
      <c r="DZ141" s="187"/>
      <c r="EA141" s="127"/>
      <c r="EB141" s="127"/>
      <c r="EC141" s="127"/>
      <c r="ED141" s="127"/>
    </row>
    <row r="142" spans="1:134" s="75" customFormat="1" ht="11.25" x14ac:dyDescent="0.2">
      <c r="A142" s="212">
        <v>2</v>
      </c>
      <c r="B142" s="213" t="s">
        <v>697</v>
      </c>
      <c r="C142" s="457" t="str">
        <f>IFERROR(VLOOKUP(D142,MappingFromSetAgiletoTTSRole,2,FALSE),"SET Agile Resource Role")</f>
        <v>Business Consultant</v>
      </c>
      <c r="D142" s="402" t="s">
        <v>684</v>
      </c>
      <c r="E142" s="438" t="s">
        <v>600</v>
      </c>
      <c r="F142" s="525" t="s">
        <v>607</v>
      </c>
      <c r="G142" s="525"/>
      <c r="H142" s="434" t="s">
        <v>702</v>
      </c>
      <c r="I142" s="172">
        <v>1</v>
      </c>
      <c r="J142" s="172">
        <v>1</v>
      </c>
      <c r="K142" s="172">
        <v>1</v>
      </c>
      <c r="L142" s="172">
        <v>1</v>
      </c>
      <c r="M142" s="172">
        <v>1</v>
      </c>
      <c r="N142" s="172">
        <v>1</v>
      </c>
      <c r="O142" s="172">
        <v>1</v>
      </c>
      <c r="P142" s="172">
        <v>1</v>
      </c>
      <c r="Q142" s="172">
        <v>1</v>
      </c>
      <c r="R142" s="172">
        <v>1</v>
      </c>
      <c r="S142" s="172">
        <v>1</v>
      </c>
      <c r="T142" s="172">
        <v>1</v>
      </c>
      <c r="U142" s="172">
        <v>1</v>
      </c>
      <c r="V142" s="172">
        <v>1</v>
      </c>
      <c r="W142" s="172">
        <v>1</v>
      </c>
      <c r="X142" s="172">
        <v>1</v>
      </c>
      <c r="Y142" s="172">
        <v>1</v>
      </c>
      <c r="Z142" s="172">
        <v>1</v>
      </c>
      <c r="AA142" s="172">
        <v>1</v>
      </c>
      <c r="AB142" s="172">
        <v>1</v>
      </c>
      <c r="AC142" s="172">
        <v>1</v>
      </c>
      <c r="AD142" s="172">
        <v>1</v>
      </c>
      <c r="AE142" s="172">
        <v>1</v>
      </c>
      <c r="AF142" s="172">
        <v>1</v>
      </c>
      <c r="AG142" s="172">
        <v>1</v>
      </c>
      <c r="AH142" s="172">
        <v>1</v>
      </c>
      <c r="AI142" s="172">
        <v>1</v>
      </c>
      <c r="AJ142" s="172">
        <v>1</v>
      </c>
      <c r="AK142" s="172">
        <v>1</v>
      </c>
      <c r="AL142" s="172">
        <v>1</v>
      </c>
      <c r="AM142" s="172">
        <v>1</v>
      </c>
      <c r="AN142" s="172">
        <v>1</v>
      </c>
      <c r="AO142" s="172">
        <v>1</v>
      </c>
      <c r="AP142" s="172">
        <v>1</v>
      </c>
      <c r="AQ142" s="172">
        <v>1</v>
      </c>
      <c r="AR142" s="172">
        <v>1</v>
      </c>
      <c r="AS142" s="172">
        <v>1</v>
      </c>
      <c r="AT142" s="172">
        <v>1</v>
      </c>
      <c r="AU142" s="172">
        <v>1</v>
      </c>
      <c r="AV142" s="172">
        <v>1</v>
      </c>
      <c r="AW142" s="172">
        <v>1</v>
      </c>
      <c r="AX142" s="172">
        <v>1</v>
      </c>
      <c r="AY142" s="172">
        <v>1</v>
      </c>
      <c r="AZ142" s="172">
        <v>1</v>
      </c>
      <c r="BA142" s="172">
        <v>1</v>
      </c>
      <c r="BB142" s="172">
        <v>1</v>
      </c>
      <c r="BC142" s="172">
        <v>1</v>
      </c>
      <c r="BD142" s="172">
        <v>1</v>
      </c>
      <c r="BE142" s="172">
        <v>1</v>
      </c>
      <c r="BF142" s="172">
        <v>1</v>
      </c>
      <c r="BG142" s="172">
        <v>1</v>
      </c>
      <c r="BH142" s="172">
        <v>1</v>
      </c>
      <c r="BI142" s="172">
        <v>1</v>
      </c>
      <c r="BJ142" s="172">
        <v>1</v>
      </c>
      <c r="BK142" s="172">
        <v>1</v>
      </c>
      <c r="BL142" s="172">
        <v>1</v>
      </c>
      <c r="BM142" s="172">
        <v>1</v>
      </c>
      <c r="BN142" s="172">
        <v>1</v>
      </c>
      <c r="BO142" s="172">
        <v>1</v>
      </c>
      <c r="BP142" s="172">
        <v>1</v>
      </c>
      <c r="BQ142" s="172">
        <v>1</v>
      </c>
      <c r="BR142" s="172">
        <v>1</v>
      </c>
      <c r="BS142" s="172">
        <v>1</v>
      </c>
      <c r="BT142" s="172">
        <v>1</v>
      </c>
      <c r="BU142" s="172">
        <v>1</v>
      </c>
      <c r="BV142" s="172">
        <v>1</v>
      </c>
      <c r="BW142" s="172">
        <v>1</v>
      </c>
      <c r="BX142" s="172">
        <v>1</v>
      </c>
      <c r="BY142" s="172">
        <v>1</v>
      </c>
      <c r="BZ142" s="172">
        <v>1</v>
      </c>
      <c r="CA142" s="172">
        <v>1</v>
      </c>
      <c r="CB142" s="172">
        <v>1</v>
      </c>
      <c r="CC142" s="172">
        <v>1</v>
      </c>
      <c r="CD142" s="172">
        <v>1</v>
      </c>
      <c r="CE142" s="172">
        <v>1</v>
      </c>
      <c r="CF142" s="172">
        <v>1</v>
      </c>
      <c r="CG142" s="172">
        <v>1</v>
      </c>
      <c r="CH142" s="172">
        <v>1</v>
      </c>
      <c r="CI142" s="172">
        <v>1</v>
      </c>
      <c r="CJ142" s="172">
        <v>1</v>
      </c>
      <c r="CK142" s="172">
        <v>1</v>
      </c>
      <c r="CL142" s="172">
        <v>1</v>
      </c>
      <c r="CM142" s="172">
        <v>1</v>
      </c>
      <c r="CN142" s="172">
        <v>1</v>
      </c>
      <c r="CO142" s="172">
        <v>1</v>
      </c>
      <c r="CP142" s="172">
        <v>1</v>
      </c>
      <c r="CQ142" s="172">
        <v>1</v>
      </c>
      <c r="CR142" s="172">
        <v>1</v>
      </c>
      <c r="CS142" s="172">
        <v>1</v>
      </c>
      <c r="CT142" s="172">
        <v>1</v>
      </c>
      <c r="CU142" s="172">
        <v>1</v>
      </c>
      <c r="CV142" s="172">
        <v>1</v>
      </c>
      <c r="CW142" s="172">
        <v>1</v>
      </c>
      <c r="CX142" s="172">
        <v>1</v>
      </c>
      <c r="CY142" s="172">
        <v>1</v>
      </c>
      <c r="CZ142" s="172">
        <v>1</v>
      </c>
      <c r="DA142" s="172">
        <v>1</v>
      </c>
      <c r="DB142" s="172">
        <v>1</v>
      </c>
      <c r="DC142" s="172">
        <v>1</v>
      </c>
      <c r="DD142" s="172">
        <v>1</v>
      </c>
      <c r="DE142" s="172">
        <v>1</v>
      </c>
      <c r="DF142" s="172">
        <v>1</v>
      </c>
      <c r="DG142" s="172">
        <v>1</v>
      </c>
      <c r="DH142" s="172">
        <v>1</v>
      </c>
      <c r="DI142" s="172">
        <v>1</v>
      </c>
      <c r="DJ142" s="172">
        <v>1</v>
      </c>
      <c r="DK142" s="172">
        <v>1</v>
      </c>
      <c r="DL142" s="172">
        <v>1</v>
      </c>
      <c r="DM142" s="172">
        <v>1</v>
      </c>
      <c r="DN142" s="172">
        <v>1</v>
      </c>
      <c r="DO142" s="172">
        <v>1</v>
      </c>
      <c r="DP142" s="172">
        <v>1</v>
      </c>
      <c r="DQ142" s="172">
        <v>1</v>
      </c>
      <c r="DR142" s="172">
        <v>1</v>
      </c>
      <c r="DS142" s="172">
        <v>1</v>
      </c>
      <c r="DT142" s="172">
        <v>1</v>
      </c>
      <c r="DU142" s="172">
        <v>1</v>
      </c>
      <c r="DV142" s="172">
        <v>1</v>
      </c>
      <c r="DW142" s="172">
        <v>1</v>
      </c>
      <c r="DX142" s="172">
        <v>1</v>
      </c>
      <c r="DY142" s="186"/>
      <c r="DZ142" s="203"/>
      <c r="EA142" s="82">
        <f t="shared" ref="EA142:EA152" si="237">SUMIF(I$8:DY$8,"&lt;&gt;"&amp;AgileIteration_Warranty,I142:DY142)*5*Scenario1Utilisation</f>
        <v>454.75</v>
      </c>
      <c r="EB142" s="82">
        <f t="shared" si="8"/>
        <v>90.95</v>
      </c>
      <c r="EC142" s="82">
        <f t="shared" ref="EC142:EC152" si="238">IF(Scenario1Warranty=AgileWarrantyDefault, (SUMIF(I$8:DY$8,AgileIteration_Warranty,I142:DY142)*5*Scenario1Utilisation), (EA142*Scenario1Warranty))</f>
        <v>55.25</v>
      </c>
      <c r="ED142" s="127">
        <f t="shared" si="10"/>
        <v>600.95000000000005</v>
      </c>
    </row>
    <row r="143" spans="1:134" s="75" customFormat="1" ht="11.25" x14ac:dyDescent="0.2">
      <c r="A143" s="212">
        <v>2</v>
      </c>
      <c r="B143" s="213" t="s">
        <v>697</v>
      </c>
      <c r="C143" s="637" t="s">
        <v>685</v>
      </c>
      <c r="D143" s="638" t="s">
        <v>703</v>
      </c>
      <c r="E143" s="438" t="s">
        <v>600</v>
      </c>
      <c r="F143" s="525" t="s">
        <v>607</v>
      </c>
      <c r="G143" s="525"/>
      <c r="H143" s="434" t="str">
        <f>H142</f>
        <v>Development</v>
      </c>
      <c r="I143" s="172"/>
      <c r="J143" s="172"/>
      <c r="K143" s="172"/>
      <c r="L143" s="172"/>
      <c r="M143" s="172"/>
      <c r="N143" s="172"/>
      <c r="O143" s="172"/>
      <c r="P143" s="172"/>
      <c r="Q143" s="172"/>
      <c r="R143" s="172"/>
      <c r="S143" s="172">
        <v>0.5</v>
      </c>
      <c r="T143" s="172">
        <v>0.5</v>
      </c>
      <c r="U143" s="172">
        <v>0.5</v>
      </c>
      <c r="V143" s="172">
        <v>0.5</v>
      </c>
      <c r="W143" s="172">
        <v>0.5</v>
      </c>
      <c r="X143" s="172">
        <v>0.5</v>
      </c>
      <c r="Y143" s="172">
        <v>0.5</v>
      </c>
      <c r="Z143" s="172">
        <v>0.5</v>
      </c>
      <c r="AA143" s="172">
        <v>0.5</v>
      </c>
      <c r="AB143" s="172">
        <v>0.5</v>
      </c>
      <c r="AC143" s="172">
        <v>0.5</v>
      </c>
      <c r="AD143" s="172">
        <v>0.5</v>
      </c>
      <c r="AE143" s="172">
        <v>0.5</v>
      </c>
      <c r="AF143" s="172">
        <v>0.5</v>
      </c>
      <c r="AG143" s="172">
        <v>0.5</v>
      </c>
      <c r="AH143" s="172">
        <v>0.5</v>
      </c>
      <c r="AI143" s="172">
        <v>0.5</v>
      </c>
      <c r="AJ143" s="172">
        <v>0.5</v>
      </c>
      <c r="AK143" s="172">
        <v>0.5</v>
      </c>
      <c r="AL143" s="172">
        <v>0.5</v>
      </c>
      <c r="AM143" s="172">
        <v>0.5</v>
      </c>
      <c r="AN143" s="172">
        <v>0.5</v>
      </c>
      <c r="AO143" s="172">
        <v>0.5</v>
      </c>
      <c r="AP143" s="172">
        <v>0.5</v>
      </c>
      <c r="AQ143" s="172">
        <v>0.5</v>
      </c>
      <c r="AR143" s="172">
        <v>0.5</v>
      </c>
      <c r="AS143" s="172">
        <v>0.5</v>
      </c>
      <c r="AT143" s="172">
        <v>0.5</v>
      </c>
      <c r="AU143" s="172">
        <v>0.5</v>
      </c>
      <c r="AV143" s="172">
        <v>0.5</v>
      </c>
      <c r="AW143" s="172">
        <v>0.5</v>
      </c>
      <c r="AX143" s="172">
        <v>0.5</v>
      </c>
      <c r="AY143" s="172">
        <v>0.5</v>
      </c>
      <c r="AZ143" s="172">
        <v>0.5</v>
      </c>
      <c r="BA143" s="172">
        <v>0.5</v>
      </c>
      <c r="BB143" s="172">
        <v>0.5</v>
      </c>
      <c r="BC143" s="172">
        <v>0.5</v>
      </c>
      <c r="BD143" s="172">
        <v>0.5</v>
      </c>
      <c r="BE143" s="172">
        <v>0.5</v>
      </c>
      <c r="BF143" s="172">
        <v>0.5</v>
      </c>
      <c r="BG143" s="172">
        <v>0.5</v>
      </c>
      <c r="BH143" s="172">
        <v>0.5</v>
      </c>
      <c r="BI143" s="172">
        <v>0.5</v>
      </c>
      <c r="BJ143" s="172">
        <v>0.5</v>
      </c>
      <c r="BK143" s="172">
        <v>0.5</v>
      </c>
      <c r="BL143" s="172">
        <v>0.5</v>
      </c>
      <c r="BM143" s="172">
        <v>0.5</v>
      </c>
      <c r="BN143" s="172">
        <v>0.5</v>
      </c>
      <c r="BO143" s="172">
        <v>0.5</v>
      </c>
      <c r="BP143" s="172">
        <v>0.5</v>
      </c>
      <c r="BQ143" s="172">
        <v>0.5</v>
      </c>
      <c r="BR143" s="172">
        <v>0.5</v>
      </c>
      <c r="BS143" s="172">
        <v>0.5</v>
      </c>
      <c r="BT143" s="172">
        <v>0.5</v>
      </c>
      <c r="BU143" s="172">
        <v>0.5</v>
      </c>
      <c r="BV143" s="172">
        <v>0.5</v>
      </c>
      <c r="BW143" s="172">
        <v>0.5</v>
      </c>
      <c r="BX143" s="172">
        <v>0.5</v>
      </c>
      <c r="BY143" s="172">
        <v>0.5</v>
      </c>
      <c r="BZ143" s="172">
        <v>0.5</v>
      </c>
      <c r="CA143" s="172">
        <v>0.5</v>
      </c>
      <c r="CB143" s="172">
        <v>0.5</v>
      </c>
      <c r="CC143" s="172">
        <v>0.5</v>
      </c>
      <c r="CD143" s="172">
        <v>0.5</v>
      </c>
      <c r="CE143" s="172">
        <v>0.5</v>
      </c>
      <c r="CF143" s="172">
        <v>0.5</v>
      </c>
      <c r="CG143" s="172">
        <v>0.5</v>
      </c>
      <c r="CH143" s="172">
        <v>0.5</v>
      </c>
      <c r="CI143" s="172">
        <v>0.5</v>
      </c>
      <c r="CJ143" s="172">
        <v>0.5</v>
      </c>
      <c r="CK143" s="172">
        <v>0.5</v>
      </c>
      <c r="CL143" s="172">
        <v>0.5</v>
      </c>
      <c r="CM143" s="172">
        <v>0.5</v>
      </c>
      <c r="CN143" s="172">
        <v>0.5</v>
      </c>
      <c r="CO143" s="172">
        <v>0.5</v>
      </c>
      <c r="CP143" s="172">
        <v>0.5</v>
      </c>
      <c r="CQ143" s="172">
        <v>0.5</v>
      </c>
      <c r="CR143" s="172">
        <v>0.5</v>
      </c>
      <c r="CS143" s="172">
        <v>0.5</v>
      </c>
      <c r="CT143" s="172">
        <v>0.5</v>
      </c>
      <c r="CU143" s="172">
        <v>0.5</v>
      </c>
      <c r="CV143" s="172">
        <v>0.5</v>
      </c>
      <c r="CW143" s="172">
        <v>0.5</v>
      </c>
      <c r="CX143" s="172">
        <v>0.5</v>
      </c>
      <c r="CY143" s="172">
        <v>0.5</v>
      </c>
      <c r="CZ143" s="172">
        <v>0.5</v>
      </c>
      <c r="DA143" s="172">
        <v>0.5</v>
      </c>
      <c r="DB143" s="172">
        <v>0.5</v>
      </c>
      <c r="DC143" s="172">
        <v>0.5</v>
      </c>
      <c r="DD143" s="172">
        <v>0.5</v>
      </c>
      <c r="DE143" s="172">
        <v>0.5</v>
      </c>
      <c r="DF143" s="172">
        <v>0.5</v>
      </c>
      <c r="DG143" s="172">
        <v>0.5</v>
      </c>
      <c r="DH143" s="172">
        <v>0.5</v>
      </c>
      <c r="DI143" s="172">
        <v>0.5</v>
      </c>
      <c r="DJ143" s="172">
        <v>0.5</v>
      </c>
      <c r="DK143" s="172">
        <v>0.5</v>
      </c>
      <c r="DL143" s="172"/>
      <c r="DM143" s="172"/>
      <c r="DN143" s="172"/>
      <c r="DO143" s="172"/>
      <c r="DP143" s="172"/>
      <c r="DQ143" s="172"/>
      <c r="DR143" s="172"/>
      <c r="DS143" s="172"/>
      <c r="DT143" s="172"/>
      <c r="DU143" s="172"/>
      <c r="DV143" s="172"/>
      <c r="DW143" s="172"/>
      <c r="DX143" s="172"/>
      <c r="DY143" s="186"/>
      <c r="DZ143" s="203"/>
      <c r="EA143" s="82">
        <f t="shared" si="237"/>
        <v>206.125</v>
      </c>
      <c r="EB143" s="82">
        <f t="shared" si="8"/>
        <v>41.225000000000001</v>
      </c>
      <c r="EC143" s="82">
        <f t="shared" si="238"/>
        <v>0</v>
      </c>
      <c r="ED143" s="127">
        <f t="shared" si="10"/>
        <v>247.35</v>
      </c>
    </row>
    <row r="144" spans="1:134" s="75" customFormat="1" ht="11.25" x14ac:dyDescent="0.2">
      <c r="A144" s="212">
        <v>2</v>
      </c>
      <c r="B144" s="213" t="s">
        <v>697</v>
      </c>
      <c r="C144" s="457" t="s">
        <v>613</v>
      </c>
      <c r="D144" s="403" t="s">
        <v>704</v>
      </c>
      <c r="E144" s="438" t="s">
        <v>600</v>
      </c>
      <c r="F144" s="525" t="str">
        <f>IFERROR(VLOOKUP(C144,MappingFromTTStoSU,2,FALSE),"SU Resource Role")</f>
        <v>DWMS</v>
      </c>
      <c r="G144" s="525"/>
      <c r="H144" s="434" t="str">
        <f>H143</f>
        <v>Development</v>
      </c>
      <c r="I144" s="172"/>
      <c r="J144" s="172"/>
      <c r="K144" s="172"/>
      <c r="L144" s="172"/>
      <c r="M144" s="172"/>
      <c r="N144" s="172"/>
      <c r="O144" s="172"/>
      <c r="P144" s="172"/>
      <c r="Q144" s="172"/>
      <c r="R144" s="172"/>
      <c r="S144" s="172">
        <v>1</v>
      </c>
      <c r="T144" s="172">
        <v>1</v>
      </c>
      <c r="U144" s="172">
        <v>1</v>
      </c>
      <c r="V144" s="172">
        <v>1</v>
      </c>
      <c r="W144" s="172">
        <v>1</v>
      </c>
      <c r="X144" s="172">
        <v>1</v>
      </c>
      <c r="Y144" s="172">
        <v>1</v>
      </c>
      <c r="Z144" s="172">
        <v>1</v>
      </c>
      <c r="AA144" s="172">
        <v>1</v>
      </c>
      <c r="AB144" s="172">
        <v>1</v>
      </c>
      <c r="AC144" s="172">
        <v>1</v>
      </c>
      <c r="AD144" s="172">
        <v>1</v>
      </c>
      <c r="AE144" s="172">
        <v>1</v>
      </c>
      <c r="AF144" s="172">
        <v>1</v>
      </c>
      <c r="AG144" s="172">
        <v>1</v>
      </c>
      <c r="AH144" s="172">
        <v>1</v>
      </c>
      <c r="AI144" s="172">
        <v>1</v>
      </c>
      <c r="AJ144" s="172">
        <v>1</v>
      </c>
      <c r="AK144" s="172">
        <v>1</v>
      </c>
      <c r="AL144" s="172">
        <v>1</v>
      </c>
      <c r="AM144" s="172">
        <v>1</v>
      </c>
      <c r="AN144" s="172">
        <v>1</v>
      </c>
      <c r="AO144" s="172">
        <v>1</v>
      </c>
      <c r="AP144" s="172">
        <v>1</v>
      </c>
      <c r="AQ144" s="172">
        <v>1</v>
      </c>
      <c r="AR144" s="172">
        <v>1</v>
      </c>
      <c r="AS144" s="172">
        <v>1</v>
      </c>
      <c r="AT144" s="172">
        <v>1</v>
      </c>
      <c r="AU144" s="172">
        <v>1</v>
      </c>
      <c r="AV144" s="172">
        <v>1</v>
      </c>
      <c r="AW144" s="172">
        <v>1</v>
      </c>
      <c r="AX144" s="172">
        <v>1</v>
      </c>
      <c r="AY144" s="172">
        <v>1</v>
      </c>
      <c r="AZ144" s="172">
        <v>1</v>
      </c>
      <c r="BA144" s="172">
        <v>1</v>
      </c>
      <c r="BB144" s="172">
        <v>1</v>
      </c>
      <c r="BC144" s="172">
        <v>1</v>
      </c>
      <c r="BD144" s="172">
        <v>1</v>
      </c>
      <c r="BE144" s="172">
        <v>1</v>
      </c>
      <c r="BF144" s="172">
        <v>1</v>
      </c>
      <c r="BG144" s="172">
        <v>1</v>
      </c>
      <c r="BH144" s="172">
        <v>1</v>
      </c>
      <c r="BI144" s="172">
        <v>1</v>
      </c>
      <c r="BJ144" s="172">
        <v>1</v>
      </c>
      <c r="BK144" s="172">
        <v>1</v>
      </c>
      <c r="BL144" s="172">
        <v>1</v>
      </c>
      <c r="BM144" s="172">
        <v>1</v>
      </c>
      <c r="BN144" s="172">
        <v>1</v>
      </c>
      <c r="BO144" s="172">
        <v>1</v>
      </c>
      <c r="BP144" s="172">
        <v>1</v>
      </c>
      <c r="BQ144" s="172">
        <v>1</v>
      </c>
      <c r="BR144" s="172">
        <v>1</v>
      </c>
      <c r="BS144" s="172">
        <v>1</v>
      </c>
      <c r="BT144" s="172">
        <v>1</v>
      </c>
      <c r="BU144" s="172">
        <v>1</v>
      </c>
      <c r="BV144" s="172">
        <v>1</v>
      </c>
      <c r="BW144" s="172">
        <v>1</v>
      </c>
      <c r="BX144" s="172">
        <v>1</v>
      </c>
      <c r="BY144" s="172">
        <v>1</v>
      </c>
      <c r="BZ144" s="172">
        <v>1</v>
      </c>
      <c r="CA144" s="172">
        <v>1</v>
      </c>
      <c r="CB144" s="172">
        <v>1</v>
      </c>
      <c r="CC144" s="172">
        <v>1</v>
      </c>
      <c r="CD144" s="172">
        <v>1</v>
      </c>
      <c r="CE144" s="172">
        <v>1</v>
      </c>
      <c r="CF144" s="172">
        <v>1</v>
      </c>
      <c r="CG144" s="172">
        <v>1</v>
      </c>
      <c r="CH144" s="172">
        <v>1</v>
      </c>
      <c r="CI144" s="172">
        <v>1</v>
      </c>
      <c r="CJ144" s="172">
        <v>1</v>
      </c>
      <c r="CK144" s="172">
        <v>1</v>
      </c>
      <c r="CL144" s="172">
        <v>1</v>
      </c>
      <c r="CM144" s="172">
        <v>1</v>
      </c>
      <c r="CN144" s="172">
        <v>1</v>
      </c>
      <c r="CO144" s="172">
        <v>1</v>
      </c>
      <c r="CP144" s="172">
        <v>1</v>
      </c>
      <c r="CQ144" s="172">
        <v>1</v>
      </c>
      <c r="CR144" s="172">
        <v>1</v>
      </c>
      <c r="CS144" s="172">
        <v>1</v>
      </c>
      <c r="CT144" s="172">
        <v>1</v>
      </c>
      <c r="CU144" s="172">
        <v>1</v>
      </c>
      <c r="CV144" s="172">
        <v>1</v>
      </c>
      <c r="CW144" s="172">
        <v>1</v>
      </c>
      <c r="CX144" s="172">
        <v>1</v>
      </c>
      <c r="CY144" s="172">
        <v>1</v>
      </c>
      <c r="CZ144" s="172">
        <v>1</v>
      </c>
      <c r="DA144" s="172">
        <v>1</v>
      </c>
      <c r="DB144" s="172">
        <v>1</v>
      </c>
      <c r="DC144" s="172">
        <v>1</v>
      </c>
      <c r="DD144" s="172">
        <v>1</v>
      </c>
      <c r="DE144" s="172">
        <v>1</v>
      </c>
      <c r="DF144" s="172">
        <v>1</v>
      </c>
      <c r="DG144" s="172">
        <v>1</v>
      </c>
      <c r="DH144" s="172">
        <v>1</v>
      </c>
      <c r="DI144" s="172">
        <v>1</v>
      </c>
      <c r="DJ144" s="172">
        <v>1</v>
      </c>
      <c r="DK144" s="172">
        <v>1</v>
      </c>
      <c r="DL144" s="172"/>
      <c r="DM144" s="172"/>
      <c r="DN144" s="172"/>
      <c r="DO144" s="172"/>
      <c r="DP144" s="172"/>
      <c r="DQ144" s="172"/>
      <c r="DR144" s="172"/>
      <c r="DS144" s="172"/>
      <c r="DT144" s="172"/>
      <c r="DU144" s="172"/>
      <c r="DV144" s="172"/>
      <c r="DW144" s="172"/>
      <c r="DX144" s="172"/>
      <c r="DY144" s="173"/>
      <c r="DZ144" s="203"/>
      <c r="EA144" s="82">
        <f t="shared" si="237"/>
        <v>412.25</v>
      </c>
      <c r="EB144" s="82">
        <f t="shared" ref="EB144" si="239">EA144*Scenario1AgileContingency</f>
        <v>82.45</v>
      </c>
      <c r="EC144" s="82">
        <f t="shared" si="238"/>
        <v>0</v>
      </c>
      <c r="ED144" s="127">
        <f t="shared" ref="ED144" si="240">SUM(EA144:EC144)</f>
        <v>494.7</v>
      </c>
    </row>
    <row r="145" spans="1:135" s="75" customFormat="1" ht="11.25" x14ac:dyDescent="0.2">
      <c r="A145" s="212">
        <v>2</v>
      </c>
      <c r="B145" s="213" t="s">
        <v>697</v>
      </c>
      <c r="C145" s="457" t="s">
        <v>658</v>
      </c>
      <c r="D145" s="403" t="s">
        <v>687</v>
      </c>
      <c r="E145" s="438" t="s">
        <v>600</v>
      </c>
      <c r="F145" s="525" t="s">
        <v>607</v>
      </c>
      <c r="G145" s="525"/>
      <c r="H145" s="434" t="str">
        <f>H143</f>
        <v>Development</v>
      </c>
      <c r="I145" s="172">
        <v>1</v>
      </c>
      <c r="J145" s="172">
        <v>1</v>
      </c>
      <c r="K145" s="172">
        <v>1</v>
      </c>
      <c r="L145" s="172">
        <v>1</v>
      </c>
      <c r="M145" s="172">
        <v>1</v>
      </c>
      <c r="N145" s="172">
        <v>1</v>
      </c>
      <c r="O145" s="172">
        <v>1</v>
      </c>
      <c r="P145" s="172">
        <v>1</v>
      </c>
      <c r="Q145" s="172">
        <v>1</v>
      </c>
      <c r="R145" s="172">
        <v>1</v>
      </c>
      <c r="S145" s="172">
        <v>1</v>
      </c>
      <c r="T145" s="172">
        <v>1</v>
      </c>
      <c r="U145" s="172">
        <v>1</v>
      </c>
      <c r="V145" s="172">
        <v>1</v>
      </c>
      <c r="W145" s="172">
        <v>1</v>
      </c>
      <c r="X145" s="172">
        <v>1</v>
      </c>
      <c r="Y145" s="172">
        <v>1</v>
      </c>
      <c r="Z145" s="172">
        <v>1</v>
      </c>
      <c r="AA145" s="172">
        <v>1</v>
      </c>
      <c r="AB145" s="172">
        <v>1</v>
      </c>
      <c r="AC145" s="172">
        <v>1</v>
      </c>
      <c r="AD145" s="172">
        <v>1</v>
      </c>
      <c r="AE145" s="172">
        <v>1</v>
      </c>
      <c r="AF145" s="172">
        <v>1</v>
      </c>
      <c r="AG145" s="172">
        <v>1</v>
      </c>
      <c r="AH145" s="172">
        <v>1</v>
      </c>
      <c r="AI145" s="172">
        <v>1</v>
      </c>
      <c r="AJ145" s="172">
        <v>1</v>
      </c>
      <c r="AK145" s="172">
        <v>1</v>
      </c>
      <c r="AL145" s="172">
        <v>1</v>
      </c>
      <c r="AM145" s="172">
        <v>1</v>
      </c>
      <c r="AN145" s="172">
        <v>1</v>
      </c>
      <c r="AO145" s="172">
        <v>1</v>
      </c>
      <c r="AP145" s="172">
        <v>1</v>
      </c>
      <c r="AQ145" s="172">
        <v>1</v>
      </c>
      <c r="AR145" s="172">
        <v>1</v>
      </c>
      <c r="AS145" s="172">
        <v>1</v>
      </c>
      <c r="AT145" s="172">
        <v>1</v>
      </c>
      <c r="AU145" s="172">
        <v>1</v>
      </c>
      <c r="AV145" s="172">
        <v>1</v>
      </c>
      <c r="AW145" s="172">
        <v>1</v>
      </c>
      <c r="AX145" s="172">
        <v>1</v>
      </c>
      <c r="AY145" s="172">
        <v>1</v>
      </c>
      <c r="AZ145" s="172">
        <v>1</v>
      </c>
      <c r="BA145" s="172">
        <v>1</v>
      </c>
      <c r="BB145" s="172">
        <v>1</v>
      </c>
      <c r="BC145" s="172">
        <v>1</v>
      </c>
      <c r="BD145" s="172">
        <v>1</v>
      </c>
      <c r="BE145" s="172">
        <v>1</v>
      </c>
      <c r="BF145" s="172">
        <v>1</v>
      </c>
      <c r="BG145" s="172">
        <v>1</v>
      </c>
      <c r="BH145" s="172">
        <v>1</v>
      </c>
      <c r="BI145" s="172">
        <v>1</v>
      </c>
      <c r="BJ145" s="172">
        <v>1</v>
      </c>
      <c r="BK145" s="172">
        <v>1</v>
      </c>
      <c r="BL145" s="172">
        <v>1</v>
      </c>
      <c r="BM145" s="172">
        <v>1</v>
      </c>
      <c r="BN145" s="172">
        <v>1</v>
      </c>
      <c r="BO145" s="172">
        <v>1</v>
      </c>
      <c r="BP145" s="172">
        <v>1</v>
      </c>
      <c r="BQ145" s="172">
        <v>1</v>
      </c>
      <c r="BR145" s="172">
        <v>1</v>
      </c>
      <c r="BS145" s="172">
        <v>1</v>
      </c>
      <c r="BT145" s="172">
        <v>1</v>
      </c>
      <c r="BU145" s="172">
        <v>1</v>
      </c>
      <c r="BV145" s="172">
        <v>1</v>
      </c>
      <c r="BW145" s="172">
        <v>1</v>
      </c>
      <c r="BX145" s="172">
        <v>1</v>
      </c>
      <c r="BY145" s="172">
        <v>1</v>
      </c>
      <c r="BZ145" s="172">
        <v>1</v>
      </c>
      <c r="CA145" s="172">
        <v>1</v>
      </c>
      <c r="CB145" s="172">
        <v>1</v>
      </c>
      <c r="CC145" s="172">
        <v>1</v>
      </c>
      <c r="CD145" s="172">
        <v>1</v>
      </c>
      <c r="CE145" s="172">
        <v>1</v>
      </c>
      <c r="CF145" s="172">
        <v>1</v>
      </c>
      <c r="CG145" s="172">
        <v>1</v>
      </c>
      <c r="CH145" s="172">
        <v>1</v>
      </c>
      <c r="CI145" s="172">
        <v>1</v>
      </c>
      <c r="CJ145" s="172">
        <v>1</v>
      </c>
      <c r="CK145" s="172">
        <v>1</v>
      </c>
      <c r="CL145" s="172">
        <v>1</v>
      </c>
      <c r="CM145" s="172">
        <v>1</v>
      </c>
      <c r="CN145" s="172">
        <v>1</v>
      </c>
      <c r="CO145" s="172">
        <v>1</v>
      </c>
      <c r="CP145" s="172">
        <v>1</v>
      </c>
      <c r="CQ145" s="172">
        <v>1</v>
      </c>
      <c r="CR145" s="172">
        <v>1</v>
      </c>
      <c r="CS145" s="172">
        <v>1</v>
      </c>
      <c r="CT145" s="172">
        <v>1</v>
      </c>
      <c r="CU145" s="172">
        <v>1</v>
      </c>
      <c r="CV145" s="172">
        <v>1</v>
      </c>
      <c r="CW145" s="172">
        <v>1</v>
      </c>
      <c r="CX145" s="172">
        <v>1</v>
      </c>
      <c r="CY145" s="172">
        <v>1</v>
      </c>
      <c r="CZ145" s="172">
        <v>1</v>
      </c>
      <c r="DA145" s="172">
        <v>1</v>
      </c>
      <c r="DB145" s="172">
        <v>1</v>
      </c>
      <c r="DC145" s="172">
        <v>1</v>
      </c>
      <c r="DD145" s="172">
        <v>1</v>
      </c>
      <c r="DE145" s="172">
        <v>1</v>
      </c>
      <c r="DF145" s="172">
        <v>1</v>
      </c>
      <c r="DG145" s="172">
        <v>1</v>
      </c>
      <c r="DH145" s="172">
        <v>1</v>
      </c>
      <c r="DI145" s="172">
        <v>1</v>
      </c>
      <c r="DJ145" s="172">
        <v>1</v>
      </c>
      <c r="DK145" s="172">
        <v>1</v>
      </c>
      <c r="DL145" s="172"/>
      <c r="DM145" s="172"/>
      <c r="DN145" s="172"/>
      <c r="DO145" s="172"/>
      <c r="DP145" s="172"/>
      <c r="DQ145" s="172"/>
      <c r="DR145" s="172"/>
      <c r="DS145" s="172"/>
      <c r="DT145" s="172"/>
      <c r="DU145" s="172"/>
      <c r="DV145" s="172"/>
      <c r="DW145" s="172"/>
      <c r="DX145" s="172"/>
      <c r="DY145" s="173"/>
      <c r="DZ145" s="203"/>
      <c r="EA145" s="82">
        <f t="shared" si="237"/>
        <v>454.75</v>
      </c>
      <c r="EB145" s="82">
        <f t="shared" si="8"/>
        <v>90.95</v>
      </c>
      <c r="EC145" s="82">
        <f t="shared" si="238"/>
        <v>0</v>
      </c>
      <c r="ED145" s="127">
        <f>SUM(EA145:EC145)</f>
        <v>545.70000000000005</v>
      </c>
    </row>
    <row r="146" spans="1:135" s="75" customFormat="1" ht="11.25" x14ac:dyDescent="0.2">
      <c r="A146" s="212">
        <v>2</v>
      </c>
      <c r="B146" s="213" t="s">
        <v>697</v>
      </c>
      <c r="C146" s="457" t="s">
        <v>635</v>
      </c>
      <c r="D146" s="403" t="s">
        <v>687</v>
      </c>
      <c r="E146" s="438" t="s">
        <v>600</v>
      </c>
      <c r="F146" s="525" t="str">
        <f>IFERROR(VLOOKUP(C146,MappingFromTTStoSU,2,FALSE),"SU Resource Role")</f>
        <v>DWMS</v>
      </c>
      <c r="G146" s="525"/>
      <c r="H146" s="434" t="str">
        <f>H145</f>
        <v>Development</v>
      </c>
      <c r="I146" s="172"/>
      <c r="J146" s="172"/>
      <c r="K146" s="172"/>
      <c r="L146" s="172"/>
      <c r="M146" s="172"/>
      <c r="N146" s="172"/>
      <c r="O146" s="172"/>
      <c r="P146" s="172"/>
      <c r="Q146" s="172"/>
      <c r="R146" s="172"/>
      <c r="S146" s="172">
        <v>1</v>
      </c>
      <c r="T146" s="172">
        <v>1</v>
      </c>
      <c r="U146" s="172">
        <v>1</v>
      </c>
      <c r="V146" s="172">
        <v>1</v>
      </c>
      <c r="W146" s="172">
        <v>1</v>
      </c>
      <c r="X146" s="172">
        <v>1</v>
      </c>
      <c r="Y146" s="172">
        <v>1</v>
      </c>
      <c r="Z146" s="172">
        <v>1</v>
      </c>
      <c r="AA146" s="172">
        <v>1</v>
      </c>
      <c r="AB146" s="172">
        <v>1</v>
      </c>
      <c r="AC146" s="172">
        <v>1</v>
      </c>
      <c r="AD146" s="172">
        <v>1</v>
      </c>
      <c r="AE146" s="172">
        <v>1</v>
      </c>
      <c r="AF146" s="172">
        <v>1</v>
      </c>
      <c r="AG146" s="172">
        <v>1</v>
      </c>
      <c r="AH146" s="172">
        <v>1</v>
      </c>
      <c r="AI146" s="172">
        <v>1</v>
      </c>
      <c r="AJ146" s="172">
        <v>1</v>
      </c>
      <c r="AK146" s="172">
        <v>1</v>
      </c>
      <c r="AL146" s="172">
        <v>1</v>
      </c>
      <c r="AM146" s="172">
        <v>1</v>
      </c>
      <c r="AN146" s="172">
        <v>1</v>
      </c>
      <c r="AO146" s="172">
        <v>1</v>
      </c>
      <c r="AP146" s="172">
        <v>1</v>
      </c>
      <c r="AQ146" s="172">
        <v>1</v>
      </c>
      <c r="AR146" s="172">
        <v>1</v>
      </c>
      <c r="AS146" s="172">
        <v>1</v>
      </c>
      <c r="AT146" s="172">
        <v>1</v>
      </c>
      <c r="AU146" s="172">
        <v>1</v>
      </c>
      <c r="AV146" s="172">
        <v>1</v>
      </c>
      <c r="AW146" s="172">
        <v>1</v>
      </c>
      <c r="AX146" s="172">
        <v>1</v>
      </c>
      <c r="AY146" s="172">
        <v>1</v>
      </c>
      <c r="AZ146" s="172">
        <v>1</v>
      </c>
      <c r="BA146" s="172">
        <v>1</v>
      </c>
      <c r="BB146" s="172">
        <v>1</v>
      </c>
      <c r="BC146" s="172">
        <v>1</v>
      </c>
      <c r="BD146" s="172">
        <v>1</v>
      </c>
      <c r="BE146" s="172">
        <v>1</v>
      </c>
      <c r="BF146" s="172">
        <v>1</v>
      </c>
      <c r="BG146" s="172">
        <v>1</v>
      </c>
      <c r="BH146" s="172">
        <v>1</v>
      </c>
      <c r="BI146" s="172">
        <v>1</v>
      </c>
      <c r="BJ146" s="172">
        <v>1</v>
      </c>
      <c r="BK146" s="172">
        <v>1</v>
      </c>
      <c r="BL146" s="172">
        <v>1</v>
      </c>
      <c r="BM146" s="172">
        <v>1</v>
      </c>
      <c r="BN146" s="172">
        <v>1</v>
      </c>
      <c r="BO146" s="172">
        <v>1</v>
      </c>
      <c r="BP146" s="172">
        <v>1</v>
      </c>
      <c r="BQ146" s="172">
        <v>1</v>
      </c>
      <c r="BR146" s="172">
        <v>1</v>
      </c>
      <c r="BS146" s="172">
        <v>1</v>
      </c>
      <c r="BT146" s="172">
        <v>1</v>
      </c>
      <c r="BU146" s="172">
        <v>1</v>
      </c>
      <c r="BV146" s="172">
        <v>1</v>
      </c>
      <c r="BW146" s="172">
        <v>1</v>
      </c>
      <c r="BX146" s="172">
        <v>1</v>
      </c>
      <c r="BY146" s="172">
        <v>1</v>
      </c>
      <c r="BZ146" s="172">
        <v>1</v>
      </c>
      <c r="CA146" s="172">
        <v>1</v>
      </c>
      <c r="CB146" s="172">
        <v>1</v>
      </c>
      <c r="CC146" s="172">
        <v>1</v>
      </c>
      <c r="CD146" s="172">
        <v>1</v>
      </c>
      <c r="CE146" s="172">
        <v>1</v>
      </c>
      <c r="CF146" s="172">
        <v>1</v>
      </c>
      <c r="CG146" s="172">
        <v>1</v>
      </c>
      <c r="CH146" s="172">
        <v>1</v>
      </c>
      <c r="CI146" s="172">
        <v>1</v>
      </c>
      <c r="CJ146" s="172">
        <v>1</v>
      </c>
      <c r="CK146" s="172">
        <v>1</v>
      </c>
      <c r="CL146" s="172">
        <v>1</v>
      </c>
      <c r="CM146" s="172">
        <v>1</v>
      </c>
      <c r="CN146" s="172">
        <v>1</v>
      </c>
      <c r="CO146" s="172">
        <v>1</v>
      </c>
      <c r="CP146" s="172">
        <v>1</v>
      </c>
      <c r="CQ146" s="172">
        <v>1</v>
      </c>
      <c r="CR146" s="172">
        <v>1</v>
      </c>
      <c r="CS146" s="172">
        <v>1</v>
      </c>
      <c r="CT146" s="172">
        <v>1</v>
      </c>
      <c r="CU146" s="172">
        <v>1</v>
      </c>
      <c r="CV146" s="172">
        <v>1</v>
      </c>
      <c r="CW146" s="172">
        <v>1</v>
      </c>
      <c r="CX146" s="172">
        <v>1</v>
      </c>
      <c r="CY146" s="172">
        <v>1</v>
      </c>
      <c r="CZ146" s="172">
        <v>1</v>
      </c>
      <c r="DA146" s="172">
        <v>1</v>
      </c>
      <c r="DB146" s="172">
        <v>1</v>
      </c>
      <c r="DC146" s="172">
        <v>1</v>
      </c>
      <c r="DD146" s="172">
        <v>1</v>
      </c>
      <c r="DE146" s="172">
        <v>1</v>
      </c>
      <c r="DF146" s="172">
        <v>1</v>
      </c>
      <c r="DG146" s="172">
        <v>1</v>
      </c>
      <c r="DH146" s="172">
        <v>1</v>
      </c>
      <c r="DI146" s="172">
        <v>1</v>
      </c>
      <c r="DJ146" s="172">
        <v>1</v>
      </c>
      <c r="DK146" s="172">
        <v>1</v>
      </c>
      <c r="DL146" s="172">
        <v>1</v>
      </c>
      <c r="DM146" s="172">
        <v>1</v>
      </c>
      <c r="DN146" s="172">
        <v>1</v>
      </c>
      <c r="DO146" s="172">
        <v>1</v>
      </c>
      <c r="DP146" s="172">
        <v>1</v>
      </c>
      <c r="DQ146" s="172">
        <v>1</v>
      </c>
      <c r="DR146" s="172">
        <v>1</v>
      </c>
      <c r="DS146" s="172">
        <v>1</v>
      </c>
      <c r="DT146" s="172">
        <v>1</v>
      </c>
      <c r="DU146" s="172">
        <v>1</v>
      </c>
      <c r="DV146" s="172">
        <v>1</v>
      </c>
      <c r="DW146" s="172">
        <v>1</v>
      </c>
      <c r="DX146" s="172">
        <v>1</v>
      </c>
      <c r="DY146" s="173"/>
      <c r="DZ146" s="203"/>
      <c r="EA146" s="82">
        <f t="shared" si="237"/>
        <v>412.25</v>
      </c>
      <c r="EB146" s="82">
        <f t="shared" ref="EB146" si="241">EA146*Scenario1AgileContingency</f>
        <v>82.45</v>
      </c>
      <c r="EC146" s="82">
        <f t="shared" si="238"/>
        <v>55.25</v>
      </c>
      <c r="ED146" s="127">
        <f>SUM(EA146:EC146)</f>
        <v>549.95000000000005</v>
      </c>
    </row>
    <row r="147" spans="1:135" s="75" customFormat="1" ht="11.25" x14ac:dyDescent="0.2">
      <c r="A147" s="212">
        <v>2</v>
      </c>
      <c r="B147" s="213" t="s">
        <v>697</v>
      </c>
      <c r="C147" s="457" t="s">
        <v>659</v>
      </c>
      <c r="D147" s="403" t="s">
        <v>687</v>
      </c>
      <c r="E147" s="438" t="s">
        <v>600</v>
      </c>
      <c r="F147" s="525" t="s">
        <v>607</v>
      </c>
      <c r="G147" s="525"/>
      <c r="H147" s="434" t="str">
        <f>H145</f>
        <v>Development</v>
      </c>
      <c r="I147" s="407"/>
      <c r="J147" s="407"/>
      <c r="K147" s="407"/>
      <c r="L147" s="407"/>
      <c r="M147" s="407"/>
      <c r="N147" s="407"/>
      <c r="O147" s="407"/>
      <c r="P147" s="407"/>
      <c r="Q147" s="407"/>
      <c r="R147" s="407"/>
      <c r="S147" s="407">
        <v>1</v>
      </c>
      <c r="T147" s="172">
        <v>1</v>
      </c>
      <c r="U147" s="172">
        <v>1</v>
      </c>
      <c r="V147" s="172">
        <v>1</v>
      </c>
      <c r="W147" s="172">
        <v>1</v>
      </c>
      <c r="X147" s="172">
        <v>1</v>
      </c>
      <c r="Y147" s="172">
        <v>1</v>
      </c>
      <c r="Z147" s="172">
        <v>1</v>
      </c>
      <c r="AA147" s="172">
        <v>1</v>
      </c>
      <c r="AB147" s="172">
        <v>1</v>
      </c>
      <c r="AC147" s="172">
        <v>1</v>
      </c>
      <c r="AD147" s="172">
        <v>1</v>
      </c>
      <c r="AE147" s="172">
        <v>1</v>
      </c>
      <c r="AF147" s="172">
        <v>1</v>
      </c>
      <c r="AG147" s="172">
        <v>1</v>
      </c>
      <c r="AH147" s="172">
        <v>1</v>
      </c>
      <c r="AI147" s="172">
        <v>1</v>
      </c>
      <c r="AJ147" s="172">
        <v>1</v>
      </c>
      <c r="AK147" s="172">
        <v>1</v>
      </c>
      <c r="AL147" s="172">
        <v>1</v>
      </c>
      <c r="AM147" s="172">
        <v>1</v>
      </c>
      <c r="AN147" s="172">
        <v>1</v>
      </c>
      <c r="AO147" s="172">
        <v>1</v>
      </c>
      <c r="AP147" s="172">
        <v>1</v>
      </c>
      <c r="AQ147" s="172">
        <v>1</v>
      </c>
      <c r="AR147" s="172">
        <v>1</v>
      </c>
      <c r="AS147" s="172">
        <v>1</v>
      </c>
      <c r="AT147" s="172">
        <v>1</v>
      </c>
      <c r="AU147" s="172">
        <v>1</v>
      </c>
      <c r="AV147" s="172">
        <v>1</v>
      </c>
      <c r="AW147" s="172">
        <v>1</v>
      </c>
      <c r="AX147" s="172">
        <v>1</v>
      </c>
      <c r="AY147" s="172">
        <v>1</v>
      </c>
      <c r="AZ147" s="172">
        <v>1</v>
      </c>
      <c r="BA147" s="172">
        <v>1</v>
      </c>
      <c r="BB147" s="172">
        <v>1</v>
      </c>
      <c r="BC147" s="172">
        <v>1</v>
      </c>
      <c r="BD147" s="172">
        <v>1</v>
      </c>
      <c r="BE147" s="172">
        <v>1</v>
      </c>
      <c r="BF147" s="172">
        <v>1</v>
      </c>
      <c r="BG147" s="172">
        <v>1</v>
      </c>
      <c r="BH147" s="172">
        <v>1</v>
      </c>
      <c r="BI147" s="172">
        <v>1</v>
      </c>
      <c r="BJ147" s="172">
        <v>1</v>
      </c>
      <c r="BK147" s="172">
        <v>1</v>
      </c>
      <c r="BL147" s="172">
        <v>1</v>
      </c>
      <c r="BM147" s="172">
        <v>1</v>
      </c>
      <c r="BN147" s="172">
        <v>1</v>
      </c>
      <c r="BO147" s="172">
        <v>1</v>
      </c>
      <c r="BP147" s="172">
        <v>1</v>
      </c>
      <c r="BQ147" s="172">
        <v>1</v>
      </c>
      <c r="BR147" s="172">
        <v>1</v>
      </c>
      <c r="BS147" s="172">
        <v>1</v>
      </c>
      <c r="BT147" s="172">
        <v>1</v>
      </c>
      <c r="BU147" s="172">
        <v>1</v>
      </c>
      <c r="BV147" s="172">
        <v>1</v>
      </c>
      <c r="BW147" s="172">
        <v>1</v>
      </c>
      <c r="BX147" s="172">
        <v>1</v>
      </c>
      <c r="BY147" s="172">
        <v>1</v>
      </c>
      <c r="BZ147" s="172">
        <v>1</v>
      </c>
      <c r="CA147" s="172">
        <v>1</v>
      </c>
      <c r="CB147" s="172">
        <v>1</v>
      </c>
      <c r="CC147" s="172">
        <v>1</v>
      </c>
      <c r="CD147" s="172">
        <v>1</v>
      </c>
      <c r="CE147" s="172">
        <v>1</v>
      </c>
      <c r="CF147" s="172">
        <v>1</v>
      </c>
      <c r="CG147" s="172">
        <v>1</v>
      </c>
      <c r="CH147" s="172">
        <v>1</v>
      </c>
      <c r="CI147" s="172">
        <v>1</v>
      </c>
      <c r="CJ147" s="172">
        <v>1</v>
      </c>
      <c r="CK147" s="172">
        <v>1</v>
      </c>
      <c r="CL147" s="172">
        <v>1</v>
      </c>
      <c r="CM147" s="172">
        <v>1</v>
      </c>
      <c r="CN147" s="172">
        <v>1</v>
      </c>
      <c r="CO147" s="172">
        <v>1</v>
      </c>
      <c r="CP147" s="172">
        <v>1</v>
      </c>
      <c r="CQ147" s="172">
        <v>1</v>
      </c>
      <c r="CR147" s="172">
        <v>1</v>
      </c>
      <c r="CS147" s="172">
        <v>1</v>
      </c>
      <c r="CT147" s="172">
        <v>1</v>
      </c>
      <c r="CU147" s="172">
        <v>1</v>
      </c>
      <c r="CV147" s="172">
        <v>1</v>
      </c>
      <c r="CW147" s="172">
        <v>1</v>
      </c>
      <c r="CX147" s="172">
        <v>1</v>
      </c>
      <c r="CY147" s="172">
        <v>1</v>
      </c>
      <c r="CZ147" s="172">
        <v>1</v>
      </c>
      <c r="DA147" s="172">
        <v>1</v>
      </c>
      <c r="DB147" s="172">
        <v>1</v>
      </c>
      <c r="DC147" s="172">
        <v>1</v>
      </c>
      <c r="DD147" s="172">
        <v>1</v>
      </c>
      <c r="DE147" s="172">
        <v>1</v>
      </c>
      <c r="DF147" s="172">
        <v>1</v>
      </c>
      <c r="DG147" s="172">
        <v>1</v>
      </c>
      <c r="DH147" s="172">
        <v>1</v>
      </c>
      <c r="DI147" s="172">
        <v>1</v>
      </c>
      <c r="DJ147" s="172">
        <v>1</v>
      </c>
      <c r="DK147" s="172">
        <v>1</v>
      </c>
      <c r="DL147" s="172"/>
      <c r="DM147" s="172"/>
      <c r="DN147" s="172"/>
      <c r="DO147" s="172"/>
      <c r="DP147" s="172"/>
      <c r="DQ147" s="172"/>
      <c r="DR147" s="172"/>
      <c r="DS147" s="172"/>
      <c r="DT147" s="172"/>
      <c r="DU147" s="172"/>
      <c r="DV147" s="172"/>
      <c r="DW147" s="172"/>
      <c r="DX147" s="172"/>
      <c r="DY147" s="173"/>
      <c r="DZ147" s="203"/>
      <c r="EA147" s="82">
        <f t="shared" si="237"/>
        <v>412.25</v>
      </c>
      <c r="EB147" s="82">
        <f t="shared" si="8"/>
        <v>82.45</v>
      </c>
      <c r="EC147" s="82">
        <f t="shared" si="238"/>
        <v>0</v>
      </c>
      <c r="ED147" s="127">
        <f>SUM(EA147:EC147)</f>
        <v>494.7</v>
      </c>
    </row>
    <row r="148" spans="1:135" s="75" customFormat="1" ht="11.25" x14ac:dyDescent="0.2">
      <c r="A148" s="212">
        <v>2</v>
      </c>
      <c r="B148" s="213" t="s">
        <v>697</v>
      </c>
      <c r="C148" s="457" t="s">
        <v>659</v>
      </c>
      <c r="D148" s="403" t="s">
        <v>687</v>
      </c>
      <c r="E148" s="438" t="s">
        <v>600</v>
      </c>
      <c r="F148" s="525" t="str">
        <f>IFERROR(VLOOKUP(C148,MappingFromTTStoSU,2,FALSE),"SU Resource Role")</f>
        <v>DWMS</v>
      </c>
      <c r="G148" s="525"/>
      <c r="H148" s="434" t="str">
        <f>H147</f>
        <v>Development</v>
      </c>
      <c r="I148" s="407"/>
      <c r="J148" s="407"/>
      <c r="K148" s="407"/>
      <c r="L148" s="407"/>
      <c r="M148" s="407"/>
      <c r="N148" s="407"/>
      <c r="O148" s="407"/>
      <c r="P148" s="407"/>
      <c r="Q148" s="407"/>
      <c r="R148" s="407"/>
      <c r="S148" s="407">
        <v>1</v>
      </c>
      <c r="T148" s="172">
        <v>1</v>
      </c>
      <c r="U148" s="172">
        <v>1</v>
      </c>
      <c r="V148" s="172">
        <v>1</v>
      </c>
      <c r="W148" s="172">
        <v>1</v>
      </c>
      <c r="X148" s="172">
        <v>1</v>
      </c>
      <c r="Y148" s="172">
        <v>1</v>
      </c>
      <c r="Z148" s="172">
        <v>1</v>
      </c>
      <c r="AA148" s="172">
        <v>1</v>
      </c>
      <c r="AB148" s="172">
        <v>1</v>
      </c>
      <c r="AC148" s="172">
        <v>1</v>
      </c>
      <c r="AD148" s="172">
        <v>1</v>
      </c>
      <c r="AE148" s="172">
        <v>1</v>
      </c>
      <c r="AF148" s="172">
        <v>1</v>
      </c>
      <c r="AG148" s="172">
        <v>1</v>
      </c>
      <c r="AH148" s="172">
        <v>1</v>
      </c>
      <c r="AI148" s="172">
        <v>1</v>
      </c>
      <c r="AJ148" s="172">
        <v>1</v>
      </c>
      <c r="AK148" s="172">
        <v>1</v>
      </c>
      <c r="AL148" s="172">
        <v>1</v>
      </c>
      <c r="AM148" s="172">
        <v>1</v>
      </c>
      <c r="AN148" s="172">
        <v>1</v>
      </c>
      <c r="AO148" s="172">
        <v>1</v>
      </c>
      <c r="AP148" s="172">
        <v>1</v>
      </c>
      <c r="AQ148" s="172">
        <v>1</v>
      </c>
      <c r="AR148" s="172">
        <v>1</v>
      </c>
      <c r="AS148" s="172">
        <v>1</v>
      </c>
      <c r="AT148" s="172">
        <v>1</v>
      </c>
      <c r="AU148" s="172">
        <v>1</v>
      </c>
      <c r="AV148" s="172">
        <v>1</v>
      </c>
      <c r="AW148" s="172">
        <v>1</v>
      </c>
      <c r="AX148" s="172">
        <v>1</v>
      </c>
      <c r="AY148" s="172">
        <v>1</v>
      </c>
      <c r="AZ148" s="172">
        <v>1</v>
      </c>
      <c r="BA148" s="172">
        <v>1</v>
      </c>
      <c r="BB148" s="172">
        <v>1</v>
      </c>
      <c r="BC148" s="172">
        <v>1</v>
      </c>
      <c r="BD148" s="172">
        <v>1</v>
      </c>
      <c r="BE148" s="172">
        <v>1</v>
      </c>
      <c r="BF148" s="172">
        <v>1</v>
      </c>
      <c r="BG148" s="172">
        <v>1</v>
      </c>
      <c r="BH148" s="172">
        <v>1</v>
      </c>
      <c r="BI148" s="172">
        <v>1</v>
      </c>
      <c r="BJ148" s="172">
        <v>1</v>
      </c>
      <c r="BK148" s="172">
        <v>1</v>
      </c>
      <c r="BL148" s="172">
        <v>1</v>
      </c>
      <c r="BM148" s="172">
        <v>1</v>
      </c>
      <c r="BN148" s="172">
        <v>1</v>
      </c>
      <c r="BO148" s="172">
        <v>1</v>
      </c>
      <c r="BP148" s="172">
        <v>1</v>
      </c>
      <c r="BQ148" s="172">
        <v>1</v>
      </c>
      <c r="BR148" s="172">
        <v>1</v>
      </c>
      <c r="BS148" s="172">
        <v>1</v>
      </c>
      <c r="BT148" s="172">
        <v>1</v>
      </c>
      <c r="BU148" s="172">
        <v>1</v>
      </c>
      <c r="BV148" s="172">
        <v>1</v>
      </c>
      <c r="BW148" s="172">
        <v>1</v>
      </c>
      <c r="BX148" s="172">
        <v>1</v>
      </c>
      <c r="BY148" s="172">
        <v>1</v>
      </c>
      <c r="BZ148" s="172">
        <v>1</v>
      </c>
      <c r="CA148" s="172">
        <v>1</v>
      </c>
      <c r="CB148" s="172">
        <v>1</v>
      </c>
      <c r="CC148" s="172">
        <v>1</v>
      </c>
      <c r="CD148" s="172">
        <v>1</v>
      </c>
      <c r="CE148" s="172">
        <v>1</v>
      </c>
      <c r="CF148" s="172">
        <v>1</v>
      </c>
      <c r="CG148" s="172">
        <v>1</v>
      </c>
      <c r="CH148" s="172">
        <v>1</v>
      </c>
      <c r="CI148" s="172">
        <v>1</v>
      </c>
      <c r="CJ148" s="172">
        <v>1</v>
      </c>
      <c r="CK148" s="172">
        <v>1</v>
      </c>
      <c r="CL148" s="172">
        <v>1</v>
      </c>
      <c r="CM148" s="172">
        <v>1</v>
      </c>
      <c r="CN148" s="172">
        <v>1</v>
      </c>
      <c r="CO148" s="172">
        <v>1</v>
      </c>
      <c r="CP148" s="172">
        <v>1</v>
      </c>
      <c r="CQ148" s="172">
        <v>1</v>
      </c>
      <c r="CR148" s="172">
        <v>1</v>
      </c>
      <c r="CS148" s="172">
        <v>1</v>
      </c>
      <c r="CT148" s="172">
        <v>1</v>
      </c>
      <c r="CU148" s="172">
        <v>1</v>
      </c>
      <c r="CV148" s="172">
        <v>1</v>
      </c>
      <c r="CW148" s="172">
        <v>1</v>
      </c>
      <c r="CX148" s="172">
        <v>1</v>
      </c>
      <c r="CY148" s="172">
        <v>1</v>
      </c>
      <c r="CZ148" s="172">
        <v>1</v>
      </c>
      <c r="DA148" s="172">
        <v>1</v>
      </c>
      <c r="DB148" s="172">
        <v>1</v>
      </c>
      <c r="DC148" s="172">
        <v>1</v>
      </c>
      <c r="DD148" s="172">
        <v>1</v>
      </c>
      <c r="DE148" s="172">
        <v>1</v>
      </c>
      <c r="DF148" s="172">
        <v>1</v>
      </c>
      <c r="DG148" s="172">
        <v>1</v>
      </c>
      <c r="DH148" s="172">
        <v>1</v>
      </c>
      <c r="DI148" s="172">
        <v>1</v>
      </c>
      <c r="DJ148" s="172">
        <v>1</v>
      </c>
      <c r="DK148" s="172">
        <v>1</v>
      </c>
      <c r="DL148" s="172"/>
      <c r="DM148" s="172"/>
      <c r="DN148" s="172"/>
      <c r="DO148" s="172"/>
      <c r="DP148" s="172"/>
      <c r="DQ148" s="172"/>
      <c r="DR148" s="172"/>
      <c r="DS148" s="172"/>
      <c r="DT148" s="172"/>
      <c r="DU148" s="172"/>
      <c r="DV148" s="172"/>
      <c r="DW148" s="172"/>
      <c r="DX148" s="172"/>
      <c r="DY148" s="173"/>
      <c r="DZ148" s="203"/>
      <c r="EA148" s="82">
        <f t="shared" si="237"/>
        <v>412.25</v>
      </c>
      <c r="EB148" s="82">
        <f t="shared" ref="EB148" si="242">EA148*Scenario1AgileContingency</f>
        <v>82.45</v>
      </c>
      <c r="EC148" s="82">
        <f t="shared" si="238"/>
        <v>0</v>
      </c>
      <c r="ED148" s="127">
        <f>SUM(EA148:EC148)</f>
        <v>494.7</v>
      </c>
    </row>
    <row r="149" spans="1:135" s="75" customFormat="1" ht="11.25" x14ac:dyDescent="0.2">
      <c r="A149" s="212">
        <v>2</v>
      </c>
      <c r="B149" s="213" t="s">
        <v>697</v>
      </c>
      <c r="C149" s="457" t="str">
        <f t="shared" ref="C149:C152" si="243">IFERROR(VLOOKUP(D149,MappingFromSetAgiletoTTSRole,2,FALSE),"SET Agile Resource Role")</f>
        <v>Software Developer</v>
      </c>
      <c r="D149" s="403" t="s">
        <v>687</v>
      </c>
      <c r="E149" s="438" t="s">
        <v>600</v>
      </c>
      <c r="F149" s="525" t="s">
        <v>607</v>
      </c>
      <c r="G149" s="525"/>
      <c r="H149" s="434" t="str">
        <f>H147</f>
        <v>Development</v>
      </c>
      <c r="I149" s="407"/>
      <c r="J149" s="407"/>
      <c r="K149" s="407"/>
      <c r="L149" s="407"/>
      <c r="M149" s="407"/>
      <c r="N149" s="407"/>
      <c r="O149" s="407"/>
      <c r="P149" s="407"/>
      <c r="Q149" s="407"/>
      <c r="R149" s="407"/>
      <c r="S149" s="407">
        <v>1</v>
      </c>
      <c r="T149" s="172">
        <v>1</v>
      </c>
      <c r="U149" s="172">
        <v>1</v>
      </c>
      <c r="V149" s="172">
        <v>1</v>
      </c>
      <c r="W149" s="172">
        <v>1</v>
      </c>
      <c r="X149" s="172">
        <v>1</v>
      </c>
      <c r="Y149" s="172">
        <v>1</v>
      </c>
      <c r="Z149" s="172">
        <v>1</v>
      </c>
      <c r="AA149" s="172">
        <v>1</v>
      </c>
      <c r="AB149" s="172">
        <v>1</v>
      </c>
      <c r="AC149" s="172">
        <v>1</v>
      </c>
      <c r="AD149" s="172">
        <v>1</v>
      </c>
      <c r="AE149" s="172"/>
      <c r="AF149" s="172"/>
      <c r="AG149" s="172"/>
      <c r="AH149" s="172"/>
      <c r="AI149" s="172"/>
      <c r="AJ149" s="172"/>
      <c r="AK149" s="172"/>
      <c r="AL149" s="172"/>
      <c r="AM149" s="172"/>
      <c r="AN149" s="172"/>
      <c r="AO149" s="172">
        <v>1</v>
      </c>
      <c r="AP149" s="172">
        <v>1</v>
      </c>
      <c r="AQ149" s="172">
        <v>1</v>
      </c>
      <c r="AR149" s="172">
        <v>1</v>
      </c>
      <c r="AS149" s="172">
        <v>1</v>
      </c>
      <c r="AT149" s="172">
        <v>1</v>
      </c>
      <c r="AU149" s="172">
        <v>1</v>
      </c>
      <c r="AV149" s="172">
        <v>1</v>
      </c>
      <c r="AW149" s="172">
        <v>1</v>
      </c>
      <c r="AX149" s="172">
        <v>1</v>
      </c>
      <c r="AY149" s="172">
        <v>1</v>
      </c>
      <c r="AZ149" s="172">
        <v>1</v>
      </c>
      <c r="BA149" s="172">
        <v>1</v>
      </c>
      <c r="BB149" s="172">
        <v>1</v>
      </c>
      <c r="BC149" s="172">
        <v>1</v>
      </c>
      <c r="BD149" s="172">
        <v>1</v>
      </c>
      <c r="BE149" s="172">
        <v>1</v>
      </c>
      <c r="BF149" s="172">
        <v>1</v>
      </c>
      <c r="BG149" s="172">
        <v>1</v>
      </c>
      <c r="BH149" s="172">
        <v>1</v>
      </c>
      <c r="BI149" s="172">
        <v>1</v>
      </c>
      <c r="BJ149" s="172">
        <v>1</v>
      </c>
      <c r="BK149" s="172">
        <v>1</v>
      </c>
      <c r="BL149" s="172">
        <v>1</v>
      </c>
      <c r="BM149" s="172">
        <v>1</v>
      </c>
      <c r="BN149" s="172">
        <v>1</v>
      </c>
      <c r="BO149" s="172">
        <v>1</v>
      </c>
      <c r="BP149" s="172">
        <v>1</v>
      </c>
      <c r="BQ149" s="172">
        <v>1</v>
      </c>
      <c r="BR149" s="172">
        <v>1</v>
      </c>
      <c r="BS149" s="172">
        <v>1</v>
      </c>
      <c r="BT149" s="172">
        <v>1</v>
      </c>
      <c r="BU149" s="172">
        <v>1</v>
      </c>
      <c r="BV149" s="172">
        <v>1</v>
      </c>
      <c r="BW149" s="172">
        <v>1</v>
      </c>
      <c r="BX149" s="172">
        <v>1</v>
      </c>
      <c r="BY149" s="172">
        <v>1</v>
      </c>
      <c r="BZ149" s="172">
        <v>1</v>
      </c>
      <c r="CA149" s="172">
        <v>1</v>
      </c>
      <c r="CB149" s="172">
        <v>1</v>
      </c>
      <c r="CC149" s="172">
        <v>1</v>
      </c>
      <c r="CD149" s="172">
        <v>1</v>
      </c>
      <c r="CE149" s="172">
        <v>1</v>
      </c>
      <c r="CF149" s="172">
        <v>1</v>
      </c>
      <c r="CG149" s="172">
        <v>1</v>
      </c>
      <c r="CH149" s="172">
        <v>1</v>
      </c>
      <c r="CI149" s="172">
        <v>1</v>
      </c>
      <c r="CJ149" s="172">
        <v>1</v>
      </c>
      <c r="CK149" s="172">
        <v>1</v>
      </c>
      <c r="CL149" s="172">
        <v>1</v>
      </c>
      <c r="CM149" s="172">
        <v>1</v>
      </c>
      <c r="CN149" s="172">
        <v>1</v>
      </c>
      <c r="CO149" s="172">
        <v>1</v>
      </c>
      <c r="CP149" s="172">
        <v>1</v>
      </c>
      <c r="CQ149" s="172">
        <v>1</v>
      </c>
      <c r="CR149" s="172">
        <v>1</v>
      </c>
      <c r="CS149" s="172">
        <v>1</v>
      </c>
      <c r="CT149" s="172">
        <v>1</v>
      </c>
      <c r="CU149" s="172">
        <v>1</v>
      </c>
      <c r="CV149" s="172">
        <v>1</v>
      </c>
      <c r="CW149" s="172">
        <v>1</v>
      </c>
      <c r="CX149" s="172">
        <v>1</v>
      </c>
      <c r="CY149" s="172">
        <v>1</v>
      </c>
      <c r="CZ149" s="172">
        <v>1</v>
      </c>
      <c r="DA149" s="172">
        <v>1</v>
      </c>
      <c r="DB149" s="172">
        <v>1</v>
      </c>
      <c r="DC149" s="172">
        <v>1</v>
      </c>
      <c r="DD149" s="172">
        <v>1</v>
      </c>
      <c r="DE149" s="172">
        <v>1</v>
      </c>
      <c r="DF149" s="172">
        <v>1</v>
      </c>
      <c r="DG149" s="172">
        <v>1</v>
      </c>
      <c r="DH149" s="172">
        <v>1</v>
      </c>
      <c r="DI149" s="172">
        <v>1</v>
      </c>
      <c r="DJ149" s="172">
        <v>1</v>
      </c>
      <c r="DK149" s="172">
        <v>1</v>
      </c>
      <c r="DL149" s="172"/>
      <c r="DM149" s="172"/>
      <c r="DN149" s="172"/>
      <c r="DO149" s="172"/>
      <c r="DP149" s="172"/>
      <c r="DQ149" s="172"/>
      <c r="DR149" s="172"/>
      <c r="DS149" s="172"/>
      <c r="DT149" s="172"/>
      <c r="DU149" s="172"/>
      <c r="DV149" s="172"/>
      <c r="DW149" s="172"/>
      <c r="DX149" s="172"/>
      <c r="DY149" s="173"/>
      <c r="DZ149" s="203"/>
      <c r="EA149" s="82">
        <f t="shared" si="237"/>
        <v>369.75</v>
      </c>
      <c r="EB149" s="82">
        <f t="shared" si="8"/>
        <v>73.95</v>
      </c>
      <c r="EC149" s="82">
        <f t="shared" si="238"/>
        <v>0</v>
      </c>
      <c r="ED149" s="127">
        <f t="shared" si="10"/>
        <v>443.7</v>
      </c>
    </row>
    <row r="150" spans="1:135" s="75" customFormat="1" ht="11.25" x14ac:dyDescent="0.2">
      <c r="A150" s="212">
        <v>2</v>
      </c>
      <c r="B150" s="213" t="s">
        <v>697</v>
      </c>
      <c r="C150" s="457" t="s">
        <v>651</v>
      </c>
      <c r="D150" s="403" t="s">
        <v>688</v>
      </c>
      <c r="E150" s="438" t="s">
        <v>600</v>
      </c>
      <c r="F150" s="525" t="str">
        <f>IFERROR(VLOOKUP(C150,MappingFromTTStoSU,2,FALSE),"SU Resource Role")</f>
        <v>DWMS</v>
      </c>
      <c r="G150" s="525"/>
      <c r="H150" s="434" t="str">
        <f>H149</f>
        <v>Development</v>
      </c>
      <c r="I150" s="407"/>
      <c r="J150" s="407"/>
      <c r="K150" s="407"/>
      <c r="L150" s="407"/>
      <c r="M150" s="407"/>
      <c r="N150" s="407"/>
      <c r="O150" s="407"/>
      <c r="P150" s="407"/>
      <c r="Q150" s="407"/>
      <c r="R150" s="407"/>
      <c r="S150" s="407">
        <v>1</v>
      </c>
      <c r="T150" s="172">
        <v>1</v>
      </c>
      <c r="U150" s="172">
        <v>1</v>
      </c>
      <c r="V150" s="172">
        <v>1</v>
      </c>
      <c r="W150" s="172">
        <v>1</v>
      </c>
      <c r="X150" s="172">
        <v>1</v>
      </c>
      <c r="Y150" s="172">
        <v>1</v>
      </c>
      <c r="Z150" s="172">
        <v>1</v>
      </c>
      <c r="AA150" s="172">
        <v>1</v>
      </c>
      <c r="AB150" s="172">
        <v>1</v>
      </c>
      <c r="AC150" s="172">
        <v>1</v>
      </c>
      <c r="AD150" s="172">
        <v>1</v>
      </c>
      <c r="AE150" s="172">
        <v>1</v>
      </c>
      <c r="AF150" s="172">
        <v>1</v>
      </c>
      <c r="AG150" s="172">
        <v>1</v>
      </c>
      <c r="AH150" s="172">
        <v>1</v>
      </c>
      <c r="AI150" s="172">
        <v>1</v>
      </c>
      <c r="AJ150" s="172">
        <v>1</v>
      </c>
      <c r="AK150" s="172">
        <v>1</v>
      </c>
      <c r="AL150" s="172">
        <v>1</v>
      </c>
      <c r="AM150" s="172">
        <v>1</v>
      </c>
      <c r="AN150" s="172">
        <v>1</v>
      </c>
      <c r="AO150" s="172">
        <v>1</v>
      </c>
      <c r="AP150" s="172">
        <v>1</v>
      </c>
      <c r="AQ150" s="172">
        <v>1</v>
      </c>
      <c r="AR150" s="172">
        <v>1</v>
      </c>
      <c r="AS150" s="172">
        <v>1</v>
      </c>
      <c r="AT150" s="172">
        <v>1</v>
      </c>
      <c r="AU150" s="172">
        <v>1</v>
      </c>
      <c r="AV150" s="172">
        <v>1</v>
      </c>
      <c r="AW150" s="172">
        <v>1</v>
      </c>
      <c r="AX150" s="172">
        <v>1</v>
      </c>
      <c r="AY150" s="172">
        <v>1</v>
      </c>
      <c r="AZ150" s="172">
        <v>1</v>
      </c>
      <c r="BA150" s="172">
        <v>1</v>
      </c>
      <c r="BB150" s="172">
        <v>1</v>
      </c>
      <c r="BC150" s="172">
        <v>1</v>
      </c>
      <c r="BD150" s="172">
        <v>1</v>
      </c>
      <c r="BE150" s="172">
        <v>1</v>
      </c>
      <c r="BF150" s="172">
        <v>1</v>
      </c>
      <c r="BG150" s="172">
        <v>1</v>
      </c>
      <c r="BH150" s="172">
        <v>1</v>
      </c>
      <c r="BI150" s="172">
        <v>1</v>
      </c>
      <c r="BJ150" s="172">
        <v>1</v>
      </c>
      <c r="BK150" s="172">
        <v>1</v>
      </c>
      <c r="BL150" s="172">
        <v>1</v>
      </c>
      <c r="BM150" s="172">
        <v>1</v>
      </c>
      <c r="BN150" s="172">
        <v>1</v>
      </c>
      <c r="BO150" s="172">
        <v>1</v>
      </c>
      <c r="BP150" s="172">
        <v>1</v>
      </c>
      <c r="BQ150" s="172">
        <v>1</v>
      </c>
      <c r="BR150" s="172">
        <v>1</v>
      </c>
      <c r="BS150" s="172">
        <v>1</v>
      </c>
      <c r="BT150" s="172">
        <v>1</v>
      </c>
      <c r="BU150" s="172">
        <v>1</v>
      </c>
      <c r="BV150" s="172">
        <v>1</v>
      </c>
      <c r="BW150" s="172">
        <v>1</v>
      </c>
      <c r="BX150" s="172">
        <v>1</v>
      </c>
      <c r="BY150" s="172">
        <v>1</v>
      </c>
      <c r="BZ150" s="172">
        <v>1</v>
      </c>
      <c r="CA150" s="172">
        <v>1</v>
      </c>
      <c r="CB150" s="172">
        <v>1</v>
      </c>
      <c r="CC150" s="172">
        <v>1</v>
      </c>
      <c r="CD150" s="172">
        <v>1</v>
      </c>
      <c r="CE150" s="172">
        <v>1</v>
      </c>
      <c r="CF150" s="172">
        <v>1</v>
      </c>
      <c r="CG150" s="172">
        <v>1</v>
      </c>
      <c r="CH150" s="172">
        <v>1</v>
      </c>
      <c r="CI150" s="172">
        <v>1</v>
      </c>
      <c r="CJ150" s="172">
        <v>1</v>
      </c>
      <c r="CK150" s="172">
        <v>1</v>
      </c>
      <c r="CL150" s="172">
        <v>1</v>
      </c>
      <c r="CM150" s="172">
        <v>1</v>
      </c>
      <c r="CN150" s="172">
        <v>1</v>
      </c>
      <c r="CO150" s="172">
        <v>1</v>
      </c>
      <c r="CP150" s="172">
        <v>1</v>
      </c>
      <c r="CQ150" s="172">
        <v>1</v>
      </c>
      <c r="CR150" s="172">
        <v>1</v>
      </c>
      <c r="CS150" s="172">
        <v>1</v>
      </c>
      <c r="CT150" s="172">
        <v>1</v>
      </c>
      <c r="CU150" s="172">
        <v>1</v>
      </c>
      <c r="CV150" s="172">
        <v>1</v>
      </c>
      <c r="CW150" s="172">
        <v>1</v>
      </c>
      <c r="CX150" s="172">
        <v>1</v>
      </c>
      <c r="CY150" s="172">
        <v>1</v>
      </c>
      <c r="CZ150" s="172">
        <v>1</v>
      </c>
      <c r="DA150" s="172">
        <v>1</v>
      </c>
      <c r="DB150" s="172">
        <v>1</v>
      </c>
      <c r="DC150" s="172">
        <v>1</v>
      </c>
      <c r="DD150" s="172">
        <v>1</v>
      </c>
      <c r="DE150" s="172">
        <v>1</v>
      </c>
      <c r="DF150" s="172">
        <v>1</v>
      </c>
      <c r="DG150" s="172">
        <v>1</v>
      </c>
      <c r="DH150" s="172">
        <v>1</v>
      </c>
      <c r="DI150" s="172">
        <v>1</v>
      </c>
      <c r="DJ150" s="172">
        <v>1</v>
      </c>
      <c r="DK150" s="172">
        <v>1</v>
      </c>
      <c r="DL150" s="172">
        <v>1</v>
      </c>
      <c r="DM150" s="172">
        <v>1</v>
      </c>
      <c r="DN150" s="172">
        <v>1</v>
      </c>
      <c r="DO150" s="172">
        <v>1</v>
      </c>
      <c r="DP150" s="172">
        <v>1</v>
      </c>
      <c r="DQ150" s="172">
        <v>1</v>
      </c>
      <c r="DR150" s="172">
        <v>1</v>
      </c>
      <c r="DS150" s="172">
        <v>1</v>
      </c>
      <c r="DT150" s="172">
        <v>1</v>
      </c>
      <c r="DU150" s="172">
        <v>1</v>
      </c>
      <c r="DV150" s="172">
        <v>1</v>
      </c>
      <c r="DW150" s="172">
        <v>1</v>
      </c>
      <c r="DX150" s="172">
        <v>1</v>
      </c>
      <c r="DY150" s="173"/>
      <c r="DZ150" s="203"/>
      <c r="EA150" s="82">
        <f t="shared" si="237"/>
        <v>412.25</v>
      </c>
      <c r="EB150" s="82">
        <f t="shared" ref="EB150" si="244">EA150*Scenario1AgileContingency</f>
        <v>82.45</v>
      </c>
      <c r="EC150" s="82">
        <f t="shared" si="238"/>
        <v>55.25</v>
      </c>
      <c r="ED150" s="127">
        <f t="shared" ref="ED150" si="245">SUM(EA150:EC150)</f>
        <v>549.95000000000005</v>
      </c>
    </row>
    <row r="151" spans="1:135" s="75" customFormat="1" ht="11.25" x14ac:dyDescent="0.2">
      <c r="A151" s="212">
        <v>2</v>
      </c>
      <c r="B151" s="213" t="s">
        <v>697</v>
      </c>
      <c r="C151" s="457" t="str">
        <f t="shared" si="243"/>
        <v>Test Consultant</v>
      </c>
      <c r="D151" s="403" t="s">
        <v>688</v>
      </c>
      <c r="E151" s="438" t="s">
        <v>600</v>
      </c>
      <c r="F151" s="525" t="s">
        <v>607</v>
      </c>
      <c r="G151" s="525"/>
      <c r="H151" s="434" t="s">
        <v>702</v>
      </c>
      <c r="I151" s="407"/>
      <c r="J151" s="407"/>
      <c r="K151" s="407"/>
      <c r="L151" s="407"/>
      <c r="M151" s="407"/>
      <c r="N151" s="407"/>
      <c r="O151" s="407"/>
      <c r="P151" s="407"/>
      <c r="Q151" s="407"/>
      <c r="R151" s="407"/>
      <c r="S151" s="407">
        <v>1</v>
      </c>
      <c r="T151" s="172">
        <v>1</v>
      </c>
      <c r="U151" s="172">
        <v>1</v>
      </c>
      <c r="V151" s="172">
        <v>1</v>
      </c>
      <c r="W151" s="172">
        <v>1</v>
      </c>
      <c r="X151" s="172">
        <v>1</v>
      </c>
      <c r="Y151" s="172">
        <v>1</v>
      </c>
      <c r="Z151" s="172">
        <v>1</v>
      </c>
      <c r="AA151" s="172">
        <v>1</v>
      </c>
      <c r="AB151" s="172">
        <v>1</v>
      </c>
      <c r="AC151" s="172">
        <v>1</v>
      </c>
      <c r="AD151" s="172">
        <v>1</v>
      </c>
      <c r="AE151" s="172">
        <v>1</v>
      </c>
      <c r="AF151" s="172">
        <v>1</v>
      </c>
      <c r="AG151" s="172">
        <v>1</v>
      </c>
      <c r="AH151" s="172">
        <v>1</v>
      </c>
      <c r="AI151" s="172">
        <v>1</v>
      </c>
      <c r="AJ151" s="172">
        <v>1</v>
      </c>
      <c r="AK151" s="172">
        <v>1</v>
      </c>
      <c r="AL151" s="172">
        <v>1</v>
      </c>
      <c r="AM151" s="172">
        <v>1</v>
      </c>
      <c r="AN151" s="172">
        <v>1</v>
      </c>
      <c r="AO151" s="172">
        <v>1</v>
      </c>
      <c r="AP151" s="172">
        <v>1</v>
      </c>
      <c r="AQ151" s="172">
        <v>1</v>
      </c>
      <c r="AR151" s="172">
        <v>1</v>
      </c>
      <c r="AS151" s="172">
        <v>1</v>
      </c>
      <c r="AT151" s="172">
        <v>1</v>
      </c>
      <c r="AU151" s="172">
        <v>1</v>
      </c>
      <c r="AV151" s="172">
        <v>1</v>
      </c>
      <c r="AW151" s="172">
        <v>1</v>
      </c>
      <c r="AX151" s="172">
        <v>1</v>
      </c>
      <c r="AY151" s="172">
        <v>1</v>
      </c>
      <c r="AZ151" s="172">
        <v>1</v>
      </c>
      <c r="BA151" s="172">
        <v>1</v>
      </c>
      <c r="BB151" s="172">
        <v>1</v>
      </c>
      <c r="BC151" s="172">
        <v>1</v>
      </c>
      <c r="BD151" s="172">
        <v>1</v>
      </c>
      <c r="BE151" s="172">
        <v>1</v>
      </c>
      <c r="BF151" s="172">
        <v>1</v>
      </c>
      <c r="BG151" s="172">
        <v>1</v>
      </c>
      <c r="BH151" s="172">
        <v>1</v>
      </c>
      <c r="BI151" s="172">
        <v>1</v>
      </c>
      <c r="BJ151" s="172">
        <v>1</v>
      </c>
      <c r="BK151" s="172">
        <v>1</v>
      </c>
      <c r="BL151" s="172">
        <v>1</v>
      </c>
      <c r="BM151" s="172">
        <v>1</v>
      </c>
      <c r="BN151" s="172">
        <v>1</v>
      </c>
      <c r="BO151" s="172">
        <v>1</v>
      </c>
      <c r="BP151" s="172">
        <v>1</v>
      </c>
      <c r="BQ151" s="172">
        <v>1</v>
      </c>
      <c r="BR151" s="172">
        <v>1</v>
      </c>
      <c r="BS151" s="172">
        <v>1</v>
      </c>
      <c r="BT151" s="172">
        <v>1</v>
      </c>
      <c r="BU151" s="172">
        <v>1</v>
      </c>
      <c r="BV151" s="172">
        <v>1</v>
      </c>
      <c r="BW151" s="172">
        <v>1</v>
      </c>
      <c r="BX151" s="172">
        <v>1</v>
      </c>
      <c r="BY151" s="172">
        <v>1</v>
      </c>
      <c r="BZ151" s="172">
        <v>1</v>
      </c>
      <c r="CA151" s="172">
        <v>1</v>
      </c>
      <c r="CB151" s="172">
        <v>1</v>
      </c>
      <c r="CC151" s="172">
        <v>1</v>
      </c>
      <c r="CD151" s="172">
        <v>1</v>
      </c>
      <c r="CE151" s="172">
        <v>1</v>
      </c>
      <c r="CF151" s="172">
        <v>1</v>
      </c>
      <c r="CG151" s="172">
        <v>1</v>
      </c>
      <c r="CH151" s="172">
        <v>1</v>
      </c>
      <c r="CI151" s="172">
        <v>1</v>
      </c>
      <c r="CJ151" s="172">
        <v>1</v>
      </c>
      <c r="CK151" s="172">
        <v>1</v>
      </c>
      <c r="CL151" s="172">
        <v>1</v>
      </c>
      <c r="CM151" s="172">
        <v>1</v>
      </c>
      <c r="CN151" s="172">
        <v>1</v>
      </c>
      <c r="CO151" s="172">
        <v>1</v>
      </c>
      <c r="CP151" s="172">
        <v>1</v>
      </c>
      <c r="CQ151" s="172">
        <v>1</v>
      </c>
      <c r="CR151" s="172">
        <v>1</v>
      </c>
      <c r="CS151" s="172">
        <v>1</v>
      </c>
      <c r="CT151" s="172">
        <v>1</v>
      </c>
      <c r="CU151" s="172">
        <v>1</v>
      </c>
      <c r="CV151" s="172">
        <v>1</v>
      </c>
      <c r="CW151" s="172">
        <v>1</v>
      </c>
      <c r="CX151" s="172">
        <v>1</v>
      </c>
      <c r="CY151" s="172">
        <v>1</v>
      </c>
      <c r="CZ151" s="172">
        <v>1</v>
      </c>
      <c r="DA151" s="172">
        <v>1</v>
      </c>
      <c r="DB151" s="172">
        <v>1</v>
      </c>
      <c r="DC151" s="172">
        <v>1</v>
      </c>
      <c r="DD151" s="172">
        <v>1</v>
      </c>
      <c r="DE151" s="172">
        <v>1</v>
      </c>
      <c r="DF151" s="172">
        <v>1</v>
      </c>
      <c r="DG151" s="172">
        <v>1</v>
      </c>
      <c r="DH151" s="172">
        <v>1</v>
      </c>
      <c r="DI151" s="172">
        <v>1</v>
      </c>
      <c r="DJ151" s="172">
        <v>1</v>
      </c>
      <c r="DK151" s="172">
        <v>1</v>
      </c>
      <c r="DL151" s="172"/>
      <c r="DM151" s="172"/>
      <c r="DN151" s="172"/>
      <c r="DO151" s="172"/>
      <c r="DP151" s="172"/>
      <c r="DQ151" s="172"/>
      <c r="DR151" s="172"/>
      <c r="DS151" s="172"/>
      <c r="DT151" s="172"/>
      <c r="DU151" s="172"/>
      <c r="DV151" s="172"/>
      <c r="DW151" s="172"/>
      <c r="DX151" s="172"/>
      <c r="DY151" s="173"/>
      <c r="DZ151" s="203"/>
      <c r="EA151" s="82">
        <f t="shared" si="237"/>
        <v>412.25</v>
      </c>
      <c r="EB151" s="82">
        <f t="shared" si="8"/>
        <v>82.45</v>
      </c>
      <c r="EC151" s="82">
        <f t="shared" si="238"/>
        <v>0</v>
      </c>
      <c r="ED151" s="127">
        <f t="shared" si="10"/>
        <v>494.7</v>
      </c>
    </row>
    <row r="152" spans="1:135" s="75" customFormat="1" ht="11.25" x14ac:dyDescent="0.2">
      <c r="A152" s="212">
        <v>2</v>
      </c>
      <c r="B152" s="213" t="s">
        <v>697</v>
      </c>
      <c r="C152" s="457" t="str">
        <f t="shared" si="243"/>
        <v>Test Consultant</v>
      </c>
      <c r="D152" s="404" t="s">
        <v>688</v>
      </c>
      <c r="E152" s="438" t="s">
        <v>600</v>
      </c>
      <c r="F152" s="525" t="s">
        <v>607</v>
      </c>
      <c r="G152" s="525"/>
      <c r="H152" s="434" t="str">
        <f t="shared" ref="H152" si="246">H151</f>
        <v>Development</v>
      </c>
      <c r="I152" s="408"/>
      <c r="J152" s="408"/>
      <c r="K152" s="408"/>
      <c r="L152" s="408"/>
      <c r="M152" s="408"/>
      <c r="N152" s="408"/>
      <c r="O152" s="408"/>
      <c r="P152" s="408"/>
      <c r="Q152" s="408"/>
      <c r="R152" s="408"/>
      <c r="S152" s="408">
        <v>1</v>
      </c>
      <c r="T152" s="172">
        <v>1</v>
      </c>
      <c r="U152" s="172">
        <v>1</v>
      </c>
      <c r="V152" s="172">
        <v>1</v>
      </c>
      <c r="W152" s="172">
        <v>1</v>
      </c>
      <c r="X152" s="172">
        <v>1</v>
      </c>
      <c r="Y152" s="172">
        <v>1</v>
      </c>
      <c r="Z152" s="172">
        <v>1</v>
      </c>
      <c r="AA152" s="172">
        <v>1</v>
      </c>
      <c r="AB152" s="172">
        <v>1</v>
      </c>
      <c r="AC152" s="172">
        <v>1</v>
      </c>
      <c r="AD152" s="172">
        <v>1</v>
      </c>
      <c r="AE152" s="172">
        <v>1</v>
      </c>
      <c r="AF152" s="172">
        <v>1</v>
      </c>
      <c r="AG152" s="172">
        <v>1</v>
      </c>
      <c r="AH152" s="172">
        <v>1</v>
      </c>
      <c r="AI152" s="176">
        <v>1</v>
      </c>
      <c r="AJ152" s="176">
        <v>1</v>
      </c>
      <c r="AK152" s="176">
        <v>1</v>
      </c>
      <c r="AL152" s="176">
        <v>1</v>
      </c>
      <c r="AM152" s="176">
        <v>1</v>
      </c>
      <c r="AN152" s="176">
        <v>1</v>
      </c>
      <c r="AO152" s="176">
        <v>1</v>
      </c>
      <c r="AP152" s="176">
        <v>1</v>
      </c>
      <c r="AQ152" s="176">
        <v>1</v>
      </c>
      <c r="AR152" s="176">
        <v>1</v>
      </c>
      <c r="AS152" s="176">
        <v>1</v>
      </c>
      <c r="AT152" s="176">
        <v>1</v>
      </c>
      <c r="AU152" s="176">
        <v>1</v>
      </c>
      <c r="AV152" s="176">
        <v>1</v>
      </c>
      <c r="AW152" s="176">
        <v>1</v>
      </c>
      <c r="AX152" s="176">
        <v>1</v>
      </c>
      <c r="AY152" s="176">
        <v>1</v>
      </c>
      <c r="AZ152" s="176">
        <v>1</v>
      </c>
      <c r="BA152" s="176">
        <v>1</v>
      </c>
      <c r="BB152" s="176">
        <v>1</v>
      </c>
      <c r="BC152" s="176">
        <v>1</v>
      </c>
      <c r="BD152" s="176">
        <v>1</v>
      </c>
      <c r="BE152" s="176">
        <v>1</v>
      </c>
      <c r="BF152" s="176">
        <v>1</v>
      </c>
      <c r="BG152" s="176">
        <v>1</v>
      </c>
      <c r="BH152" s="176">
        <v>1</v>
      </c>
      <c r="BI152" s="176">
        <v>1</v>
      </c>
      <c r="BJ152" s="176">
        <v>1</v>
      </c>
      <c r="BK152" s="176">
        <v>1</v>
      </c>
      <c r="BL152" s="176">
        <v>1</v>
      </c>
      <c r="BM152" s="176">
        <v>1</v>
      </c>
      <c r="BN152" s="176">
        <v>1</v>
      </c>
      <c r="BO152" s="176">
        <v>1</v>
      </c>
      <c r="BP152" s="176">
        <v>1</v>
      </c>
      <c r="BQ152" s="176">
        <v>1</v>
      </c>
      <c r="BR152" s="176">
        <v>1</v>
      </c>
      <c r="BS152" s="176">
        <v>1</v>
      </c>
      <c r="BT152" s="176">
        <v>1</v>
      </c>
      <c r="BU152" s="176">
        <v>1</v>
      </c>
      <c r="BV152" s="176">
        <v>1</v>
      </c>
      <c r="BW152" s="176">
        <v>1</v>
      </c>
      <c r="BX152" s="176">
        <v>1</v>
      </c>
      <c r="BY152" s="176">
        <v>1</v>
      </c>
      <c r="BZ152" s="176">
        <v>1</v>
      </c>
      <c r="CA152" s="176">
        <v>1</v>
      </c>
      <c r="CB152" s="176">
        <v>1</v>
      </c>
      <c r="CC152" s="176">
        <v>1</v>
      </c>
      <c r="CD152" s="176">
        <v>1</v>
      </c>
      <c r="CE152" s="176">
        <v>1</v>
      </c>
      <c r="CF152" s="176">
        <v>1</v>
      </c>
      <c r="CG152" s="176">
        <v>1</v>
      </c>
      <c r="CH152" s="176">
        <v>1</v>
      </c>
      <c r="CI152" s="176">
        <v>1</v>
      </c>
      <c r="CJ152" s="176">
        <v>1</v>
      </c>
      <c r="CK152" s="176">
        <v>1</v>
      </c>
      <c r="CL152" s="176">
        <v>1</v>
      </c>
      <c r="CM152" s="176">
        <v>1</v>
      </c>
      <c r="CN152" s="176">
        <v>1</v>
      </c>
      <c r="CO152" s="176">
        <v>1</v>
      </c>
      <c r="CP152" s="176">
        <v>1</v>
      </c>
      <c r="CQ152" s="176">
        <v>1</v>
      </c>
      <c r="CR152" s="176">
        <v>1</v>
      </c>
      <c r="CS152" s="176">
        <v>1</v>
      </c>
      <c r="CT152" s="176">
        <v>1</v>
      </c>
      <c r="CU152" s="176">
        <v>1</v>
      </c>
      <c r="CV152" s="176">
        <v>1</v>
      </c>
      <c r="CW152" s="176">
        <v>1</v>
      </c>
      <c r="CX152" s="176">
        <v>1</v>
      </c>
      <c r="CY152" s="176">
        <v>1</v>
      </c>
      <c r="CZ152" s="176">
        <v>1</v>
      </c>
      <c r="DA152" s="176">
        <v>1</v>
      </c>
      <c r="DB152" s="176">
        <v>1</v>
      </c>
      <c r="DC152" s="176">
        <v>1</v>
      </c>
      <c r="DD152" s="176">
        <v>1</v>
      </c>
      <c r="DE152" s="176">
        <v>1</v>
      </c>
      <c r="DF152" s="176">
        <v>1</v>
      </c>
      <c r="DG152" s="176">
        <v>1</v>
      </c>
      <c r="DH152" s="176">
        <v>1</v>
      </c>
      <c r="DI152" s="176">
        <v>1</v>
      </c>
      <c r="DJ152" s="176">
        <v>1</v>
      </c>
      <c r="DK152" s="176">
        <v>1</v>
      </c>
      <c r="DL152" s="176"/>
      <c r="DM152" s="176"/>
      <c r="DN152" s="176"/>
      <c r="DO152" s="176"/>
      <c r="DP152" s="176"/>
      <c r="DQ152" s="176"/>
      <c r="DR152" s="176"/>
      <c r="DS152" s="176"/>
      <c r="DT152" s="176"/>
      <c r="DU152" s="176"/>
      <c r="DV152" s="176"/>
      <c r="DW152" s="176"/>
      <c r="DX152" s="176"/>
      <c r="DY152" s="178"/>
      <c r="DZ152" s="203"/>
      <c r="EA152" s="82">
        <f t="shared" si="237"/>
        <v>412.25</v>
      </c>
      <c r="EB152" s="82">
        <f t="shared" si="8"/>
        <v>82.45</v>
      </c>
      <c r="EC152" s="82">
        <f t="shared" si="238"/>
        <v>0</v>
      </c>
      <c r="ED152" s="127">
        <f t="shared" si="10"/>
        <v>494.7</v>
      </c>
    </row>
    <row r="153" spans="1:135" s="74" customFormat="1" ht="56.25" x14ac:dyDescent="0.2">
      <c r="A153" s="210">
        <v>1</v>
      </c>
      <c r="B153" s="211" t="s">
        <v>697</v>
      </c>
      <c r="C153" s="207" t="s">
        <v>705</v>
      </c>
      <c r="D153" s="207" t="s">
        <v>705</v>
      </c>
      <c r="E153" s="437"/>
      <c r="F153" s="524"/>
      <c r="G153" s="524"/>
      <c r="H153" s="437"/>
      <c r="I153" s="214"/>
      <c r="J153" s="214"/>
      <c r="K153" s="214"/>
      <c r="L153" s="214"/>
      <c r="M153" s="214"/>
      <c r="N153" s="214"/>
      <c r="O153" s="214"/>
      <c r="P153" s="214"/>
      <c r="Q153" s="214"/>
      <c r="R153" s="214"/>
      <c r="S153" s="214"/>
      <c r="T153" s="214"/>
      <c r="U153" s="214"/>
      <c r="V153" s="214"/>
      <c r="W153" s="214"/>
      <c r="X153" s="214"/>
      <c r="Y153" s="214"/>
      <c r="Z153" s="214"/>
      <c r="AA153" s="214"/>
      <c r="AB153" s="214"/>
      <c r="AC153" s="214"/>
      <c r="AD153" s="214"/>
      <c r="AE153" s="214" t="s">
        <v>699</v>
      </c>
      <c r="AF153" s="214"/>
      <c r="AG153" s="214"/>
      <c r="AH153" s="214"/>
      <c r="AI153" s="214"/>
      <c r="AJ153" s="214"/>
      <c r="AK153" s="214"/>
      <c r="AL153" s="214"/>
      <c r="AM153" s="214"/>
      <c r="AN153" s="214"/>
      <c r="AO153" s="214" t="s">
        <v>700</v>
      </c>
      <c r="AP153" s="214"/>
      <c r="AQ153" s="214"/>
      <c r="AR153" s="214"/>
      <c r="AS153" s="214"/>
      <c r="AT153" s="214"/>
      <c r="AU153" s="214"/>
      <c r="AV153" s="214"/>
      <c r="AW153" s="214"/>
      <c r="AX153" s="214"/>
      <c r="AY153" s="214"/>
      <c r="AZ153" s="214"/>
      <c r="BA153" s="214"/>
      <c r="BB153" s="214"/>
      <c r="BC153" s="214"/>
      <c r="BD153" s="214"/>
      <c r="BE153" s="214"/>
      <c r="BF153" s="214"/>
      <c r="BG153" s="214"/>
      <c r="BH153" s="214"/>
      <c r="BI153" s="214"/>
      <c r="BJ153" s="214"/>
      <c r="BK153" s="214"/>
      <c r="BL153" s="214"/>
      <c r="BM153" s="214"/>
      <c r="BN153" s="214"/>
      <c r="BO153" s="214"/>
      <c r="BP153" s="214"/>
      <c r="BQ153" s="214"/>
      <c r="BR153" s="214"/>
      <c r="BS153" s="214"/>
      <c r="BT153" s="214"/>
      <c r="BU153" s="214"/>
      <c r="BV153" s="214"/>
      <c r="BW153" s="214"/>
      <c r="BX153" s="214"/>
      <c r="BY153" s="214"/>
      <c r="BZ153" s="214"/>
      <c r="CA153" s="214"/>
      <c r="CB153" s="214"/>
      <c r="CC153" s="214"/>
      <c r="CD153" s="214"/>
      <c r="CE153" s="214"/>
      <c r="CF153" s="214"/>
      <c r="CG153" s="214"/>
      <c r="CH153" s="214"/>
      <c r="CI153" s="214"/>
      <c r="CJ153" s="214"/>
      <c r="CK153" s="214"/>
      <c r="CL153" s="214"/>
      <c r="CM153" s="214"/>
      <c r="CN153" s="214"/>
      <c r="CO153" s="214"/>
      <c r="CP153" s="214"/>
      <c r="CQ153" s="214"/>
      <c r="CR153" s="214"/>
      <c r="CS153" s="214"/>
      <c r="CT153" s="214"/>
      <c r="CU153" s="214"/>
      <c r="CV153" s="214"/>
      <c r="CW153" s="214"/>
      <c r="CX153" s="214"/>
      <c r="CY153" s="214"/>
      <c r="CZ153" s="214"/>
      <c r="DA153" s="214"/>
      <c r="DB153" s="214"/>
      <c r="DC153" s="214"/>
      <c r="DD153" s="214"/>
      <c r="DE153" s="214"/>
      <c r="DF153" s="214"/>
      <c r="DG153" s="214"/>
      <c r="DH153" s="214"/>
      <c r="DI153" s="214"/>
      <c r="DJ153" s="214"/>
      <c r="DK153" s="214"/>
      <c r="DL153" s="214"/>
      <c r="DM153" s="214"/>
      <c r="DN153" s="214"/>
      <c r="DO153" s="214"/>
      <c r="DP153" s="214"/>
      <c r="DQ153" s="214"/>
      <c r="DR153" s="214"/>
      <c r="DS153" s="214"/>
      <c r="DT153" s="214"/>
      <c r="DU153" s="214"/>
      <c r="DV153" s="214"/>
      <c r="DW153" s="214"/>
      <c r="DX153" s="214"/>
      <c r="DY153" s="186"/>
      <c r="DZ153" s="187"/>
      <c r="EA153" s="127"/>
      <c r="EB153" s="127"/>
      <c r="EC153" s="127"/>
      <c r="ED153" s="127"/>
      <c r="EE153" s="75"/>
    </row>
    <row r="154" spans="1:135" s="75" customFormat="1" ht="11.25" x14ac:dyDescent="0.2">
      <c r="A154" s="212">
        <v>2</v>
      </c>
      <c r="B154" s="213" t="s">
        <v>697</v>
      </c>
      <c r="C154" s="457" t="str">
        <f>IFERROR(VLOOKUP(D154,MappingFromSetAgiletoTTSRole,2,FALSE),"SET Agile Resource Role")</f>
        <v>Business Consultant</v>
      </c>
      <c r="D154" s="402" t="s">
        <v>684</v>
      </c>
      <c r="E154" s="438" t="s">
        <v>600</v>
      </c>
      <c r="F154" s="525" t="s">
        <v>607</v>
      </c>
      <c r="G154" s="525"/>
      <c r="H154" s="434" t="s">
        <v>702</v>
      </c>
      <c r="I154" s="406">
        <v>1</v>
      </c>
      <c r="J154" s="406">
        <v>1</v>
      </c>
      <c r="K154" s="406">
        <v>1</v>
      </c>
      <c r="L154" s="406">
        <v>1</v>
      </c>
      <c r="M154" s="406">
        <v>1</v>
      </c>
      <c r="N154" s="406">
        <v>1</v>
      </c>
      <c r="O154" s="406">
        <v>1</v>
      </c>
      <c r="P154" s="406">
        <v>1</v>
      </c>
      <c r="Q154" s="406">
        <v>1</v>
      </c>
      <c r="R154" s="406">
        <v>1</v>
      </c>
      <c r="S154" s="406">
        <v>1</v>
      </c>
      <c r="T154" s="406">
        <v>1</v>
      </c>
      <c r="U154" s="406">
        <v>1</v>
      </c>
      <c r="V154" s="406">
        <v>1</v>
      </c>
      <c r="W154" s="406">
        <v>1</v>
      </c>
      <c r="X154" s="406">
        <v>1</v>
      </c>
      <c r="Y154" s="406">
        <v>1</v>
      </c>
      <c r="Z154" s="406">
        <v>1</v>
      </c>
      <c r="AA154" s="406">
        <v>1</v>
      </c>
      <c r="AB154" s="406">
        <v>1</v>
      </c>
      <c r="AC154" s="406">
        <v>1</v>
      </c>
      <c r="AD154" s="406">
        <v>1</v>
      </c>
      <c r="AE154" s="406">
        <v>1</v>
      </c>
      <c r="AF154" s="406">
        <v>1</v>
      </c>
      <c r="AG154" s="406">
        <v>1</v>
      </c>
      <c r="AH154" s="406">
        <v>1</v>
      </c>
      <c r="AI154" s="406">
        <v>1</v>
      </c>
      <c r="AJ154" s="406">
        <v>1</v>
      </c>
      <c r="AK154" s="406">
        <v>1</v>
      </c>
      <c r="AL154" s="406">
        <v>1</v>
      </c>
      <c r="AM154" s="406">
        <v>1</v>
      </c>
      <c r="AN154" s="406">
        <v>1</v>
      </c>
      <c r="AO154" s="406">
        <v>1</v>
      </c>
      <c r="AP154" s="406">
        <v>1</v>
      </c>
      <c r="AQ154" s="406">
        <v>1</v>
      </c>
      <c r="AR154" s="406">
        <v>1</v>
      </c>
      <c r="AS154" s="406">
        <v>1</v>
      </c>
      <c r="AT154" s="406">
        <v>1</v>
      </c>
      <c r="AU154" s="406">
        <v>1</v>
      </c>
      <c r="AV154" s="406">
        <v>1</v>
      </c>
      <c r="AW154" s="406">
        <v>1</v>
      </c>
      <c r="AX154" s="406">
        <v>1</v>
      </c>
      <c r="AY154" s="406">
        <v>1</v>
      </c>
      <c r="AZ154" s="406">
        <v>1</v>
      </c>
      <c r="BA154" s="406">
        <v>1</v>
      </c>
      <c r="BB154" s="406">
        <v>1</v>
      </c>
      <c r="BC154" s="406">
        <v>1</v>
      </c>
      <c r="BD154" s="406">
        <v>1</v>
      </c>
      <c r="BE154" s="406">
        <v>1</v>
      </c>
      <c r="BF154" s="406">
        <v>1</v>
      </c>
      <c r="BG154" s="406">
        <v>1</v>
      </c>
      <c r="BH154" s="406">
        <v>1</v>
      </c>
      <c r="BI154" s="406">
        <v>1</v>
      </c>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c r="CX154" s="179"/>
      <c r="CY154" s="179"/>
      <c r="CZ154" s="179"/>
      <c r="DA154" s="179"/>
      <c r="DB154" s="179"/>
      <c r="DC154" s="179"/>
      <c r="DD154" s="179"/>
      <c r="DE154" s="179"/>
      <c r="DF154" s="179"/>
      <c r="DG154" s="179"/>
      <c r="DH154" s="179"/>
      <c r="DI154" s="179"/>
      <c r="DJ154" s="179"/>
      <c r="DK154" s="179"/>
      <c r="DL154" s="179"/>
      <c r="DM154" s="179"/>
      <c r="DN154" s="179"/>
      <c r="DO154" s="179"/>
      <c r="DP154" s="179"/>
      <c r="DQ154" s="179"/>
      <c r="DR154" s="179"/>
      <c r="DS154" s="179"/>
      <c r="DT154" s="179"/>
      <c r="DU154" s="179"/>
      <c r="DV154" s="179"/>
      <c r="DW154" s="179"/>
      <c r="DX154" s="179"/>
      <c r="DY154" s="180"/>
      <c r="DZ154" s="203"/>
      <c r="EA154" s="82">
        <f t="shared" ref="EA154:EA164" si="247">SUMIF(I$8:DY$8,"&lt;&gt;"&amp;AgileIteration_Warranty,I154:DY154)*5*Scenario1Utilisation</f>
        <v>225.25</v>
      </c>
      <c r="EB154" s="82">
        <f t="shared" si="8"/>
        <v>45.050000000000004</v>
      </c>
      <c r="EC154" s="82">
        <f t="shared" ref="EC154:EC164" si="248">IF(Scenario1Warranty=AgileWarrantyDefault, (SUMIF(I$8:DY$8,AgileIteration_Warranty,I154:DY154)*5*Scenario1Utilisation), (EA154*Scenario1Warranty))</f>
        <v>0</v>
      </c>
      <c r="ED154" s="127">
        <f t="shared" si="10"/>
        <v>270.3</v>
      </c>
    </row>
    <row r="155" spans="1:135" s="75" customFormat="1" ht="11.25" x14ac:dyDescent="0.2">
      <c r="A155" s="212">
        <v>2</v>
      </c>
      <c r="B155" s="213" t="s">
        <v>697</v>
      </c>
      <c r="C155" s="637" t="s">
        <v>685</v>
      </c>
      <c r="D155" s="639" t="s">
        <v>703</v>
      </c>
      <c r="E155" s="438" t="s">
        <v>600</v>
      </c>
      <c r="F155" s="525" t="s">
        <v>607</v>
      </c>
      <c r="G155" s="525"/>
      <c r="H155" s="434" t="str">
        <f>H154</f>
        <v>Development</v>
      </c>
      <c r="I155" s="406"/>
      <c r="J155" s="406"/>
      <c r="K155" s="406"/>
      <c r="L155" s="406"/>
      <c r="M155" s="406"/>
      <c r="N155" s="406"/>
      <c r="O155" s="406"/>
      <c r="P155" s="406"/>
      <c r="Q155" s="406"/>
      <c r="R155" s="406"/>
      <c r="S155" s="406">
        <v>0.5</v>
      </c>
      <c r="T155" s="406">
        <v>0.5</v>
      </c>
      <c r="U155" s="406">
        <v>0.5</v>
      </c>
      <c r="V155" s="406">
        <v>0.5</v>
      </c>
      <c r="W155" s="406">
        <v>0.5</v>
      </c>
      <c r="X155" s="406">
        <v>0.5</v>
      </c>
      <c r="Y155" s="406">
        <v>0.5</v>
      </c>
      <c r="Z155" s="406">
        <v>0.5</v>
      </c>
      <c r="AA155" s="406">
        <v>0.5</v>
      </c>
      <c r="AB155" s="406">
        <v>0.5</v>
      </c>
      <c r="AC155" s="406">
        <v>0.5</v>
      </c>
      <c r="AD155" s="406">
        <v>0.5</v>
      </c>
      <c r="AE155" s="406">
        <v>0.5</v>
      </c>
      <c r="AF155" s="406">
        <v>0.5</v>
      </c>
      <c r="AG155" s="406">
        <v>0.5</v>
      </c>
      <c r="AH155" s="406">
        <v>0.5</v>
      </c>
      <c r="AI155" s="406">
        <v>0.5</v>
      </c>
      <c r="AJ155" s="406">
        <v>0.5</v>
      </c>
      <c r="AK155" s="406">
        <v>0.5</v>
      </c>
      <c r="AL155" s="406">
        <v>0.5</v>
      </c>
      <c r="AM155" s="406">
        <v>0.5</v>
      </c>
      <c r="AN155" s="406">
        <v>0.5</v>
      </c>
      <c r="AO155" s="406">
        <v>0.5</v>
      </c>
      <c r="AP155" s="406">
        <v>0.5</v>
      </c>
      <c r="AQ155" s="406">
        <v>0.5</v>
      </c>
      <c r="AR155" s="406">
        <v>0.5</v>
      </c>
      <c r="AS155" s="406">
        <v>0.5</v>
      </c>
      <c r="AT155" s="406">
        <v>0.5</v>
      </c>
      <c r="AU155" s="406">
        <v>0.5</v>
      </c>
      <c r="AV155" s="406">
        <v>0.5</v>
      </c>
      <c r="AW155" s="406">
        <v>0.5</v>
      </c>
      <c r="AX155" s="406">
        <v>0.5</v>
      </c>
      <c r="AY155" s="406">
        <v>0.5</v>
      </c>
      <c r="AZ155" s="406">
        <v>0.5</v>
      </c>
      <c r="BA155" s="406">
        <v>0.5</v>
      </c>
      <c r="BB155" s="406">
        <v>0.5</v>
      </c>
      <c r="BC155" s="406">
        <v>0.5</v>
      </c>
      <c r="BD155" s="406">
        <v>0.5</v>
      </c>
      <c r="BE155" s="406">
        <v>0.5</v>
      </c>
      <c r="BF155" s="406">
        <v>0.5</v>
      </c>
      <c r="BG155" s="406">
        <v>0.5</v>
      </c>
      <c r="BH155" s="406">
        <v>0.5</v>
      </c>
      <c r="BI155" s="406">
        <v>0.5</v>
      </c>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c r="CX155" s="179"/>
      <c r="CY155" s="179"/>
      <c r="CZ155" s="179"/>
      <c r="DA155" s="179"/>
      <c r="DB155" s="179"/>
      <c r="DC155" s="179"/>
      <c r="DD155" s="179"/>
      <c r="DE155" s="179"/>
      <c r="DF155" s="179"/>
      <c r="DG155" s="179"/>
      <c r="DH155" s="179"/>
      <c r="DI155" s="179"/>
      <c r="DJ155" s="179"/>
      <c r="DK155" s="179"/>
      <c r="DL155" s="179"/>
      <c r="DM155" s="179"/>
      <c r="DN155" s="179"/>
      <c r="DO155" s="179"/>
      <c r="DP155" s="179"/>
      <c r="DQ155" s="179"/>
      <c r="DR155" s="179"/>
      <c r="DS155" s="179"/>
      <c r="DT155" s="179"/>
      <c r="DU155" s="179"/>
      <c r="DV155" s="179"/>
      <c r="DW155" s="179"/>
      <c r="DX155" s="179"/>
      <c r="DY155" s="180"/>
      <c r="DZ155" s="203"/>
      <c r="EA155" s="82">
        <f t="shared" si="247"/>
        <v>91.375</v>
      </c>
      <c r="EB155" s="82">
        <f t="shared" si="8"/>
        <v>18.275000000000002</v>
      </c>
      <c r="EC155" s="82">
        <f t="shared" si="248"/>
        <v>0</v>
      </c>
      <c r="ED155" s="127">
        <f t="shared" si="10"/>
        <v>109.65</v>
      </c>
    </row>
    <row r="156" spans="1:135" s="75" customFormat="1" ht="11.25" x14ac:dyDescent="0.2">
      <c r="A156" s="212">
        <v>2</v>
      </c>
      <c r="B156" s="213" t="s">
        <v>697</v>
      </c>
      <c r="C156" s="457" t="s">
        <v>613</v>
      </c>
      <c r="D156" s="402" t="s">
        <v>704</v>
      </c>
      <c r="E156" s="438" t="s">
        <v>600</v>
      </c>
      <c r="F156" s="525" t="str">
        <f>IFERROR(VLOOKUP(C156,MappingFromTTStoSU,2,FALSE),"SU Resource Role")</f>
        <v>DWMS</v>
      </c>
      <c r="G156" s="525"/>
      <c r="H156" s="434" t="str">
        <f>H155</f>
        <v>Development</v>
      </c>
      <c r="I156" s="406"/>
      <c r="J156" s="406"/>
      <c r="K156" s="406"/>
      <c r="L156" s="406"/>
      <c r="M156" s="406"/>
      <c r="N156" s="406"/>
      <c r="O156" s="406"/>
      <c r="P156" s="406"/>
      <c r="Q156" s="406"/>
      <c r="R156" s="406"/>
      <c r="S156" s="406">
        <v>1</v>
      </c>
      <c r="T156" s="406">
        <v>1</v>
      </c>
      <c r="U156" s="406">
        <v>1</v>
      </c>
      <c r="V156" s="406">
        <v>1</v>
      </c>
      <c r="W156" s="406">
        <v>1</v>
      </c>
      <c r="X156" s="406">
        <v>1</v>
      </c>
      <c r="Y156" s="406">
        <v>1</v>
      </c>
      <c r="Z156" s="406">
        <v>1</v>
      </c>
      <c r="AA156" s="406">
        <v>1</v>
      </c>
      <c r="AB156" s="406">
        <v>1</v>
      </c>
      <c r="AC156" s="406">
        <v>1</v>
      </c>
      <c r="AD156" s="406">
        <v>1</v>
      </c>
      <c r="AE156" s="406">
        <v>1</v>
      </c>
      <c r="AF156" s="406">
        <v>1</v>
      </c>
      <c r="AG156" s="406">
        <v>1</v>
      </c>
      <c r="AH156" s="406">
        <v>1</v>
      </c>
      <c r="AI156" s="406">
        <v>1</v>
      </c>
      <c r="AJ156" s="406">
        <v>1</v>
      </c>
      <c r="AK156" s="406">
        <v>1</v>
      </c>
      <c r="AL156" s="406">
        <v>1</v>
      </c>
      <c r="AM156" s="406">
        <v>1</v>
      </c>
      <c r="AN156" s="406">
        <v>1</v>
      </c>
      <c r="AO156" s="406">
        <v>1</v>
      </c>
      <c r="AP156" s="406">
        <v>1</v>
      </c>
      <c r="AQ156" s="406">
        <v>1</v>
      </c>
      <c r="AR156" s="406">
        <v>1</v>
      </c>
      <c r="AS156" s="406">
        <v>1</v>
      </c>
      <c r="AT156" s="406">
        <v>1</v>
      </c>
      <c r="AU156" s="406">
        <v>1</v>
      </c>
      <c r="AV156" s="406">
        <v>1</v>
      </c>
      <c r="AW156" s="406">
        <v>1</v>
      </c>
      <c r="AX156" s="406">
        <v>1</v>
      </c>
      <c r="AY156" s="406">
        <v>1</v>
      </c>
      <c r="AZ156" s="406">
        <v>1</v>
      </c>
      <c r="BA156" s="406">
        <v>1</v>
      </c>
      <c r="BB156" s="406">
        <v>1</v>
      </c>
      <c r="BC156" s="406">
        <v>1</v>
      </c>
      <c r="BD156" s="406">
        <v>1</v>
      </c>
      <c r="BE156" s="406">
        <v>1</v>
      </c>
      <c r="BF156" s="406">
        <v>1</v>
      </c>
      <c r="BG156" s="406">
        <v>1</v>
      </c>
      <c r="BH156" s="406">
        <v>1</v>
      </c>
      <c r="BI156" s="406">
        <v>1</v>
      </c>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c r="CX156" s="179"/>
      <c r="CY156" s="179"/>
      <c r="CZ156" s="179"/>
      <c r="DA156" s="179"/>
      <c r="DB156" s="179"/>
      <c r="DC156" s="179"/>
      <c r="DD156" s="179"/>
      <c r="DE156" s="179"/>
      <c r="DF156" s="179"/>
      <c r="DG156" s="179"/>
      <c r="DH156" s="179"/>
      <c r="DI156" s="179"/>
      <c r="DJ156" s="179"/>
      <c r="DK156" s="179"/>
      <c r="DL156" s="179"/>
      <c r="DM156" s="179"/>
      <c r="DN156" s="179"/>
      <c r="DO156" s="179"/>
      <c r="DP156" s="179"/>
      <c r="DQ156" s="179"/>
      <c r="DR156" s="179"/>
      <c r="DS156" s="179"/>
      <c r="DT156" s="179"/>
      <c r="DU156" s="179"/>
      <c r="DV156" s="179"/>
      <c r="DW156" s="179"/>
      <c r="DX156" s="179"/>
      <c r="DY156" s="180"/>
      <c r="DZ156" s="203"/>
      <c r="EA156" s="82">
        <f t="shared" si="247"/>
        <v>182.75</v>
      </c>
      <c r="EB156" s="82">
        <f t="shared" ref="EB156" si="249">EA156*Scenario1AgileContingency</f>
        <v>36.550000000000004</v>
      </c>
      <c r="EC156" s="82">
        <f t="shared" si="248"/>
        <v>0</v>
      </c>
      <c r="ED156" s="127">
        <f t="shared" ref="ED156" si="250">SUM(EA156:EC156)</f>
        <v>219.3</v>
      </c>
    </row>
    <row r="157" spans="1:135" s="75" customFormat="1" ht="11.25" x14ac:dyDescent="0.2">
      <c r="A157" s="212">
        <v>2</v>
      </c>
      <c r="B157" s="213" t="s">
        <v>697</v>
      </c>
      <c r="C157" s="457" t="s">
        <v>658</v>
      </c>
      <c r="D157" s="402" t="s">
        <v>687</v>
      </c>
      <c r="E157" s="438" t="s">
        <v>600</v>
      </c>
      <c r="F157" s="525" t="s">
        <v>607</v>
      </c>
      <c r="G157" s="525"/>
      <c r="H157" s="434" t="str">
        <f>H155</f>
        <v>Development</v>
      </c>
      <c r="I157" s="406">
        <v>1</v>
      </c>
      <c r="J157" s="406">
        <v>1</v>
      </c>
      <c r="K157" s="406">
        <v>1</v>
      </c>
      <c r="L157" s="406">
        <v>1</v>
      </c>
      <c r="M157" s="406">
        <v>1</v>
      </c>
      <c r="N157" s="406">
        <v>1</v>
      </c>
      <c r="O157" s="406">
        <v>1</v>
      </c>
      <c r="P157" s="406">
        <v>1</v>
      </c>
      <c r="Q157" s="406">
        <v>1</v>
      </c>
      <c r="R157" s="406">
        <v>1</v>
      </c>
      <c r="S157" s="406">
        <v>1</v>
      </c>
      <c r="T157" s="406">
        <v>1</v>
      </c>
      <c r="U157" s="179">
        <v>1</v>
      </c>
      <c r="V157" s="179">
        <v>1</v>
      </c>
      <c r="W157" s="179">
        <v>1</v>
      </c>
      <c r="X157" s="179">
        <v>1</v>
      </c>
      <c r="Y157" s="179">
        <v>1</v>
      </c>
      <c r="Z157" s="179">
        <v>1</v>
      </c>
      <c r="AA157" s="179">
        <v>1</v>
      </c>
      <c r="AB157" s="179">
        <v>1</v>
      </c>
      <c r="AC157" s="179">
        <v>1</v>
      </c>
      <c r="AD157" s="179">
        <v>1</v>
      </c>
      <c r="AE157" s="179">
        <v>1</v>
      </c>
      <c r="AF157" s="179">
        <v>1</v>
      </c>
      <c r="AG157" s="179">
        <v>1</v>
      </c>
      <c r="AH157" s="179">
        <v>1</v>
      </c>
      <c r="AI157" s="179">
        <v>1</v>
      </c>
      <c r="AJ157" s="179">
        <v>1</v>
      </c>
      <c r="AK157" s="179">
        <v>1</v>
      </c>
      <c r="AL157" s="179">
        <v>1</v>
      </c>
      <c r="AM157" s="179">
        <v>1</v>
      </c>
      <c r="AN157" s="179">
        <v>1</v>
      </c>
      <c r="AO157" s="179">
        <v>1</v>
      </c>
      <c r="AP157" s="179">
        <v>1</v>
      </c>
      <c r="AQ157" s="179">
        <v>1</v>
      </c>
      <c r="AR157" s="179">
        <v>1</v>
      </c>
      <c r="AS157" s="179">
        <v>1</v>
      </c>
      <c r="AT157" s="179">
        <v>1</v>
      </c>
      <c r="AU157" s="179">
        <v>1</v>
      </c>
      <c r="AV157" s="179">
        <v>1</v>
      </c>
      <c r="AW157" s="179">
        <v>1</v>
      </c>
      <c r="AX157" s="179">
        <v>1</v>
      </c>
      <c r="AY157" s="179">
        <v>1</v>
      </c>
      <c r="AZ157" s="179">
        <v>1</v>
      </c>
      <c r="BA157" s="179">
        <v>1</v>
      </c>
      <c r="BB157" s="179">
        <v>1</v>
      </c>
      <c r="BC157" s="179">
        <v>1</v>
      </c>
      <c r="BD157" s="179">
        <v>1</v>
      </c>
      <c r="BE157" s="179">
        <v>1</v>
      </c>
      <c r="BF157" s="179">
        <v>1</v>
      </c>
      <c r="BG157" s="179">
        <v>1</v>
      </c>
      <c r="BH157" s="179">
        <v>1</v>
      </c>
      <c r="BI157" s="179">
        <v>1</v>
      </c>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c r="CX157" s="179"/>
      <c r="CY157" s="179"/>
      <c r="CZ157" s="179"/>
      <c r="DA157" s="179"/>
      <c r="DB157" s="179"/>
      <c r="DC157" s="179"/>
      <c r="DD157" s="179"/>
      <c r="DE157" s="179"/>
      <c r="DF157" s="179"/>
      <c r="DG157" s="179"/>
      <c r="DH157" s="179"/>
      <c r="DI157" s="179"/>
      <c r="DJ157" s="179"/>
      <c r="DK157" s="179"/>
      <c r="DL157" s="179"/>
      <c r="DM157" s="179"/>
      <c r="DN157" s="179"/>
      <c r="DO157" s="179"/>
      <c r="DP157" s="179"/>
      <c r="DQ157" s="179"/>
      <c r="DR157" s="179"/>
      <c r="DS157" s="179"/>
      <c r="DT157" s="179"/>
      <c r="DU157" s="179"/>
      <c r="DV157" s="179"/>
      <c r="DW157" s="179"/>
      <c r="DX157" s="179"/>
      <c r="DY157" s="180"/>
      <c r="DZ157" s="203"/>
      <c r="EA157" s="82">
        <f t="shared" si="247"/>
        <v>225.25</v>
      </c>
      <c r="EB157" s="82">
        <f t="shared" si="8"/>
        <v>45.050000000000004</v>
      </c>
      <c r="EC157" s="82">
        <f t="shared" si="248"/>
        <v>0</v>
      </c>
      <c r="ED157" s="127">
        <f t="shared" si="10"/>
        <v>270.3</v>
      </c>
    </row>
    <row r="158" spans="1:135" s="75" customFormat="1" ht="11.25" x14ac:dyDescent="0.2">
      <c r="A158" s="212">
        <v>2</v>
      </c>
      <c r="B158" s="213" t="s">
        <v>697</v>
      </c>
      <c r="C158" s="457" t="s">
        <v>635</v>
      </c>
      <c r="D158" s="402" t="s">
        <v>687</v>
      </c>
      <c r="E158" s="438" t="s">
        <v>600</v>
      </c>
      <c r="F158" s="525" t="str">
        <f>IFERROR(VLOOKUP(C158,MappingFromTTStoSU,2,FALSE),"SU Resource Role")</f>
        <v>DWMS</v>
      </c>
      <c r="G158" s="525"/>
      <c r="H158" s="434" t="str">
        <f>H157</f>
        <v>Development</v>
      </c>
      <c r="I158" s="406"/>
      <c r="J158" s="406"/>
      <c r="K158" s="406"/>
      <c r="L158" s="406"/>
      <c r="M158" s="406"/>
      <c r="N158" s="406"/>
      <c r="O158" s="406"/>
      <c r="P158" s="406"/>
      <c r="Q158" s="406"/>
      <c r="R158" s="406"/>
      <c r="S158" s="406">
        <v>1</v>
      </c>
      <c r="T158" s="406">
        <v>1</v>
      </c>
      <c r="U158" s="179">
        <v>1</v>
      </c>
      <c r="V158" s="179">
        <v>1</v>
      </c>
      <c r="W158" s="179">
        <v>1</v>
      </c>
      <c r="X158" s="179">
        <v>1</v>
      </c>
      <c r="Y158" s="179">
        <v>1</v>
      </c>
      <c r="Z158" s="179">
        <v>1</v>
      </c>
      <c r="AA158" s="179">
        <v>1</v>
      </c>
      <c r="AB158" s="179">
        <v>1</v>
      </c>
      <c r="AC158" s="179">
        <v>1</v>
      </c>
      <c r="AD158" s="179">
        <v>1</v>
      </c>
      <c r="AE158" s="179">
        <v>1</v>
      </c>
      <c r="AF158" s="179">
        <v>1</v>
      </c>
      <c r="AG158" s="179">
        <v>1</v>
      </c>
      <c r="AH158" s="179">
        <v>1</v>
      </c>
      <c r="AI158" s="179">
        <v>1</v>
      </c>
      <c r="AJ158" s="179">
        <v>1</v>
      </c>
      <c r="AK158" s="179">
        <v>1</v>
      </c>
      <c r="AL158" s="179">
        <v>1</v>
      </c>
      <c r="AM158" s="179">
        <v>1</v>
      </c>
      <c r="AN158" s="179">
        <v>1</v>
      </c>
      <c r="AO158" s="179">
        <v>1</v>
      </c>
      <c r="AP158" s="179">
        <v>1</v>
      </c>
      <c r="AQ158" s="179">
        <v>1</v>
      </c>
      <c r="AR158" s="179">
        <v>1</v>
      </c>
      <c r="AS158" s="179">
        <v>1</v>
      </c>
      <c r="AT158" s="179">
        <v>1</v>
      </c>
      <c r="AU158" s="179">
        <v>1</v>
      </c>
      <c r="AV158" s="179">
        <v>1</v>
      </c>
      <c r="AW158" s="179">
        <v>1</v>
      </c>
      <c r="AX158" s="179">
        <v>1</v>
      </c>
      <c r="AY158" s="179">
        <v>1</v>
      </c>
      <c r="AZ158" s="179">
        <v>1</v>
      </c>
      <c r="BA158" s="179">
        <v>1</v>
      </c>
      <c r="BB158" s="179">
        <v>1</v>
      </c>
      <c r="BC158" s="179">
        <v>1</v>
      </c>
      <c r="BD158" s="179">
        <v>1</v>
      </c>
      <c r="BE158" s="179">
        <v>1</v>
      </c>
      <c r="BF158" s="179">
        <v>1</v>
      </c>
      <c r="BG158" s="179">
        <v>1</v>
      </c>
      <c r="BH158" s="179">
        <v>1</v>
      </c>
      <c r="BI158" s="179">
        <v>1</v>
      </c>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c r="CX158" s="179"/>
      <c r="CY158" s="179"/>
      <c r="CZ158" s="179"/>
      <c r="DA158" s="179"/>
      <c r="DB158" s="179"/>
      <c r="DC158" s="179"/>
      <c r="DD158" s="179"/>
      <c r="DE158" s="179"/>
      <c r="DF158" s="179"/>
      <c r="DG158" s="179"/>
      <c r="DH158" s="179"/>
      <c r="DI158" s="179"/>
      <c r="DJ158" s="179"/>
      <c r="DK158" s="179"/>
      <c r="DL158" s="179"/>
      <c r="DM158" s="179"/>
      <c r="DN158" s="179"/>
      <c r="DO158" s="179"/>
      <c r="DP158" s="179"/>
      <c r="DQ158" s="179"/>
      <c r="DR158" s="179"/>
      <c r="DS158" s="179"/>
      <c r="DT158" s="179"/>
      <c r="DU158" s="179"/>
      <c r="DV158" s="179"/>
      <c r="DW158" s="179"/>
      <c r="DX158" s="179"/>
      <c r="DY158" s="180"/>
      <c r="DZ158" s="203"/>
      <c r="EA158" s="82">
        <f t="shared" si="247"/>
        <v>182.75</v>
      </c>
      <c r="EB158" s="82">
        <f t="shared" ref="EB158" si="251">EA158*Scenario1AgileContingency</f>
        <v>36.550000000000004</v>
      </c>
      <c r="EC158" s="82">
        <f t="shared" si="248"/>
        <v>0</v>
      </c>
      <c r="ED158" s="127">
        <f t="shared" ref="ED158" si="252">SUM(EA158:EC158)</f>
        <v>219.3</v>
      </c>
    </row>
    <row r="159" spans="1:135" s="75" customFormat="1" ht="11.25" x14ac:dyDescent="0.2">
      <c r="A159" s="212">
        <v>2</v>
      </c>
      <c r="B159" s="213" t="s">
        <v>697</v>
      </c>
      <c r="C159" s="457" t="s">
        <v>659</v>
      </c>
      <c r="D159" s="402" t="s">
        <v>687</v>
      </c>
      <c r="E159" s="438" t="s">
        <v>600</v>
      </c>
      <c r="F159" s="525" t="s">
        <v>607</v>
      </c>
      <c r="G159" s="525"/>
      <c r="H159" s="434" t="str">
        <f>H157</f>
        <v>Development</v>
      </c>
      <c r="I159" s="406"/>
      <c r="J159" s="406"/>
      <c r="K159" s="406"/>
      <c r="L159" s="406"/>
      <c r="M159" s="406"/>
      <c r="N159" s="406"/>
      <c r="O159" s="406"/>
      <c r="P159" s="406"/>
      <c r="Q159" s="406"/>
      <c r="R159" s="406"/>
      <c r="S159" s="406">
        <v>1</v>
      </c>
      <c r="T159" s="406">
        <v>1</v>
      </c>
      <c r="U159" s="179">
        <v>1</v>
      </c>
      <c r="V159" s="179">
        <v>1</v>
      </c>
      <c r="W159" s="179">
        <v>1</v>
      </c>
      <c r="X159" s="179">
        <v>1</v>
      </c>
      <c r="Y159" s="179">
        <v>1</v>
      </c>
      <c r="Z159" s="179">
        <v>1</v>
      </c>
      <c r="AA159" s="179">
        <v>1</v>
      </c>
      <c r="AB159" s="179">
        <v>1</v>
      </c>
      <c r="AC159" s="179">
        <v>1</v>
      </c>
      <c r="AD159" s="179">
        <v>1</v>
      </c>
      <c r="AE159" s="179">
        <v>1</v>
      </c>
      <c r="AF159" s="179">
        <v>1</v>
      </c>
      <c r="AG159" s="179">
        <v>1</v>
      </c>
      <c r="AH159" s="179">
        <v>1</v>
      </c>
      <c r="AI159" s="179">
        <v>1</v>
      </c>
      <c r="AJ159" s="179">
        <v>1</v>
      </c>
      <c r="AK159" s="179">
        <v>1</v>
      </c>
      <c r="AL159" s="179">
        <v>1</v>
      </c>
      <c r="AM159" s="179">
        <v>1</v>
      </c>
      <c r="AN159" s="179">
        <v>1</v>
      </c>
      <c r="AO159" s="179">
        <v>1</v>
      </c>
      <c r="AP159" s="179">
        <v>1</v>
      </c>
      <c r="AQ159" s="179">
        <v>1</v>
      </c>
      <c r="AR159" s="179">
        <v>1</v>
      </c>
      <c r="AS159" s="179">
        <v>1</v>
      </c>
      <c r="AT159" s="179">
        <v>1</v>
      </c>
      <c r="AU159" s="179">
        <v>1</v>
      </c>
      <c r="AV159" s="179">
        <v>1</v>
      </c>
      <c r="AW159" s="179">
        <v>1</v>
      </c>
      <c r="AX159" s="179">
        <v>1</v>
      </c>
      <c r="AY159" s="179">
        <v>1</v>
      </c>
      <c r="AZ159" s="179">
        <v>1</v>
      </c>
      <c r="BA159" s="179">
        <v>1</v>
      </c>
      <c r="BB159" s="179">
        <v>1</v>
      </c>
      <c r="BC159" s="179">
        <v>1</v>
      </c>
      <c r="BD159" s="179">
        <v>1</v>
      </c>
      <c r="BE159" s="179">
        <v>1</v>
      </c>
      <c r="BF159" s="179">
        <v>1</v>
      </c>
      <c r="BG159" s="179">
        <v>1</v>
      </c>
      <c r="BH159" s="179">
        <v>1</v>
      </c>
      <c r="BI159" s="179">
        <v>1</v>
      </c>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c r="CX159" s="179"/>
      <c r="CY159" s="179"/>
      <c r="CZ159" s="179"/>
      <c r="DA159" s="179"/>
      <c r="DB159" s="179"/>
      <c r="DC159" s="179"/>
      <c r="DD159" s="179"/>
      <c r="DE159" s="179"/>
      <c r="DF159" s="179"/>
      <c r="DG159" s="179"/>
      <c r="DH159" s="179"/>
      <c r="DI159" s="179"/>
      <c r="DJ159" s="179"/>
      <c r="DK159" s="179"/>
      <c r="DL159" s="179"/>
      <c r="DM159" s="179"/>
      <c r="DN159" s="179"/>
      <c r="DO159" s="179"/>
      <c r="DP159" s="179"/>
      <c r="DQ159" s="179"/>
      <c r="DR159" s="179"/>
      <c r="DS159" s="179"/>
      <c r="DT159" s="179"/>
      <c r="DU159" s="179"/>
      <c r="DV159" s="179"/>
      <c r="DW159" s="179"/>
      <c r="DX159" s="179"/>
      <c r="DY159" s="180"/>
      <c r="DZ159" s="203"/>
      <c r="EA159" s="82">
        <f t="shared" si="247"/>
        <v>182.75</v>
      </c>
      <c r="EB159" s="82">
        <f t="shared" si="8"/>
        <v>36.550000000000004</v>
      </c>
      <c r="EC159" s="82">
        <f t="shared" si="248"/>
        <v>0</v>
      </c>
      <c r="ED159" s="127">
        <f>SUM(EA159:EC159)</f>
        <v>219.3</v>
      </c>
    </row>
    <row r="160" spans="1:135" s="75" customFormat="1" ht="11.25" x14ac:dyDescent="0.2">
      <c r="A160" s="212">
        <v>2</v>
      </c>
      <c r="B160" s="213" t="s">
        <v>697</v>
      </c>
      <c r="C160" s="457" t="str">
        <f t="shared" ref="C160:C164" si="253">IFERROR(VLOOKUP(D160,MappingFromSetAgiletoTTSRole,2,FALSE),"SET Agile Resource Role")</f>
        <v>Software Developer</v>
      </c>
      <c r="D160" s="402" t="s">
        <v>687</v>
      </c>
      <c r="E160" s="438" t="s">
        <v>600</v>
      </c>
      <c r="F160" s="525" t="s">
        <v>607</v>
      </c>
      <c r="G160" s="525"/>
      <c r="H160" s="434" t="str">
        <f>H159</f>
        <v>Development</v>
      </c>
      <c r="I160" s="406"/>
      <c r="J160" s="406"/>
      <c r="K160" s="406"/>
      <c r="L160" s="406"/>
      <c r="M160" s="406"/>
      <c r="N160" s="406"/>
      <c r="O160" s="406"/>
      <c r="P160" s="406"/>
      <c r="Q160" s="406"/>
      <c r="R160" s="406"/>
      <c r="S160" s="406">
        <v>1</v>
      </c>
      <c r="T160" s="406">
        <v>1</v>
      </c>
      <c r="U160" s="179">
        <v>1</v>
      </c>
      <c r="V160" s="179">
        <v>1</v>
      </c>
      <c r="W160" s="179">
        <v>1</v>
      </c>
      <c r="X160" s="179">
        <v>1</v>
      </c>
      <c r="Y160" s="179">
        <v>1</v>
      </c>
      <c r="Z160" s="179">
        <v>1</v>
      </c>
      <c r="AA160" s="179">
        <v>1</v>
      </c>
      <c r="AB160" s="179">
        <v>1</v>
      </c>
      <c r="AC160" s="179">
        <v>1</v>
      </c>
      <c r="AD160" s="179">
        <v>1</v>
      </c>
      <c r="AE160" s="179">
        <v>1</v>
      </c>
      <c r="AF160" s="179">
        <v>1</v>
      </c>
      <c r="AG160" s="179">
        <v>1</v>
      </c>
      <c r="AH160" s="179">
        <v>1</v>
      </c>
      <c r="AI160" s="179">
        <v>1</v>
      </c>
      <c r="AJ160" s="179">
        <v>1</v>
      </c>
      <c r="AK160" s="179">
        <v>1</v>
      </c>
      <c r="AL160" s="179">
        <v>1</v>
      </c>
      <c r="AM160" s="179">
        <v>1</v>
      </c>
      <c r="AN160" s="179">
        <v>1</v>
      </c>
      <c r="AO160" s="179">
        <v>1</v>
      </c>
      <c r="AP160" s="179">
        <v>1</v>
      </c>
      <c r="AQ160" s="179">
        <v>1</v>
      </c>
      <c r="AR160" s="179">
        <v>1</v>
      </c>
      <c r="AS160" s="179">
        <v>1</v>
      </c>
      <c r="AT160" s="179">
        <v>1</v>
      </c>
      <c r="AU160" s="179">
        <v>1</v>
      </c>
      <c r="AV160" s="179">
        <v>1</v>
      </c>
      <c r="AW160" s="179">
        <v>1</v>
      </c>
      <c r="AX160" s="179">
        <v>1</v>
      </c>
      <c r="AY160" s="179">
        <v>1</v>
      </c>
      <c r="AZ160" s="179">
        <v>1</v>
      </c>
      <c r="BA160" s="179">
        <v>1</v>
      </c>
      <c r="BB160" s="179">
        <v>1</v>
      </c>
      <c r="BC160" s="179">
        <v>1</v>
      </c>
      <c r="BD160" s="179">
        <v>1</v>
      </c>
      <c r="BE160" s="179">
        <v>1</v>
      </c>
      <c r="BF160" s="179">
        <v>1</v>
      </c>
      <c r="BG160" s="179">
        <v>1</v>
      </c>
      <c r="BH160" s="179">
        <v>1</v>
      </c>
      <c r="BI160" s="179">
        <v>1</v>
      </c>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c r="CX160" s="179"/>
      <c r="CY160" s="179"/>
      <c r="CZ160" s="179"/>
      <c r="DA160" s="179"/>
      <c r="DB160" s="179"/>
      <c r="DC160" s="179"/>
      <c r="DD160" s="179"/>
      <c r="DE160" s="179"/>
      <c r="DF160" s="179"/>
      <c r="DG160" s="179"/>
      <c r="DH160" s="179"/>
      <c r="DI160" s="179"/>
      <c r="DJ160" s="179"/>
      <c r="DK160" s="179"/>
      <c r="DL160" s="179"/>
      <c r="DM160" s="179"/>
      <c r="DN160" s="179"/>
      <c r="DO160" s="179"/>
      <c r="DP160" s="179"/>
      <c r="DQ160" s="179"/>
      <c r="DR160" s="179"/>
      <c r="DS160" s="179"/>
      <c r="DT160" s="179"/>
      <c r="DU160" s="179"/>
      <c r="DV160" s="179"/>
      <c r="DW160" s="179"/>
      <c r="DX160" s="179"/>
      <c r="DY160" s="180"/>
      <c r="DZ160" s="203"/>
      <c r="EA160" s="82">
        <f t="shared" si="247"/>
        <v>182.75</v>
      </c>
      <c r="EB160" s="82">
        <f t="shared" si="8"/>
        <v>36.550000000000004</v>
      </c>
      <c r="EC160" s="82">
        <f t="shared" si="248"/>
        <v>0</v>
      </c>
      <c r="ED160" s="127">
        <f>SUM(EA160:EC160)</f>
        <v>219.3</v>
      </c>
    </row>
    <row r="161" spans="1:135" s="75" customFormat="1" ht="11.25" x14ac:dyDescent="0.2">
      <c r="A161" s="212">
        <v>2</v>
      </c>
      <c r="B161" s="213" t="s">
        <v>697</v>
      </c>
      <c r="C161" s="457" t="str">
        <f t="shared" si="253"/>
        <v>Software Developer</v>
      </c>
      <c r="D161" s="402" t="s">
        <v>687</v>
      </c>
      <c r="E161" s="438" t="s">
        <v>600</v>
      </c>
      <c r="F161" s="525" t="s">
        <v>607</v>
      </c>
      <c r="G161" s="525"/>
      <c r="H161" s="434" t="str">
        <f t="shared" ref="H161:H164" si="254">H160</f>
        <v>Development</v>
      </c>
      <c r="I161" s="406"/>
      <c r="J161" s="406"/>
      <c r="K161" s="406"/>
      <c r="L161" s="406"/>
      <c r="M161" s="406"/>
      <c r="N161" s="406"/>
      <c r="O161" s="406"/>
      <c r="P161" s="406"/>
      <c r="Q161" s="406"/>
      <c r="R161" s="406"/>
      <c r="S161" s="406">
        <v>1</v>
      </c>
      <c r="T161" s="406">
        <v>1</v>
      </c>
      <c r="U161" s="179">
        <v>1</v>
      </c>
      <c r="V161" s="179">
        <v>1</v>
      </c>
      <c r="W161" s="179">
        <v>1</v>
      </c>
      <c r="X161" s="179">
        <v>1</v>
      </c>
      <c r="Y161" s="179">
        <v>1</v>
      </c>
      <c r="Z161" s="179">
        <v>1</v>
      </c>
      <c r="AA161" s="179">
        <v>1</v>
      </c>
      <c r="AB161" s="179">
        <v>1</v>
      </c>
      <c r="AC161" s="179">
        <v>1</v>
      </c>
      <c r="AD161" s="179">
        <v>1</v>
      </c>
      <c r="AE161" s="179"/>
      <c r="AF161" s="179"/>
      <c r="AG161" s="179"/>
      <c r="AH161" s="179"/>
      <c r="AI161" s="179"/>
      <c r="AJ161" s="179"/>
      <c r="AK161" s="179"/>
      <c r="AL161" s="179"/>
      <c r="AM161" s="179"/>
      <c r="AN161" s="179"/>
      <c r="AO161" s="179">
        <v>1</v>
      </c>
      <c r="AP161" s="179">
        <v>1</v>
      </c>
      <c r="AQ161" s="179">
        <v>1</v>
      </c>
      <c r="AR161" s="179">
        <v>1</v>
      </c>
      <c r="AS161" s="179">
        <v>1</v>
      </c>
      <c r="AT161" s="179">
        <v>1</v>
      </c>
      <c r="AU161" s="179">
        <v>1</v>
      </c>
      <c r="AV161" s="179">
        <v>1</v>
      </c>
      <c r="AW161" s="179">
        <v>1</v>
      </c>
      <c r="AX161" s="179">
        <v>1</v>
      </c>
      <c r="AY161" s="179">
        <v>1</v>
      </c>
      <c r="AZ161" s="179">
        <v>1</v>
      </c>
      <c r="BA161" s="179">
        <v>1</v>
      </c>
      <c r="BB161" s="179">
        <v>1</v>
      </c>
      <c r="BC161" s="179">
        <v>1</v>
      </c>
      <c r="BD161" s="179">
        <v>1</v>
      </c>
      <c r="BE161" s="179">
        <v>1</v>
      </c>
      <c r="BF161" s="179">
        <v>1</v>
      </c>
      <c r="BG161" s="179">
        <v>1</v>
      </c>
      <c r="BH161" s="179">
        <v>1</v>
      </c>
      <c r="BI161" s="179">
        <v>1</v>
      </c>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c r="CX161" s="179"/>
      <c r="CY161" s="179"/>
      <c r="CZ161" s="179"/>
      <c r="DA161" s="179"/>
      <c r="DB161" s="179"/>
      <c r="DC161" s="179"/>
      <c r="DD161" s="179"/>
      <c r="DE161" s="179"/>
      <c r="DF161" s="179"/>
      <c r="DG161" s="179"/>
      <c r="DH161" s="179"/>
      <c r="DI161" s="179"/>
      <c r="DJ161" s="179"/>
      <c r="DK161" s="179"/>
      <c r="DL161" s="179"/>
      <c r="DM161" s="179"/>
      <c r="DN161" s="179"/>
      <c r="DO161" s="179"/>
      <c r="DP161" s="179"/>
      <c r="DQ161" s="179"/>
      <c r="DR161" s="179"/>
      <c r="DS161" s="179"/>
      <c r="DT161" s="179"/>
      <c r="DU161" s="179"/>
      <c r="DV161" s="179"/>
      <c r="DW161" s="179"/>
      <c r="DX161" s="179"/>
      <c r="DY161" s="180"/>
      <c r="DZ161" s="203"/>
      <c r="EA161" s="82">
        <f t="shared" si="247"/>
        <v>140.25</v>
      </c>
      <c r="EB161" s="82">
        <f t="shared" si="8"/>
        <v>28.05</v>
      </c>
      <c r="EC161" s="82">
        <f t="shared" si="248"/>
        <v>0</v>
      </c>
      <c r="ED161" s="127">
        <f>SUM(EA161:EC161)</f>
        <v>168.3</v>
      </c>
    </row>
    <row r="162" spans="1:135" s="75" customFormat="1" ht="11.25" x14ac:dyDescent="0.2">
      <c r="A162" s="212">
        <v>2</v>
      </c>
      <c r="B162" s="213" t="s">
        <v>697</v>
      </c>
      <c r="C162" s="457" t="s">
        <v>660</v>
      </c>
      <c r="D162" s="402" t="s">
        <v>688</v>
      </c>
      <c r="E162" s="438" t="s">
        <v>600</v>
      </c>
      <c r="F162" s="525" t="str">
        <f>IFERROR(VLOOKUP(C162,MappingFromTTStoSU,2,FALSE),"SU Resource Role")</f>
        <v>DWMS</v>
      </c>
      <c r="G162" s="525"/>
      <c r="H162" s="434" t="str">
        <f>H161</f>
        <v>Development</v>
      </c>
      <c r="I162" s="406"/>
      <c r="J162" s="406"/>
      <c r="K162" s="406"/>
      <c r="L162" s="406"/>
      <c r="M162" s="406"/>
      <c r="N162" s="406"/>
      <c r="O162" s="406"/>
      <c r="P162" s="406"/>
      <c r="Q162" s="406"/>
      <c r="R162" s="406"/>
      <c r="S162" s="406">
        <v>1</v>
      </c>
      <c r="T162" s="406">
        <v>1</v>
      </c>
      <c r="U162" s="179">
        <v>1</v>
      </c>
      <c r="V162" s="179">
        <v>1</v>
      </c>
      <c r="W162" s="179">
        <v>1</v>
      </c>
      <c r="X162" s="179">
        <v>1</v>
      </c>
      <c r="Y162" s="179">
        <v>1</v>
      </c>
      <c r="Z162" s="179">
        <v>1</v>
      </c>
      <c r="AA162" s="179">
        <v>1</v>
      </c>
      <c r="AB162" s="179">
        <v>1</v>
      </c>
      <c r="AC162" s="179">
        <v>1</v>
      </c>
      <c r="AD162" s="179">
        <v>1</v>
      </c>
      <c r="AE162" s="179">
        <v>1</v>
      </c>
      <c r="AF162" s="179">
        <v>1</v>
      </c>
      <c r="AG162" s="179">
        <v>1</v>
      </c>
      <c r="AH162" s="179">
        <v>1</v>
      </c>
      <c r="AI162" s="179">
        <v>1</v>
      </c>
      <c r="AJ162" s="179">
        <v>1</v>
      </c>
      <c r="AK162" s="179">
        <v>1</v>
      </c>
      <c r="AL162" s="179">
        <v>1</v>
      </c>
      <c r="AM162" s="179">
        <v>1</v>
      </c>
      <c r="AN162" s="179">
        <v>1</v>
      </c>
      <c r="AO162" s="179">
        <v>1</v>
      </c>
      <c r="AP162" s="179">
        <v>1</v>
      </c>
      <c r="AQ162" s="179">
        <v>1</v>
      </c>
      <c r="AR162" s="179">
        <v>1</v>
      </c>
      <c r="AS162" s="179">
        <v>1</v>
      </c>
      <c r="AT162" s="179">
        <v>1</v>
      </c>
      <c r="AU162" s="179">
        <v>1</v>
      </c>
      <c r="AV162" s="179">
        <v>1</v>
      </c>
      <c r="AW162" s="179">
        <v>1</v>
      </c>
      <c r="AX162" s="179">
        <v>1</v>
      </c>
      <c r="AY162" s="179">
        <v>1</v>
      </c>
      <c r="AZ162" s="179">
        <v>1</v>
      </c>
      <c r="BA162" s="179">
        <v>1</v>
      </c>
      <c r="BB162" s="179">
        <v>1</v>
      </c>
      <c r="BC162" s="179">
        <v>1</v>
      </c>
      <c r="BD162" s="179">
        <v>1</v>
      </c>
      <c r="BE162" s="179">
        <v>1</v>
      </c>
      <c r="BF162" s="179">
        <v>1</v>
      </c>
      <c r="BG162" s="179">
        <v>1</v>
      </c>
      <c r="BH162" s="179">
        <v>1</v>
      </c>
      <c r="BI162" s="179">
        <v>1</v>
      </c>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c r="CX162" s="179"/>
      <c r="CY162" s="179"/>
      <c r="CZ162" s="179"/>
      <c r="DA162" s="179"/>
      <c r="DB162" s="179"/>
      <c r="DC162" s="179"/>
      <c r="DD162" s="179"/>
      <c r="DE162" s="179"/>
      <c r="DF162" s="179"/>
      <c r="DG162" s="179"/>
      <c r="DH162" s="179"/>
      <c r="DI162" s="179"/>
      <c r="DJ162" s="179"/>
      <c r="DK162" s="179"/>
      <c r="DL162" s="179"/>
      <c r="DM162" s="179"/>
      <c r="DN162" s="179"/>
      <c r="DO162" s="179"/>
      <c r="DP162" s="179"/>
      <c r="DQ162" s="179"/>
      <c r="DR162" s="179"/>
      <c r="DS162" s="179"/>
      <c r="DT162" s="179"/>
      <c r="DU162" s="179"/>
      <c r="DV162" s="179"/>
      <c r="DW162" s="179"/>
      <c r="DX162" s="179"/>
      <c r="DY162" s="180"/>
      <c r="DZ162" s="203"/>
      <c r="EA162" s="82">
        <f t="shared" si="247"/>
        <v>182.75</v>
      </c>
      <c r="EB162" s="82">
        <f t="shared" ref="EB162" si="255">EA162*Scenario1AgileContingency</f>
        <v>36.550000000000004</v>
      </c>
      <c r="EC162" s="82">
        <f t="shared" si="248"/>
        <v>0</v>
      </c>
      <c r="ED162" s="127">
        <f t="shared" ref="ED162" si="256">SUM(EA162:EC162)</f>
        <v>219.3</v>
      </c>
    </row>
    <row r="163" spans="1:135" s="75" customFormat="1" ht="11.25" x14ac:dyDescent="0.2">
      <c r="A163" s="212">
        <v>2</v>
      </c>
      <c r="B163" s="213" t="s">
        <v>697</v>
      </c>
      <c r="C163" s="457" t="str">
        <f t="shared" si="253"/>
        <v>Test Consultant</v>
      </c>
      <c r="D163" s="402" t="s">
        <v>688</v>
      </c>
      <c r="E163" s="438" t="s">
        <v>600</v>
      </c>
      <c r="F163" s="525" t="s">
        <v>607</v>
      </c>
      <c r="G163" s="525"/>
      <c r="H163" s="434" t="s">
        <v>702</v>
      </c>
      <c r="I163" s="406"/>
      <c r="J163" s="406"/>
      <c r="K163" s="406"/>
      <c r="L163" s="406"/>
      <c r="M163" s="406"/>
      <c r="N163" s="406"/>
      <c r="O163" s="406"/>
      <c r="P163" s="406"/>
      <c r="Q163" s="406"/>
      <c r="R163" s="406"/>
      <c r="S163" s="406">
        <v>1</v>
      </c>
      <c r="T163" s="406">
        <v>1</v>
      </c>
      <c r="U163" s="179">
        <v>1</v>
      </c>
      <c r="V163" s="179">
        <v>1</v>
      </c>
      <c r="W163" s="179">
        <v>1</v>
      </c>
      <c r="X163" s="179">
        <v>1</v>
      </c>
      <c r="Y163" s="179">
        <v>1</v>
      </c>
      <c r="Z163" s="179">
        <v>1</v>
      </c>
      <c r="AA163" s="179">
        <v>1</v>
      </c>
      <c r="AB163" s="179">
        <v>1</v>
      </c>
      <c r="AC163" s="179">
        <v>1</v>
      </c>
      <c r="AD163" s="179">
        <v>1</v>
      </c>
      <c r="AE163" s="179">
        <v>1</v>
      </c>
      <c r="AF163" s="179">
        <v>1</v>
      </c>
      <c r="AG163" s="179">
        <v>1</v>
      </c>
      <c r="AH163" s="179">
        <v>1</v>
      </c>
      <c r="AI163" s="179">
        <v>1</v>
      </c>
      <c r="AJ163" s="179">
        <v>1</v>
      </c>
      <c r="AK163" s="179">
        <v>1</v>
      </c>
      <c r="AL163" s="179">
        <v>1</v>
      </c>
      <c r="AM163" s="179">
        <v>1</v>
      </c>
      <c r="AN163" s="179">
        <v>1</v>
      </c>
      <c r="AO163" s="179">
        <v>1</v>
      </c>
      <c r="AP163" s="179">
        <v>1</v>
      </c>
      <c r="AQ163" s="179">
        <v>1</v>
      </c>
      <c r="AR163" s="179">
        <v>1</v>
      </c>
      <c r="AS163" s="179">
        <v>1</v>
      </c>
      <c r="AT163" s="179">
        <v>1</v>
      </c>
      <c r="AU163" s="179">
        <v>1</v>
      </c>
      <c r="AV163" s="179">
        <v>1</v>
      </c>
      <c r="AW163" s="179">
        <v>1</v>
      </c>
      <c r="AX163" s="179">
        <v>1</v>
      </c>
      <c r="AY163" s="179">
        <v>1</v>
      </c>
      <c r="AZ163" s="179">
        <v>1</v>
      </c>
      <c r="BA163" s="179">
        <v>1</v>
      </c>
      <c r="BB163" s="179">
        <v>1</v>
      </c>
      <c r="BC163" s="179">
        <v>1</v>
      </c>
      <c r="BD163" s="179">
        <v>1</v>
      </c>
      <c r="BE163" s="179">
        <v>1</v>
      </c>
      <c r="BF163" s="179">
        <v>1</v>
      </c>
      <c r="BG163" s="179">
        <v>1</v>
      </c>
      <c r="BH163" s="179">
        <v>1</v>
      </c>
      <c r="BI163" s="179">
        <v>1</v>
      </c>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c r="CX163" s="179"/>
      <c r="CY163" s="179"/>
      <c r="CZ163" s="179"/>
      <c r="DA163" s="179"/>
      <c r="DB163" s="179"/>
      <c r="DC163" s="179"/>
      <c r="DD163" s="179"/>
      <c r="DE163" s="179"/>
      <c r="DF163" s="179"/>
      <c r="DG163" s="179"/>
      <c r="DH163" s="179"/>
      <c r="DI163" s="179"/>
      <c r="DJ163" s="179"/>
      <c r="DK163" s="179"/>
      <c r="DL163" s="179"/>
      <c r="DM163" s="179"/>
      <c r="DN163" s="179"/>
      <c r="DO163" s="179"/>
      <c r="DP163" s="179"/>
      <c r="DQ163" s="179"/>
      <c r="DR163" s="179"/>
      <c r="DS163" s="179"/>
      <c r="DT163" s="179"/>
      <c r="DU163" s="179"/>
      <c r="DV163" s="179"/>
      <c r="DW163" s="179"/>
      <c r="DX163" s="179"/>
      <c r="DY163" s="180"/>
      <c r="DZ163" s="203"/>
      <c r="EA163" s="82">
        <f t="shared" si="247"/>
        <v>182.75</v>
      </c>
      <c r="EB163" s="82">
        <f t="shared" si="8"/>
        <v>36.550000000000004</v>
      </c>
      <c r="EC163" s="82">
        <f t="shared" si="248"/>
        <v>0</v>
      </c>
      <c r="ED163" s="127">
        <f t="shared" ref="ED163" si="257">SUM(EA163:EC163)</f>
        <v>219.3</v>
      </c>
    </row>
    <row r="164" spans="1:135" s="75" customFormat="1" ht="11.25" x14ac:dyDescent="0.2">
      <c r="A164" s="212">
        <v>2</v>
      </c>
      <c r="B164" s="213" t="s">
        <v>697</v>
      </c>
      <c r="C164" s="457" t="str">
        <f t="shared" si="253"/>
        <v>Test Consultant</v>
      </c>
      <c r="D164" s="402" t="s">
        <v>688</v>
      </c>
      <c r="E164" s="438" t="s">
        <v>600</v>
      </c>
      <c r="F164" s="525" t="s">
        <v>607</v>
      </c>
      <c r="G164" s="525"/>
      <c r="H164" s="434" t="str">
        <f t="shared" si="254"/>
        <v>Development</v>
      </c>
      <c r="I164" s="406"/>
      <c r="J164" s="406"/>
      <c r="K164" s="406"/>
      <c r="L164" s="406"/>
      <c r="M164" s="406"/>
      <c r="N164" s="406"/>
      <c r="O164" s="406"/>
      <c r="P164" s="406"/>
      <c r="Q164" s="406"/>
      <c r="R164" s="406"/>
      <c r="S164" s="406">
        <v>1</v>
      </c>
      <c r="T164" s="406">
        <v>1</v>
      </c>
      <c r="U164" s="179">
        <v>1</v>
      </c>
      <c r="V164" s="179">
        <v>1</v>
      </c>
      <c r="W164" s="179">
        <v>1</v>
      </c>
      <c r="X164" s="179">
        <v>1</v>
      </c>
      <c r="Y164" s="179">
        <v>1</v>
      </c>
      <c r="Z164" s="179">
        <v>1</v>
      </c>
      <c r="AA164" s="179">
        <v>1</v>
      </c>
      <c r="AB164" s="179">
        <v>1</v>
      </c>
      <c r="AC164" s="179">
        <v>1</v>
      </c>
      <c r="AD164" s="179">
        <v>1</v>
      </c>
      <c r="AE164" s="179">
        <v>1</v>
      </c>
      <c r="AF164" s="179">
        <v>1</v>
      </c>
      <c r="AG164" s="179">
        <v>1</v>
      </c>
      <c r="AH164" s="179">
        <v>1</v>
      </c>
      <c r="AI164" s="179">
        <v>1</v>
      </c>
      <c r="AJ164" s="179">
        <v>1</v>
      </c>
      <c r="AK164" s="179">
        <v>1</v>
      </c>
      <c r="AL164" s="179">
        <v>1</v>
      </c>
      <c r="AM164" s="179">
        <v>1</v>
      </c>
      <c r="AN164" s="179">
        <v>1</v>
      </c>
      <c r="AO164" s="179">
        <v>1</v>
      </c>
      <c r="AP164" s="179">
        <v>1</v>
      </c>
      <c r="AQ164" s="179">
        <v>1</v>
      </c>
      <c r="AR164" s="179">
        <v>1</v>
      </c>
      <c r="AS164" s="179">
        <v>1</v>
      </c>
      <c r="AT164" s="179">
        <v>1</v>
      </c>
      <c r="AU164" s="179">
        <v>1</v>
      </c>
      <c r="AV164" s="179">
        <v>1</v>
      </c>
      <c r="AW164" s="179">
        <v>1</v>
      </c>
      <c r="AX164" s="179">
        <v>1</v>
      </c>
      <c r="AY164" s="179">
        <v>1</v>
      </c>
      <c r="AZ164" s="179">
        <v>1</v>
      </c>
      <c r="BA164" s="179">
        <v>1</v>
      </c>
      <c r="BB164" s="179">
        <v>1</v>
      </c>
      <c r="BC164" s="179">
        <v>1</v>
      </c>
      <c r="BD164" s="179">
        <v>1</v>
      </c>
      <c r="BE164" s="179">
        <v>1</v>
      </c>
      <c r="BF164" s="179">
        <v>1</v>
      </c>
      <c r="BG164" s="179">
        <v>1</v>
      </c>
      <c r="BH164" s="179">
        <v>1</v>
      </c>
      <c r="BI164" s="179">
        <v>1</v>
      </c>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c r="CX164" s="179"/>
      <c r="CY164" s="179"/>
      <c r="CZ164" s="179"/>
      <c r="DA164" s="179"/>
      <c r="DB164" s="179"/>
      <c r="DC164" s="179"/>
      <c r="DD164" s="179"/>
      <c r="DE164" s="179"/>
      <c r="DF164" s="179"/>
      <c r="DG164" s="179"/>
      <c r="DH164" s="179"/>
      <c r="DI164" s="179"/>
      <c r="DJ164" s="179"/>
      <c r="DK164" s="179"/>
      <c r="DL164" s="179"/>
      <c r="DM164" s="179"/>
      <c r="DN164" s="179"/>
      <c r="DO164" s="179"/>
      <c r="DP164" s="179"/>
      <c r="DQ164" s="179"/>
      <c r="DR164" s="179"/>
      <c r="DS164" s="179"/>
      <c r="DT164" s="179"/>
      <c r="DU164" s="179"/>
      <c r="DV164" s="179"/>
      <c r="DW164" s="179"/>
      <c r="DX164" s="179"/>
      <c r="DY164" s="180"/>
      <c r="DZ164" s="203"/>
      <c r="EA164" s="82">
        <f t="shared" si="247"/>
        <v>182.75</v>
      </c>
      <c r="EB164" s="82">
        <f t="shared" ref="EB164" si="258">EA164*Scenario1AgileContingency</f>
        <v>36.550000000000004</v>
      </c>
      <c r="EC164" s="82">
        <f t="shared" si="248"/>
        <v>0</v>
      </c>
      <c r="ED164" s="127">
        <f>SUM(EA164:EC164)</f>
        <v>219.3</v>
      </c>
    </row>
    <row r="165" spans="1:135" s="74" customFormat="1" ht="11.25" x14ac:dyDescent="0.2">
      <c r="A165" s="210">
        <v>1</v>
      </c>
      <c r="B165" s="211" t="s">
        <v>697</v>
      </c>
      <c r="C165" s="207" t="s">
        <v>706</v>
      </c>
      <c r="D165" s="207" t="s">
        <v>706</v>
      </c>
      <c r="E165" s="437"/>
      <c r="F165" s="524"/>
      <c r="G165" s="524"/>
      <c r="H165" s="437"/>
      <c r="I165" s="214"/>
      <c r="J165" s="214"/>
      <c r="K165" s="214"/>
      <c r="L165" s="214"/>
      <c r="M165" s="214"/>
      <c r="N165" s="214"/>
      <c r="O165" s="214"/>
      <c r="P165" s="214"/>
      <c r="Q165" s="214"/>
      <c r="R165" s="214"/>
      <c r="S165" s="214"/>
      <c r="T165" s="214"/>
      <c r="U165" s="214"/>
      <c r="V165" s="214"/>
      <c r="W165" s="214"/>
      <c r="X165" s="214"/>
      <c r="Y165" s="214"/>
      <c r="Z165" s="214"/>
      <c r="AA165" s="214"/>
      <c r="AB165" s="214"/>
      <c r="AC165" s="214"/>
      <c r="AD165" s="214"/>
      <c r="AE165" s="214"/>
      <c r="AF165" s="214"/>
      <c r="AG165" s="214"/>
      <c r="AH165" s="214"/>
      <c r="AI165" s="214"/>
      <c r="AJ165" s="214"/>
      <c r="AK165" s="214"/>
      <c r="AL165" s="214"/>
      <c r="AM165" s="214"/>
      <c r="AN165" s="214"/>
      <c r="AO165" s="214"/>
      <c r="AP165" s="214"/>
      <c r="AQ165" s="214"/>
      <c r="AR165" s="214"/>
      <c r="AS165" s="214"/>
      <c r="AT165" s="214"/>
      <c r="AU165" s="214"/>
      <c r="AV165" s="214"/>
      <c r="AW165" s="214"/>
      <c r="AX165" s="214"/>
      <c r="AY165" s="214"/>
      <c r="AZ165" s="214"/>
      <c r="BA165" s="214"/>
      <c r="BB165" s="214"/>
      <c r="BC165" s="214"/>
      <c r="BD165" s="214"/>
      <c r="BE165" s="214"/>
      <c r="BF165" s="214"/>
      <c r="BG165" s="214"/>
      <c r="BH165" s="214"/>
      <c r="BI165" s="214"/>
      <c r="BJ165" s="214"/>
      <c r="BK165" s="214"/>
      <c r="BL165" s="214"/>
      <c r="BM165" s="214"/>
      <c r="BN165" s="214"/>
      <c r="BO165" s="214"/>
      <c r="BP165" s="214"/>
      <c r="BQ165" s="214"/>
      <c r="BR165" s="214"/>
      <c r="BS165" s="214"/>
      <c r="BT165" s="214"/>
      <c r="BU165" s="214"/>
      <c r="BV165" s="214"/>
      <c r="BW165" s="214"/>
      <c r="BX165" s="214"/>
      <c r="BY165" s="214"/>
      <c r="BZ165" s="214"/>
      <c r="CA165" s="214"/>
      <c r="CB165" s="214"/>
      <c r="CC165" s="214"/>
      <c r="CD165" s="214"/>
      <c r="CE165" s="214"/>
      <c r="CF165" s="214"/>
      <c r="CG165" s="214"/>
      <c r="CH165" s="214"/>
      <c r="CI165" s="214"/>
      <c r="CJ165" s="214"/>
      <c r="CK165" s="214"/>
      <c r="CL165" s="214"/>
      <c r="CM165" s="214"/>
      <c r="CN165" s="214"/>
      <c r="CO165" s="214"/>
      <c r="CP165" s="214"/>
      <c r="CQ165" s="214"/>
      <c r="CR165" s="214"/>
      <c r="CS165" s="214"/>
      <c r="CT165" s="214"/>
      <c r="CU165" s="214"/>
      <c r="CV165" s="214"/>
      <c r="CW165" s="214"/>
      <c r="CX165" s="214"/>
      <c r="CY165" s="214"/>
      <c r="CZ165" s="214"/>
      <c r="DA165" s="214"/>
      <c r="DB165" s="214"/>
      <c r="DC165" s="214"/>
      <c r="DD165" s="214"/>
      <c r="DE165" s="214"/>
      <c r="DF165" s="214"/>
      <c r="DG165" s="214"/>
      <c r="DH165" s="214"/>
      <c r="DI165" s="214"/>
      <c r="DJ165" s="214"/>
      <c r="DK165" s="214"/>
      <c r="DL165" s="214"/>
      <c r="DM165" s="214"/>
      <c r="DN165" s="214"/>
      <c r="DO165" s="214"/>
      <c r="DP165" s="214"/>
      <c r="DQ165" s="214"/>
      <c r="DR165" s="214"/>
      <c r="DS165" s="214"/>
      <c r="DT165" s="214"/>
      <c r="DU165" s="214"/>
      <c r="DV165" s="214"/>
      <c r="DW165" s="214"/>
      <c r="DX165" s="214"/>
      <c r="DY165" s="186"/>
      <c r="DZ165" s="187"/>
      <c r="EA165" s="127"/>
      <c r="EB165" s="127"/>
      <c r="EC165" s="127"/>
      <c r="ED165" s="127"/>
      <c r="EE165" s="75"/>
    </row>
    <row r="166" spans="1:135" s="75" customFormat="1" ht="11.25" x14ac:dyDescent="0.2">
      <c r="A166" s="212">
        <v>2</v>
      </c>
      <c r="B166" s="213" t="s">
        <v>697</v>
      </c>
      <c r="C166" s="457" t="s">
        <v>707</v>
      </c>
      <c r="D166" s="402" t="s">
        <v>684</v>
      </c>
      <c r="E166" s="438" t="s">
        <v>600</v>
      </c>
      <c r="F166" s="525" t="str">
        <f t="shared" ref="F166:F176" si="259">IFERROR(VLOOKUP(C166,MappingFromTTStoSU,2,FALSE),"SU Resource Role")</f>
        <v>DWMS</v>
      </c>
      <c r="G166" s="525"/>
      <c r="H166" s="434" t="s">
        <v>702</v>
      </c>
      <c r="I166" s="406">
        <v>1</v>
      </c>
      <c r="J166" s="406">
        <v>1</v>
      </c>
      <c r="K166" s="406">
        <v>1</v>
      </c>
      <c r="L166" s="406">
        <v>1</v>
      </c>
      <c r="M166" s="406">
        <v>1</v>
      </c>
      <c r="N166" s="406">
        <v>1</v>
      </c>
      <c r="O166" s="406">
        <v>1</v>
      </c>
      <c r="P166" s="406">
        <v>1</v>
      </c>
      <c r="Q166" s="406">
        <v>1</v>
      </c>
      <c r="R166" s="406">
        <v>1</v>
      </c>
      <c r="S166" s="406">
        <v>1</v>
      </c>
      <c r="T166" s="406">
        <v>1</v>
      </c>
      <c r="U166" s="406">
        <v>1</v>
      </c>
      <c r="V166" s="406">
        <v>1</v>
      </c>
      <c r="W166" s="406">
        <v>1</v>
      </c>
      <c r="X166" s="406">
        <v>1</v>
      </c>
      <c r="Y166" s="406">
        <v>1</v>
      </c>
      <c r="Z166" s="406">
        <v>1</v>
      </c>
      <c r="AA166" s="406">
        <v>1</v>
      </c>
      <c r="AB166" s="406">
        <v>1</v>
      </c>
      <c r="AC166" s="406">
        <v>1</v>
      </c>
      <c r="AD166" s="406">
        <v>1</v>
      </c>
      <c r="AE166" s="406">
        <v>1</v>
      </c>
      <c r="AF166" s="406">
        <v>1</v>
      </c>
      <c r="AG166" s="406">
        <v>1</v>
      </c>
      <c r="AH166" s="406">
        <v>1</v>
      </c>
      <c r="AI166" s="406">
        <v>1</v>
      </c>
      <c r="AJ166" s="406">
        <v>1</v>
      </c>
      <c r="AK166" s="406">
        <v>1</v>
      </c>
      <c r="AL166" s="406">
        <v>1</v>
      </c>
      <c r="AM166" s="406">
        <v>1</v>
      </c>
      <c r="AN166" s="406">
        <v>1</v>
      </c>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c r="CX166" s="179"/>
      <c r="CY166" s="179"/>
      <c r="CZ166" s="179"/>
      <c r="DA166" s="179"/>
      <c r="DB166" s="179"/>
      <c r="DC166" s="179"/>
      <c r="DD166" s="179"/>
      <c r="DE166" s="179"/>
      <c r="DF166" s="179"/>
      <c r="DG166" s="179"/>
      <c r="DH166" s="179"/>
      <c r="DI166" s="179"/>
      <c r="DJ166" s="179"/>
      <c r="DK166" s="179"/>
      <c r="DL166" s="179"/>
      <c r="DM166" s="179"/>
      <c r="DN166" s="179"/>
      <c r="DO166" s="179"/>
      <c r="DP166" s="179"/>
      <c r="DQ166" s="179"/>
      <c r="DR166" s="179"/>
      <c r="DS166" s="179"/>
      <c r="DT166" s="179"/>
      <c r="DU166" s="179"/>
      <c r="DV166" s="179"/>
      <c r="DW166" s="179"/>
      <c r="DX166" s="179"/>
      <c r="DY166" s="180"/>
      <c r="DZ166" s="203"/>
      <c r="EA166" s="82">
        <f t="shared" ref="EA166:EA176" si="260">SUMIF(I$8:DY$8,"&lt;&gt;"&amp;AgileIteration_Warranty,I166:DY166)*5*Scenario1Utilisation</f>
        <v>136</v>
      </c>
      <c r="EB166" s="82">
        <f t="shared" ref="EB166" si="261">EA166*Scenario1AgileContingency</f>
        <v>27.200000000000003</v>
      </c>
      <c r="EC166" s="82">
        <f t="shared" ref="EC166:EC176" si="262">IF(Scenario1Warranty=AgileWarrantyDefault, (SUMIF(I$8:DY$8,AgileIteration_Warranty,I166:DY166)*5*Scenario1Utilisation), (EA166*Scenario1Warranty))</f>
        <v>0</v>
      </c>
      <c r="ED166" s="127">
        <f t="shared" ref="ED166" si="263">SUM(EA166:EC166)</f>
        <v>163.19999999999999</v>
      </c>
    </row>
    <row r="167" spans="1:135" s="75" customFormat="1" ht="11.25" x14ac:dyDescent="0.2">
      <c r="A167" s="212">
        <v>2</v>
      </c>
      <c r="B167" s="213" t="s">
        <v>697</v>
      </c>
      <c r="C167" s="637" t="s">
        <v>685</v>
      </c>
      <c r="D167" s="639" t="s">
        <v>703</v>
      </c>
      <c r="E167" s="438" t="s">
        <v>600</v>
      </c>
      <c r="F167" s="525" t="str">
        <f t="shared" si="259"/>
        <v>DWMS</v>
      </c>
      <c r="G167" s="525"/>
      <c r="H167" s="434" t="str">
        <f>H166</f>
        <v>Development</v>
      </c>
      <c r="I167" s="406"/>
      <c r="J167" s="406"/>
      <c r="K167" s="406"/>
      <c r="L167" s="406"/>
      <c r="M167" s="406"/>
      <c r="N167" s="406"/>
      <c r="O167" s="406"/>
      <c r="P167" s="406"/>
      <c r="Q167" s="406"/>
      <c r="R167" s="406"/>
      <c r="S167" s="406">
        <v>1</v>
      </c>
      <c r="T167" s="406">
        <v>1</v>
      </c>
      <c r="U167" s="406">
        <v>1</v>
      </c>
      <c r="V167" s="406">
        <v>1</v>
      </c>
      <c r="W167" s="406">
        <v>1</v>
      </c>
      <c r="X167" s="406">
        <v>1</v>
      </c>
      <c r="Y167" s="406">
        <v>1</v>
      </c>
      <c r="Z167" s="406">
        <v>1</v>
      </c>
      <c r="AA167" s="406">
        <v>1</v>
      </c>
      <c r="AB167" s="406">
        <v>1</v>
      </c>
      <c r="AC167" s="406">
        <v>1</v>
      </c>
      <c r="AD167" s="406">
        <v>1</v>
      </c>
      <c r="AE167" s="406">
        <v>1</v>
      </c>
      <c r="AF167" s="406">
        <v>1</v>
      </c>
      <c r="AG167" s="406">
        <v>1</v>
      </c>
      <c r="AH167" s="406">
        <v>1</v>
      </c>
      <c r="AI167" s="406">
        <v>1</v>
      </c>
      <c r="AJ167" s="406">
        <v>1</v>
      </c>
      <c r="AK167" s="406">
        <v>1</v>
      </c>
      <c r="AL167" s="406">
        <v>1</v>
      </c>
      <c r="AM167" s="406">
        <v>1</v>
      </c>
      <c r="AN167" s="406">
        <v>1</v>
      </c>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c r="CX167" s="179"/>
      <c r="CY167" s="179"/>
      <c r="CZ167" s="179"/>
      <c r="DA167" s="179"/>
      <c r="DB167" s="179"/>
      <c r="DC167" s="179"/>
      <c r="DD167" s="179"/>
      <c r="DE167" s="179"/>
      <c r="DF167" s="179"/>
      <c r="DG167" s="179"/>
      <c r="DH167" s="179"/>
      <c r="DI167" s="179"/>
      <c r="DJ167" s="179"/>
      <c r="DK167" s="179"/>
      <c r="DL167" s="179"/>
      <c r="DM167" s="179"/>
      <c r="DN167" s="179"/>
      <c r="DO167" s="179"/>
      <c r="DP167" s="179"/>
      <c r="DQ167" s="179"/>
      <c r="DR167" s="179"/>
      <c r="DS167" s="179"/>
      <c r="DT167" s="179"/>
      <c r="DU167" s="179"/>
      <c r="DV167" s="179"/>
      <c r="DW167" s="179"/>
      <c r="DX167" s="179"/>
      <c r="DY167" s="180"/>
      <c r="DZ167" s="203"/>
      <c r="EA167" s="82">
        <f t="shared" si="260"/>
        <v>93.5</v>
      </c>
      <c r="EB167" s="82">
        <f t="shared" ref="EB167" si="264">EA167*Scenario1AgileContingency</f>
        <v>18.7</v>
      </c>
      <c r="EC167" s="82">
        <f t="shared" si="262"/>
        <v>0</v>
      </c>
      <c r="ED167" s="127">
        <f t="shared" ref="ED167" si="265">SUM(EA167:EC167)</f>
        <v>112.2</v>
      </c>
    </row>
    <row r="168" spans="1:135" s="75" customFormat="1" ht="11.25" x14ac:dyDescent="0.2">
      <c r="A168" s="212">
        <v>2</v>
      </c>
      <c r="B168" s="213" t="s">
        <v>697</v>
      </c>
      <c r="C168" s="457" t="s">
        <v>635</v>
      </c>
      <c r="D168" s="402" t="s">
        <v>704</v>
      </c>
      <c r="E168" s="438" t="s">
        <v>600</v>
      </c>
      <c r="F168" s="525" t="str">
        <f>IFERROR(VLOOKUP(C168,MappingFromTTStoSU,2,FALSE),"SU Resource Role")</f>
        <v>DWMS</v>
      </c>
      <c r="G168" s="525"/>
      <c r="H168" s="434" t="str">
        <f>H167</f>
        <v>Development</v>
      </c>
      <c r="I168" s="406"/>
      <c r="J168" s="406"/>
      <c r="K168" s="406"/>
      <c r="L168" s="406"/>
      <c r="M168" s="406"/>
      <c r="N168" s="406"/>
      <c r="O168" s="406"/>
      <c r="P168" s="406"/>
      <c r="Q168" s="406"/>
      <c r="R168" s="406"/>
      <c r="S168" s="406">
        <v>1</v>
      </c>
      <c r="T168" s="406">
        <v>1</v>
      </c>
      <c r="U168" s="406">
        <v>1</v>
      </c>
      <c r="V168" s="406">
        <v>1</v>
      </c>
      <c r="W168" s="406">
        <v>1</v>
      </c>
      <c r="X168" s="406">
        <v>1</v>
      </c>
      <c r="Y168" s="406">
        <v>1</v>
      </c>
      <c r="Z168" s="406">
        <v>1</v>
      </c>
      <c r="AA168" s="406">
        <v>1</v>
      </c>
      <c r="AB168" s="406">
        <v>1</v>
      </c>
      <c r="AC168" s="179">
        <v>1</v>
      </c>
      <c r="AD168" s="179">
        <v>1</v>
      </c>
      <c r="AE168" s="179">
        <v>1</v>
      </c>
      <c r="AF168" s="179">
        <v>1</v>
      </c>
      <c r="AG168" s="179">
        <v>1</v>
      </c>
      <c r="AH168" s="179">
        <v>1</v>
      </c>
      <c r="AI168" s="179">
        <v>1</v>
      </c>
      <c r="AJ168" s="179">
        <v>1</v>
      </c>
      <c r="AK168" s="179">
        <v>1</v>
      </c>
      <c r="AL168" s="179">
        <v>1</v>
      </c>
      <c r="AM168" s="179">
        <v>1</v>
      </c>
      <c r="AN168" s="179">
        <v>1</v>
      </c>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c r="CX168" s="179"/>
      <c r="CY168" s="179"/>
      <c r="CZ168" s="179"/>
      <c r="DA168" s="179"/>
      <c r="DB168" s="179"/>
      <c r="DC168" s="179"/>
      <c r="DD168" s="179"/>
      <c r="DE168" s="179"/>
      <c r="DF168" s="179"/>
      <c r="DG168" s="179"/>
      <c r="DH168" s="179"/>
      <c r="DI168" s="179"/>
      <c r="DJ168" s="179"/>
      <c r="DK168" s="179"/>
      <c r="DL168" s="179"/>
      <c r="DM168" s="179"/>
      <c r="DN168" s="179"/>
      <c r="DO168" s="179"/>
      <c r="DP168" s="179"/>
      <c r="DQ168" s="179"/>
      <c r="DR168" s="179"/>
      <c r="DS168" s="179"/>
      <c r="DT168" s="179"/>
      <c r="DU168" s="179"/>
      <c r="DV168" s="179"/>
      <c r="DW168" s="179"/>
      <c r="DX168" s="179"/>
      <c r="DY168" s="180"/>
      <c r="DZ168" s="203"/>
      <c r="EA168" s="82">
        <f t="shared" si="260"/>
        <v>93.5</v>
      </c>
      <c r="EB168" s="82">
        <f t="shared" ref="EB168" si="266">EA168*Scenario1AgileContingency</f>
        <v>18.7</v>
      </c>
      <c r="EC168" s="82">
        <f t="shared" si="262"/>
        <v>0</v>
      </c>
      <c r="ED168" s="127">
        <f t="shared" ref="ED168" si="267">SUM(EA168:EC168)</f>
        <v>112.2</v>
      </c>
    </row>
    <row r="169" spans="1:135" s="75" customFormat="1" ht="11.25" x14ac:dyDescent="0.2">
      <c r="A169" s="212">
        <v>2</v>
      </c>
      <c r="B169" s="213" t="s">
        <v>697</v>
      </c>
      <c r="C169" s="457" t="s">
        <v>658</v>
      </c>
      <c r="D169" s="402" t="s">
        <v>687</v>
      </c>
      <c r="E169" s="438" t="s">
        <v>600</v>
      </c>
      <c r="F169" s="525" t="str">
        <f>IFERROR(VLOOKUP(C169,MappingFromTTStoSU,2,FALSE),"SU Resource Role")</f>
        <v>DWMS</v>
      </c>
      <c r="G169" s="525"/>
      <c r="H169" s="434" t="str">
        <f>H167</f>
        <v>Development</v>
      </c>
      <c r="I169" s="406">
        <v>1</v>
      </c>
      <c r="J169" s="406">
        <v>1</v>
      </c>
      <c r="K169" s="406">
        <v>1</v>
      </c>
      <c r="L169" s="406">
        <v>1</v>
      </c>
      <c r="M169" s="406">
        <v>1</v>
      </c>
      <c r="N169" s="406">
        <v>1</v>
      </c>
      <c r="O169" s="406">
        <v>1</v>
      </c>
      <c r="P169" s="406">
        <v>1</v>
      </c>
      <c r="Q169" s="406">
        <v>1</v>
      </c>
      <c r="R169" s="406">
        <v>1</v>
      </c>
      <c r="S169" s="406">
        <v>1</v>
      </c>
      <c r="T169" s="406">
        <v>1</v>
      </c>
      <c r="U169" s="406">
        <v>1</v>
      </c>
      <c r="V169" s="406">
        <v>1</v>
      </c>
      <c r="W169" s="406">
        <v>1</v>
      </c>
      <c r="X169" s="406">
        <v>1</v>
      </c>
      <c r="Y169" s="406">
        <v>1</v>
      </c>
      <c r="Z169" s="406">
        <v>1</v>
      </c>
      <c r="AA169" s="406">
        <v>1</v>
      </c>
      <c r="AB169" s="406">
        <v>1</v>
      </c>
      <c r="AC169" s="406">
        <v>1</v>
      </c>
      <c r="AD169" s="406">
        <v>1</v>
      </c>
      <c r="AE169" s="406">
        <v>1</v>
      </c>
      <c r="AF169" s="406">
        <v>1</v>
      </c>
      <c r="AG169" s="406">
        <v>1</v>
      </c>
      <c r="AH169" s="406">
        <v>1</v>
      </c>
      <c r="AI169" s="406">
        <v>1</v>
      </c>
      <c r="AJ169" s="406">
        <v>1</v>
      </c>
      <c r="AK169" s="406">
        <v>1</v>
      </c>
      <c r="AL169" s="406">
        <v>1</v>
      </c>
      <c r="AM169" s="406">
        <v>1</v>
      </c>
      <c r="AN169" s="406">
        <v>1</v>
      </c>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c r="CX169" s="179"/>
      <c r="CY169" s="179"/>
      <c r="CZ169" s="179"/>
      <c r="DA169" s="179"/>
      <c r="DB169" s="179"/>
      <c r="DC169" s="179"/>
      <c r="DD169" s="179"/>
      <c r="DE169" s="179"/>
      <c r="DF169" s="179"/>
      <c r="DG169" s="179"/>
      <c r="DH169" s="179"/>
      <c r="DI169" s="179"/>
      <c r="DJ169" s="179"/>
      <c r="DK169" s="179"/>
      <c r="DL169" s="179"/>
      <c r="DM169" s="179"/>
      <c r="DN169" s="179"/>
      <c r="DO169" s="179"/>
      <c r="DP169" s="179"/>
      <c r="DQ169" s="179"/>
      <c r="DR169" s="179"/>
      <c r="DS169" s="179"/>
      <c r="DT169" s="179"/>
      <c r="DU169" s="179"/>
      <c r="DV169" s="179"/>
      <c r="DW169" s="179"/>
      <c r="DX169" s="179"/>
      <c r="DY169" s="180"/>
      <c r="DZ169" s="203"/>
      <c r="EA169" s="82">
        <f t="shared" si="260"/>
        <v>136</v>
      </c>
      <c r="EB169" s="82">
        <f t="shared" ref="EB169" si="268">EA169*Scenario1AgileContingency</f>
        <v>27.200000000000003</v>
      </c>
      <c r="EC169" s="82">
        <f t="shared" si="262"/>
        <v>0</v>
      </c>
      <c r="ED169" s="127">
        <f t="shared" ref="ED169" si="269">SUM(EA169:EC169)</f>
        <v>163.19999999999999</v>
      </c>
    </row>
    <row r="170" spans="1:135" s="75" customFormat="1" ht="11.25" x14ac:dyDescent="0.2">
      <c r="A170" s="212">
        <v>2</v>
      </c>
      <c r="B170" s="213" t="s">
        <v>697</v>
      </c>
      <c r="C170" s="457" t="s">
        <v>635</v>
      </c>
      <c r="D170" s="402" t="s">
        <v>687</v>
      </c>
      <c r="E170" s="438" t="s">
        <v>600</v>
      </c>
      <c r="F170" s="525" t="str">
        <f t="shared" si="259"/>
        <v>DWMS</v>
      </c>
      <c r="G170" s="525"/>
      <c r="H170" s="434" t="str">
        <f>H167</f>
        <v>Development</v>
      </c>
      <c r="I170" s="406"/>
      <c r="J170" s="406"/>
      <c r="K170" s="406"/>
      <c r="L170" s="406"/>
      <c r="M170" s="406"/>
      <c r="N170" s="406"/>
      <c r="O170" s="406"/>
      <c r="P170" s="406"/>
      <c r="Q170" s="406"/>
      <c r="R170" s="406"/>
      <c r="S170" s="406">
        <v>1</v>
      </c>
      <c r="T170" s="406">
        <v>1</v>
      </c>
      <c r="U170" s="406">
        <v>1</v>
      </c>
      <c r="V170" s="406">
        <v>1</v>
      </c>
      <c r="W170" s="406">
        <v>1</v>
      </c>
      <c r="X170" s="406">
        <v>1</v>
      </c>
      <c r="Y170" s="406">
        <v>1</v>
      </c>
      <c r="Z170" s="406">
        <v>1</v>
      </c>
      <c r="AA170" s="406">
        <v>1</v>
      </c>
      <c r="AB170" s="406">
        <v>1</v>
      </c>
      <c r="AC170" s="179">
        <v>1</v>
      </c>
      <c r="AD170" s="179">
        <v>1</v>
      </c>
      <c r="AE170" s="179">
        <v>1</v>
      </c>
      <c r="AF170" s="179">
        <v>1</v>
      </c>
      <c r="AG170" s="179">
        <v>1</v>
      </c>
      <c r="AH170" s="179">
        <v>1</v>
      </c>
      <c r="AI170" s="179">
        <v>1</v>
      </c>
      <c r="AJ170" s="179">
        <v>1</v>
      </c>
      <c r="AK170" s="179">
        <v>1</v>
      </c>
      <c r="AL170" s="179">
        <v>1</v>
      </c>
      <c r="AM170" s="179">
        <v>1</v>
      </c>
      <c r="AN170" s="179">
        <v>1</v>
      </c>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c r="CX170" s="179"/>
      <c r="CY170" s="179"/>
      <c r="CZ170" s="179"/>
      <c r="DA170" s="179"/>
      <c r="DB170" s="179"/>
      <c r="DC170" s="179"/>
      <c r="DD170" s="179"/>
      <c r="DE170" s="179"/>
      <c r="DF170" s="179"/>
      <c r="DG170" s="179"/>
      <c r="DH170" s="179"/>
      <c r="DI170" s="179"/>
      <c r="DJ170" s="179"/>
      <c r="DK170" s="179"/>
      <c r="DL170" s="179"/>
      <c r="DM170" s="179"/>
      <c r="DN170" s="179"/>
      <c r="DO170" s="179"/>
      <c r="DP170" s="179"/>
      <c r="DQ170" s="179"/>
      <c r="DR170" s="179"/>
      <c r="DS170" s="179"/>
      <c r="DT170" s="179"/>
      <c r="DU170" s="179"/>
      <c r="DV170" s="179"/>
      <c r="DW170" s="179"/>
      <c r="DX170" s="179"/>
      <c r="DY170" s="180"/>
      <c r="DZ170" s="203"/>
      <c r="EA170" s="82">
        <f t="shared" si="260"/>
        <v>93.5</v>
      </c>
      <c r="EB170" s="82">
        <f t="shared" ref="EB170" si="270">EA170*Scenario1AgileContingency</f>
        <v>18.7</v>
      </c>
      <c r="EC170" s="82">
        <f t="shared" si="262"/>
        <v>0</v>
      </c>
      <c r="ED170" s="127">
        <f t="shared" ref="ED170" si="271">SUM(EA170:EC170)</f>
        <v>112.2</v>
      </c>
    </row>
    <row r="171" spans="1:135" s="75" customFormat="1" ht="11.25" x14ac:dyDescent="0.2">
      <c r="A171" s="212">
        <v>2</v>
      </c>
      <c r="B171" s="213" t="s">
        <v>697</v>
      </c>
      <c r="C171" s="457" t="s">
        <v>659</v>
      </c>
      <c r="D171" s="402" t="s">
        <v>687</v>
      </c>
      <c r="E171" s="438" t="s">
        <v>600</v>
      </c>
      <c r="F171" s="525" t="str">
        <f>IFERROR(VLOOKUP(C171,MappingFromTTStoSU,2,FALSE),"SU Resource Role")</f>
        <v>DWMS</v>
      </c>
      <c r="G171" s="525"/>
      <c r="H171" s="434" t="str">
        <f>H170</f>
        <v>Development</v>
      </c>
      <c r="I171" s="406"/>
      <c r="J171" s="406"/>
      <c r="K171" s="406"/>
      <c r="L171" s="406"/>
      <c r="M171" s="406"/>
      <c r="N171" s="406"/>
      <c r="O171" s="406"/>
      <c r="P171" s="406"/>
      <c r="Q171" s="406"/>
      <c r="R171" s="406"/>
      <c r="S171" s="406">
        <v>1</v>
      </c>
      <c r="T171" s="406">
        <v>1</v>
      </c>
      <c r="U171" s="406">
        <v>1</v>
      </c>
      <c r="V171" s="406">
        <v>1</v>
      </c>
      <c r="W171" s="406">
        <v>1</v>
      </c>
      <c r="X171" s="406">
        <v>1</v>
      </c>
      <c r="Y171" s="406">
        <v>1</v>
      </c>
      <c r="Z171" s="406">
        <v>1</v>
      </c>
      <c r="AA171" s="406">
        <v>1</v>
      </c>
      <c r="AB171" s="406">
        <v>1</v>
      </c>
      <c r="AC171" s="179">
        <v>1</v>
      </c>
      <c r="AD171" s="179">
        <v>1</v>
      </c>
      <c r="AE171" s="179">
        <v>1</v>
      </c>
      <c r="AF171" s="179">
        <v>1</v>
      </c>
      <c r="AG171" s="179">
        <v>1</v>
      </c>
      <c r="AH171" s="179">
        <v>1</v>
      </c>
      <c r="AI171" s="179">
        <v>1</v>
      </c>
      <c r="AJ171" s="179">
        <v>1</v>
      </c>
      <c r="AK171" s="179">
        <v>1</v>
      </c>
      <c r="AL171" s="179">
        <v>1</v>
      </c>
      <c r="AM171" s="179">
        <v>1</v>
      </c>
      <c r="AN171" s="179">
        <v>1</v>
      </c>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c r="CX171" s="179"/>
      <c r="CY171" s="179"/>
      <c r="CZ171" s="179"/>
      <c r="DA171" s="179"/>
      <c r="DB171" s="179"/>
      <c r="DC171" s="179"/>
      <c r="DD171" s="179"/>
      <c r="DE171" s="179"/>
      <c r="DF171" s="179"/>
      <c r="DG171" s="179"/>
      <c r="DH171" s="179"/>
      <c r="DI171" s="179"/>
      <c r="DJ171" s="179"/>
      <c r="DK171" s="179"/>
      <c r="DL171" s="179"/>
      <c r="DM171" s="179"/>
      <c r="DN171" s="179"/>
      <c r="DO171" s="179"/>
      <c r="DP171" s="179"/>
      <c r="DQ171" s="179"/>
      <c r="DR171" s="179"/>
      <c r="DS171" s="179"/>
      <c r="DT171" s="179"/>
      <c r="DU171" s="179"/>
      <c r="DV171" s="179"/>
      <c r="DW171" s="179"/>
      <c r="DX171" s="179"/>
      <c r="DY171" s="180"/>
      <c r="DZ171" s="203"/>
      <c r="EA171" s="82">
        <f t="shared" si="260"/>
        <v>93.5</v>
      </c>
      <c r="EB171" s="82">
        <f t="shared" ref="EB171" si="272">EA171*Scenario1AgileContingency</f>
        <v>18.7</v>
      </c>
      <c r="EC171" s="82">
        <f t="shared" si="262"/>
        <v>0</v>
      </c>
      <c r="ED171" s="127">
        <f t="shared" ref="ED171" si="273">SUM(EA171:EC171)</f>
        <v>112.2</v>
      </c>
    </row>
    <row r="172" spans="1:135" s="75" customFormat="1" ht="11.25" x14ac:dyDescent="0.2">
      <c r="A172" s="212">
        <v>2</v>
      </c>
      <c r="B172" s="213" t="s">
        <v>697</v>
      </c>
      <c r="C172" s="457" t="str">
        <f t="shared" ref="C172:C176" si="274">IFERROR(VLOOKUP(D172,MappingFromSetAgiletoTTSRole,2,FALSE),"SET Agile Resource Role")</f>
        <v>Software Developer</v>
      </c>
      <c r="D172" s="402" t="s">
        <v>687</v>
      </c>
      <c r="E172" s="438" t="s">
        <v>600</v>
      </c>
      <c r="F172" s="525" t="str">
        <f t="shared" si="259"/>
        <v>DWMS</v>
      </c>
      <c r="G172" s="525"/>
      <c r="H172" s="434" t="str">
        <f>H170</f>
        <v>Development</v>
      </c>
      <c r="I172" s="406"/>
      <c r="J172" s="406"/>
      <c r="K172" s="406"/>
      <c r="L172" s="406"/>
      <c r="M172" s="406"/>
      <c r="N172" s="406"/>
      <c r="O172" s="406"/>
      <c r="P172" s="406"/>
      <c r="Q172" s="406"/>
      <c r="R172" s="406"/>
      <c r="S172" s="406">
        <v>1</v>
      </c>
      <c r="T172" s="406">
        <v>1</v>
      </c>
      <c r="U172" s="406">
        <v>1</v>
      </c>
      <c r="V172" s="406">
        <v>1</v>
      </c>
      <c r="W172" s="406">
        <v>1</v>
      </c>
      <c r="X172" s="406">
        <v>1</v>
      </c>
      <c r="Y172" s="406">
        <v>1</v>
      </c>
      <c r="Z172" s="406">
        <v>1</v>
      </c>
      <c r="AA172" s="406">
        <v>1</v>
      </c>
      <c r="AB172" s="406">
        <v>1</v>
      </c>
      <c r="AC172" s="179">
        <v>1</v>
      </c>
      <c r="AD172" s="179">
        <v>1</v>
      </c>
      <c r="AE172" s="179">
        <v>1</v>
      </c>
      <c r="AF172" s="179">
        <v>1</v>
      </c>
      <c r="AG172" s="179">
        <v>1</v>
      </c>
      <c r="AH172" s="179">
        <v>1</v>
      </c>
      <c r="AI172" s="179">
        <v>1</v>
      </c>
      <c r="AJ172" s="179">
        <v>1</v>
      </c>
      <c r="AK172" s="179">
        <v>1</v>
      </c>
      <c r="AL172" s="179">
        <v>1</v>
      </c>
      <c r="AM172" s="179">
        <v>1</v>
      </c>
      <c r="AN172" s="179">
        <v>1</v>
      </c>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c r="CX172" s="179"/>
      <c r="CY172" s="179"/>
      <c r="CZ172" s="179"/>
      <c r="DA172" s="179"/>
      <c r="DB172" s="179"/>
      <c r="DC172" s="179"/>
      <c r="DD172" s="179"/>
      <c r="DE172" s="179"/>
      <c r="DF172" s="179"/>
      <c r="DG172" s="179"/>
      <c r="DH172" s="179"/>
      <c r="DI172" s="179"/>
      <c r="DJ172" s="179"/>
      <c r="DK172" s="179"/>
      <c r="DL172" s="179"/>
      <c r="DM172" s="179"/>
      <c r="DN172" s="179"/>
      <c r="DO172" s="179"/>
      <c r="DP172" s="179"/>
      <c r="DQ172" s="179"/>
      <c r="DR172" s="179"/>
      <c r="DS172" s="179"/>
      <c r="DT172" s="179"/>
      <c r="DU172" s="179"/>
      <c r="DV172" s="179"/>
      <c r="DW172" s="179"/>
      <c r="DX172" s="179"/>
      <c r="DY172" s="180"/>
      <c r="DZ172" s="203"/>
      <c r="EA172" s="82">
        <f t="shared" si="260"/>
        <v>93.5</v>
      </c>
      <c r="EB172" s="82">
        <f t="shared" ref="EB172" si="275">EA172*Scenario1AgileContingency</f>
        <v>18.7</v>
      </c>
      <c r="EC172" s="82">
        <f t="shared" si="262"/>
        <v>0</v>
      </c>
      <c r="ED172" s="127">
        <f t="shared" ref="ED172" si="276">SUM(EA172:EC172)</f>
        <v>112.2</v>
      </c>
    </row>
    <row r="173" spans="1:135" s="75" customFormat="1" ht="11.25" x14ac:dyDescent="0.2">
      <c r="A173" s="212">
        <v>2</v>
      </c>
      <c r="B173" s="213" t="s">
        <v>697</v>
      </c>
      <c r="C173" s="457" t="str">
        <f t="shared" si="274"/>
        <v>Software Developer</v>
      </c>
      <c r="D173" s="402" t="s">
        <v>687</v>
      </c>
      <c r="E173" s="438" t="s">
        <v>600</v>
      </c>
      <c r="F173" s="525" t="str">
        <f t="shared" si="259"/>
        <v>DWMS</v>
      </c>
      <c r="G173" s="525"/>
      <c r="H173" s="434" t="str">
        <f t="shared" ref="H173" si="277">H172</f>
        <v>Development</v>
      </c>
      <c r="I173" s="406"/>
      <c r="J173" s="406"/>
      <c r="K173" s="406"/>
      <c r="L173" s="406"/>
      <c r="M173" s="406"/>
      <c r="N173" s="406"/>
      <c r="O173" s="406"/>
      <c r="P173" s="406"/>
      <c r="Q173" s="406"/>
      <c r="R173" s="406"/>
      <c r="S173" s="406">
        <v>1</v>
      </c>
      <c r="T173" s="406">
        <v>1</v>
      </c>
      <c r="U173" s="406">
        <v>1</v>
      </c>
      <c r="V173" s="406">
        <v>1</v>
      </c>
      <c r="W173" s="406">
        <v>1</v>
      </c>
      <c r="X173" s="406">
        <v>1</v>
      </c>
      <c r="Y173" s="406">
        <v>1</v>
      </c>
      <c r="Z173" s="406">
        <v>1</v>
      </c>
      <c r="AA173" s="406">
        <v>1</v>
      </c>
      <c r="AB173" s="406">
        <v>1</v>
      </c>
      <c r="AC173" s="179">
        <v>1</v>
      </c>
      <c r="AD173" s="179">
        <v>1</v>
      </c>
      <c r="AE173" s="179">
        <v>1</v>
      </c>
      <c r="AF173" s="179">
        <v>1</v>
      </c>
      <c r="AG173" s="179">
        <v>1</v>
      </c>
      <c r="AH173" s="179">
        <v>1</v>
      </c>
      <c r="AI173" s="179">
        <v>1</v>
      </c>
      <c r="AJ173" s="179">
        <v>1</v>
      </c>
      <c r="AK173" s="179">
        <v>1</v>
      </c>
      <c r="AL173" s="179">
        <v>1</v>
      </c>
      <c r="AM173" s="179">
        <v>1</v>
      </c>
      <c r="AN173" s="179">
        <v>1</v>
      </c>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c r="CX173" s="179"/>
      <c r="CY173" s="179"/>
      <c r="CZ173" s="179"/>
      <c r="DA173" s="179"/>
      <c r="DB173" s="179"/>
      <c r="DC173" s="179"/>
      <c r="DD173" s="179"/>
      <c r="DE173" s="179"/>
      <c r="DF173" s="179"/>
      <c r="DG173" s="179"/>
      <c r="DH173" s="179"/>
      <c r="DI173" s="179"/>
      <c r="DJ173" s="179"/>
      <c r="DK173" s="179"/>
      <c r="DL173" s="179"/>
      <c r="DM173" s="179"/>
      <c r="DN173" s="179"/>
      <c r="DO173" s="179"/>
      <c r="DP173" s="179"/>
      <c r="DQ173" s="179"/>
      <c r="DR173" s="179"/>
      <c r="DS173" s="179"/>
      <c r="DT173" s="179"/>
      <c r="DU173" s="179"/>
      <c r="DV173" s="179"/>
      <c r="DW173" s="179"/>
      <c r="DX173" s="179"/>
      <c r="DY173" s="180"/>
      <c r="DZ173" s="203"/>
      <c r="EA173" s="82">
        <f t="shared" si="260"/>
        <v>93.5</v>
      </c>
      <c r="EB173" s="82">
        <f t="shared" ref="EB173" si="278">EA173*Scenario1AgileContingency</f>
        <v>18.7</v>
      </c>
      <c r="EC173" s="82">
        <f t="shared" si="262"/>
        <v>0</v>
      </c>
      <c r="ED173" s="127">
        <f t="shared" ref="ED173" si="279">SUM(EA173:EC173)</f>
        <v>112.2</v>
      </c>
    </row>
    <row r="174" spans="1:135" s="75" customFormat="1" ht="11.25" x14ac:dyDescent="0.2">
      <c r="A174" s="212">
        <v>2</v>
      </c>
      <c r="B174" s="213" t="s">
        <v>697</v>
      </c>
      <c r="C174" s="457" t="s">
        <v>651</v>
      </c>
      <c r="D174" s="402" t="s">
        <v>688</v>
      </c>
      <c r="E174" s="438" t="s">
        <v>600</v>
      </c>
      <c r="F174" s="525" t="str">
        <f t="shared" si="259"/>
        <v>DWMS</v>
      </c>
      <c r="G174" s="525"/>
      <c r="H174" s="434" t="str">
        <f>H173</f>
        <v>Development</v>
      </c>
      <c r="I174" s="406"/>
      <c r="J174" s="406"/>
      <c r="K174" s="406"/>
      <c r="L174" s="406"/>
      <c r="M174" s="406"/>
      <c r="N174" s="406"/>
      <c r="O174" s="406"/>
      <c r="P174" s="406"/>
      <c r="Q174" s="406"/>
      <c r="R174" s="406"/>
      <c r="S174" s="406">
        <v>1</v>
      </c>
      <c r="T174" s="406">
        <v>1</v>
      </c>
      <c r="U174" s="406">
        <v>1</v>
      </c>
      <c r="V174" s="406">
        <v>1</v>
      </c>
      <c r="W174" s="406">
        <v>1</v>
      </c>
      <c r="X174" s="406">
        <v>1</v>
      </c>
      <c r="Y174" s="406">
        <v>1</v>
      </c>
      <c r="Z174" s="406">
        <v>1</v>
      </c>
      <c r="AA174" s="406">
        <v>1</v>
      </c>
      <c r="AB174" s="406">
        <v>1</v>
      </c>
      <c r="AC174" s="179">
        <v>1</v>
      </c>
      <c r="AD174" s="179">
        <v>1</v>
      </c>
      <c r="AE174" s="179">
        <v>1</v>
      </c>
      <c r="AF174" s="179">
        <v>1</v>
      </c>
      <c r="AG174" s="179">
        <v>1</v>
      </c>
      <c r="AH174" s="179">
        <v>1</v>
      </c>
      <c r="AI174" s="179">
        <v>1</v>
      </c>
      <c r="AJ174" s="179">
        <v>1</v>
      </c>
      <c r="AK174" s="179">
        <v>1</v>
      </c>
      <c r="AL174" s="179">
        <v>1</v>
      </c>
      <c r="AM174" s="179">
        <v>1</v>
      </c>
      <c r="AN174" s="179">
        <v>1</v>
      </c>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c r="CX174" s="179"/>
      <c r="CY174" s="179"/>
      <c r="CZ174" s="179"/>
      <c r="DA174" s="179"/>
      <c r="DB174" s="179"/>
      <c r="DC174" s="179"/>
      <c r="DD174" s="179"/>
      <c r="DE174" s="179"/>
      <c r="DF174" s="179"/>
      <c r="DG174" s="179"/>
      <c r="DH174" s="179"/>
      <c r="DI174" s="179"/>
      <c r="DJ174" s="179"/>
      <c r="DK174" s="179"/>
      <c r="DL174" s="179"/>
      <c r="DM174" s="179"/>
      <c r="DN174" s="179"/>
      <c r="DO174" s="179"/>
      <c r="DP174" s="179"/>
      <c r="DQ174" s="179"/>
      <c r="DR174" s="179"/>
      <c r="DS174" s="179"/>
      <c r="DT174" s="179"/>
      <c r="DU174" s="179"/>
      <c r="DV174" s="179"/>
      <c r="DW174" s="179"/>
      <c r="DX174" s="179"/>
      <c r="DY174" s="180"/>
      <c r="DZ174" s="203"/>
      <c r="EA174" s="82">
        <f t="shared" si="260"/>
        <v>93.5</v>
      </c>
      <c r="EB174" s="82">
        <f t="shared" ref="EB174" si="280">EA174*Scenario1AgileContingency</f>
        <v>18.7</v>
      </c>
      <c r="EC174" s="82">
        <f t="shared" si="262"/>
        <v>0</v>
      </c>
      <c r="ED174" s="127">
        <f t="shared" ref="ED174" si="281">SUM(EA174:EC174)</f>
        <v>112.2</v>
      </c>
    </row>
    <row r="175" spans="1:135" s="75" customFormat="1" ht="11.25" x14ac:dyDescent="0.2">
      <c r="A175" s="212">
        <v>2</v>
      </c>
      <c r="B175" s="213" t="s">
        <v>697</v>
      </c>
      <c r="C175" s="457" t="str">
        <f>IFERROR(VLOOKUP(D175,MappingFromSetAgiletoTTSRole,2,FALSE),"SET Agile Resource Role")</f>
        <v>Test Consultant</v>
      </c>
      <c r="D175" s="402" t="s">
        <v>688</v>
      </c>
      <c r="E175" s="438" t="s">
        <v>600</v>
      </c>
      <c r="F175" s="525" t="str">
        <f>IFERROR(VLOOKUP(C175,MappingFromTTStoSU,2,FALSE),"SU Resource Role")</f>
        <v>DWMS</v>
      </c>
      <c r="G175" s="525"/>
      <c r="H175" s="434" t="str">
        <f>H174</f>
        <v>Development</v>
      </c>
      <c r="I175" s="406"/>
      <c r="J175" s="406"/>
      <c r="K175" s="406"/>
      <c r="L175" s="406"/>
      <c r="M175" s="406"/>
      <c r="N175" s="406"/>
      <c r="O175" s="406"/>
      <c r="P175" s="406"/>
      <c r="Q175" s="406"/>
      <c r="R175" s="406"/>
      <c r="S175" s="406">
        <v>1</v>
      </c>
      <c r="T175" s="406">
        <v>1</v>
      </c>
      <c r="U175" s="406">
        <v>1</v>
      </c>
      <c r="V175" s="406">
        <v>1</v>
      </c>
      <c r="W175" s="406">
        <v>1</v>
      </c>
      <c r="X175" s="406">
        <v>1</v>
      </c>
      <c r="Y175" s="406">
        <v>1</v>
      </c>
      <c r="Z175" s="406">
        <v>1</v>
      </c>
      <c r="AA175" s="406">
        <v>1</v>
      </c>
      <c r="AB175" s="406">
        <v>1</v>
      </c>
      <c r="AC175" s="179">
        <v>1</v>
      </c>
      <c r="AD175" s="179">
        <v>1</v>
      </c>
      <c r="AE175" s="179">
        <v>1</v>
      </c>
      <c r="AF175" s="179">
        <v>1</v>
      </c>
      <c r="AG175" s="179">
        <v>1</v>
      </c>
      <c r="AH175" s="179">
        <v>1</v>
      </c>
      <c r="AI175" s="179">
        <v>1</v>
      </c>
      <c r="AJ175" s="179">
        <v>1</v>
      </c>
      <c r="AK175" s="179">
        <v>1</v>
      </c>
      <c r="AL175" s="179">
        <v>1</v>
      </c>
      <c r="AM175" s="179">
        <v>1</v>
      </c>
      <c r="AN175" s="179">
        <v>1</v>
      </c>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c r="CX175" s="179"/>
      <c r="CY175" s="179"/>
      <c r="CZ175" s="179"/>
      <c r="DA175" s="179"/>
      <c r="DB175" s="179"/>
      <c r="DC175" s="179"/>
      <c r="DD175" s="179"/>
      <c r="DE175" s="179"/>
      <c r="DF175" s="179"/>
      <c r="DG175" s="179"/>
      <c r="DH175" s="179"/>
      <c r="DI175" s="179"/>
      <c r="DJ175" s="179"/>
      <c r="DK175" s="179"/>
      <c r="DL175" s="179"/>
      <c r="DM175" s="179"/>
      <c r="DN175" s="179"/>
      <c r="DO175" s="179"/>
      <c r="DP175" s="179"/>
      <c r="DQ175" s="179"/>
      <c r="DR175" s="179"/>
      <c r="DS175" s="179"/>
      <c r="DT175" s="179"/>
      <c r="DU175" s="179"/>
      <c r="DV175" s="179"/>
      <c r="DW175" s="179"/>
      <c r="DX175" s="179"/>
      <c r="DY175" s="180"/>
      <c r="DZ175" s="203"/>
      <c r="EA175" s="82">
        <f t="shared" si="260"/>
        <v>93.5</v>
      </c>
      <c r="EB175" s="82">
        <f t="shared" ref="EB175" si="282">EA175*Scenario1AgileContingency</f>
        <v>18.7</v>
      </c>
      <c r="EC175" s="82">
        <f t="shared" si="262"/>
        <v>0</v>
      </c>
      <c r="ED175" s="127">
        <f t="shared" ref="ED175" si="283">SUM(EA175:EC175)</f>
        <v>112.2</v>
      </c>
    </row>
    <row r="176" spans="1:135" s="75" customFormat="1" ht="11.25" x14ac:dyDescent="0.2">
      <c r="A176" s="212">
        <v>2</v>
      </c>
      <c r="B176" s="213" t="s">
        <v>697</v>
      </c>
      <c r="C176" s="457" t="str">
        <f t="shared" si="274"/>
        <v>Test Consultant</v>
      </c>
      <c r="D176" s="402" t="s">
        <v>688</v>
      </c>
      <c r="E176" s="438" t="s">
        <v>600</v>
      </c>
      <c r="F176" s="525" t="str">
        <f t="shared" si="259"/>
        <v>DWMS</v>
      </c>
      <c r="G176" s="525"/>
      <c r="H176" s="434" t="str">
        <f>H174</f>
        <v>Development</v>
      </c>
      <c r="I176" s="406"/>
      <c r="J176" s="406"/>
      <c r="K176" s="406"/>
      <c r="L176" s="406"/>
      <c r="M176" s="406"/>
      <c r="N176" s="406"/>
      <c r="O176" s="406"/>
      <c r="P176" s="406"/>
      <c r="Q176" s="406"/>
      <c r="R176" s="406"/>
      <c r="S176" s="406">
        <v>1</v>
      </c>
      <c r="T176" s="406">
        <v>1</v>
      </c>
      <c r="U176" s="406">
        <v>1</v>
      </c>
      <c r="V176" s="406">
        <v>1</v>
      </c>
      <c r="W176" s="406">
        <v>1</v>
      </c>
      <c r="X176" s="406">
        <v>1</v>
      </c>
      <c r="Y176" s="406">
        <v>1</v>
      </c>
      <c r="Z176" s="406">
        <v>1</v>
      </c>
      <c r="AA176" s="406">
        <v>1</v>
      </c>
      <c r="AB176" s="406">
        <v>1</v>
      </c>
      <c r="AC176" s="179">
        <v>1</v>
      </c>
      <c r="AD176" s="179">
        <v>1</v>
      </c>
      <c r="AE176" s="179">
        <v>1</v>
      </c>
      <c r="AF176" s="179">
        <v>1</v>
      </c>
      <c r="AG176" s="179">
        <v>1</v>
      </c>
      <c r="AH176" s="179">
        <v>1</v>
      </c>
      <c r="AI176" s="179">
        <v>1</v>
      </c>
      <c r="AJ176" s="179">
        <v>1</v>
      </c>
      <c r="AK176" s="179">
        <v>1</v>
      </c>
      <c r="AL176" s="179">
        <v>1</v>
      </c>
      <c r="AM176" s="179">
        <v>1</v>
      </c>
      <c r="AN176" s="179">
        <v>1</v>
      </c>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c r="CX176" s="179"/>
      <c r="CY176" s="179"/>
      <c r="CZ176" s="179"/>
      <c r="DA176" s="179"/>
      <c r="DB176" s="179"/>
      <c r="DC176" s="179"/>
      <c r="DD176" s="179"/>
      <c r="DE176" s="179"/>
      <c r="DF176" s="179"/>
      <c r="DG176" s="179"/>
      <c r="DH176" s="179"/>
      <c r="DI176" s="179"/>
      <c r="DJ176" s="179"/>
      <c r="DK176" s="179"/>
      <c r="DL176" s="179"/>
      <c r="DM176" s="179"/>
      <c r="DN176" s="179"/>
      <c r="DO176" s="179"/>
      <c r="DP176" s="179"/>
      <c r="DQ176" s="179"/>
      <c r="DR176" s="179"/>
      <c r="DS176" s="179"/>
      <c r="DT176" s="179"/>
      <c r="DU176" s="179"/>
      <c r="DV176" s="179"/>
      <c r="DW176" s="179"/>
      <c r="DX176" s="179"/>
      <c r="DY176" s="180"/>
      <c r="DZ176" s="203"/>
      <c r="EA176" s="82">
        <f t="shared" si="260"/>
        <v>93.5</v>
      </c>
      <c r="EB176" s="82">
        <f t="shared" ref="EB176" si="284">EA176*Scenario1AgileContingency</f>
        <v>18.7</v>
      </c>
      <c r="EC176" s="82">
        <f t="shared" si="262"/>
        <v>0</v>
      </c>
      <c r="ED176" s="127">
        <f t="shared" ref="ED176" si="285">SUM(EA176:EC176)</f>
        <v>112.2</v>
      </c>
    </row>
    <row r="177" spans="1:135" s="74" customFormat="1" ht="11.25" x14ac:dyDescent="0.2">
      <c r="A177" s="210">
        <v>1</v>
      </c>
      <c r="B177" s="211" t="s">
        <v>697</v>
      </c>
      <c r="C177" s="207" t="s">
        <v>708</v>
      </c>
      <c r="D177" s="207" t="s">
        <v>708</v>
      </c>
      <c r="E177" s="437"/>
      <c r="F177" s="524"/>
      <c r="G177" s="524"/>
      <c r="H177" s="437"/>
      <c r="I177" s="214"/>
      <c r="J177" s="214"/>
      <c r="K177" s="214"/>
      <c r="L177" s="214"/>
      <c r="M177" s="214"/>
      <c r="N177" s="214"/>
      <c r="O177" s="214"/>
      <c r="P177" s="214"/>
      <c r="Q177" s="214"/>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4"/>
      <c r="BC177" s="214"/>
      <c r="BD177" s="214"/>
      <c r="BE177" s="214"/>
      <c r="BF177" s="214"/>
      <c r="BG177" s="214"/>
      <c r="BH177" s="214"/>
      <c r="BI177" s="214"/>
      <c r="BJ177" s="214"/>
      <c r="BK177" s="214"/>
      <c r="BL177" s="214"/>
      <c r="BM177" s="214"/>
      <c r="BN177" s="214"/>
      <c r="BO177" s="214"/>
      <c r="BP177" s="214"/>
      <c r="BQ177" s="214"/>
      <c r="BR177" s="214"/>
      <c r="BS177" s="214"/>
      <c r="BT177" s="214"/>
      <c r="BU177" s="214"/>
      <c r="BV177" s="214"/>
      <c r="BW177" s="214"/>
      <c r="BX177" s="214"/>
      <c r="BY177" s="214"/>
      <c r="BZ177" s="214"/>
      <c r="CA177" s="214"/>
      <c r="CB177" s="214"/>
      <c r="CC177" s="214"/>
      <c r="CD177" s="214"/>
      <c r="CE177" s="214"/>
      <c r="CF177" s="214"/>
      <c r="CG177" s="214"/>
      <c r="CH177" s="214"/>
      <c r="CI177" s="214"/>
      <c r="CJ177" s="214"/>
      <c r="CK177" s="214"/>
      <c r="CL177" s="214"/>
      <c r="CM177" s="214"/>
      <c r="CN177" s="214"/>
      <c r="CO177" s="214"/>
      <c r="CP177" s="214"/>
      <c r="CQ177" s="214"/>
      <c r="CR177" s="214"/>
      <c r="CS177" s="214"/>
      <c r="CT177" s="214"/>
      <c r="CU177" s="214"/>
      <c r="CV177" s="214"/>
      <c r="CW177" s="214"/>
      <c r="CX177" s="214"/>
      <c r="CY177" s="214"/>
      <c r="CZ177" s="214"/>
      <c r="DA177" s="214"/>
      <c r="DB177" s="214"/>
      <c r="DC177" s="214"/>
      <c r="DD177" s="214"/>
      <c r="DE177" s="214"/>
      <c r="DF177" s="214"/>
      <c r="DG177" s="214"/>
      <c r="DH177" s="214"/>
      <c r="DI177" s="214"/>
      <c r="DJ177" s="214"/>
      <c r="DK177" s="214"/>
      <c r="DL177" s="214"/>
      <c r="DM177" s="214"/>
      <c r="DN177" s="214"/>
      <c r="DO177" s="214"/>
      <c r="DP177" s="214"/>
      <c r="DQ177" s="214"/>
      <c r="DR177" s="214"/>
      <c r="DS177" s="214"/>
      <c r="DT177" s="214"/>
      <c r="DU177" s="214"/>
      <c r="DV177" s="214"/>
      <c r="DW177" s="214"/>
      <c r="DX177" s="214"/>
      <c r="DY177" s="186"/>
      <c r="DZ177" s="187"/>
      <c r="EA177" s="127"/>
      <c r="EB177" s="127"/>
      <c r="EC177" s="127"/>
      <c r="ED177" s="127"/>
      <c r="EE177" s="75"/>
    </row>
    <row r="178" spans="1:135" s="75" customFormat="1" ht="11.25" x14ac:dyDescent="0.2">
      <c r="A178" s="212">
        <v>2</v>
      </c>
      <c r="B178" s="213" t="s">
        <v>697</v>
      </c>
      <c r="C178" s="457" t="str">
        <f t="shared" ref="C178:C188" si="286">IFERROR(VLOOKUP(D178,MappingFromSetAgiletoTTSRole,2,FALSE),"SET Agile Resource Role")</f>
        <v>Business Consultant</v>
      </c>
      <c r="D178" s="402" t="s">
        <v>684</v>
      </c>
      <c r="E178" s="438" t="s">
        <v>600</v>
      </c>
      <c r="F178" s="525" t="str">
        <f t="shared" ref="F178:F188" si="287">IFERROR(VLOOKUP(C178,MappingFromTTStoSU,2,FALSE),"SU Resource Role")</f>
        <v>DWMS</v>
      </c>
      <c r="G178" s="525"/>
      <c r="H178" s="434" t="s">
        <v>702</v>
      </c>
      <c r="I178" s="406"/>
      <c r="J178" s="406"/>
      <c r="K178" s="406"/>
      <c r="L178" s="406"/>
      <c r="M178" s="406"/>
      <c r="N178" s="406"/>
      <c r="O178" s="406"/>
      <c r="P178" s="406"/>
      <c r="Q178" s="406"/>
      <c r="R178" s="406"/>
      <c r="S178" s="406"/>
      <c r="T178" s="406"/>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c r="CX178" s="179"/>
      <c r="CY178" s="179"/>
      <c r="CZ178" s="179"/>
      <c r="DA178" s="179"/>
      <c r="DB178" s="179"/>
      <c r="DC178" s="179"/>
      <c r="DD178" s="179"/>
      <c r="DE178" s="179"/>
      <c r="DF178" s="179"/>
      <c r="DG178" s="179"/>
      <c r="DH178" s="179"/>
      <c r="DI178" s="179"/>
      <c r="DJ178" s="179"/>
      <c r="DK178" s="179"/>
      <c r="DL178" s="179"/>
      <c r="DM178" s="179"/>
      <c r="DN178" s="179"/>
      <c r="DO178" s="179"/>
      <c r="DP178" s="179"/>
      <c r="DQ178" s="179"/>
      <c r="DR178" s="179"/>
      <c r="DS178" s="179"/>
      <c r="DT178" s="179"/>
      <c r="DU178" s="179"/>
      <c r="DV178" s="179"/>
      <c r="DW178" s="179"/>
      <c r="DX178" s="179"/>
      <c r="DY178" s="180"/>
      <c r="DZ178" s="203"/>
      <c r="EA178" s="82">
        <f t="shared" ref="EA178:EA188" si="288">SUMIF(I$8:DY$8,"&lt;&gt;"&amp;AgileIteration_Warranty,I178:DY178)*5*Scenario1Utilisation</f>
        <v>0</v>
      </c>
      <c r="EB178" s="82">
        <f t="shared" ref="EB178" si="289">EA178*Scenario1AgileContingency</f>
        <v>0</v>
      </c>
      <c r="EC178" s="82">
        <f t="shared" ref="EC178:EC188" si="290">IF(Scenario1Warranty=AgileWarrantyDefault, (SUMIF(I$8:DY$8,AgileIteration_Warranty,I178:DY178)*5*Scenario1Utilisation), (EA178*Scenario1Warranty))</f>
        <v>0</v>
      </c>
      <c r="ED178" s="127">
        <f t="shared" ref="ED178" si="291">SUM(EA178:EC178)</f>
        <v>0</v>
      </c>
    </row>
    <row r="179" spans="1:135" s="75" customFormat="1" ht="11.25" x14ac:dyDescent="0.2">
      <c r="A179" s="212">
        <v>2</v>
      </c>
      <c r="B179" s="213" t="s">
        <v>697</v>
      </c>
      <c r="C179" s="637" t="s">
        <v>685</v>
      </c>
      <c r="D179" s="639" t="s">
        <v>703</v>
      </c>
      <c r="E179" s="438" t="s">
        <v>600</v>
      </c>
      <c r="F179" s="525" t="str">
        <f t="shared" si="287"/>
        <v>DWMS</v>
      </c>
      <c r="G179" s="525"/>
      <c r="H179" s="434" t="str">
        <f>H178</f>
        <v>Development</v>
      </c>
      <c r="I179" s="406"/>
      <c r="J179" s="406"/>
      <c r="K179" s="406"/>
      <c r="L179" s="406"/>
      <c r="M179" s="406"/>
      <c r="N179" s="406"/>
      <c r="O179" s="406"/>
      <c r="P179" s="406"/>
      <c r="Q179" s="406"/>
      <c r="R179" s="406"/>
      <c r="S179" s="406"/>
      <c r="T179" s="406"/>
      <c r="U179" s="179"/>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c r="CX179" s="179"/>
      <c r="CY179" s="179"/>
      <c r="CZ179" s="179"/>
      <c r="DA179" s="179"/>
      <c r="DB179" s="179"/>
      <c r="DC179" s="179"/>
      <c r="DD179" s="179"/>
      <c r="DE179" s="179"/>
      <c r="DF179" s="179"/>
      <c r="DG179" s="179"/>
      <c r="DH179" s="179"/>
      <c r="DI179" s="179"/>
      <c r="DJ179" s="179"/>
      <c r="DK179" s="179"/>
      <c r="DL179" s="179"/>
      <c r="DM179" s="179"/>
      <c r="DN179" s="179"/>
      <c r="DO179" s="179"/>
      <c r="DP179" s="179"/>
      <c r="DQ179" s="179"/>
      <c r="DR179" s="179"/>
      <c r="DS179" s="179"/>
      <c r="DT179" s="179"/>
      <c r="DU179" s="179"/>
      <c r="DV179" s="179"/>
      <c r="DW179" s="179"/>
      <c r="DX179" s="179"/>
      <c r="DY179" s="180"/>
      <c r="DZ179" s="203"/>
      <c r="EA179" s="82">
        <f t="shared" si="288"/>
        <v>0</v>
      </c>
      <c r="EB179" s="82">
        <f t="shared" ref="EB179" si="292">EA179*Scenario1AgileContingency</f>
        <v>0</v>
      </c>
      <c r="EC179" s="82">
        <f t="shared" si="290"/>
        <v>0</v>
      </c>
      <c r="ED179" s="127">
        <f t="shared" ref="ED179" si="293">SUM(EA179:EC179)</f>
        <v>0</v>
      </c>
    </row>
    <row r="180" spans="1:135" s="75" customFormat="1" ht="11.25" x14ac:dyDescent="0.2">
      <c r="A180" s="212">
        <v>2</v>
      </c>
      <c r="B180" s="213" t="s">
        <v>697</v>
      </c>
      <c r="C180" s="457" t="s">
        <v>635</v>
      </c>
      <c r="D180" s="402" t="s">
        <v>704</v>
      </c>
      <c r="E180" s="438" t="s">
        <v>600</v>
      </c>
      <c r="F180" s="525" t="str">
        <f>IFERROR(VLOOKUP(C180,MappingFromTTStoSU,2,FALSE),"SU Resource Role")</f>
        <v>DWMS</v>
      </c>
      <c r="G180" s="525"/>
      <c r="H180" s="434" t="str">
        <f>H179</f>
        <v>Development</v>
      </c>
      <c r="I180" s="406"/>
      <c r="J180" s="406"/>
      <c r="K180" s="406"/>
      <c r="L180" s="406"/>
      <c r="M180" s="406"/>
      <c r="N180" s="406"/>
      <c r="O180" s="406"/>
      <c r="P180" s="406"/>
      <c r="Q180" s="406"/>
      <c r="R180" s="406"/>
      <c r="S180" s="406"/>
      <c r="T180" s="406"/>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c r="CX180" s="179"/>
      <c r="CY180" s="179"/>
      <c r="CZ180" s="179"/>
      <c r="DA180" s="179"/>
      <c r="DB180" s="179"/>
      <c r="DC180" s="179"/>
      <c r="DD180" s="179"/>
      <c r="DE180" s="179"/>
      <c r="DF180" s="179"/>
      <c r="DG180" s="179"/>
      <c r="DH180" s="179"/>
      <c r="DI180" s="179"/>
      <c r="DJ180" s="179"/>
      <c r="DK180" s="179"/>
      <c r="DL180" s="179"/>
      <c r="DM180" s="179"/>
      <c r="DN180" s="179"/>
      <c r="DO180" s="179"/>
      <c r="DP180" s="179"/>
      <c r="DQ180" s="179"/>
      <c r="DR180" s="179"/>
      <c r="DS180" s="179"/>
      <c r="DT180" s="179"/>
      <c r="DU180" s="179"/>
      <c r="DV180" s="179"/>
      <c r="DW180" s="179"/>
      <c r="DX180" s="179"/>
      <c r="DY180" s="180"/>
      <c r="DZ180" s="203"/>
      <c r="EA180" s="82">
        <f t="shared" si="288"/>
        <v>0</v>
      </c>
      <c r="EB180" s="82">
        <f t="shared" ref="EB180" si="294">EA180*Scenario1AgileContingency</f>
        <v>0</v>
      </c>
      <c r="EC180" s="82">
        <f t="shared" si="290"/>
        <v>0</v>
      </c>
      <c r="ED180" s="127">
        <f t="shared" ref="ED180" si="295">SUM(EA180:EC180)</f>
        <v>0</v>
      </c>
    </row>
    <row r="181" spans="1:135" s="75" customFormat="1" ht="11.25" x14ac:dyDescent="0.2">
      <c r="A181" s="212">
        <v>2</v>
      </c>
      <c r="B181" s="213" t="s">
        <v>697</v>
      </c>
      <c r="C181" s="457" t="s">
        <v>658</v>
      </c>
      <c r="D181" s="402" t="s">
        <v>687</v>
      </c>
      <c r="E181" s="438" t="s">
        <v>600</v>
      </c>
      <c r="F181" s="525" t="str">
        <f>IFERROR(VLOOKUP(C181,MappingFromTTStoSU,2,FALSE),"SU Resource Role")</f>
        <v>DWMS</v>
      </c>
      <c r="G181" s="525"/>
      <c r="H181" s="434" t="str">
        <f>H179</f>
        <v>Development</v>
      </c>
      <c r="I181" s="406"/>
      <c r="J181" s="406"/>
      <c r="K181" s="406"/>
      <c r="L181" s="406"/>
      <c r="M181" s="406"/>
      <c r="N181" s="406"/>
      <c r="O181" s="406"/>
      <c r="P181" s="406"/>
      <c r="Q181" s="406"/>
      <c r="R181" s="406"/>
      <c r="S181" s="406"/>
      <c r="T181" s="406"/>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c r="CX181" s="179"/>
      <c r="CY181" s="179"/>
      <c r="CZ181" s="179"/>
      <c r="DA181" s="179"/>
      <c r="DB181" s="179"/>
      <c r="DC181" s="179"/>
      <c r="DD181" s="179"/>
      <c r="DE181" s="179"/>
      <c r="DF181" s="179"/>
      <c r="DG181" s="179"/>
      <c r="DH181" s="179"/>
      <c r="DI181" s="179"/>
      <c r="DJ181" s="179"/>
      <c r="DK181" s="179"/>
      <c r="DL181" s="179"/>
      <c r="DM181" s="179"/>
      <c r="DN181" s="179"/>
      <c r="DO181" s="179"/>
      <c r="DP181" s="179"/>
      <c r="DQ181" s="179"/>
      <c r="DR181" s="179"/>
      <c r="DS181" s="179"/>
      <c r="DT181" s="179"/>
      <c r="DU181" s="179"/>
      <c r="DV181" s="179"/>
      <c r="DW181" s="179"/>
      <c r="DX181" s="179"/>
      <c r="DY181" s="180"/>
      <c r="DZ181" s="203"/>
      <c r="EA181" s="82">
        <f t="shared" si="288"/>
        <v>0</v>
      </c>
      <c r="EB181" s="82">
        <f t="shared" ref="EB181" si="296">EA181*Scenario1AgileContingency</f>
        <v>0</v>
      </c>
      <c r="EC181" s="82">
        <f t="shared" si="290"/>
        <v>0</v>
      </c>
      <c r="ED181" s="127">
        <f t="shared" ref="ED181" si="297">SUM(EA181:EC181)</f>
        <v>0</v>
      </c>
    </row>
    <row r="182" spans="1:135" s="75" customFormat="1" ht="11.25" x14ac:dyDescent="0.2">
      <c r="A182" s="212">
        <v>2</v>
      </c>
      <c r="B182" s="213" t="s">
        <v>697</v>
      </c>
      <c r="C182" s="457" t="s">
        <v>635</v>
      </c>
      <c r="D182" s="402" t="s">
        <v>687</v>
      </c>
      <c r="E182" s="438" t="s">
        <v>600</v>
      </c>
      <c r="F182" s="525" t="str">
        <f t="shared" si="287"/>
        <v>DWMS</v>
      </c>
      <c r="G182" s="525"/>
      <c r="H182" s="434" t="str">
        <f>H179</f>
        <v>Development</v>
      </c>
      <c r="I182" s="406"/>
      <c r="J182" s="406"/>
      <c r="K182" s="406"/>
      <c r="L182" s="406"/>
      <c r="M182" s="406"/>
      <c r="N182" s="406"/>
      <c r="O182" s="406"/>
      <c r="P182" s="406"/>
      <c r="Q182" s="406"/>
      <c r="R182" s="406"/>
      <c r="S182" s="406"/>
      <c r="T182" s="406"/>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c r="CX182" s="179"/>
      <c r="CY182" s="179"/>
      <c r="CZ182" s="179"/>
      <c r="DA182" s="179"/>
      <c r="DB182" s="179"/>
      <c r="DC182" s="179"/>
      <c r="DD182" s="179"/>
      <c r="DE182" s="179"/>
      <c r="DF182" s="179"/>
      <c r="DG182" s="179"/>
      <c r="DH182" s="179"/>
      <c r="DI182" s="179"/>
      <c r="DJ182" s="179"/>
      <c r="DK182" s="179"/>
      <c r="DL182" s="179"/>
      <c r="DM182" s="179"/>
      <c r="DN182" s="179"/>
      <c r="DO182" s="179"/>
      <c r="DP182" s="179"/>
      <c r="DQ182" s="179"/>
      <c r="DR182" s="179"/>
      <c r="DS182" s="179"/>
      <c r="DT182" s="179"/>
      <c r="DU182" s="179"/>
      <c r="DV182" s="179"/>
      <c r="DW182" s="179"/>
      <c r="DX182" s="179"/>
      <c r="DY182" s="180"/>
      <c r="DZ182" s="203"/>
      <c r="EA182" s="82">
        <f t="shared" si="288"/>
        <v>0</v>
      </c>
      <c r="EB182" s="82">
        <f t="shared" ref="EB182" si="298">EA182*Scenario1AgileContingency</f>
        <v>0</v>
      </c>
      <c r="EC182" s="82">
        <f t="shared" si="290"/>
        <v>0</v>
      </c>
      <c r="ED182" s="127">
        <f t="shared" ref="ED182" si="299">SUM(EA182:EC182)</f>
        <v>0</v>
      </c>
    </row>
    <row r="183" spans="1:135" s="75" customFormat="1" ht="11.25" x14ac:dyDescent="0.2">
      <c r="A183" s="212">
        <v>2</v>
      </c>
      <c r="B183" s="213" t="s">
        <v>697</v>
      </c>
      <c r="C183" s="457" t="s">
        <v>635</v>
      </c>
      <c r="D183" s="402" t="s">
        <v>687</v>
      </c>
      <c r="E183" s="438" t="s">
        <v>600</v>
      </c>
      <c r="F183" s="525" t="str">
        <f>IFERROR(VLOOKUP(C183,MappingFromTTStoSU,2,FALSE),"SU Resource Role")</f>
        <v>DWMS</v>
      </c>
      <c r="G183" s="525"/>
      <c r="H183" s="434" t="str">
        <f>H182</f>
        <v>Development</v>
      </c>
      <c r="I183" s="406"/>
      <c r="J183" s="406"/>
      <c r="K183" s="406"/>
      <c r="L183" s="406"/>
      <c r="M183" s="406"/>
      <c r="N183" s="406"/>
      <c r="O183" s="406"/>
      <c r="P183" s="406"/>
      <c r="Q183" s="406"/>
      <c r="R183" s="406"/>
      <c r="S183" s="406"/>
      <c r="T183" s="406"/>
      <c r="U183" s="179"/>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c r="CX183" s="179"/>
      <c r="CY183" s="179"/>
      <c r="CZ183" s="179"/>
      <c r="DA183" s="179"/>
      <c r="DB183" s="179"/>
      <c r="DC183" s="179"/>
      <c r="DD183" s="179"/>
      <c r="DE183" s="179"/>
      <c r="DF183" s="179"/>
      <c r="DG183" s="179"/>
      <c r="DH183" s="179"/>
      <c r="DI183" s="179"/>
      <c r="DJ183" s="179"/>
      <c r="DK183" s="179"/>
      <c r="DL183" s="179"/>
      <c r="DM183" s="179"/>
      <c r="DN183" s="179"/>
      <c r="DO183" s="179"/>
      <c r="DP183" s="179"/>
      <c r="DQ183" s="179"/>
      <c r="DR183" s="179"/>
      <c r="DS183" s="179"/>
      <c r="DT183" s="179"/>
      <c r="DU183" s="179"/>
      <c r="DV183" s="179"/>
      <c r="DW183" s="179"/>
      <c r="DX183" s="179"/>
      <c r="DY183" s="180"/>
      <c r="DZ183" s="203"/>
      <c r="EA183" s="82">
        <f t="shared" si="288"/>
        <v>0</v>
      </c>
      <c r="EB183" s="82">
        <f t="shared" ref="EB183" si="300">EA183*Scenario1AgileContingency</f>
        <v>0</v>
      </c>
      <c r="EC183" s="82">
        <f t="shared" si="290"/>
        <v>0</v>
      </c>
      <c r="ED183" s="127">
        <f t="shared" ref="ED183" si="301">SUM(EA183:EC183)</f>
        <v>0</v>
      </c>
    </row>
    <row r="184" spans="1:135" s="75" customFormat="1" ht="11.25" x14ac:dyDescent="0.2">
      <c r="A184" s="212">
        <v>2</v>
      </c>
      <c r="B184" s="213" t="s">
        <v>697</v>
      </c>
      <c r="C184" s="457" t="str">
        <f t="shared" si="286"/>
        <v>Software Developer</v>
      </c>
      <c r="D184" s="402" t="s">
        <v>687</v>
      </c>
      <c r="E184" s="438" t="s">
        <v>600</v>
      </c>
      <c r="F184" s="525" t="str">
        <f t="shared" si="287"/>
        <v>DWMS</v>
      </c>
      <c r="G184" s="525"/>
      <c r="H184" s="434" t="str">
        <f>H182</f>
        <v>Development</v>
      </c>
      <c r="I184" s="406"/>
      <c r="J184" s="406"/>
      <c r="K184" s="406"/>
      <c r="L184" s="406"/>
      <c r="M184" s="406"/>
      <c r="N184" s="406"/>
      <c r="O184" s="406"/>
      <c r="P184" s="406"/>
      <c r="Q184" s="406"/>
      <c r="R184" s="406"/>
      <c r="S184" s="406"/>
      <c r="T184" s="406"/>
      <c r="U184" s="179"/>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c r="CX184" s="179"/>
      <c r="CY184" s="179"/>
      <c r="CZ184" s="179"/>
      <c r="DA184" s="179"/>
      <c r="DB184" s="179"/>
      <c r="DC184" s="179"/>
      <c r="DD184" s="179"/>
      <c r="DE184" s="179"/>
      <c r="DF184" s="179"/>
      <c r="DG184" s="179"/>
      <c r="DH184" s="179"/>
      <c r="DI184" s="179"/>
      <c r="DJ184" s="179"/>
      <c r="DK184" s="179"/>
      <c r="DL184" s="179"/>
      <c r="DM184" s="179"/>
      <c r="DN184" s="179"/>
      <c r="DO184" s="179"/>
      <c r="DP184" s="179"/>
      <c r="DQ184" s="179"/>
      <c r="DR184" s="179"/>
      <c r="DS184" s="179"/>
      <c r="DT184" s="179"/>
      <c r="DU184" s="179"/>
      <c r="DV184" s="179"/>
      <c r="DW184" s="179"/>
      <c r="DX184" s="179"/>
      <c r="DY184" s="180"/>
      <c r="DZ184" s="203"/>
      <c r="EA184" s="82">
        <f t="shared" si="288"/>
        <v>0</v>
      </c>
      <c r="EB184" s="82">
        <f t="shared" ref="EB184" si="302">EA184*Scenario1AgileContingency</f>
        <v>0</v>
      </c>
      <c r="EC184" s="82">
        <f t="shared" si="290"/>
        <v>0</v>
      </c>
      <c r="ED184" s="127">
        <f t="shared" ref="ED184" si="303">SUM(EA184:EC184)</f>
        <v>0</v>
      </c>
    </row>
    <row r="185" spans="1:135" s="75" customFormat="1" ht="11.25" x14ac:dyDescent="0.2">
      <c r="A185" s="212">
        <v>2</v>
      </c>
      <c r="B185" s="213" t="s">
        <v>697</v>
      </c>
      <c r="C185" s="457" t="str">
        <f t="shared" si="286"/>
        <v>Software Developer</v>
      </c>
      <c r="D185" s="402" t="s">
        <v>687</v>
      </c>
      <c r="E185" s="438" t="s">
        <v>600</v>
      </c>
      <c r="F185" s="525" t="str">
        <f t="shared" si="287"/>
        <v>DWMS</v>
      </c>
      <c r="G185" s="525"/>
      <c r="H185" s="434" t="str">
        <f t="shared" ref="H185" si="304">H184</f>
        <v>Development</v>
      </c>
      <c r="I185" s="406"/>
      <c r="J185" s="406"/>
      <c r="K185" s="406"/>
      <c r="L185" s="406"/>
      <c r="M185" s="406"/>
      <c r="N185" s="406"/>
      <c r="O185" s="406"/>
      <c r="P185" s="406"/>
      <c r="Q185" s="406"/>
      <c r="R185" s="406"/>
      <c r="S185" s="406"/>
      <c r="T185" s="406"/>
      <c r="U185" s="179"/>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c r="CX185" s="179"/>
      <c r="CY185" s="179"/>
      <c r="CZ185" s="179"/>
      <c r="DA185" s="179"/>
      <c r="DB185" s="179"/>
      <c r="DC185" s="179"/>
      <c r="DD185" s="179"/>
      <c r="DE185" s="179"/>
      <c r="DF185" s="179"/>
      <c r="DG185" s="179"/>
      <c r="DH185" s="179"/>
      <c r="DI185" s="179"/>
      <c r="DJ185" s="179"/>
      <c r="DK185" s="179"/>
      <c r="DL185" s="179"/>
      <c r="DM185" s="179"/>
      <c r="DN185" s="179"/>
      <c r="DO185" s="179"/>
      <c r="DP185" s="179"/>
      <c r="DQ185" s="179"/>
      <c r="DR185" s="179"/>
      <c r="DS185" s="179"/>
      <c r="DT185" s="179"/>
      <c r="DU185" s="179"/>
      <c r="DV185" s="179"/>
      <c r="DW185" s="179"/>
      <c r="DX185" s="179"/>
      <c r="DY185" s="180"/>
      <c r="DZ185" s="203"/>
      <c r="EA185" s="82">
        <f t="shared" si="288"/>
        <v>0</v>
      </c>
      <c r="EB185" s="82">
        <f t="shared" ref="EB185" si="305">EA185*Scenario1AgileContingency</f>
        <v>0</v>
      </c>
      <c r="EC185" s="82">
        <f t="shared" si="290"/>
        <v>0</v>
      </c>
      <c r="ED185" s="127">
        <f t="shared" ref="ED185" si="306">SUM(EA185:EC185)</f>
        <v>0</v>
      </c>
    </row>
    <row r="186" spans="1:135" s="75" customFormat="1" ht="11.25" x14ac:dyDescent="0.2">
      <c r="A186" s="212">
        <v>2</v>
      </c>
      <c r="B186" s="213" t="s">
        <v>697</v>
      </c>
      <c r="C186" s="457" t="s">
        <v>651</v>
      </c>
      <c r="D186" s="402" t="s">
        <v>688</v>
      </c>
      <c r="E186" s="438" t="s">
        <v>600</v>
      </c>
      <c r="F186" s="525" t="str">
        <f t="shared" si="287"/>
        <v>DWMS</v>
      </c>
      <c r="G186" s="525"/>
      <c r="H186" s="434" t="str">
        <f>H185</f>
        <v>Development</v>
      </c>
      <c r="I186" s="406"/>
      <c r="J186" s="406"/>
      <c r="K186" s="406"/>
      <c r="L186" s="406"/>
      <c r="M186" s="406"/>
      <c r="N186" s="406"/>
      <c r="O186" s="406"/>
      <c r="P186" s="406"/>
      <c r="Q186" s="406"/>
      <c r="R186" s="406"/>
      <c r="S186" s="406"/>
      <c r="T186" s="406"/>
      <c r="U186" s="179"/>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c r="CX186" s="179"/>
      <c r="CY186" s="179"/>
      <c r="CZ186" s="179"/>
      <c r="DA186" s="179"/>
      <c r="DB186" s="179"/>
      <c r="DC186" s="179"/>
      <c r="DD186" s="179"/>
      <c r="DE186" s="179"/>
      <c r="DF186" s="179"/>
      <c r="DG186" s="179"/>
      <c r="DH186" s="179"/>
      <c r="DI186" s="179"/>
      <c r="DJ186" s="179"/>
      <c r="DK186" s="179"/>
      <c r="DL186" s="179"/>
      <c r="DM186" s="179"/>
      <c r="DN186" s="179"/>
      <c r="DO186" s="179"/>
      <c r="DP186" s="179"/>
      <c r="DQ186" s="179"/>
      <c r="DR186" s="179"/>
      <c r="DS186" s="179"/>
      <c r="DT186" s="179"/>
      <c r="DU186" s="179"/>
      <c r="DV186" s="179"/>
      <c r="DW186" s="179"/>
      <c r="DX186" s="179"/>
      <c r="DY186" s="180"/>
      <c r="DZ186" s="203"/>
      <c r="EA186" s="82">
        <f t="shared" si="288"/>
        <v>0</v>
      </c>
      <c r="EB186" s="82">
        <f t="shared" ref="EB186" si="307">EA186*Scenario1AgileContingency</f>
        <v>0</v>
      </c>
      <c r="EC186" s="82">
        <f t="shared" si="290"/>
        <v>0</v>
      </c>
      <c r="ED186" s="127">
        <f t="shared" ref="ED186" si="308">SUM(EA186:EC186)</f>
        <v>0</v>
      </c>
    </row>
    <row r="187" spans="1:135" s="75" customFormat="1" ht="11.25" x14ac:dyDescent="0.2">
      <c r="A187" s="212">
        <v>2</v>
      </c>
      <c r="B187" s="213" t="s">
        <v>697</v>
      </c>
      <c r="C187" s="457" t="str">
        <f>IFERROR(VLOOKUP(D187,MappingFromSetAgiletoTTSRole,2,FALSE),"SET Agile Resource Role")</f>
        <v>Test Consultant</v>
      </c>
      <c r="D187" s="402" t="s">
        <v>688</v>
      </c>
      <c r="E187" s="438" t="s">
        <v>600</v>
      </c>
      <c r="F187" s="525" t="str">
        <f>IFERROR(VLOOKUP(C187,MappingFromTTStoSU,2,FALSE),"SU Resource Role")</f>
        <v>DWMS</v>
      </c>
      <c r="G187" s="525"/>
      <c r="H187" s="434" t="str">
        <f>H186</f>
        <v>Development</v>
      </c>
      <c r="I187" s="406"/>
      <c r="J187" s="406"/>
      <c r="K187" s="406"/>
      <c r="L187" s="406"/>
      <c r="M187" s="406"/>
      <c r="N187" s="406"/>
      <c r="O187" s="406"/>
      <c r="P187" s="406"/>
      <c r="Q187" s="406"/>
      <c r="R187" s="406"/>
      <c r="S187" s="406"/>
      <c r="T187" s="406"/>
      <c r="U187" s="179"/>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c r="CX187" s="179"/>
      <c r="CY187" s="179"/>
      <c r="CZ187" s="179"/>
      <c r="DA187" s="179"/>
      <c r="DB187" s="179"/>
      <c r="DC187" s="179"/>
      <c r="DD187" s="179"/>
      <c r="DE187" s="179"/>
      <c r="DF187" s="179"/>
      <c r="DG187" s="179"/>
      <c r="DH187" s="179"/>
      <c r="DI187" s="179"/>
      <c r="DJ187" s="179"/>
      <c r="DK187" s="179"/>
      <c r="DL187" s="179"/>
      <c r="DM187" s="179"/>
      <c r="DN187" s="179"/>
      <c r="DO187" s="179"/>
      <c r="DP187" s="179"/>
      <c r="DQ187" s="179"/>
      <c r="DR187" s="179"/>
      <c r="DS187" s="179"/>
      <c r="DT187" s="179"/>
      <c r="DU187" s="179"/>
      <c r="DV187" s="179"/>
      <c r="DW187" s="179"/>
      <c r="DX187" s="179"/>
      <c r="DY187" s="180"/>
      <c r="DZ187" s="203"/>
      <c r="EA187" s="82">
        <f t="shared" si="288"/>
        <v>0</v>
      </c>
      <c r="EB187" s="82">
        <f t="shared" ref="EB187" si="309">EA187*Scenario1AgileContingency</f>
        <v>0</v>
      </c>
      <c r="EC187" s="82">
        <f t="shared" si="290"/>
        <v>0</v>
      </c>
      <c r="ED187" s="127">
        <f t="shared" ref="ED187" si="310">SUM(EA187:EC187)</f>
        <v>0</v>
      </c>
    </row>
    <row r="188" spans="1:135" s="75" customFormat="1" ht="11.25" x14ac:dyDescent="0.2">
      <c r="A188" s="212">
        <v>2</v>
      </c>
      <c r="B188" s="213" t="s">
        <v>697</v>
      </c>
      <c r="C188" s="457" t="str">
        <f t="shared" si="286"/>
        <v>Test Consultant</v>
      </c>
      <c r="D188" s="402" t="s">
        <v>688</v>
      </c>
      <c r="E188" s="438" t="s">
        <v>600</v>
      </c>
      <c r="F188" s="525" t="str">
        <f t="shared" si="287"/>
        <v>DWMS</v>
      </c>
      <c r="G188" s="525"/>
      <c r="H188" s="434" t="str">
        <f>H186</f>
        <v>Development</v>
      </c>
      <c r="I188" s="406"/>
      <c r="J188" s="406"/>
      <c r="K188" s="406"/>
      <c r="L188" s="406"/>
      <c r="M188" s="406"/>
      <c r="N188" s="406"/>
      <c r="O188" s="406"/>
      <c r="P188" s="406"/>
      <c r="Q188" s="406"/>
      <c r="R188" s="406"/>
      <c r="S188" s="406"/>
      <c r="T188" s="406"/>
      <c r="U188" s="179"/>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c r="CX188" s="179"/>
      <c r="CY188" s="179"/>
      <c r="CZ188" s="179"/>
      <c r="DA188" s="179"/>
      <c r="DB188" s="179"/>
      <c r="DC188" s="179"/>
      <c r="DD188" s="179"/>
      <c r="DE188" s="179"/>
      <c r="DF188" s="179"/>
      <c r="DG188" s="179"/>
      <c r="DH188" s="179"/>
      <c r="DI188" s="179"/>
      <c r="DJ188" s="179"/>
      <c r="DK188" s="179"/>
      <c r="DL188" s="179"/>
      <c r="DM188" s="179"/>
      <c r="DN188" s="179"/>
      <c r="DO188" s="179"/>
      <c r="DP188" s="179"/>
      <c r="DQ188" s="179"/>
      <c r="DR188" s="179"/>
      <c r="DS188" s="179"/>
      <c r="DT188" s="179"/>
      <c r="DU188" s="179"/>
      <c r="DV188" s="179"/>
      <c r="DW188" s="179"/>
      <c r="DX188" s="179"/>
      <c r="DY188" s="180"/>
      <c r="DZ188" s="203"/>
      <c r="EA188" s="82">
        <f t="shared" si="288"/>
        <v>0</v>
      </c>
      <c r="EB188" s="82">
        <f t="shared" ref="EB188" si="311">EA188*Scenario1AgileContingency</f>
        <v>0</v>
      </c>
      <c r="EC188" s="82">
        <f t="shared" si="290"/>
        <v>0</v>
      </c>
      <c r="ED188" s="127">
        <f t="shared" ref="ED188" si="312">SUM(EA188:EC188)</f>
        <v>0</v>
      </c>
    </row>
    <row r="189" spans="1:135" s="122" customFormat="1" ht="2.65" customHeight="1" x14ac:dyDescent="0.2">
      <c r="A189" s="120" t="s">
        <v>709</v>
      </c>
      <c r="B189" s="121"/>
      <c r="C189" s="293"/>
      <c r="D189" s="228"/>
      <c r="E189" s="395"/>
      <c r="H189" s="410"/>
      <c r="I189" s="178"/>
      <c r="J189" s="178"/>
      <c r="K189" s="178"/>
      <c r="L189" s="178"/>
      <c r="M189" s="178"/>
      <c r="N189" s="178"/>
      <c r="O189" s="178"/>
      <c r="P189" s="178"/>
      <c r="Q189" s="178"/>
      <c r="R189" s="178"/>
      <c r="S189" s="178"/>
      <c r="T189" s="178"/>
      <c r="U189" s="178"/>
      <c r="V189" s="178"/>
      <c r="W189" s="178"/>
      <c r="X189" s="178"/>
      <c r="Y189" s="178"/>
      <c r="Z189" s="178"/>
      <c r="AA189" s="178"/>
      <c r="AB189" s="178"/>
      <c r="AC189" s="178"/>
      <c r="AD189" s="178"/>
      <c r="AE189" s="178"/>
      <c r="AF189" s="178"/>
      <c r="AG189" s="178"/>
      <c r="AH189" s="178"/>
      <c r="AI189" s="178"/>
      <c r="AJ189" s="178"/>
      <c r="AK189" s="178"/>
      <c r="AL189" s="178"/>
      <c r="AM189" s="178"/>
      <c r="AN189" s="178"/>
      <c r="AO189" s="178"/>
      <c r="AP189" s="178"/>
      <c r="AQ189" s="178"/>
      <c r="AR189" s="178"/>
      <c r="AS189" s="178"/>
      <c r="AT189" s="178"/>
      <c r="AU189" s="178"/>
      <c r="AV189" s="178"/>
      <c r="AW189" s="178"/>
      <c r="AX189" s="178"/>
      <c r="AY189" s="178"/>
      <c r="AZ189" s="178"/>
      <c r="BA189" s="178"/>
      <c r="BB189" s="178"/>
      <c r="BC189" s="178"/>
      <c r="BD189" s="178"/>
      <c r="BE189" s="178"/>
      <c r="BF189" s="178"/>
      <c r="BG189" s="178"/>
      <c r="BH189" s="178"/>
      <c r="BI189" s="178"/>
      <c r="BJ189" s="178"/>
      <c r="BK189" s="178"/>
      <c r="BL189" s="178"/>
      <c r="BM189" s="178"/>
      <c r="BN189" s="178"/>
      <c r="BO189" s="178"/>
      <c r="BP189" s="178"/>
      <c r="BQ189" s="178"/>
      <c r="BR189" s="178"/>
      <c r="BS189" s="178"/>
      <c r="BT189" s="178"/>
      <c r="BU189" s="178"/>
      <c r="BV189" s="178"/>
      <c r="BW189" s="178"/>
      <c r="BX189" s="178"/>
      <c r="BY189" s="178"/>
      <c r="BZ189" s="178"/>
      <c r="CA189" s="178"/>
      <c r="CB189" s="178"/>
      <c r="CC189" s="178"/>
      <c r="CD189" s="178"/>
      <c r="CE189" s="178"/>
      <c r="CF189" s="178"/>
      <c r="CG189" s="178"/>
      <c r="CH189" s="178"/>
      <c r="CI189" s="178"/>
      <c r="CJ189" s="178"/>
      <c r="CK189" s="178"/>
      <c r="CL189" s="178"/>
      <c r="CM189" s="178"/>
      <c r="CN189" s="178"/>
      <c r="CO189" s="178"/>
      <c r="CP189" s="178"/>
      <c r="CQ189" s="178"/>
      <c r="CR189" s="178"/>
      <c r="CS189" s="178"/>
      <c r="CT189" s="178"/>
      <c r="CU189" s="178"/>
      <c r="CV189" s="178"/>
      <c r="CW189" s="178"/>
      <c r="CX189" s="178"/>
      <c r="CY189" s="178"/>
      <c r="CZ189" s="178"/>
      <c r="DA189" s="178"/>
      <c r="DB189" s="178"/>
      <c r="DC189" s="178"/>
      <c r="DD189" s="178"/>
      <c r="DE189" s="178"/>
      <c r="DF189" s="178"/>
      <c r="DG189" s="178"/>
      <c r="DH189" s="178"/>
      <c r="DI189" s="178"/>
      <c r="DJ189" s="178"/>
      <c r="DK189" s="178"/>
      <c r="DL189" s="178"/>
      <c r="DM189" s="178"/>
      <c r="DN189" s="178"/>
      <c r="DO189" s="178"/>
      <c r="DP189" s="178"/>
      <c r="DQ189" s="178"/>
      <c r="DR189" s="178"/>
      <c r="DS189" s="178"/>
      <c r="DT189" s="178"/>
      <c r="DU189" s="178"/>
      <c r="DV189" s="178"/>
      <c r="DW189" s="178"/>
      <c r="DX189" s="178"/>
      <c r="DY189" s="178"/>
      <c r="DZ189" s="144" t="s">
        <v>710</v>
      </c>
      <c r="EA189" s="192">
        <f>SUM(EA12:EA164)</f>
        <v>15372.887500000001</v>
      </c>
      <c r="EB189" s="192">
        <f>SUM(EB12:EB164)</f>
        <v>3074.5775000000008</v>
      </c>
      <c r="EC189" s="192">
        <f>SUM(EC12:EC164)</f>
        <v>437.11250000000001</v>
      </c>
      <c r="ED189" s="192">
        <f>SUM(ED12:ED164)</f>
        <v>18884.577500000003</v>
      </c>
    </row>
    <row r="190" spans="1:135" s="152" customFormat="1" ht="11.25" x14ac:dyDescent="0.2">
      <c r="A190" s="120"/>
      <c r="B190" s="121"/>
      <c r="C190" s="285"/>
      <c r="D190" s="229"/>
      <c r="E190" s="230"/>
      <c r="F190" s="230"/>
      <c r="G190" s="230"/>
      <c r="H190" s="230"/>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c r="AL190" s="231"/>
      <c r="AM190" s="231"/>
      <c r="AN190" s="231"/>
      <c r="AO190" s="231"/>
      <c r="AP190" s="231"/>
      <c r="AQ190" s="231"/>
      <c r="AR190" s="231"/>
      <c r="AS190" s="231"/>
      <c r="AT190" s="231"/>
      <c r="AU190" s="231"/>
      <c r="AV190" s="231"/>
      <c r="AW190" s="231"/>
      <c r="AX190" s="231"/>
      <c r="AY190" s="231"/>
      <c r="AZ190" s="231"/>
      <c r="BA190" s="231"/>
      <c r="BB190" s="231"/>
      <c r="BC190" s="231"/>
      <c r="BD190" s="231"/>
      <c r="BE190" s="231"/>
      <c r="BF190" s="231"/>
      <c r="BG190" s="231"/>
      <c r="BH190" s="231"/>
      <c r="BI190" s="231"/>
      <c r="BJ190" s="231"/>
      <c r="BK190" s="231"/>
      <c r="BL190" s="231"/>
      <c r="BM190" s="231"/>
      <c r="BN190" s="231"/>
      <c r="BO190" s="231"/>
      <c r="BP190" s="231"/>
      <c r="BQ190" s="231"/>
      <c r="BR190" s="231"/>
      <c r="BS190" s="231"/>
      <c r="BT190" s="231"/>
      <c r="BU190" s="231"/>
      <c r="BV190" s="231"/>
      <c r="BW190" s="231"/>
      <c r="BX190" s="231"/>
      <c r="BY190" s="231"/>
      <c r="BZ190" s="231"/>
      <c r="CA190" s="231"/>
      <c r="CB190" s="231"/>
      <c r="CC190" s="231"/>
      <c r="CD190" s="231"/>
      <c r="CE190" s="231"/>
      <c r="CF190" s="231"/>
      <c r="CG190" s="231"/>
      <c r="CH190" s="231"/>
      <c r="CI190" s="231"/>
      <c r="CJ190" s="231"/>
      <c r="CK190" s="231"/>
      <c r="CL190" s="231"/>
      <c r="CM190" s="231"/>
      <c r="CN190" s="231"/>
      <c r="CO190" s="231"/>
      <c r="CP190" s="231"/>
      <c r="CQ190" s="231"/>
      <c r="CR190" s="231"/>
      <c r="CS190" s="231"/>
      <c r="CT190" s="231"/>
      <c r="CU190" s="231"/>
      <c r="CV190" s="231"/>
      <c r="CW190" s="231"/>
      <c r="CX190" s="231"/>
      <c r="CY190" s="231"/>
      <c r="CZ190" s="231"/>
      <c r="DA190" s="231"/>
      <c r="DB190" s="231"/>
      <c r="DC190" s="231"/>
      <c r="DD190" s="231"/>
      <c r="DE190" s="231"/>
      <c r="DF190" s="231"/>
      <c r="DG190" s="231"/>
      <c r="DH190" s="231"/>
      <c r="DI190" s="231"/>
      <c r="DJ190" s="231"/>
      <c r="DK190" s="231"/>
      <c r="DL190" s="231"/>
      <c r="DM190" s="231"/>
      <c r="DN190" s="231"/>
      <c r="DO190" s="231"/>
      <c r="DP190" s="231"/>
      <c r="DQ190" s="231"/>
      <c r="DR190" s="231"/>
      <c r="DS190" s="231"/>
      <c r="DT190" s="231"/>
      <c r="DU190" s="231"/>
      <c r="DV190" s="231"/>
      <c r="DW190" s="231"/>
      <c r="DX190" s="231"/>
      <c r="DY190" s="232"/>
      <c r="DZ190" s="197"/>
      <c r="EA190" s="198"/>
      <c r="EB190" s="198"/>
      <c r="EC190" s="204"/>
      <c r="ED190" s="199"/>
    </row>
    <row r="191" spans="1:135" ht="11.25" customHeight="1" x14ac:dyDescent="0.25">
      <c r="D191" s="139" t="s">
        <v>711</v>
      </c>
      <c r="E191" s="151" t="s">
        <v>712</v>
      </c>
      <c r="F191" s="151"/>
      <c r="G191" s="151"/>
      <c r="H191" s="150"/>
      <c r="I191" s="189">
        <f t="shared" ref="I191:AQ191" si="313">SUM(I12:I189)</f>
        <v>14.1</v>
      </c>
      <c r="J191" s="189">
        <f t="shared" si="313"/>
        <v>14.1</v>
      </c>
      <c r="K191" s="189">
        <f t="shared" si="313"/>
        <v>14.1</v>
      </c>
      <c r="L191" s="189">
        <f t="shared" si="313"/>
        <v>15.35</v>
      </c>
      <c r="M191" s="189">
        <f t="shared" si="313"/>
        <v>15.35</v>
      </c>
      <c r="N191" s="189">
        <f t="shared" si="313"/>
        <v>15.35</v>
      </c>
      <c r="O191" s="189">
        <f t="shared" si="313"/>
        <v>15.35</v>
      </c>
      <c r="P191" s="189">
        <f t="shared" si="313"/>
        <v>17.350000000000001</v>
      </c>
      <c r="Q191" s="189">
        <f t="shared" si="313"/>
        <v>17.600000000000001</v>
      </c>
      <c r="R191" s="189">
        <f t="shared" si="313"/>
        <v>18.600000000000001</v>
      </c>
      <c r="S191" s="189">
        <f t="shared" si="313"/>
        <v>43.6</v>
      </c>
      <c r="T191" s="189">
        <f t="shared" si="313"/>
        <v>45.65</v>
      </c>
      <c r="U191" s="189">
        <f t="shared" si="313"/>
        <v>47.65</v>
      </c>
      <c r="V191" s="189">
        <f t="shared" ref="V191:W191" si="314">SUM(V12:V189)</f>
        <v>47.65</v>
      </c>
      <c r="W191" s="189">
        <f t="shared" si="314"/>
        <v>47.65</v>
      </c>
      <c r="X191" s="189">
        <f t="shared" ref="X191:Y191" si="315">SUM(X12:X189)</f>
        <v>47.65</v>
      </c>
      <c r="Y191" s="189">
        <f t="shared" si="315"/>
        <v>47.65</v>
      </c>
      <c r="Z191" s="189">
        <f t="shared" si="313"/>
        <v>49.65</v>
      </c>
      <c r="AA191" s="189">
        <f t="shared" si="313"/>
        <v>49.65</v>
      </c>
      <c r="AB191" s="189">
        <f t="shared" si="313"/>
        <v>52.65</v>
      </c>
      <c r="AC191" s="189">
        <f t="shared" si="313"/>
        <v>52.65</v>
      </c>
      <c r="AD191" s="189">
        <f t="shared" si="313"/>
        <v>52.65</v>
      </c>
      <c r="AE191" s="189">
        <f t="shared" si="313"/>
        <v>58.65</v>
      </c>
      <c r="AF191" s="189">
        <f t="shared" si="313"/>
        <v>58.65</v>
      </c>
      <c r="AG191" s="189">
        <f t="shared" si="313"/>
        <v>58.65</v>
      </c>
      <c r="AH191" s="189">
        <f t="shared" si="313"/>
        <v>58.65</v>
      </c>
      <c r="AI191" s="189">
        <f t="shared" si="313"/>
        <v>60.65</v>
      </c>
      <c r="AJ191" s="189">
        <f t="shared" si="313"/>
        <v>61.65</v>
      </c>
      <c r="AK191" s="189">
        <f t="shared" si="313"/>
        <v>62.65</v>
      </c>
      <c r="AL191" s="189">
        <f t="shared" si="313"/>
        <v>61.15</v>
      </c>
      <c r="AM191" s="189">
        <f t="shared" si="313"/>
        <v>61.15</v>
      </c>
      <c r="AN191" s="189">
        <f t="shared" si="313"/>
        <v>63.15</v>
      </c>
      <c r="AO191" s="189">
        <f t="shared" si="313"/>
        <v>51.1</v>
      </c>
      <c r="AP191" s="189">
        <f t="shared" si="313"/>
        <v>51.1</v>
      </c>
      <c r="AQ191" s="189">
        <f t="shared" si="313"/>
        <v>51.1</v>
      </c>
      <c r="AR191" s="189">
        <f t="shared" ref="AR191:BV191" si="316">SUM(AR12:AR189)</f>
        <v>52.1</v>
      </c>
      <c r="AS191" s="189">
        <f t="shared" si="316"/>
        <v>50.6</v>
      </c>
      <c r="AT191" s="189">
        <f t="shared" si="316"/>
        <v>50.6</v>
      </c>
      <c r="AU191" s="189">
        <f t="shared" si="316"/>
        <v>50.6</v>
      </c>
      <c r="AV191" s="189">
        <f t="shared" si="316"/>
        <v>50.6</v>
      </c>
      <c r="AW191" s="189">
        <f t="shared" si="316"/>
        <v>50.6</v>
      </c>
      <c r="AX191" s="189">
        <f t="shared" si="316"/>
        <v>51.6</v>
      </c>
      <c r="AY191" s="189">
        <f t="shared" si="316"/>
        <v>48.6</v>
      </c>
      <c r="AZ191" s="189">
        <f t="shared" si="316"/>
        <v>45.6</v>
      </c>
      <c r="BA191" s="189">
        <f t="shared" si="316"/>
        <v>44.6</v>
      </c>
      <c r="BB191" s="189">
        <f t="shared" si="316"/>
        <v>44.6</v>
      </c>
      <c r="BC191" s="189">
        <f t="shared" si="316"/>
        <v>44.1</v>
      </c>
      <c r="BD191" s="189">
        <f t="shared" si="316"/>
        <v>44.1</v>
      </c>
      <c r="BE191" s="189">
        <f t="shared" si="316"/>
        <v>44.1</v>
      </c>
      <c r="BF191" s="189">
        <f t="shared" si="316"/>
        <v>44.1</v>
      </c>
      <c r="BG191" s="189">
        <f t="shared" si="316"/>
        <v>45.1</v>
      </c>
      <c r="BH191" s="189">
        <f t="shared" si="316"/>
        <v>44.1</v>
      </c>
      <c r="BI191" s="189">
        <f t="shared" si="316"/>
        <v>42.1</v>
      </c>
      <c r="BJ191" s="189">
        <f t="shared" si="316"/>
        <v>28.35</v>
      </c>
      <c r="BK191" s="189">
        <f t="shared" si="316"/>
        <v>28.35</v>
      </c>
      <c r="BL191" s="189">
        <f t="shared" si="316"/>
        <v>29.35</v>
      </c>
      <c r="BM191" s="189">
        <f t="shared" si="316"/>
        <v>29.4</v>
      </c>
      <c r="BN191" s="189">
        <f t="shared" si="316"/>
        <v>28.9</v>
      </c>
      <c r="BO191" s="189">
        <f t="shared" si="316"/>
        <v>28.9</v>
      </c>
      <c r="BP191" s="189">
        <f t="shared" si="316"/>
        <v>28.9</v>
      </c>
      <c r="BQ191" s="189">
        <f t="shared" si="316"/>
        <v>28.9</v>
      </c>
      <c r="BR191" s="189">
        <f t="shared" si="316"/>
        <v>28.9</v>
      </c>
      <c r="BS191" s="189">
        <f t="shared" si="316"/>
        <v>28.9</v>
      </c>
      <c r="BT191" s="189">
        <f t="shared" si="316"/>
        <v>28.9</v>
      </c>
      <c r="BU191" s="189">
        <f t="shared" si="316"/>
        <v>28.9</v>
      </c>
      <c r="BV191" s="189">
        <f t="shared" si="316"/>
        <v>28.9</v>
      </c>
      <c r="BW191" s="189">
        <f t="shared" ref="BW191:DB191" si="317">SUM(BW12:BW189)</f>
        <v>28.9</v>
      </c>
      <c r="BX191" s="189">
        <f t="shared" si="317"/>
        <v>28.9</v>
      </c>
      <c r="BY191" s="189">
        <f t="shared" si="317"/>
        <v>28.9</v>
      </c>
      <c r="BZ191" s="189">
        <f t="shared" si="317"/>
        <v>28.9</v>
      </c>
      <c r="CA191" s="189">
        <f t="shared" si="317"/>
        <v>28.9</v>
      </c>
      <c r="CB191" s="189">
        <f t="shared" si="317"/>
        <v>28.9</v>
      </c>
      <c r="CC191" s="189">
        <f t="shared" si="317"/>
        <v>28.9</v>
      </c>
      <c r="CD191" s="189">
        <f t="shared" si="317"/>
        <v>28.9</v>
      </c>
      <c r="CE191" s="189">
        <f t="shared" si="317"/>
        <v>28.9</v>
      </c>
      <c r="CF191" s="189">
        <f t="shared" si="317"/>
        <v>28.9</v>
      </c>
      <c r="CG191" s="189">
        <f t="shared" si="317"/>
        <v>28.9</v>
      </c>
      <c r="CH191" s="189">
        <f t="shared" si="317"/>
        <v>28.9</v>
      </c>
      <c r="CI191" s="189">
        <f t="shared" si="317"/>
        <v>28.9</v>
      </c>
      <c r="CJ191" s="189">
        <f t="shared" si="317"/>
        <v>28.9</v>
      </c>
      <c r="CK191" s="189">
        <f t="shared" si="317"/>
        <v>28.9</v>
      </c>
      <c r="CL191" s="189">
        <f t="shared" si="317"/>
        <v>28.9</v>
      </c>
      <c r="CM191" s="189">
        <f t="shared" si="317"/>
        <v>28.9</v>
      </c>
      <c r="CN191" s="189">
        <f t="shared" si="317"/>
        <v>28.9</v>
      </c>
      <c r="CO191" s="189">
        <f t="shared" si="317"/>
        <v>28.9</v>
      </c>
      <c r="CP191" s="189">
        <f t="shared" si="317"/>
        <v>28.9</v>
      </c>
      <c r="CQ191" s="189">
        <f t="shared" si="317"/>
        <v>28.9</v>
      </c>
      <c r="CR191" s="189">
        <f t="shared" si="317"/>
        <v>28.9</v>
      </c>
      <c r="CS191" s="189">
        <f t="shared" si="317"/>
        <v>28.9</v>
      </c>
      <c r="CT191" s="189">
        <f t="shared" si="317"/>
        <v>28.9</v>
      </c>
      <c r="CU191" s="189">
        <f t="shared" si="317"/>
        <v>28.9</v>
      </c>
      <c r="CV191" s="189">
        <f t="shared" si="317"/>
        <v>27.25</v>
      </c>
      <c r="CW191" s="189">
        <f t="shared" si="317"/>
        <v>27.25</v>
      </c>
      <c r="CX191" s="189">
        <f t="shared" si="317"/>
        <v>27.25</v>
      </c>
      <c r="CY191" s="189">
        <f t="shared" si="317"/>
        <v>27.25</v>
      </c>
      <c r="CZ191" s="189">
        <f t="shared" si="317"/>
        <v>27.25</v>
      </c>
      <c r="DA191" s="189">
        <f t="shared" si="317"/>
        <v>27.25</v>
      </c>
      <c r="DB191" s="189">
        <f t="shared" si="317"/>
        <v>27.25</v>
      </c>
      <c r="DC191" s="189">
        <f t="shared" ref="DC191:DX191" si="318">SUM(DC12:DC189)</f>
        <v>27.25</v>
      </c>
      <c r="DD191" s="189">
        <f t="shared" si="318"/>
        <v>27.25</v>
      </c>
      <c r="DE191" s="189">
        <f t="shared" si="318"/>
        <v>27.25</v>
      </c>
      <c r="DF191" s="189">
        <f t="shared" si="318"/>
        <v>27.25</v>
      </c>
      <c r="DG191" s="189">
        <f t="shared" si="318"/>
        <v>27.25</v>
      </c>
      <c r="DH191" s="189">
        <f t="shared" si="318"/>
        <v>27.25</v>
      </c>
      <c r="DI191" s="189">
        <f t="shared" si="318"/>
        <v>26.25</v>
      </c>
      <c r="DJ191" s="189">
        <f t="shared" si="318"/>
        <v>26.25</v>
      </c>
      <c r="DK191" s="189">
        <f t="shared" si="318"/>
        <v>26.25</v>
      </c>
      <c r="DL191" s="189">
        <f t="shared" si="318"/>
        <v>10.45</v>
      </c>
      <c r="DM191" s="189">
        <f t="shared" si="318"/>
        <v>8.4499999999999993</v>
      </c>
      <c r="DN191" s="189">
        <f t="shared" si="318"/>
        <v>8.4499999999999993</v>
      </c>
      <c r="DO191" s="189">
        <f t="shared" si="318"/>
        <v>8.4499999999999993</v>
      </c>
      <c r="DP191" s="189">
        <f t="shared" si="318"/>
        <v>7.45</v>
      </c>
      <c r="DQ191" s="189">
        <f t="shared" si="318"/>
        <v>7.45</v>
      </c>
      <c r="DR191" s="189">
        <f t="shared" si="318"/>
        <v>7.45</v>
      </c>
      <c r="DS191" s="189">
        <f t="shared" si="318"/>
        <v>7.45</v>
      </c>
      <c r="DT191" s="189">
        <f t="shared" si="318"/>
        <v>7.45</v>
      </c>
      <c r="DU191" s="189">
        <f t="shared" si="318"/>
        <v>7.45</v>
      </c>
      <c r="DV191" s="189">
        <f t="shared" si="318"/>
        <v>7.45</v>
      </c>
      <c r="DW191" s="189">
        <f t="shared" si="318"/>
        <v>7.45</v>
      </c>
      <c r="DX191" s="189">
        <f t="shared" si="318"/>
        <v>7.45</v>
      </c>
      <c r="DY191" s="126"/>
      <c r="DZ191" s="199"/>
      <c r="EA191" s="683" t="s">
        <v>710</v>
      </c>
      <c r="EB191" s="683"/>
      <c r="EC191" s="79"/>
      <c r="ED191" s="79"/>
    </row>
    <row r="192" spans="1:135" ht="11.25" customHeight="1" x14ac:dyDescent="0.25">
      <c r="D192" s="139" t="s">
        <v>713</v>
      </c>
      <c r="E192" s="151" t="s">
        <v>714</v>
      </c>
      <c r="F192" s="151"/>
      <c r="G192" s="151"/>
      <c r="H192" s="150"/>
      <c r="I192" s="189">
        <f t="shared" ref="I192:DX192" si="319">IF(I$8= "Warranty",0,(I191*5*Scenario1Utilisation))</f>
        <v>59.924999999999997</v>
      </c>
      <c r="J192" s="189">
        <f t="shared" si="319"/>
        <v>59.924999999999997</v>
      </c>
      <c r="K192" s="189">
        <f t="shared" ref="K192:L192" si="320">IF(K$8= "Warranty",0,(K191*5*Scenario1Utilisation))</f>
        <v>59.924999999999997</v>
      </c>
      <c r="L192" s="189">
        <f t="shared" si="320"/>
        <v>65.237499999999997</v>
      </c>
      <c r="M192" s="189">
        <f t="shared" ref="M192:P192" si="321">IF(M$8= "Warranty",0,(M191*5*Scenario1Utilisation))</f>
        <v>65.237499999999997</v>
      </c>
      <c r="N192" s="189">
        <f t="shared" ref="N192" si="322">IF(N$8= "Warranty",0,(N191*5*Scenario1Utilisation))</f>
        <v>65.237499999999997</v>
      </c>
      <c r="O192" s="189">
        <f t="shared" ref="O192" si="323">IF(O$8= "Warranty",0,(O191*5*Scenario1Utilisation))</f>
        <v>65.237499999999997</v>
      </c>
      <c r="P192" s="189">
        <f t="shared" si="321"/>
        <v>73.737499999999997</v>
      </c>
      <c r="Q192" s="189">
        <f t="shared" ref="Q192:R192" si="324">IF(Q$8= "Warranty",0,(Q191*5*Scenario1Utilisation))</f>
        <v>74.8</v>
      </c>
      <c r="R192" s="189">
        <f t="shared" si="324"/>
        <v>79.05</v>
      </c>
      <c r="S192" s="189">
        <f t="shared" ref="S192:T192" si="325">IF(S$8= "Warranty",0,(S191*5*Scenario1Utilisation))</f>
        <v>185.29999999999998</v>
      </c>
      <c r="T192" s="189">
        <f t="shared" si="325"/>
        <v>194.01249999999999</v>
      </c>
      <c r="U192" s="189">
        <f t="shared" si="319"/>
        <v>202.51249999999999</v>
      </c>
      <c r="V192" s="189">
        <f t="shared" ref="V192:W192" si="326">IF(V$8= "Warranty",0,(V191*5*Scenario1Utilisation))</f>
        <v>202.51249999999999</v>
      </c>
      <c r="W192" s="189">
        <f t="shared" si="326"/>
        <v>202.51249999999999</v>
      </c>
      <c r="X192" s="189">
        <f t="shared" ref="X192:Y192" si="327">IF(X$8= "Warranty",0,(X191*5*Scenario1Utilisation))</f>
        <v>202.51249999999999</v>
      </c>
      <c r="Y192" s="189">
        <f t="shared" si="327"/>
        <v>202.51249999999999</v>
      </c>
      <c r="Z192" s="189">
        <f t="shared" ref="Z192:AA192" si="328">IF(Z$8= "Warranty",0,(Z191*5*Scenario1Utilisation))</f>
        <v>211.01249999999999</v>
      </c>
      <c r="AA192" s="189">
        <f t="shared" si="328"/>
        <v>211.01249999999999</v>
      </c>
      <c r="AB192" s="189">
        <f t="shared" ref="AB192" si="329">IF(AB$8= "Warranty",0,(AB191*5*Scenario1Utilisation))</f>
        <v>223.76249999999999</v>
      </c>
      <c r="AC192" s="189">
        <f t="shared" ref="AC192:AD192" si="330">IF(AC$8= "Warranty",0,(AC191*5*Scenario1Utilisation))</f>
        <v>223.76249999999999</v>
      </c>
      <c r="AD192" s="189">
        <f t="shared" si="330"/>
        <v>223.76249999999999</v>
      </c>
      <c r="AE192" s="189">
        <f t="shared" ref="AE192" si="331">IF(AE$8= "Warranty",0,(AE191*5*Scenario1Utilisation))</f>
        <v>249.26249999999999</v>
      </c>
      <c r="AF192" s="189">
        <f t="shared" si="319"/>
        <v>249.26249999999999</v>
      </c>
      <c r="AG192" s="189">
        <f t="shared" ref="AG192:AH192" si="332">IF(AG$8= "Warranty",0,(AG191*5*Scenario1Utilisation))</f>
        <v>249.26249999999999</v>
      </c>
      <c r="AH192" s="189">
        <f t="shared" si="332"/>
        <v>249.26249999999999</v>
      </c>
      <c r="AI192" s="189">
        <f t="shared" si="319"/>
        <v>257.76249999999999</v>
      </c>
      <c r="AJ192" s="189">
        <f t="shared" ref="AJ192" si="333">IF(AJ$8= "Warranty",0,(AJ191*5*Scenario1Utilisation))</f>
        <v>262.01249999999999</v>
      </c>
      <c r="AK192" s="189">
        <f t="shared" si="319"/>
        <v>266.26249999999999</v>
      </c>
      <c r="AL192" s="189">
        <f t="shared" ref="AL192:AM192" si="334">IF(AL$8= "Warranty",0,(AL191*5*Scenario1Utilisation))</f>
        <v>259.88749999999999</v>
      </c>
      <c r="AM192" s="189">
        <f t="shared" si="334"/>
        <v>259.88749999999999</v>
      </c>
      <c r="AN192" s="189">
        <f t="shared" si="319"/>
        <v>268.38749999999999</v>
      </c>
      <c r="AO192" s="189">
        <f t="shared" si="319"/>
        <v>217.17499999999998</v>
      </c>
      <c r="AP192" s="189">
        <f t="shared" ref="AP192:AQ192" si="335">IF(AP$8= "Warranty",0,(AP191*5*Scenario1Utilisation))</f>
        <v>217.17499999999998</v>
      </c>
      <c r="AQ192" s="189">
        <f t="shared" si="335"/>
        <v>217.17499999999998</v>
      </c>
      <c r="AR192" s="189">
        <f t="shared" ref="AR192:AS192" si="336">IF(AR$8= "Warranty",0,(AR191*5*Scenario1Utilisation))</f>
        <v>221.42499999999998</v>
      </c>
      <c r="AS192" s="189">
        <f t="shared" si="336"/>
        <v>215.04999999999998</v>
      </c>
      <c r="AT192" s="189">
        <f t="shared" si="319"/>
        <v>215.04999999999998</v>
      </c>
      <c r="AU192" s="189">
        <f t="shared" si="319"/>
        <v>215.04999999999998</v>
      </c>
      <c r="AV192" s="189">
        <f t="shared" si="319"/>
        <v>215.04999999999998</v>
      </c>
      <c r="AW192" s="189">
        <f t="shared" ref="AW192:AX192" si="337">IF(AW$8= "Warranty",0,(AW191*5*Scenario1Utilisation))</f>
        <v>215.04999999999998</v>
      </c>
      <c r="AX192" s="189">
        <f t="shared" si="337"/>
        <v>219.29999999999998</v>
      </c>
      <c r="AY192" s="189">
        <f t="shared" si="319"/>
        <v>206.54999999999998</v>
      </c>
      <c r="AZ192" s="189">
        <f t="shared" ref="AZ192:BA192" si="338">IF(AZ$8= "Warranty",0,(AZ191*5*Scenario1Utilisation))</f>
        <v>193.79999999999998</v>
      </c>
      <c r="BA192" s="189">
        <f t="shared" si="338"/>
        <v>189.54999999999998</v>
      </c>
      <c r="BB192" s="189">
        <f t="shared" ref="BB192:BC192" si="339">IF(BB$8= "Warranty",0,(BB191*5*Scenario1Utilisation))</f>
        <v>189.54999999999998</v>
      </c>
      <c r="BC192" s="189">
        <f t="shared" si="339"/>
        <v>187.42499999999998</v>
      </c>
      <c r="BD192" s="189">
        <f t="shared" ref="BD192:BE192" si="340">IF(BD$8= "Warranty",0,(BD191*5*Scenario1Utilisation))</f>
        <v>187.42499999999998</v>
      </c>
      <c r="BE192" s="189">
        <f t="shared" si="340"/>
        <v>187.42499999999998</v>
      </c>
      <c r="BF192" s="189">
        <f t="shared" ref="BF192:BG192" si="341">IF(BF$8= "Warranty",0,(BF191*5*Scenario1Utilisation))</f>
        <v>187.42499999999998</v>
      </c>
      <c r="BG192" s="189">
        <f t="shared" si="341"/>
        <v>191.67499999999998</v>
      </c>
      <c r="BH192" s="189">
        <f t="shared" ref="BH192" si="342">IF(BH$8= "Warranty",0,(BH191*5*Scenario1Utilisation))</f>
        <v>187.42499999999998</v>
      </c>
      <c r="BI192" s="189">
        <f t="shared" si="319"/>
        <v>178.92499999999998</v>
      </c>
      <c r="BJ192" s="189">
        <f t="shared" ref="BJ192:BN192" si="343">IF(BJ$8= "Warranty",0,(BJ191*5*Scenario1Utilisation))</f>
        <v>120.4875</v>
      </c>
      <c r="BK192" s="189">
        <f t="shared" ref="BK192" si="344">IF(BK$8= "Warranty",0,(BK191*5*Scenario1Utilisation))</f>
        <v>120.4875</v>
      </c>
      <c r="BL192" s="189">
        <f t="shared" ref="BL192" si="345">IF(BL$8= "Warranty",0,(BL191*5*Scenario1Utilisation))</f>
        <v>124.7375</v>
      </c>
      <c r="BM192" s="189">
        <f t="shared" ref="BM192" si="346">IF(BM$8= "Warranty",0,(BM191*5*Scenario1Utilisation))</f>
        <v>124.95</v>
      </c>
      <c r="BN192" s="189">
        <f t="shared" si="343"/>
        <v>122.825</v>
      </c>
      <c r="BO192" s="189">
        <f t="shared" ref="BO192:BP192" si="347">IF(BO$8= "Warranty",0,(BO191*5*Scenario1Utilisation))</f>
        <v>122.825</v>
      </c>
      <c r="BP192" s="189">
        <f t="shared" si="347"/>
        <v>122.825</v>
      </c>
      <c r="BQ192" s="189">
        <f t="shared" ref="BQ192:BR192" si="348">IF(BQ$8= "Warranty",0,(BQ191*5*Scenario1Utilisation))</f>
        <v>122.825</v>
      </c>
      <c r="BR192" s="189">
        <f t="shared" si="348"/>
        <v>122.825</v>
      </c>
      <c r="BS192" s="189">
        <f t="shared" ref="BS192:BT192" si="349">IF(BS$8= "Warranty",0,(BS191*5*Scenario1Utilisation))</f>
        <v>122.825</v>
      </c>
      <c r="BT192" s="189">
        <f t="shared" si="349"/>
        <v>122.825</v>
      </c>
      <c r="BU192" s="189">
        <f t="shared" ref="BU192:BV192" si="350">IF(BU$8= "Warranty",0,(BU191*5*Scenario1Utilisation))</f>
        <v>122.825</v>
      </c>
      <c r="BV192" s="189">
        <f t="shared" si="350"/>
        <v>122.825</v>
      </c>
      <c r="BW192" s="189">
        <f t="shared" ref="BW192:BX192" si="351">IF(BW$8= "Warranty",0,(BW191*5*Scenario1Utilisation))</f>
        <v>122.825</v>
      </c>
      <c r="BX192" s="189">
        <f t="shared" si="351"/>
        <v>122.825</v>
      </c>
      <c r="BY192" s="189">
        <f t="shared" ref="BY192:CA192" si="352">IF(BY$8= "Warranty",0,(BY191*5*Scenario1Utilisation))</f>
        <v>122.825</v>
      </c>
      <c r="BZ192" s="189">
        <f t="shared" ref="BZ192" si="353">IF(BZ$8= "Warranty",0,(BZ191*5*Scenario1Utilisation))</f>
        <v>122.825</v>
      </c>
      <c r="CA192" s="189">
        <f t="shared" si="352"/>
        <v>122.825</v>
      </c>
      <c r="CB192" s="189">
        <f t="shared" ref="CB192:CC192" si="354">IF(CB$8= "Warranty",0,(CB191*5*Scenario1Utilisation))</f>
        <v>122.825</v>
      </c>
      <c r="CC192" s="189">
        <f t="shared" si="354"/>
        <v>122.825</v>
      </c>
      <c r="CD192" s="189">
        <f t="shared" ref="CD192" si="355">IF(CD$8= "Warranty",0,(CD191*5*Scenario1Utilisation))</f>
        <v>122.825</v>
      </c>
      <c r="CE192" s="189">
        <f t="shared" ref="CE192:CF192" si="356">IF(CE$8= "Warranty",0,(CE191*5*Scenario1Utilisation))</f>
        <v>122.825</v>
      </c>
      <c r="CF192" s="189">
        <f t="shared" si="356"/>
        <v>122.825</v>
      </c>
      <c r="CG192" s="189">
        <f t="shared" ref="CG192:CH192" si="357">IF(CG$8= "Warranty",0,(CG191*5*Scenario1Utilisation))</f>
        <v>122.825</v>
      </c>
      <c r="CH192" s="189">
        <f t="shared" si="357"/>
        <v>122.825</v>
      </c>
      <c r="CI192" s="189">
        <f t="shared" ref="CI192" si="358">IF(CI$8= "Warranty",0,(CI191*5*Scenario1Utilisation))</f>
        <v>122.825</v>
      </c>
      <c r="CJ192" s="189">
        <f t="shared" ref="CJ192:CK192" si="359">IF(CJ$8= "Warranty",0,(CJ191*5*Scenario1Utilisation))</f>
        <v>122.825</v>
      </c>
      <c r="CK192" s="189">
        <f t="shared" si="359"/>
        <v>122.825</v>
      </c>
      <c r="CL192" s="189">
        <f t="shared" ref="CL192:CO192" si="360">IF(CL$8= "Warranty",0,(CL191*5*Scenario1Utilisation))</f>
        <v>122.825</v>
      </c>
      <c r="CM192" s="189">
        <f t="shared" ref="CM192:CN192" si="361">IF(CM$8= "Warranty",0,(CM191*5*Scenario1Utilisation))</f>
        <v>122.825</v>
      </c>
      <c r="CN192" s="189">
        <f t="shared" si="361"/>
        <v>122.825</v>
      </c>
      <c r="CO192" s="189">
        <f t="shared" si="360"/>
        <v>122.825</v>
      </c>
      <c r="CP192" s="189">
        <f t="shared" ref="CP192:CQ192" si="362">IF(CP$8= "Warranty",0,(CP191*5*Scenario1Utilisation))</f>
        <v>122.825</v>
      </c>
      <c r="CQ192" s="189">
        <f t="shared" si="362"/>
        <v>122.825</v>
      </c>
      <c r="CR192" s="189">
        <f t="shared" ref="CR192:CS192" si="363">IF(CR$8= "Warranty",0,(CR191*5*Scenario1Utilisation))</f>
        <v>122.825</v>
      </c>
      <c r="CS192" s="189">
        <f t="shared" si="363"/>
        <v>122.825</v>
      </c>
      <c r="CT192" s="189">
        <f t="shared" ref="CT192:CU192" si="364">IF(CT$8= "Warranty",0,(CT191*5*Scenario1Utilisation))</f>
        <v>122.825</v>
      </c>
      <c r="CU192" s="189">
        <f t="shared" si="364"/>
        <v>122.825</v>
      </c>
      <c r="CV192" s="189">
        <f t="shared" ref="CV192:CW192" si="365">IF(CV$8= "Warranty",0,(CV191*5*Scenario1Utilisation))</f>
        <v>115.8125</v>
      </c>
      <c r="CW192" s="189">
        <f t="shared" si="365"/>
        <v>115.8125</v>
      </c>
      <c r="CX192" s="189">
        <f t="shared" ref="CX192:CY192" si="366">IF(CX$8= "Warranty",0,(CX191*5*Scenario1Utilisation))</f>
        <v>115.8125</v>
      </c>
      <c r="CY192" s="189">
        <f t="shared" si="366"/>
        <v>115.8125</v>
      </c>
      <c r="CZ192" s="189">
        <f t="shared" ref="CZ192:DA192" si="367">IF(CZ$8= "Warranty",0,(CZ191*5*Scenario1Utilisation))</f>
        <v>115.8125</v>
      </c>
      <c r="DA192" s="189">
        <f t="shared" si="367"/>
        <v>115.8125</v>
      </c>
      <c r="DB192" s="189">
        <f t="shared" ref="DB192:DC192" si="368">IF(DB$8= "Warranty",0,(DB191*5*Scenario1Utilisation))</f>
        <v>115.8125</v>
      </c>
      <c r="DC192" s="189">
        <f t="shared" si="368"/>
        <v>115.8125</v>
      </c>
      <c r="DD192" s="189">
        <f t="shared" ref="DD192:DE192" si="369">IF(DD$8= "Warranty",0,(DD191*5*Scenario1Utilisation))</f>
        <v>115.8125</v>
      </c>
      <c r="DE192" s="189">
        <f t="shared" si="369"/>
        <v>115.8125</v>
      </c>
      <c r="DF192" s="189">
        <f t="shared" ref="DF192:DG192" si="370">IF(DF$8= "Warranty",0,(DF191*5*Scenario1Utilisation))</f>
        <v>115.8125</v>
      </c>
      <c r="DG192" s="189">
        <f t="shared" si="370"/>
        <v>115.8125</v>
      </c>
      <c r="DH192" s="189">
        <f t="shared" ref="DH192:DI192" si="371">IF(DH$8= "Warranty",0,(DH191*5*Scenario1Utilisation))</f>
        <v>115.8125</v>
      </c>
      <c r="DI192" s="189">
        <f t="shared" si="371"/>
        <v>111.5625</v>
      </c>
      <c r="DJ192" s="189">
        <f t="shared" ref="DJ192:DK192" si="372">IF(DJ$8= "Warranty",0,(DJ191*5*Scenario1Utilisation))</f>
        <v>111.5625</v>
      </c>
      <c r="DK192" s="189">
        <f t="shared" si="372"/>
        <v>111.5625</v>
      </c>
      <c r="DL192" s="189">
        <f t="shared" ref="DL192" si="373">IF(DL$8= "Warranty",0,(DL191*5*Scenario1Utilisation))</f>
        <v>0</v>
      </c>
      <c r="DM192" s="189">
        <f t="shared" si="319"/>
        <v>0</v>
      </c>
      <c r="DN192" s="189">
        <f t="shared" si="319"/>
        <v>0</v>
      </c>
      <c r="DO192" s="189">
        <f t="shared" si="319"/>
        <v>0</v>
      </c>
      <c r="DP192" s="189">
        <f t="shared" si="319"/>
        <v>0</v>
      </c>
      <c r="DQ192" s="189">
        <f t="shared" si="319"/>
        <v>0</v>
      </c>
      <c r="DR192" s="189">
        <f t="shared" ref="DR192" si="374">IF(DR$8= "Warranty",0,(DR191*5*Scenario1Utilisation))</f>
        <v>0</v>
      </c>
      <c r="DS192" s="189">
        <f t="shared" si="319"/>
        <v>0</v>
      </c>
      <c r="DT192" s="189">
        <f t="shared" si="319"/>
        <v>0</v>
      </c>
      <c r="DU192" s="189">
        <f t="shared" si="319"/>
        <v>0</v>
      </c>
      <c r="DV192" s="189">
        <f t="shared" si="319"/>
        <v>0</v>
      </c>
      <c r="DW192" s="189">
        <f t="shared" si="319"/>
        <v>0</v>
      </c>
      <c r="DX192" s="189">
        <f t="shared" si="319"/>
        <v>0</v>
      </c>
      <c r="DY192" s="126"/>
      <c r="DZ192" s="199"/>
      <c r="EA192" s="151" t="str">
        <f>E192</f>
        <v xml:space="preserve"> Person_Days</v>
      </c>
      <c r="EB192" s="367">
        <f>SUM(I192:DY192)</f>
        <v>16486.387500000015</v>
      </c>
    </row>
    <row r="193" spans="1:138" s="270" customFormat="1" ht="10.5" hidden="1" customHeight="1" x14ac:dyDescent="0.25">
      <c r="A193" s="120"/>
      <c r="B193" s="146"/>
      <c r="C193" s="282"/>
      <c r="D193" s="21"/>
      <c r="E193" s="266" t="s">
        <v>562</v>
      </c>
      <c r="F193" s="266"/>
      <c r="G193" s="266"/>
      <c r="H193" s="267"/>
      <c r="I193" s="268">
        <f t="shared" ref="I193:DX193" si="375">I192*Scenario1AgileContingency</f>
        <v>11.984999999999999</v>
      </c>
      <c r="J193" s="268">
        <f t="shared" si="375"/>
        <v>11.984999999999999</v>
      </c>
      <c r="K193" s="268">
        <f t="shared" ref="K193:L193" si="376">K192*Scenario1AgileContingency</f>
        <v>11.984999999999999</v>
      </c>
      <c r="L193" s="268">
        <f t="shared" si="376"/>
        <v>13.047499999999999</v>
      </c>
      <c r="M193" s="268">
        <f t="shared" ref="M193:P193" si="377">M192*Scenario1AgileContingency</f>
        <v>13.047499999999999</v>
      </c>
      <c r="N193" s="268">
        <f t="shared" ref="N193" si="378">N192*Scenario1AgileContingency</f>
        <v>13.047499999999999</v>
      </c>
      <c r="O193" s="268">
        <f t="shared" ref="O193" si="379">O192*Scenario1AgileContingency</f>
        <v>13.047499999999999</v>
      </c>
      <c r="P193" s="268">
        <f t="shared" si="377"/>
        <v>14.7475</v>
      </c>
      <c r="Q193" s="268">
        <f t="shared" ref="Q193:R193" si="380">Q192*Scenario1AgileContingency</f>
        <v>14.96</v>
      </c>
      <c r="R193" s="268">
        <f t="shared" si="380"/>
        <v>15.81</v>
      </c>
      <c r="S193" s="268">
        <f t="shared" ref="S193:T193" si="381">S192*Scenario1AgileContingency</f>
        <v>37.059999999999995</v>
      </c>
      <c r="T193" s="268">
        <f t="shared" si="381"/>
        <v>38.802500000000002</v>
      </c>
      <c r="U193" s="268">
        <f t="shared" si="375"/>
        <v>40.502499999999998</v>
      </c>
      <c r="V193" s="268">
        <f t="shared" ref="V193:W193" si="382">V192*Scenario1AgileContingency</f>
        <v>40.502499999999998</v>
      </c>
      <c r="W193" s="268">
        <f t="shared" si="382"/>
        <v>40.502499999999998</v>
      </c>
      <c r="X193" s="268">
        <f t="shared" ref="X193:Y193" si="383">X192*Scenario1AgileContingency</f>
        <v>40.502499999999998</v>
      </c>
      <c r="Y193" s="268">
        <f t="shared" si="383"/>
        <v>40.502499999999998</v>
      </c>
      <c r="Z193" s="268">
        <f t="shared" ref="Z193:AA193" si="384">Z192*Scenario1AgileContingency</f>
        <v>42.202500000000001</v>
      </c>
      <c r="AA193" s="268">
        <f t="shared" si="384"/>
        <v>42.202500000000001</v>
      </c>
      <c r="AB193" s="268">
        <f t="shared" ref="AB193" si="385">AB192*Scenario1AgileContingency</f>
        <v>44.752499999999998</v>
      </c>
      <c r="AC193" s="268">
        <f t="shared" ref="AC193:AD193" si="386">AC192*Scenario1AgileContingency</f>
        <v>44.752499999999998</v>
      </c>
      <c r="AD193" s="268">
        <f t="shared" si="386"/>
        <v>44.752499999999998</v>
      </c>
      <c r="AE193" s="268">
        <f t="shared" ref="AE193" si="387">AE192*Scenario1AgileContingency</f>
        <v>49.852499999999999</v>
      </c>
      <c r="AF193" s="268">
        <f t="shared" si="375"/>
        <v>49.852499999999999</v>
      </c>
      <c r="AG193" s="268">
        <f t="shared" ref="AG193:AH193" si="388">AG192*Scenario1AgileContingency</f>
        <v>49.852499999999999</v>
      </c>
      <c r="AH193" s="268">
        <f t="shared" si="388"/>
        <v>49.852499999999999</v>
      </c>
      <c r="AI193" s="268">
        <f t="shared" si="375"/>
        <v>51.552500000000002</v>
      </c>
      <c r="AJ193" s="268">
        <f t="shared" ref="AJ193" si="389">AJ192*Scenario1AgileContingency</f>
        <v>52.402500000000003</v>
      </c>
      <c r="AK193" s="268">
        <f t="shared" si="375"/>
        <v>53.252499999999998</v>
      </c>
      <c r="AL193" s="268">
        <f t="shared" ref="AL193:AM193" si="390">AL192*Scenario1AgileContingency</f>
        <v>51.977499999999999</v>
      </c>
      <c r="AM193" s="268">
        <f t="shared" si="390"/>
        <v>51.977499999999999</v>
      </c>
      <c r="AN193" s="268">
        <f t="shared" si="375"/>
        <v>53.677500000000002</v>
      </c>
      <c r="AO193" s="268">
        <f t="shared" si="375"/>
        <v>43.435000000000002</v>
      </c>
      <c r="AP193" s="268">
        <f t="shared" ref="AP193:AQ193" si="391">AP192*Scenario1AgileContingency</f>
        <v>43.435000000000002</v>
      </c>
      <c r="AQ193" s="268">
        <f t="shared" si="391"/>
        <v>43.435000000000002</v>
      </c>
      <c r="AR193" s="268">
        <f t="shared" ref="AR193:AS193" si="392">AR192*Scenario1AgileContingency</f>
        <v>44.284999999999997</v>
      </c>
      <c r="AS193" s="268">
        <f t="shared" si="392"/>
        <v>43.01</v>
      </c>
      <c r="AT193" s="268">
        <f t="shared" si="375"/>
        <v>43.01</v>
      </c>
      <c r="AU193" s="268">
        <f t="shared" si="375"/>
        <v>43.01</v>
      </c>
      <c r="AV193" s="268">
        <f t="shared" si="375"/>
        <v>43.01</v>
      </c>
      <c r="AW193" s="268">
        <f t="shared" ref="AW193:AX193" si="393">AW192*Scenario1AgileContingency</f>
        <v>43.01</v>
      </c>
      <c r="AX193" s="268">
        <f t="shared" si="393"/>
        <v>43.86</v>
      </c>
      <c r="AY193" s="268">
        <f t="shared" si="375"/>
        <v>41.31</v>
      </c>
      <c r="AZ193" s="268">
        <f t="shared" ref="AZ193:BA193" si="394">AZ192*Scenario1AgileContingency</f>
        <v>38.76</v>
      </c>
      <c r="BA193" s="268">
        <f t="shared" si="394"/>
        <v>37.909999999999997</v>
      </c>
      <c r="BB193" s="268">
        <f t="shared" ref="BB193:BC193" si="395">BB192*Scenario1AgileContingency</f>
        <v>37.909999999999997</v>
      </c>
      <c r="BC193" s="268">
        <f t="shared" si="395"/>
        <v>37.484999999999999</v>
      </c>
      <c r="BD193" s="268">
        <f t="shared" ref="BD193:BE193" si="396">BD192*Scenario1AgileContingency</f>
        <v>37.484999999999999</v>
      </c>
      <c r="BE193" s="268">
        <f t="shared" si="396"/>
        <v>37.484999999999999</v>
      </c>
      <c r="BF193" s="268">
        <f t="shared" ref="BF193:BG193" si="397">BF192*Scenario1AgileContingency</f>
        <v>37.484999999999999</v>
      </c>
      <c r="BG193" s="268">
        <f t="shared" si="397"/>
        <v>38.335000000000001</v>
      </c>
      <c r="BH193" s="268">
        <f t="shared" ref="BH193" si="398">BH192*Scenario1AgileContingency</f>
        <v>37.484999999999999</v>
      </c>
      <c r="BI193" s="268">
        <f t="shared" si="375"/>
        <v>35.784999999999997</v>
      </c>
      <c r="BJ193" s="268">
        <f t="shared" ref="BJ193:BN193" si="399">BJ192*Scenario1AgileContingency</f>
        <v>24.0975</v>
      </c>
      <c r="BK193" s="268">
        <f t="shared" ref="BK193" si="400">BK192*Scenario1AgileContingency</f>
        <v>24.0975</v>
      </c>
      <c r="BL193" s="268">
        <f t="shared" ref="BL193" si="401">BL192*Scenario1AgileContingency</f>
        <v>24.947500000000002</v>
      </c>
      <c r="BM193" s="268">
        <f t="shared" ref="BM193" si="402">BM192*Scenario1AgileContingency</f>
        <v>24.990000000000002</v>
      </c>
      <c r="BN193" s="268">
        <f t="shared" si="399"/>
        <v>24.565000000000001</v>
      </c>
      <c r="BO193" s="268">
        <f t="shared" ref="BO193:BP193" si="403">BO192*Scenario1AgileContingency</f>
        <v>24.565000000000001</v>
      </c>
      <c r="BP193" s="268">
        <f t="shared" si="403"/>
        <v>24.565000000000001</v>
      </c>
      <c r="BQ193" s="268">
        <f t="shared" ref="BQ193:BR193" si="404">BQ192*Scenario1AgileContingency</f>
        <v>24.565000000000001</v>
      </c>
      <c r="BR193" s="268">
        <f t="shared" si="404"/>
        <v>24.565000000000001</v>
      </c>
      <c r="BS193" s="268">
        <f t="shared" ref="BS193:BT193" si="405">BS192*Scenario1AgileContingency</f>
        <v>24.565000000000001</v>
      </c>
      <c r="BT193" s="268">
        <f t="shared" si="405"/>
        <v>24.565000000000001</v>
      </c>
      <c r="BU193" s="268">
        <f t="shared" ref="BU193:BV193" si="406">BU192*Scenario1AgileContingency</f>
        <v>24.565000000000001</v>
      </c>
      <c r="BV193" s="268">
        <f t="shared" si="406"/>
        <v>24.565000000000001</v>
      </c>
      <c r="BW193" s="268">
        <f t="shared" ref="BW193:BX193" si="407">BW192*Scenario1AgileContingency</f>
        <v>24.565000000000001</v>
      </c>
      <c r="BX193" s="268">
        <f t="shared" si="407"/>
        <v>24.565000000000001</v>
      </c>
      <c r="BY193" s="268">
        <f t="shared" ref="BY193:CA193" si="408">BY192*Scenario1AgileContingency</f>
        <v>24.565000000000001</v>
      </c>
      <c r="BZ193" s="268">
        <f t="shared" ref="BZ193" si="409">BZ192*Scenario1AgileContingency</f>
        <v>24.565000000000001</v>
      </c>
      <c r="CA193" s="268">
        <f t="shared" si="408"/>
        <v>24.565000000000001</v>
      </c>
      <c r="CB193" s="268">
        <f t="shared" ref="CB193:CC193" si="410">CB192*Scenario1AgileContingency</f>
        <v>24.565000000000001</v>
      </c>
      <c r="CC193" s="268">
        <f t="shared" si="410"/>
        <v>24.565000000000001</v>
      </c>
      <c r="CD193" s="268">
        <f t="shared" ref="CD193" si="411">CD192*Scenario1AgileContingency</f>
        <v>24.565000000000001</v>
      </c>
      <c r="CE193" s="268">
        <f t="shared" ref="CE193:CF193" si="412">CE192*Scenario1AgileContingency</f>
        <v>24.565000000000001</v>
      </c>
      <c r="CF193" s="268">
        <f t="shared" si="412"/>
        <v>24.565000000000001</v>
      </c>
      <c r="CG193" s="268">
        <f t="shared" ref="CG193:CH193" si="413">CG192*Scenario1AgileContingency</f>
        <v>24.565000000000001</v>
      </c>
      <c r="CH193" s="268">
        <f t="shared" si="413"/>
        <v>24.565000000000001</v>
      </c>
      <c r="CI193" s="268">
        <f t="shared" ref="CI193" si="414">CI192*Scenario1AgileContingency</f>
        <v>24.565000000000001</v>
      </c>
      <c r="CJ193" s="268">
        <f t="shared" ref="CJ193:CK193" si="415">CJ192*Scenario1AgileContingency</f>
        <v>24.565000000000001</v>
      </c>
      <c r="CK193" s="268">
        <f t="shared" si="415"/>
        <v>24.565000000000001</v>
      </c>
      <c r="CL193" s="268">
        <f t="shared" ref="CL193:CO193" si="416">CL192*Scenario1AgileContingency</f>
        <v>24.565000000000001</v>
      </c>
      <c r="CM193" s="268">
        <f t="shared" ref="CM193:CN193" si="417">CM192*Scenario1AgileContingency</f>
        <v>24.565000000000001</v>
      </c>
      <c r="CN193" s="268">
        <f t="shared" si="417"/>
        <v>24.565000000000001</v>
      </c>
      <c r="CO193" s="268">
        <f t="shared" si="416"/>
        <v>24.565000000000001</v>
      </c>
      <c r="CP193" s="268">
        <f t="shared" ref="CP193:CQ193" si="418">CP192*Scenario1AgileContingency</f>
        <v>24.565000000000001</v>
      </c>
      <c r="CQ193" s="268">
        <f t="shared" si="418"/>
        <v>24.565000000000001</v>
      </c>
      <c r="CR193" s="268">
        <f t="shared" ref="CR193:CS193" si="419">CR192*Scenario1AgileContingency</f>
        <v>24.565000000000001</v>
      </c>
      <c r="CS193" s="268">
        <f t="shared" si="419"/>
        <v>24.565000000000001</v>
      </c>
      <c r="CT193" s="268">
        <f t="shared" ref="CT193:CU193" si="420">CT192*Scenario1AgileContingency</f>
        <v>24.565000000000001</v>
      </c>
      <c r="CU193" s="268">
        <f t="shared" si="420"/>
        <v>24.565000000000001</v>
      </c>
      <c r="CV193" s="268">
        <f t="shared" ref="CV193:CW193" si="421">CV192*Scenario1AgileContingency</f>
        <v>23.162500000000001</v>
      </c>
      <c r="CW193" s="268">
        <f t="shared" si="421"/>
        <v>23.162500000000001</v>
      </c>
      <c r="CX193" s="268">
        <f t="shared" ref="CX193:CY193" si="422">CX192*Scenario1AgileContingency</f>
        <v>23.162500000000001</v>
      </c>
      <c r="CY193" s="268">
        <f t="shared" si="422"/>
        <v>23.162500000000001</v>
      </c>
      <c r="CZ193" s="268">
        <f t="shared" ref="CZ193:DA193" si="423">CZ192*Scenario1AgileContingency</f>
        <v>23.162500000000001</v>
      </c>
      <c r="DA193" s="268">
        <f t="shared" si="423"/>
        <v>23.162500000000001</v>
      </c>
      <c r="DB193" s="268">
        <f t="shared" ref="DB193:DC193" si="424">DB192*Scenario1AgileContingency</f>
        <v>23.162500000000001</v>
      </c>
      <c r="DC193" s="268">
        <f t="shared" si="424"/>
        <v>23.162500000000001</v>
      </c>
      <c r="DD193" s="268">
        <f t="shared" ref="DD193:DE193" si="425">DD192*Scenario1AgileContingency</f>
        <v>23.162500000000001</v>
      </c>
      <c r="DE193" s="268">
        <f t="shared" si="425"/>
        <v>23.162500000000001</v>
      </c>
      <c r="DF193" s="268">
        <f t="shared" ref="DF193:DG193" si="426">DF192*Scenario1AgileContingency</f>
        <v>23.162500000000001</v>
      </c>
      <c r="DG193" s="268">
        <f t="shared" si="426"/>
        <v>23.162500000000001</v>
      </c>
      <c r="DH193" s="268">
        <f t="shared" ref="DH193:DI193" si="427">DH192*Scenario1AgileContingency</f>
        <v>23.162500000000001</v>
      </c>
      <c r="DI193" s="268">
        <f t="shared" si="427"/>
        <v>22.3125</v>
      </c>
      <c r="DJ193" s="268">
        <f t="shared" ref="DJ193:DK193" si="428">DJ192*Scenario1AgileContingency</f>
        <v>22.3125</v>
      </c>
      <c r="DK193" s="268">
        <f t="shared" si="428"/>
        <v>22.3125</v>
      </c>
      <c r="DL193" s="268">
        <f t="shared" ref="DL193" si="429">DL192*Scenario1AgileContingency</f>
        <v>0</v>
      </c>
      <c r="DM193" s="268">
        <f t="shared" si="375"/>
        <v>0</v>
      </c>
      <c r="DN193" s="268">
        <f t="shared" si="375"/>
        <v>0</v>
      </c>
      <c r="DO193" s="268">
        <f t="shared" si="375"/>
        <v>0</v>
      </c>
      <c r="DP193" s="268">
        <f t="shared" si="375"/>
        <v>0</v>
      </c>
      <c r="DQ193" s="268">
        <f t="shared" si="375"/>
        <v>0</v>
      </c>
      <c r="DR193" s="268">
        <f t="shared" ref="DR193" si="430">DR192*Scenario1AgileContingency</f>
        <v>0</v>
      </c>
      <c r="DS193" s="268">
        <f t="shared" si="375"/>
        <v>0</v>
      </c>
      <c r="DT193" s="268">
        <f t="shared" si="375"/>
        <v>0</v>
      </c>
      <c r="DU193" s="268">
        <f t="shared" si="375"/>
        <v>0</v>
      </c>
      <c r="DV193" s="268">
        <f t="shared" si="375"/>
        <v>0</v>
      </c>
      <c r="DW193" s="268">
        <f t="shared" si="375"/>
        <v>0</v>
      </c>
      <c r="DX193" s="268">
        <f t="shared" si="375"/>
        <v>0</v>
      </c>
      <c r="DY193" s="126"/>
      <c r="DZ193" s="126"/>
      <c r="EA193" s="266"/>
      <c r="EB193" s="269"/>
      <c r="EE193" s="271"/>
      <c r="EF193" s="271"/>
      <c r="EG193" s="271"/>
      <c r="EH193" s="271"/>
    </row>
    <row r="194" spans="1:138" s="270" customFormat="1" ht="10.5" hidden="1" customHeight="1" x14ac:dyDescent="0.25">
      <c r="A194" s="120"/>
      <c r="B194" s="146"/>
      <c r="C194" s="282"/>
      <c r="D194" s="21"/>
      <c r="E194" s="266" t="s">
        <v>563</v>
      </c>
      <c r="F194" s="266"/>
      <c r="G194" s="266"/>
      <c r="H194" s="267"/>
      <c r="I194" s="268">
        <f t="shared" ref="I194:AO194" si="431">IF(Scenario1Warranty=AgileWarrantyDefault,(IF(I$8=AgileIteration_Warranty,(I191*5*Scenario1Utilisation),0)),(IF(I$8=AgileIteration_Warranty,0,(I192*Scenario1Warranty))))</f>
        <v>0</v>
      </c>
      <c r="J194" s="268">
        <f t="shared" si="431"/>
        <v>0</v>
      </c>
      <c r="K194" s="268">
        <f t="shared" ref="K194:L194" si="432">IF(Scenario1Warranty=AgileWarrantyDefault,(IF(K$8=AgileIteration_Warranty,(K191*5*Scenario1Utilisation),0)),(IF(K$8=AgileIteration_Warranty,0,(K192*Scenario1Warranty))))</f>
        <v>0</v>
      </c>
      <c r="L194" s="268">
        <f t="shared" si="432"/>
        <v>0</v>
      </c>
      <c r="M194" s="268">
        <f t="shared" ref="M194:P194" si="433">IF(Scenario1Warranty=AgileWarrantyDefault,(IF(M$8=AgileIteration_Warranty,(M191*5*Scenario1Utilisation),0)),(IF(M$8=AgileIteration_Warranty,0,(M192*Scenario1Warranty))))</f>
        <v>0</v>
      </c>
      <c r="N194" s="268">
        <f t="shared" ref="N194" si="434">IF(Scenario1Warranty=AgileWarrantyDefault,(IF(N$8=AgileIteration_Warranty,(N191*5*Scenario1Utilisation),0)),(IF(N$8=AgileIteration_Warranty,0,(N192*Scenario1Warranty))))</f>
        <v>0</v>
      </c>
      <c r="O194" s="268">
        <f t="shared" ref="O194" si="435">IF(Scenario1Warranty=AgileWarrantyDefault,(IF(O$8=AgileIteration_Warranty,(O191*5*Scenario1Utilisation),0)),(IF(O$8=AgileIteration_Warranty,0,(O192*Scenario1Warranty))))</f>
        <v>0</v>
      </c>
      <c r="P194" s="268">
        <f t="shared" si="433"/>
        <v>0</v>
      </c>
      <c r="Q194" s="268">
        <f t="shared" ref="Q194:R194" si="436">IF(Scenario1Warranty=AgileWarrantyDefault,(IF(Q$8=AgileIteration_Warranty,(Q191*5*Scenario1Utilisation),0)),(IF(Q$8=AgileIteration_Warranty,0,(Q192*Scenario1Warranty))))</f>
        <v>0</v>
      </c>
      <c r="R194" s="268">
        <f t="shared" si="436"/>
        <v>0</v>
      </c>
      <c r="S194" s="268">
        <f t="shared" ref="S194:T194" si="437">IF(Scenario1Warranty=AgileWarrantyDefault,(IF(S$8=AgileIteration_Warranty,(S191*5*Scenario1Utilisation),0)),(IF(S$8=AgileIteration_Warranty,0,(S192*Scenario1Warranty))))</f>
        <v>0</v>
      </c>
      <c r="T194" s="268">
        <f t="shared" si="437"/>
        <v>0</v>
      </c>
      <c r="U194" s="268">
        <f t="shared" si="431"/>
        <v>0</v>
      </c>
      <c r="V194" s="268">
        <f t="shared" ref="V194:W194" si="438">IF(Scenario1Warranty=AgileWarrantyDefault,(IF(V$8=AgileIteration_Warranty,(V191*5*Scenario1Utilisation),0)),(IF(V$8=AgileIteration_Warranty,0,(V192*Scenario1Warranty))))</f>
        <v>0</v>
      </c>
      <c r="W194" s="268">
        <f t="shared" si="438"/>
        <v>0</v>
      </c>
      <c r="X194" s="268">
        <f t="shared" ref="X194:Y194" si="439">IF(Scenario1Warranty=AgileWarrantyDefault,(IF(X$8=AgileIteration_Warranty,(X191*5*Scenario1Utilisation),0)),(IF(X$8=AgileIteration_Warranty,0,(X192*Scenario1Warranty))))</f>
        <v>0</v>
      </c>
      <c r="Y194" s="268">
        <f t="shared" si="439"/>
        <v>0</v>
      </c>
      <c r="Z194" s="268">
        <f t="shared" ref="Z194:AA194" si="440">IF(Scenario1Warranty=AgileWarrantyDefault,(IF(Z$8=AgileIteration_Warranty,(Z191*5*Scenario1Utilisation),0)),(IF(Z$8=AgileIteration_Warranty,0,(Z192*Scenario1Warranty))))</f>
        <v>0</v>
      </c>
      <c r="AA194" s="268">
        <f t="shared" si="440"/>
        <v>0</v>
      </c>
      <c r="AB194" s="268">
        <f t="shared" ref="AB194" si="441">IF(Scenario1Warranty=AgileWarrantyDefault,(IF(AB$8=AgileIteration_Warranty,(AB191*5*Scenario1Utilisation),0)),(IF(AB$8=AgileIteration_Warranty,0,(AB192*Scenario1Warranty))))</f>
        <v>0</v>
      </c>
      <c r="AC194" s="268">
        <f t="shared" ref="AC194:AD194" si="442">IF(Scenario1Warranty=AgileWarrantyDefault,(IF(AC$8=AgileIteration_Warranty,(AC191*5*Scenario1Utilisation),0)),(IF(AC$8=AgileIteration_Warranty,0,(AC192*Scenario1Warranty))))</f>
        <v>0</v>
      </c>
      <c r="AD194" s="268">
        <f t="shared" si="442"/>
        <v>0</v>
      </c>
      <c r="AE194" s="268">
        <f t="shared" ref="AE194" si="443">IF(Scenario1Warranty=AgileWarrantyDefault,(IF(AE$8=AgileIteration_Warranty,(AE191*5*Scenario1Utilisation),0)),(IF(AE$8=AgileIteration_Warranty,0,(AE192*Scenario1Warranty))))</f>
        <v>0</v>
      </c>
      <c r="AF194" s="268">
        <f t="shared" si="431"/>
        <v>0</v>
      </c>
      <c r="AG194" s="268">
        <f t="shared" ref="AG194:AH194" si="444">IF(Scenario1Warranty=AgileWarrantyDefault,(IF(AG$8=AgileIteration_Warranty,(AG191*5*Scenario1Utilisation),0)),(IF(AG$8=AgileIteration_Warranty,0,(AG192*Scenario1Warranty))))</f>
        <v>0</v>
      </c>
      <c r="AH194" s="268">
        <f t="shared" si="444"/>
        <v>0</v>
      </c>
      <c r="AI194" s="268">
        <f t="shared" si="431"/>
        <v>0</v>
      </c>
      <c r="AJ194" s="268">
        <f t="shared" ref="AJ194" si="445">IF(Scenario1Warranty=AgileWarrantyDefault,(IF(AJ$8=AgileIteration_Warranty,(AJ191*5*Scenario1Utilisation),0)),(IF(AJ$8=AgileIteration_Warranty,0,(AJ192*Scenario1Warranty))))</f>
        <v>0</v>
      </c>
      <c r="AK194" s="268">
        <f t="shared" si="431"/>
        <v>0</v>
      </c>
      <c r="AL194" s="268">
        <f t="shared" ref="AL194:AM194" si="446">IF(Scenario1Warranty=AgileWarrantyDefault,(IF(AL$8=AgileIteration_Warranty,(AL191*5*Scenario1Utilisation),0)),(IF(AL$8=AgileIteration_Warranty,0,(AL192*Scenario1Warranty))))</f>
        <v>0</v>
      </c>
      <c r="AM194" s="268">
        <f t="shared" si="446"/>
        <v>0</v>
      </c>
      <c r="AN194" s="268">
        <f t="shared" si="431"/>
        <v>0</v>
      </c>
      <c r="AO194" s="268">
        <f t="shared" si="431"/>
        <v>0</v>
      </c>
      <c r="AP194" s="268">
        <f t="shared" ref="AP194:AQ194" si="447">IF(Scenario1Warranty=AgileWarrantyDefault,(IF(AP$8=AgileIteration_Warranty,(AP191*5*Scenario1Utilisation),0)),(IF(AP$8=AgileIteration_Warranty,0,(AP192*Scenario1Warranty))))</f>
        <v>0</v>
      </c>
      <c r="AQ194" s="268">
        <f t="shared" si="447"/>
        <v>0</v>
      </c>
      <c r="AR194" s="268">
        <f t="shared" ref="AR194:AS194" si="448">IF(Scenario1Warranty=AgileWarrantyDefault,(IF(AR$8=AgileIteration_Warranty,(AR191*5*Scenario1Utilisation),0)),(IF(AR$8=AgileIteration_Warranty,0,(AR192*Scenario1Warranty))))</f>
        <v>0</v>
      </c>
      <c r="AS194" s="268">
        <f t="shared" si="448"/>
        <v>0</v>
      </c>
      <c r="AT194" s="268">
        <f t="shared" ref="AT194:DX194" si="449">IF(Scenario1Warranty=AgileWarrantyDefault,(IF(AT$8=AgileIteration_Warranty,(AT191*5*Scenario1Utilisation),0)),(IF(AT$8=AgileIteration_Warranty,0,(AT192*Scenario1Warranty))))</f>
        <v>0</v>
      </c>
      <c r="AU194" s="268">
        <f t="shared" si="449"/>
        <v>0</v>
      </c>
      <c r="AV194" s="268">
        <f t="shared" si="449"/>
        <v>0</v>
      </c>
      <c r="AW194" s="268">
        <f t="shared" ref="AW194:AX194" si="450">IF(Scenario1Warranty=AgileWarrantyDefault,(IF(AW$8=AgileIteration_Warranty,(AW191*5*Scenario1Utilisation),0)),(IF(AW$8=AgileIteration_Warranty,0,(AW192*Scenario1Warranty))))</f>
        <v>0</v>
      </c>
      <c r="AX194" s="268">
        <f t="shared" si="450"/>
        <v>0</v>
      </c>
      <c r="AY194" s="268">
        <f t="shared" si="449"/>
        <v>0</v>
      </c>
      <c r="AZ194" s="268">
        <f t="shared" ref="AZ194:BA194" si="451">IF(Scenario1Warranty=AgileWarrantyDefault,(IF(AZ$8=AgileIteration_Warranty,(AZ191*5*Scenario1Utilisation),0)),(IF(AZ$8=AgileIteration_Warranty,0,(AZ192*Scenario1Warranty))))</f>
        <v>0</v>
      </c>
      <c r="BA194" s="268">
        <f t="shared" si="451"/>
        <v>0</v>
      </c>
      <c r="BB194" s="268">
        <f t="shared" ref="BB194:BC194" si="452">IF(Scenario1Warranty=AgileWarrantyDefault,(IF(BB$8=AgileIteration_Warranty,(BB191*5*Scenario1Utilisation),0)),(IF(BB$8=AgileIteration_Warranty,0,(BB192*Scenario1Warranty))))</f>
        <v>0</v>
      </c>
      <c r="BC194" s="268">
        <f t="shared" si="452"/>
        <v>0</v>
      </c>
      <c r="BD194" s="268">
        <f t="shared" ref="BD194:BE194" si="453">IF(Scenario1Warranty=AgileWarrantyDefault,(IF(BD$8=AgileIteration_Warranty,(BD191*5*Scenario1Utilisation),0)),(IF(BD$8=AgileIteration_Warranty,0,(BD192*Scenario1Warranty))))</f>
        <v>0</v>
      </c>
      <c r="BE194" s="268">
        <f t="shared" si="453"/>
        <v>0</v>
      </c>
      <c r="BF194" s="268">
        <f t="shared" ref="BF194:BG194" si="454">IF(Scenario1Warranty=AgileWarrantyDefault,(IF(BF$8=AgileIteration_Warranty,(BF191*5*Scenario1Utilisation),0)),(IF(BF$8=AgileIteration_Warranty,0,(BF192*Scenario1Warranty))))</f>
        <v>0</v>
      </c>
      <c r="BG194" s="268">
        <f t="shared" si="454"/>
        <v>0</v>
      </c>
      <c r="BH194" s="268">
        <f t="shared" ref="BH194" si="455">IF(Scenario1Warranty=AgileWarrantyDefault,(IF(BH$8=AgileIteration_Warranty,(BH191*5*Scenario1Utilisation),0)),(IF(BH$8=AgileIteration_Warranty,0,(BH192*Scenario1Warranty))))</f>
        <v>0</v>
      </c>
      <c r="BI194" s="268">
        <f t="shared" si="449"/>
        <v>0</v>
      </c>
      <c r="BJ194" s="268">
        <f t="shared" ref="BJ194:BN194" si="456">IF(Scenario1Warranty=AgileWarrantyDefault,(IF(BJ$8=AgileIteration_Warranty,(BJ191*5*Scenario1Utilisation),0)),(IF(BJ$8=AgileIteration_Warranty,0,(BJ192*Scenario1Warranty))))</f>
        <v>0</v>
      </c>
      <c r="BK194" s="268">
        <f t="shared" ref="BK194" si="457">IF(Scenario1Warranty=AgileWarrantyDefault,(IF(BK$8=AgileIteration_Warranty,(BK191*5*Scenario1Utilisation),0)),(IF(BK$8=AgileIteration_Warranty,0,(BK192*Scenario1Warranty))))</f>
        <v>0</v>
      </c>
      <c r="BL194" s="268">
        <f t="shared" ref="BL194" si="458">IF(Scenario1Warranty=AgileWarrantyDefault,(IF(BL$8=AgileIteration_Warranty,(BL191*5*Scenario1Utilisation),0)),(IF(BL$8=AgileIteration_Warranty,0,(BL192*Scenario1Warranty))))</f>
        <v>0</v>
      </c>
      <c r="BM194" s="268">
        <f t="shared" ref="BM194" si="459">IF(Scenario1Warranty=AgileWarrantyDefault,(IF(BM$8=AgileIteration_Warranty,(BM191*5*Scenario1Utilisation),0)),(IF(BM$8=AgileIteration_Warranty,0,(BM192*Scenario1Warranty))))</f>
        <v>0</v>
      </c>
      <c r="BN194" s="268">
        <f t="shared" si="456"/>
        <v>0</v>
      </c>
      <c r="BO194" s="268">
        <f t="shared" ref="BO194:BP194" si="460">IF(Scenario1Warranty=AgileWarrantyDefault,(IF(BO$8=AgileIteration_Warranty,(BO191*5*Scenario1Utilisation),0)),(IF(BO$8=AgileIteration_Warranty,0,(BO192*Scenario1Warranty))))</f>
        <v>0</v>
      </c>
      <c r="BP194" s="268">
        <f t="shared" si="460"/>
        <v>0</v>
      </c>
      <c r="BQ194" s="268">
        <f t="shared" ref="BQ194:BR194" si="461">IF(Scenario1Warranty=AgileWarrantyDefault,(IF(BQ$8=AgileIteration_Warranty,(BQ191*5*Scenario1Utilisation),0)),(IF(BQ$8=AgileIteration_Warranty,0,(BQ192*Scenario1Warranty))))</f>
        <v>0</v>
      </c>
      <c r="BR194" s="268">
        <f t="shared" si="461"/>
        <v>0</v>
      </c>
      <c r="BS194" s="268">
        <f t="shared" ref="BS194:BT194" si="462">IF(Scenario1Warranty=AgileWarrantyDefault,(IF(BS$8=AgileIteration_Warranty,(BS191*5*Scenario1Utilisation),0)),(IF(BS$8=AgileIteration_Warranty,0,(BS192*Scenario1Warranty))))</f>
        <v>0</v>
      </c>
      <c r="BT194" s="268">
        <f t="shared" si="462"/>
        <v>0</v>
      </c>
      <c r="BU194" s="268">
        <f t="shared" ref="BU194:BV194" si="463">IF(Scenario1Warranty=AgileWarrantyDefault,(IF(BU$8=AgileIteration_Warranty,(BU191*5*Scenario1Utilisation),0)),(IF(BU$8=AgileIteration_Warranty,0,(BU192*Scenario1Warranty))))</f>
        <v>0</v>
      </c>
      <c r="BV194" s="268">
        <f t="shared" si="463"/>
        <v>0</v>
      </c>
      <c r="BW194" s="268">
        <f t="shared" ref="BW194:BX194" si="464">IF(Scenario1Warranty=AgileWarrantyDefault,(IF(BW$8=AgileIteration_Warranty,(BW191*5*Scenario1Utilisation),0)),(IF(BW$8=AgileIteration_Warranty,0,(BW192*Scenario1Warranty))))</f>
        <v>0</v>
      </c>
      <c r="BX194" s="268">
        <f t="shared" si="464"/>
        <v>0</v>
      </c>
      <c r="BY194" s="268">
        <f t="shared" ref="BY194:CA194" si="465">IF(Scenario1Warranty=AgileWarrantyDefault,(IF(BY$8=AgileIteration_Warranty,(BY191*5*Scenario1Utilisation),0)),(IF(BY$8=AgileIteration_Warranty,0,(BY192*Scenario1Warranty))))</f>
        <v>0</v>
      </c>
      <c r="BZ194" s="268">
        <f t="shared" ref="BZ194" si="466">IF(Scenario1Warranty=AgileWarrantyDefault,(IF(BZ$8=AgileIteration_Warranty,(BZ191*5*Scenario1Utilisation),0)),(IF(BZ$8=AgileIteration_Warranty,0,(BZ192*Scenario1Warranty))))</f>
        <v>0</v>
      </c>
      <c r="CA194" s="268">
        <f t="shared" si="465"/>
        <v>0</v>
      </c>
      <c r="CB194" s="268">
        <f t="shared" ref="CB194:CC194" si="467">IF(Scenario1Warranty=AgileWarrantyDefault,(IF(CB$8=AgileIteration_Warranty,(CB191*5*Scenario1Utilisation),0)),(IF(CB$8=AgileIteration_Warranty,0,(CB192*Scenario1Warranty))))</f>
        <v>0</v>
      </c>
      <c r="CC194" s="268">
        <f t="shared" si="467"/>
        <v>0</v>
      </c>
      <c r="CD194" s="268">
        <f t="shared" ref="CD194" si="468">IF(Scenario1Warranty=AgileWarrantyDefault,(IF(CD$8=AgileIteration_Warranty,(CD191*5*Scenario1Utilisation),0)),(IF(CD$8=AgileIteration_Warranty,0,(CD192*Scenario1Warranty))))</f>
        <v>0</v>
      </c>
      <c r="CE194" s="268">
        <f t="shared" ref="CE194:CF194" si="469">IF(Scenario1Warranty=AgileWarrantyDefault,(IF(CE$8=AgileIteration_Warranty,(CE191*5*Scenario1Utilisation),0)),(IF(CE$8=AgileIteration_Warranty,0,(CE192*Scenario1Warranty))))</f>
        <v>0</v>
      </c>
      <c r="CF194" s="268">
        <f t="shared" si="469"/>
        <v>0</v>
      </c>
      <c r="CG194" s="268">
        <f t="shared" ref="CG194:CH194" si="470">IF(Scenario1Warranty=AgileWarrantyDefault,(IF(CG$8=AgileIteration_Warranty,(CG191*5*Scenario1Utilisation),0)),(IF(CG$8=AgileIteration_Warranty,0,(CG192*Scenario1Warranty))))</f>
        <v>0</v>
      </c>
      <c r="CH194" s="268">
        <f t="shared" si="470"/>
        <v>0</v>
      </c>
      <c r="CI194" s="268">
        <f t="shared" ref="CI194" si="471">IF(Scenario1Warranty=AgileWarrantyDefault,(IF(CI$8=AgileIteration_Warranty,(CI191*5*Scenario1Utilisation),0)),(IF(CI$8=AgileIteration_Warranty,0,(CI192*Scenario1Warranty))))</f>
        <v>0</v>
      </c>
      <c r="CJ194" s="268">
        <f t="shared" ref="CJ194:CK194" si="472">IF(Scenario1Warranty=AgileWarrantyDefault,(IF(CJ$8=AgileIteration_Warranty,(CJ191*5*Scenario1Utilisation),0)),(IF(CJ$8=AgileIteration_Warranty,0,(CJ192*Scenario1Warranty))))</f>
        <v>0</v>
      </c>
      <c r="CK194" s="268">
        <f t="shared" si="472"/>
        <v>0</v>
      </c>
      <c r="CL194" s="268">
        <f t="shared" ref="CL194:CO194" si="473">IF(Scenario1Warranty=AgileWarrantyDefault,(IF(CL$8=AgileIteration_Warranty,(CL191*5*Scenario1Utilisation),0)),(IF(CL$8=AgileIteration_Warranty,0,(CL192*Scenario1Warranty))))</f>
        <v>0</v>
      </c>
      <c r="CM194" s="268">
        <f t="shared" ref="CM194:CN194" si="474">IF(Scenario1Warranty=AgileWarrantyDefault,(IF(CM$8=AgileIteration_Warranty,(CM191*5*Scenario1Utilisation),0)),(IF(CM$8=AgileIteration_Warranty,0,(CM192*Scenario1Warranty))))</f>
        <v>0</v>
      </c>
      <c r="CN194" s="268">
        <f t="shared" si="474"/>
        <v>0</v>
      </c>
      <c r="CO194" s="268">
        <f t="shared" si="473"/>
        <v>0</v>
      </c>
      <c r="CP194" s="268">
        <f t="shared" ref="CP194:CQ194" si="475">IF(Scenario1Warranty=AgileWarrantyDefault,(IF(CP$8=AgileIteration_Warranty,(CP191*5*Scenario1Utilisation),0)),(IF(CP$8=AgileIteration_Warranty,0,(CP192*Scenario1Warranty))))</f>
        <v>0</v>
      </c>
      <c r="CQ194" s="268">
        <f t="shared" si="475"/>
        <v>0</v>
      </c>
      <c r="CR194" s="268">
        <f t="shared" ref="CR194:CS194" si="476">IF(Scenario1Warranty=AgileWarrantyDefault,(IF(CR$8=AgileIteration_Warranty,(CR191*5*Scenario1Utilisation),0)),(IF(CR$8=AgileIteration_Warranty,0,(CR192*Scenario1Warranty))))</f>
        <v>0</v>
      </c>
      <c r="CS194" s="268">
        <f t="shared" si="476"/>
        <v>0</v>
      </c>
      <c r="CT194" s="268">
        <f t="shared" ref="CT194:CU194" si="477">IF(Scenario1Warranty=AgileWarrantyDefault,(IF(CT$8=AgileIteration_Warranty,(CT191*5*Scenario1Utilisation),0)),(IF(CT$8=AgileIteration_Warranty,0,(CT192*Scenario1Warranty))))</f>
        <v>0</v>
      </c>
      <c r="CU194" s="268">
        <f t="shared" si="477"/>
        <v>0</v>
      </c>
      <c r="CV194" s="268">
        <f t="shared" ref="CV194:CW194" si="478">IF(Scenario1Warranty=AgileWarrantyDefault,(IF(CV$8=AgileIteration_Warranty,(CV191*5*Scenario1Utilisation),0)),(IF(CV$8=AgileIteration_Warranty,0,(CV192*Scenario1Warranty))))</f>
        <v>0</v>
      </c>
      <c r="CW194" s="268">
        <f t="shared" si="478"/>
        <v>0</v>
      </c>
      <c r="CX194" s="268">
        <f t="shared" ref="CX194:CY194" si="479">IF(Scenario1Warranty=AgileWarrantyDefault,(IF(CX$8=AgileIteration_Warranty,(CX191*5*Scenario1Utilisation),0)),(IF(CX$8=AgileIteration_Warranty,0,(CX192*Scenario1Warranty))))</f>
        <v>0</v>
      </c>
      <c r="CY194" s="268">
        <f t="shared" si="479"/>
        <v>0</v>
      </c>
      <c r="CZ194" s="268">
        <f t="shared" ref="CZ194:DA194" si="480">IF(Scenario1Warranty=AgileWarrantyDefault,(IF(CZ$8=AgileIteration_Warranty,(CZ191*5*Scenario1Utilisation),0)),(IF(CZ$8=AgileIteration_Warranty,0,(CZ192*Scenario1Warranty))))</f>
        <v>0</v>
      </c>
      <c r="DA194" s="268">
        <f t="shared" si="480"/>
        <v>0</v>
      </c>
      <c r="DB194" s="268">
        <f t="shared" ref="DB194:DC194" si="481">IF(Scenario1Warranty=AgileWarrantyDefault,(IF(DB$8=AgileIteration_Warranty,(DB191*5*Scenario1Utilisation),0)),(IF(DB$8=AgileIteration_Warranty,0,(DB192*Scenario1Warranty))))</f>
        <v>0</v>
      </c>
      <c r="DC194" s="268">
        <f t="shared" si="481"/>
        <v>0</v>
      </c>
      <c r="DD194" s="268">
        <f t="shared" ref="DD194:DE194" si="482">IF(Scenario1Warranty=AgileWarrantyDefault,(IF(DD$8=AgileIteration_Warranty,(DD191*5*Scenario1Utilisation),0)),(IF(DD$8=AgileIteration_Warranty,0,(DD192*Scenario1Warranty))))</f>
        <v>0</v>
      </c>
      <c r="DE194" s="268">
        <f t="shared" si="482"/>
        <v>0</v>
      </c>
      <c r="DF194" s="268">
        <f t="shared" ref="DF194:DG194" si="483">IF(Scenario1Warranty=AgileWarrantyDefault,(IF(DF$8=AgileIteration_Warranty,(DF191*5*Scenario1Utilisation),0)),(IF(DF$8=AgileIteration_Warranty,0,(DF192*Scenario1Warranty))))</f>
        <v>0</v>
      </c>
      <c r="DG194" s="268">
        <f t="shared" si="483"/>
        <v>0</v>
      </c>
      <c r="DH194" s="268">
        <f t="shared" ref="DH194:DI194" si="484">IF(Scenario1Warranty=AgileWarrantyDefault,(IF(DH$8=AgileIteration_Warranty,(DH191*5*Scenario1Utilisation),0)),(IF(DH$8=AgileIteration_Warranty,0,(DH192*Scenario1Warranty))))</f>
        <v>0</v>
      </c>
      <c r="DI194" s="268">
        <f t="shared" si="484"/>
        <v>0</v>
      </c>
      <c r="DJ194" s="268">
        <f t="shared" ref="DJ194:DK194" si="485">IF(Scenario1Warranty=AgileWarrantyDefault,(IF(DJ$8=AgileIteration_Warranty,(DJ191*5*Scenario1Utilisation),0)),(IF(DJ$8=AgileIteration_Warranty,0,(DJ192*Scenario1Warranty))))</f>
        <v>0</v>
      </c>
      <c r="DK194" s="268">
        <f t="shared" si="485"/>
        <v>0</v>
      </c>
      <c r="DL194" s="268">
        <f t="shared" ref="DL194" si="486">IF(Scenario1Warranty=AgileWarrantyDefault,(IF(DL$8=AgileIteration_Warranty,(DL191*5*Scenario1Utilisation),0)),(IF(DL$8=AgileIteration_Warranty,0,(DL192*Scenario1Warranty))))</f>
        <v>44.412500000000001</v>
      </c>
      <c r="DM194" s="268">
        <f t="shared" si="449"/>
        <v>35.912500000000001</v>
      </c>
      <c r="DN194" s="268">
        <f t="shared" si="449"/>
        <v>35.912500000000001</v>
      </c>
      <c r="DO194" s="268">
        <f t="shared" si="449"/>
        <v>35.912500000000001</v>
      </c>
      <c r="DP194" s="268">
        <f t="shared" si="449"/>
        <v>31.662499999999998</v>
      </c>
      <c r="DQ194" s="268">
        <f t="shared" si="449"/>
        <v>31.662499999999998</v>
      </c>
      <c r="DR194" s="268">
        <f t="shared" ref="DR194" si="487">IF(Scenario1Warranty=AgileWarrantyDefault,(IF(DR$8=AgileIteration_Warranty,(DR191*5*Scenario1Utilisation),0)),(IF(DR$8=AgileIteration_Warranty,0,(DR192*Scenario1Warranty))))</f>
        <v>31.662499999999998</v>
      </c>
      <c r="DS194" s="268">
        <f t="shared" si="449"/>
        <v>31.662499999999998</v>
      </c>
      <c r="DT194" s="268">
        <f t="shared" si="449"/>
        <v>31.662499999999998</v>
      </c>
      <c r="DU194" s="268">
        <f t="shared" si="449"/>
        <v>31.662499999999998</v>
      </c>
      <c r="DV194" s="268">
        <f t="shared" si="449"/>
        <v>31.662499999999998</v>
      </c>
      <c r="DW194" s="268">
        <f t="shared" si="449"/>
        <v>31.662499999999998</v>
      </c>
      <c r="DX194" s="268">
        <f t="shared" si="449"/>
        <v>31.662499999999998</v>
      </c>
      <c r="DY194" s="126"/>
      <c r="DZ194" s="126"/>
      <c r="EA194" s="266"/>
      <c r="EB194" s="269"/>
      <c r="EE194" s="271"/>
      <c r="EF194" s="271"/>
      <c r="EG194" s="271"/>
      <c r="EH194" s="271"/>
    </row>
    <row r="195" spans="1:138" ht="11.25" customHeight="1" x14ac:dyDescent="0.25">
      <c r="D195" s="140"/>
      <c r="E195" s="151" t="s">
        <v>96</v>
      </c>
      <c r="F195" s="151"/>
      <c r="G195" s="151"/>
      <c r="H195" s="150"/>
      <c r="I195" s="189">
        <f t="shared" ref="I195:AQ195" si="488">IF( I$8=AgileIteration_Dev, SUMIFS( I12:I189, $B12:$B189, "scrum", $D12:$D189, ScrumRoleScrumDeveloper ), 0 )*5*Scenario1AgileDeveloperCUTCapacity*Scenario1Utilisation</f>
        <v>0</v>
      </c>
      <c r="J195" s="189">
        <f t="shared" si="488"/>
        <v>0</v>
      </c>
      <c r="K195" s="189">
        <f t="shared" si="488"/>
        <v>0</v>
      </c>
      <c r="L195" s="189">
        <f t="shared" si="488"/>
        <v>0</v>
      </c>
      <c r="M195" s="189">
        <f t="shared" si="488"/>
        <v>0</v>
      </c>
      <c r="N195" s="189">
        <f t="shared" si="488"/>
        <v>0</v>
      </c>
      <c r="O195" s="189">
        <f t="shared" si="488"/>
        <v>0</v>
      </c>
      <c r="P195" s="189">
        <f t="shared" si="488"/>
        <v>0</v>
      </c>
      <c r="Q195" s="189">
        <f t="shared" si="488"/>
        <v>0</v>
      </c>
      <c r="R195" s="189">
        <f t="shared" si="488"/>
        <v>0</v>
      </c>
      <c r="S195" s="189">
        <f t="shared" si="488"/>
        <v>0</v>
      </c>
      <c r="T195" s="189">
        <f t="shared" si="488"/>
        <v>0</v>
      </c>
      <c r="U195" s="189">
        <f t="shared" si="488"/>
        <v>31.875</v>
      </c>
      <c r="V195" s="189">
        <f t="shared" ref="V195:W195" si="489">IF( V$8=AgileIteration_Dev, SUMIFS( V12:V189, $B12:$B189, "scrum", $D12:$D189, ScrumRoleScrumDeveloper ), 0 )*5*Scenario1AgileDeveloperCUTCapacity*Scenario1Utilisation</f>
        <v>31.875</v>
      </c>
      <c r="W195" s="189">
        <f t="shared" si="489"/>
        <v>31.875</v>
      </c>
      <c r="X195" s="189">
        <f t="shared" ref="X195:Y195" si="490">IF( X$8=AgileIteration_Dev, SUMIFS( X12:X189, $B12:$B189, "scrum", $D12:$D189, ScrumRoleScrumDeveloper ), 0 )*5*Scenario1AgileDeveloperCUTCapacity*Scenario1Utilisation</f>
        <v>31.875</v>
      </c>
      <c r="Y195" s="189">
        <f t="shared" si="490"/>
        <v>31.875</v>
      </c>
      <c r="Z195" s="189">
        <f t="shared" si="488"/>
        <v>31.875</v>
      </c>
      <c r="AA195" s="189">
        <f t="shared" si="488"/>
        <v>0</v>
      </c>
      <c r="AB195" s="189">
        <f t="shared" si="488"/>
        <v>0</v>
      </c>
      <c r="AC195" s="189">
        <f t="shared" si="488"/>
        <v>0</v>
      </c>
      <c r="AD195" s="189">
        <f t="shared" si="488"/>
        <v>0</v>
      </c>
      <c r="AE195" s="189">
        <f t="shared" si="488"/>
        <v>27.625</v>
      </c>
      <c r="AF195" s="189">
        <f t="shared" si="488"/>
        <v>27.625</v>
      </c>
      <c r="AG195" s="189">
        <f t="shared" si="488"/>
        <v>27.625</v>
      </c>
      <c r="AH195" s="189">
        <f t="shared" si="488"/>
        <v>27.625</v>
      </c>
      <c r="AI195" s="189">
        <f t="shared" si="488"/>
        <v>27.625</v>
      </c>
      <c r="AJ195" s="189">
        <f t="shared" si="488"/>
        <v>27.625</v>
      </c>
      <c r="AK195" s="189">
        <f t="shared" si="488"/>
        <v>0</v>
      </c>
      <c r="AL195" s="189">
        <f t="shared" si="488"/>
        <v>0</v>
      </c>
      <c r="AM195" s="189">
        <f t="shared" si="488"/>
        <v>0</v>
      </c>
      <c r="AN195" s="189">
        <f t="shared" si="488"/>
        <v>0</v>
      </c>
      <c r="AO195" s="189">
        <f t="shared" si="488"/>
        <v>0</v>
      </c>
      <c r="AP195" s="189">
        <f t="shared" si="488"/>
        <v>0</v>
      </c>
      <c r="AQ195" s="189">
        <f t="shared" si="488"/>
        <v>0</v>
      </c>
      <c r="AR195" s="189">
        <f t="shared" ref="AR195:BV195" si="491">IF( AR$8=AgileIteration_Dev, SUMIFS( AR12:AR189, $B12:$B189, "scrum", $D12:$D189, ScrumRoleScrumDeveloper ), 0 )*5*Scenario1AgileDeveloperCUTCapacity*Scenario1Utilisation</f>
        <v>0</v>
      </c>
      <c r="AS195" s="189">
        <f t="shared" si="491"/>
        <v>0</v>
      </c>
      <c r="AT195" s="189">
        <f t="shared" si="491"/>
        <v>0</v>
      </c>
      <c r="AU195" s="189">
        <f t="shared" si="491"/>
        <v>0</v>
      </c>
      <c r="AV195" s="189">
        <f t="shared" si="491"/>
        <v>0</v>
      </c>
      <c r="AW195" s="189">
        <f t="shared" si="491"/>
        <v>0</v>
      </c>
      <c r="AX195" s="189">
        <f t="shared" si="491"/>
        <v>0</v>
      </c>
      <c r="AY195" s="189">
        <f t="shared" si="491"/>
        <v>0</v>
      </c>
      <c r="AZ195" s="189">
        <f t="shared" si="491"/>
        <v>0</v>
      </c>
      <c r="BA195" s="189">
        <f t="shared" si="491"/>
        <v>0</v>
      </c>
      <c r="BB195" s="189">
        <f t="shared" si="491"/>
        <v>0</v>
      </c>
      <c r="BC195" s="189">
        <f t="shared" si="491"/>
        <v>0</v>
      </c>
      <c r="BD195" s="189">
        <f t="shared" si="491"/>
        <v>0</v>
      </c>
      <c r="BE195" s="189">
        <f t="shared" si="491"/>
        <v>0</v>
      </c>
      <c r="BF195" s="189">
        <f t="shared" si="491"/>
        <v>0</v>
      </c>
      <c r="BG195" s="189">
        <f t="shared" si="491"/>
        <v>0</v>
      </c>
      <c r="BH195" s="189">
        <f t="shared" si="491"/>
        <v>0</v>
      </c>
      <c r="BI195" s="189">
        <f t="shared" si="491"/>
        <v>0</v>
      </c>
      <c r="BJ195" s="189">
        <f t="shared" si="491"/>
        <v>0</v>
      </c>
      <c r="BK195" s="189">
        <f t="shared" si="491"/>
        <v>0</v>
      </c>
      <c r="BL195" s="189">
        <f t="shared" si="491"/>
        <v>0</v>
      </c>
      <c r="BM195" s="189">
        <f t="shared" si="491"/>
        <v>0</v>
      </c>
      <c r="BN195" s="189">
        <f t="shared" si="491"/>
        <v>10.625</v>
      </c>
      <c r="BO195" s="189">
        <f t="shared" si="491"/>
        <v>10.625</v>
      </c>
      <c r="BP195" s="189">
        <f t="shared" si="491"/>
        <v>10.625</v>
      </c>
      <c r="BQ195" s="189">
        <f t="shared" si="491"/>
        <v>0</v>
      </c>
      <c r="BR195" s="189">
        <f t="shared" si="491"/>
        <v>0</v>
      </c>
      <c r="BS195" s="189">
        <f t="shared" si="491"/>
        <v>0</v>
      </c>
      <c r="BT195" s="189">
        <f t="shared" si="491"/>
        <v>0</v>
      </c>
      <c r="BU195" s="189">
        <f t="shared" si="491"/>
        <v>0</v>
      </c>
      <c r="BV195" s="189">
        <f t="shared" si="491"/>
        <v>0</v>
      </c>
      <c r="BW195" s="189">
        <f t="shared" ref="BW195:DB195" si="492">IF( BW$8=AgileIteration_Dev, SUMIFS( BW12:BW189, $B12:$B189, "scrum", $D12:$D189, ScrumRoleScrumDeveloper ), 0 )*5*Scenario1AgileDeveloperCUTCapacity*Scenario1Utilisation</f>
        <v>10.625</v>
      </c>
      <c r="BX195" s="189">
        <f t="shared" si="492"/>
        <v>10.625</v>
      </c>
      <c r="BY195" s="189">
        <f t="shared" si="492"/>
        <v>10.625</v>
      </c>
      <c r="BZ195" s="189">
        <f t="shared" si="492"/>
        <v>10.625</v>
      </c>
      <c r="CA195" s="189">
        <f t="shared" si="492"/>
        <v>0</v>
      </c>
      <c r="CB195" s="189">
        <f t="shared" si="492"/>
        <v>0</v>
      </c>
      <c r="CC195" s="189">
        <f t="shared" si="492"/>
        <v>0</v>
      </c>
      <c r="CD195" s="189">
        <f t="shared" si="492"/>
        <v>0</v>
      </c>
      <c r="CE195" s="189">
        <f t="shared" si="492"/>
        <v>0</v>
      </c>
      <c r="CF195" s="189">
        <f t="shared" si="492"/>
        <v>0</v>
      </c>
      <c r="CG195" s="189">
        <f t="shared" si="492"/>
        <v>10.625</v>
      </c>
      <c r="CH195" s="189">
        <f t="shared" si="492"/>
        <v>10.625</v>
      </c>
      <c r="CI195" s="189">
        <f t="shared" si="492"/>
        <v>10.625</v>
      </c>
      <c r="CJ195" s="189">
        <f t="shared" si="492"/>
        <v>10.625</v>
      </c>
      <c r="CK195" s="189">
        <f t="shared" si="492"/>
        <v>0</v>
      </c>
      <c r="CL195" s="189">
        <f t="shared" si="492"/>
        <v>0</v>
      </c>
      <c r="CM195" s="189">
        <f t="shared" si="492"/>
        <v>0</v>
      </c>
      <c r="CN195" s="189">
        <f t="shared" si="492"/>
        <v>0</v>
      </c>
      <c r="CO195" s="189">
        <f t="shared" si="492"/>
        <v>0</v>
      </c>
      <c r="CP195" s="189">
        <f t="shared" si="492"/>
        <v>0</v>
      </c>
      <c r="CQ195" s="189">
        <f t="shared" si="492"/>
        <v>10.625</v>
      </c>
      <c r="CR195" s="189">
        <f t="shared" si="492"/>
        <v>10.625</v>
      </c>
      <c r="CS195" s="189">
        <f t="shared" si="492"/>
        <v>10.625</v>
      </c>
      <c r="CT195" s="189">
        <f t="shared" si="492"/>
        <v>0</v>
      </c>
      <c r="CU195" s="189">
        <f t="shared" si="492"/>
        <v>0</v>
      </c>
      <c r="CV195" s="189">
        <f t="shared" si="492"/>
        <v>0</v>
      </c>
      <c r="CW195" s="189">
        <f t="shared" si="492"/>
        <v>0</v>
      </c>
      <c r="CX195" s="189">
        <f t="shared" si="492"/>
        <v>0</v>
      </c>
      <c r="CY195" s="189">
        <f t="shared" si="492"/>
        <v>0</v>
      </c>
      <c r="CZ195" s="189">
        <f t="shared" si="492"/>
        <v>0</v>
      </c>
      <c r="DA195" s="189">
        <f t="shared" si="492"/>
        <v>0</v>
      </c>
      <c r="DB195" s="189">
        <f t="shared" si="492"/>
        <v>0</v>
      </c>
      <c r="DC195" s="189">
        <f t="shared" ref="DC195:DX195" si="493">IF( DC$8=AgileIteration_Dev, SUMIFS( DC12:DC189, $B12:$B189, "scrum", $D12:$D189, ScrumRoleScrumDeveloper ), 0 )*5*Scenario1AgileDeveloperCUTCapacity*Scenario1Utilisation</f>
        <v>0</v>
      </c>
      <c r="DD195" s="189">
        <f t="shared" si="493"/>
        <v>0</v>
      </c>
      <c r="DE195" s="189">
        <f t="shared" si="493"/>
        <v>0</v>
      </c>
      <c r="DF195" s="189">
        <f t="shared" si="493"/>
        <v>0</v>
      </c>
      <c r="DG195" s="189">
        <f t="shared" si="493"/>
        <v>0</v>
      </c>
      <c r="DH195" s="189">
        <f t="shared" si="493"/>
        <v>0</v>
      </c>
      <c r="DI195" s="189">
        <f t="shared" si="493"/>
        <v>0</v>
      </c>
      <c r="DJ195" s="189">
        <f t="shared" si="493"/>
        <v>0</v>
      </c>
      <c r="DK195" s="189">
        <f t="shared" si="493"/>
        <v>0</v>
      </c>
      <c r="DL195" s="189">
        <f t="shared" si="493"/>
        <v>0</v>
      </c>
      <c r="DM195" s="189">
        <f t="shared" si="493"/>
        <v>0</v>
      </c>
      <c r="DN195" s="189">
        <f t="shared" si="493"/>
        <v>0</v>
      </c>
      <c r="DO195" s="189">
        <f t="shared" si="493"/>
        <v>0</v>
      </c>
      <c r="DP195" s="189">
        <f t="shared" si="493"/>
        <v>0</v>
      </c>
      <c r="DQ195" s="189">
        <f t="shared" si="493"/>
        <v>0</v>
      </c>
      <c r="DR195" s="189">
        <f t="shared" si="493"/>
        <v>0</v>
      </c>
      <c r="DS195" s="189">
        <f t="shared" si="493"/>
        <v>0</v>
      </c>
      <c r="DT195" s="189">
        <f t="shared" si="493"/>
        <v>0</v>
      </c>
      <c r="DU195" s="189">
        <f t="shared" si="493"/>
        <v>0</v>
      </c>
      <c r="DV195" s="189">
        <f t="shared" si="493"/>
        <v>0</v>
      </c>
      <c r="DW195" s="189">
        <f t="shared" si="493"/>
        <v>0</v>
      </c>
      <c r="DX195" s="189">
        <f t="shared" si="493"/>
        <v>0</v>
      </c>
      <c r="DY195" s="189">
        <f>IF( DY$8=Parameters!$A$155, SUMIFS( DY12:DY189, $B12:$B189, "scrum", $D12:$D189, ScrumRoleScrumDeveloper ), 0 )*5*Scenario1AgileDeveloperCUTCapacity*Scenario1Utilisation</f>
        <v>0</v>
      </c>
      <c r="DZ195" s="199"/>
      <c r="EA195" s="151" t="str">
        <f>E193</f>
        <v>Contingency</v>
      </c>
      <c r="EB195" s="191">
        <f>SUM(I193:DY193)</f>
        <v>3297.2775000000001</v>
      </c>
    </row>
    <row r="196" spans="1:138" ht="11.25" customHeight="1" x14ac:dyDescent="0.25">
      <c r="D196" s="3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c r="DU196" s="81"/>
      <c r="DV196" s="81"/>
      <c r="DW196" s="81"/>
      <c r="DX196" s="81"/>
      <c r="DZ196" s="187"/>
      <c r="EA196" s="151" t="str">
        <f>E194</f>
        <v>Warranty</v>
      </c>
      <c r="EB196" s="191">
        <f>SUM(I194:DY194)</f>
        <v>437.11250000000013</v>
      </c>
    </row>
    <row r="197" spans="1:138" ht="11.25" customHeight="1" x14ac:dyDescent="0.25">
      <c r="D197" s="119" t="s">
        <v>715</v>
      </c>
      <c r="E197" s="119" t="str">
        <f>ScrumRoleProductOwner</f>
        <v>Product Owners</v>
      </c>
      <c r="F197" s="119"/>
      <c r="G197" s="119"/>
      <c r="H197" s="119"/>
      <c r="I197" s="190">
        <f t="shared" ref="I197:AQ197" si="494">SUMIF($D12:$D190,ScrumRoleProductOwner,I12:I190)</f>
        <v>3</v>
      </c>
      <c r="J197" s="190">
        <f t="shared" si="494"/>
        <v>3</v>
      </c>
      <c r="K197" s="190">
        <f t="shared" si="494"/>
        <v>3</v>
      </c>
      <c r="L197" s="190">
        <f t="shared" si="494"/>
        <v>3</v>
      </c>
      <c r="M197" s="190">
        <f t="shared" si="494"/>
        <v>3</v>
      </c>
      <c r="N197" s="190">
        <f t="shared" si="494"/>
        <v>3</v>
      </c>
      <c r="O197" s="190">
        <f t="shared" si="494"/>
        <v>3</v>
      </c>
      <c r="P197" s="190">
        <f t="shared" si="494"/>
        <v>3</v>
      </c>
      <c r="Q197" s="190">
        <f t="shared" si="494"/>
        <v>3</v>
      </c>
      <c r="R197" s="190">
        <f t="shared" si="494"/>
        <v>3</v>
      </c>
      <c r="S197" s="190">
        <f t="shared" si="494"/>
        <v>3</v>
      </c>
      <c r="T197" s="190">
        <f t="shared" si="494"/>
        <v>3</v>
      </c>
      <c r="U197" s="190">
        <f t="shared" si="494"/>
        <v>3</v>
      </c>
      <c r="V197" s="190">
        <f t="shared" ref="V197:W197" si="495">SUMIF($D12:$D190,ScrumRoleProductOwner,V12:V190)</f>
        <v>3</v>
      </c>
      <c r="W197" s="190">
        <f t="shared" si="495"/>
        <v>3</v>
      </c>
      <c r="X197" s="190">
        <f t="shared" ref="X197:Y197" si="496">SUMIF($D12:$D190,ScrumRoleProductOwner,X12:X190)</f>
        <v>3</v>
      </c>
      <c r="Y197" s="190">
        <f t="shared" si="496"/>
        <v>3</v>
      </c>
      <c r="Z197" s="190">
        <f t="shared" si="494"/>
        <v>3</v>
      </c>
      <c r="AA197" s="190">
        <f t="shared" si="494"/>
        <v>3</v>
      </c>
      <c r="AB197" s="190">
        <f t="shared" si="494"/>
        <v>3</v>
      </c>
      <c r="AC197" s="190">
        <f t="shared" si="494"/>
        <v>3</v>
      </c>
      <c r="AD197" s="190">
        <f t="shared" si="494"/>
        <v>3</v>
      </c>
      <c r="AE197" s="190">
        <f t="shared" si="494"/>
        <v>3</v>
      </c>
      <c r="AF197" s="190">
        <f t="shared" si="494"/>
        <v>3</v>
      </c>
      <c r="AG197" s="190">
        <f t="shared" si="494"/>
        <v>3</v>
      </c>
      <c r="AH197" s="190">
        <f t="shared" si="494"/>
        <v>3</v>
      </c>
      <c r="AI197" s="190">
        <f t="shared" si="494"/>
        <v>3</v>
      </c>
      <c r="AJ197" s="190">
        <f t="shared" si="494"/>
        <v>3</v>
      </c>
      <c r="AK197" s="190">
        <f t="shared" si="494"/>
        <v>3</v>
      </c>
      <c r="AL197" s="190">
        <f t="shared" si="494"/>
        <v>3</v>
      </c>
      <c r="AM197" s="190">
        <f t="shared" si="494"/>
        <v>3</v>
      </c>
      <c r="AN197" s="190">
        <f t="shared" si="494"/>
        <v>3</v>
      </c>
      <c r="AO197" s="190">
        <f t="shared" si="494"/>
        <v>2</v>
      </c>
      <c r="AP197" s="190">
        <f t="shared" si="494"/>
        <v>2</v>
      </c>
      <c r="AQ197" s="190">
        <f t="shared" si="494"/>
        <v>2</v>
      </c>
      <c r="AR197" s="190">
        <f t="shared" ref="AR197:BV197" si="497">SUMIF($D12:$D190,ScrumRoleProductOwner,AR12:AR190)</f>
        <v>2</v>
      </c>
      <c r="AS197" s="190">
        <f t="shared" si="497"/>
        <v>2</v>
      </c>
      <c r="AT197" s="190">
        <f t="shared" si="497"/>
        <v>2</v>
      </c>
      <c r="AU197" s="190">
        <f t="shared" si="497"/>
        <v>2</v>
      </c>
      <c r="AV197" s="190">
        <f t="shared" si="497"/>
        <v>2</v>
      </c>
      <c r="AW197" s="190">
        <f t="shared" si="497"/>
        <v>2</v>
      </c>
      <c r="AX197" s="190">
        <f t="shared" si="497"/>
        <v>2</v>
      </c>
      <c r="AY197" s="190">
        <f t="shared" si="497"/>
        <v>2</v>
      </c>
      <c r="AZ197" s="190">
        <f t="shared" si="497"/>
        <v>2</v>
      </c>
      <c r="BA197" s="190">
        <f t="shared" si="497"/>
        <v>2</v>
      </c>
      <c r="BB197" s="190">
        <f t="shared" si="497"/>
        <v>2</v>
      </c>
      <c r="BC197" s="190">
        <f t="shared" si="497"/>
        <v>2</v>
      </c>
      <c r="BD197" s="190">
        <f t="shared" si="497"/>
        <v>2</v>
      </c>
      <c r="BE197" s="190">
        <f t="shared" si="497"/>
        <v>2</v>
      </c>
      <c r="BF197" s="190">
        <f t="shared" si="497"/>
        <v>2</v>
      </c>
      <c r="BG197" s="190">
        <f t="shared" si="497"/>
        <v>2</v>
      </c>
      <c r="BH197" s="190">
        <f t="shared" si="497"/>
        <v>2</v>
      </c>
      <c r="BI197" s="190">
        <f t="shared" si="497"/>
        <v>2</v>
      </c>
      <c r="BJ197" s="190">
        <f t="shared" si="497"/>
        <v>1</v>
      </c>
      <c r="BK197" s="190">
        <f t="shared" si="497"/>
        <v>1</v>
      </c>
      <c r="BL197" s="190">
        <f t="shared" si="497"/>
        <v>1</v>
      </c>
      <c r="BM197" s="190">
        <f t="shared" si="497"/>
        <v>1</v>
      </c>
      <c r="BN197" s="190">
        <f t="shared" si="497"/>
        <v>1</v>
      </c>
      <c r="BO197" s="190">
        <f t="shared" si="497"/>
        <v>1</v>
      </c>
      <c r="BP197" s="190">
        <f t="shared" si="497"/>
        <v>1</v>
      </c>
      <c r="BQ197" s="190">
        <f t="shared" si="497"/>
        <v>1</v>
      </c>
      <c r="BR197" s="190">
        <f t="shared" si="497"/>
        <v>1</v>
      </c>
      <c r="BS197" s="190">
        <f t="shared" si="497"/>
        <v>1</v>
      </c>
      <c r="BT197" s="190">
        <f t="shared" si="497"/>
        <v>1</v>
      </c>
      <c r="BU197" s="190">
        <f t="shared" si="497"/>
        <v>1</v>
      </c>
      <c r="BV197" s="190">
        <f t="shared" si="497"/>
        <v>1</v>
      </c>
      <c r="BW197" s="190">
        <f t="shared" ref="BW197:DB197" si="498">SUMIF($D12:$D190,ScrumRoleProductOwner,BW12:BW190)</f>
        <v>1</v>
      </c>
      <c r="BX197" s="190">
        <f t="shared" si="498"/>
        <v>1</v>
      </c>
      <c r="BY197" s="190">
        <f t="shared" si="498"/>
        <v>1</v>
      </c>
      <c r="BZ197" s="190">
        <f t="shared" si="498"/>
        <v>1</v>
      </c>
      <c r="CA197" s="190">
        <f t="shared" si="498"/>
        <v>1</v>
      </c>
      <c r="CB197" s="190">
        <f t="shared" si="498"/>
        <v>1</v>
      </c>
      <c r="CC197" s="190">
        <f t="shared" si="498"/>
        <v>1</v>
      </c>
      <c r="CD197" s="190">
        <f t="shared" si="498"/>
        <v>1</v>
      </c>
      <c r="CE197" s="190">
        <f t="shared" si="498"/>
        <v>1</v>
      </c>
      <c r="CF197" s="190">
        <f t="shared" si="498"/>
        <v>1</v>
      </c>
      <c r="CG197" s="190">
        <f t="shared" si="498"/>
        <v>1</v>
      </c>
      <c r="CH197" s="190">
        <f t="shared" si="498"/>
        <v>1</v>
      </c>
      <c r="CI197" s="190">
        <f t="shared" si="498"/>
        <v>1</v>
      </c>
      <c r="CJ197" s="190">
        <f t="shared" si="498"/>
        <v>1</v>
      </c>
      <c r="CK197" s="190">
        <f t="shared" si="498"/>
        <v>1</v>
      </c>
      <c r="CL197" s="190">
        <f t="shared" si="498"/>
        <v>1</v>
      </c>
      <c r="CM197" s="190">
        <f t="shared" si="498"/>
        <v>1</v>
      </c>
      <c r="CN197" s="190">
        <f t="shared" si="498"/>
        <v>1</v>
      </c>
      <c r="CO197" s="190">
        <f t="shared" si="498"/>
        <v>1</v>
      </c>
      <c r="CP197" s="190">
        <f t="shared" si="498"/>
        <v>1</v>
      </c>
      <c r="CQ197" s="190">
        <f t="shared" si="498"/>
        <v>1</v>
      </c>
      <c r="CR197" s="190">
        <f t="shared" si="498"/>
        <v>1</v>
      </c>
      <c r="CS197" s="190">
        <f t="shared" si="498"/>
        <v>1</v>
      </c>
      <c r="CT197" s="190">
        <f t="shared" si="498"/>
        <v>1</v>
      </c>
      <c r="CU197" s="190">
        <f t="shared" si="498"/>
        <v>1</v>
      </c>
      <c r="CV197" s="190">
        <f t="shared" si="498"/>
        <v>1</v>
      </c>
      <c r="CW197" s="190">
        <f t="shared" si="498"/>
        <v>1</v>
      </c>
      <c r="CX197" s="190">
        <f t="shared" si="498"/>
        <v>1</v>
      </c>
      <c r="CY197" s="190">
        <f t="shared" si="498"/>
        <v>1</v>
      </c>
      <c r="CZ197" s="190">
        <f t="shared" si="498"/>
        <v>1</v>
      </c>
      <c r="DA197" s="190">
        <f t="shared" si="498"/>
        <v>1</v>
      </c>
      <c r="DB197" s="190">
        <f t="shared" si="498"/>
        <v>1</v>
      </c>
      <c r="DC197" s="190">
        <f t="shared" ref="DC197:DX197" si="499">SUMIF($D12:$D190,ScrumRoleProductOwner,DC12:DC190)</f>
        <v>1</v>
      </c>
      <c r="DD197" s="190">
        <f t="shared" si="499"/>
        <v>1</v>
      </c>
      <c r="DE197" s="190">
        <f t="shared" si="499"/>
        <v>1</v>
      </c>
      <c r="DF197" s="190">
        <f t="shared" si="499"/>
        <v>1</v>
      </c>
      <c r="DG197" s="190">
        <f t="shared" si="499"/>
        <v>1</v>
      </c>
      <c r="DH197" s="190">
        <f t="shared" si="499"/>
        <v>1</v>
      </c>
      <c r="DI197" s="190">
        <f t="shared" si="499"/>
        <v>1</v>
      </c>
      <c r="DJ197" s="190">
        <f t="shared" si="499"/>
        <v>1</v>
      </c>
      <c r="DK197" s="190">
        <f t="shared" si="499"/>
        <v>1</v>
      </c>
      <c r="DL197" s="190">
        <f t="shared" si="499"/>
        <v>1</v>
      </c>
      <c r="DM197" s="190">
        <f t="shared" si="499"/>
        <v>1</v>
      </c>
      <c r="DN197" s="190">
        <f t="shared" si="499"/>
        <v>1</v>
      </c>
      <c r="DO197" s="190">
        <f t="shared" si="499"/>
        <v>1</v>
      </c>
      <c r="DP197" s="190">
        <f t="shared" si="499"/>
        <v>1</v>
      </c>
      <c r="DQ197" s="190">
        <f t="shared" si="499"/>
        <v>1</v>
      </c>
      <c r="DR197" s="190">
        <f t="shared" si="499"/>
        <v>1</v>
      </c>
      <c r="DS197" s="190">
        <f t="shared" si="499"/>
        <v>1</v>
      </c>
      <c r="DT197" s="190">
        <f t="shared" si="499"/>
        <v>1</v>
      </c>
      <c r="DU197" s="190">
        <f t="shared" si="499"/>
        <v>1</v>
      </c>
      <c r="DV197" s="190">
        <f t="shared" si="499"/>
        <v>1</v>
      </c>
      <c r="DW197" s="190">
        <f t="shared" si="499"/>
        <v>1</v>
      </c>
      <c r="DX197" s="190">
        <f t="shared" si="499"/>
        <v>1</v>
      </c>
      <c r="DY197" s="130"/>
      <c r="DZ197" s="187"/>
      <c r="EA197" s="151"/>
      <c r="EB197" s="131"/>
    </row>
    <row r="198" spans="1:138" ht="11.25" customHeight="1" x14ac:dyDescent="0.25">
      <c r="D198" s="119" t="s">
        <v>713</v>
      </c>
      <c r="E198" s="119" t="str">
        <f>ScrumRoleScrumMaster</f>
        <v>Scrum Masters</v>
      </c>
      <c r="F198" s="119"/>
      <c r="G198" s="119"/>
      <c r="H198" s="119"/>
      <c r="I198" s="190">
        <f t="shared" ref="I198:AQ198" si="500">SUMIF($D12:$D190,ScrumRoleScrumMaster,I12:I190)</f>
        <v>0</v>
      </c>
      <c r="J198" s="190">
        <f t="shared" si="500"/>
        <v>0</v>
      </c>
      <c r="K198" s="190">
        <f t="shared" si="500"/>
        <v>0</v>
      </c>
      <c r="L198" s="190">
        <f t="shared" si="500"/>
        <v>0</v>
      </c>
      <c r="M198" s="190">
        <f t="shared" si="500"/>
        <v>0</v>
      </c>
      <c r="N198" s="190">
        <f t="shared" si="500"/>
        <v>0</v>
      </c>
      <c r="O198" s="190">
        <f t="shared" si="500"/>
        <v>0</v>
      </c>
      <c r="P198" s="190">
        <f t="shared" si="500"/>
        <v>0</v>
      </c>
      <c r="Q198" s="190">
        <f t="shared" si="500"/>
        <v>0</v>
      </c>
      <c r="R198" s="190">
        <f t="shared" si="500"/>
        <v>0</v>
      </c>
      <c r="S198" s="190">
        <f t="shared" si="500"/>
        <v>2</v>
      </c>
      <c r="T198" s="190">
        <f t="shared" si="500"/>
        <v>2</v>
      </c>
      <c r="U198" s="190">
        <f t="shared" si="500"/>
        <v>2</v>
      </c>
      <c r="V198" s="190">
        <f t="shared" ref="V198:W198" si="501">SUMIF($D12:$D190,ScrumRoleScrumMaster,V12:V190)</f>
        <v>2</v>
      </c>
      <c r="W198" s="190">
        <f t="shared" si="501"/>
        <v>2</v>
      </c>
      <c r="X198" s="190">
        <f t="shared" ref="X198:Y198" si="502">SUMIF($D12:$D190,ScrumRoleScrumMaster,X12:X190)</f>
        <v>2</v>
      </c>
      <c r="Y198" s="190">
        <f t="shared" si="502"/>
        <v>2</v>
      </c>
      <c r="Z198" s="190">
        <f t="shared" si="500"/>
        <v>2</v>
      </c>
      <c r="AA198" s="190">
        <f t="shared" si="500"/>
        <v>2</v>
      </c>
      <c r="AB198" s="190">
        <f t="shared" si="500"/>
        <v>2</v>
      </c>
      <c r="AC198" s="190">
        <f t="shared" si="500"/>
        <v>2</v>
      </c>
      <c r="AD198" s="190">
        <f t="shared" si="500"/>
        <v>2</v>
      </c>
      <c r="AE198" s="190">
        <f t="shared" si="500"/>
        <v>2</v>
      </c>
      <c r="AF198" s="190">
        <f t="shared" si="500"/>
        <v>2</v>
      </c>
      <c r="AG198" s="190">
        <f t="shared" si="500"/>
        <v>2</v>
      </c>
      <c r="AH198" s="190">
        <f t="shared" si="500"/>
        <v>2</v>
      </c>
      <c r="AI198" s="190">
        <f t="shared" si="500"/>
        <v>2</v>
      </c>
      <c r="AJ198" s="190">
        <f t="shared" si="500"/>
        <v>2</v>
      </c>
      <c r="AK198" s="190">
        <f t="shared" si="500"/>
        <v>2</v>
      </c>
      <c r="AL198" s="190">
        <f t="shared" si="500"/>
        <v>2</v>
      </c>
      <c r="AM198" s="190">
        <f t="shared" si="500"/>
        <v>2</v>
      </c>
      <c r="AN198" s="190">
        <f t="shared" si="500"/>
        <v>2</v>
      </c>
      <c r="AO198" s="190">
        <f t="shared" si="500"/>
        <v>1</v>
      </c>
      <c r="AP198" s="190">
        <f t="shared" si="500"/>
        <v>1</v>
      </c>
      <c r="AQ198" s="190">
        <f t="shared" si="500"/>
        <v>1</v>
      </c>
      <c r="AR198" s="190">
        <f t="shared" ref="AR198:BV198" si="503">SUMIF($D12:$D190,ScrumRoleScrumMaster,AR12:AR190)</f>
        <v>1</v>
      </c>
      <c r="AS198" s="190">
        <f t="shared" si="503"/>
        <v>1</v>
      </c>
      <c r="AT198" s="190">
        <f t="shared" si="503"/>
        <v>1</v>
      </c>
      <c r="AU198" s="190">
        <f t="shared" si="503"/>
        <v>1</v>
      </c>
      <c r="AV198" s="190">
        <f t="shared" si="503"/>
        <v>1</v>
      </c>
      <c r="AW198" s="190">
        <f t="shared" si="503"/>
        <v>1</v>
      </c>
      <c r="AX198" s="190">
        <f t="shared" si="503"/>
        <v>1</v>
      </c>
      <c r="AY198" s="190">
        <f t="shared" si="503"/>
        <v>1</v>
      </c>
      <c r="AZ198" s="190">
        <f t="shared" si="503"/>
        <v>1</v>
      </c>
      <c r="BA198" s="190">
        <f t="shared" si="503"/>
        <v>1</v>
      </c>
      <c r="BB198" s="190">
        <f t="shared" si="503"/>
        <v>1</v>
      </c>
      <c r="BC198" s="190">
        <f t="shared" si="503"/>
        <v>1</v>
      </c>
      <c r="BD198" s="190">
        <f t="shared" si="503"/>
        <v>1</v>
      </c>
      <c r="BE198" s="190">
        <f t="shared" si="503"/>
        <v>1</v>
      </c>
      <c r="BF198" s="190">
        <f t="shared" si="503"/>
        <v>1</v>
      </c>
      <c r="BG198" s="190">
        <f t="shared" si="503"/>
        <v>1</v>
      </c>
      <c r="BH198" s="190">
        <f t="shared" si="503"/>
        <v>1</v>
      </c>
      <c r="BI198" s="190">
        <f t="shared" si="503"/>
        <v>1</v>
      </c>
      <c r="BJ198" s="190">
        <f t="shared" si="503"/>
        <v>0.5</v>
      </c>
      <c r="BK198" s="190">
        <f t="shared" si="503"/>
        <v>0.5</v>
      </c>
      <c r="BL198" s="190">
        <f t="shared" si="503"/>
        <v>0.5</v>
      </c>
      <c r="BM198" s="190">
        <f t="shared" si="503"/>
        <v>0.5</v>
      </c>
      <c r="BN198" s="190">
        <f t="shared" si="503"/>
        <v>0.5</v>
      </c>
      <c r="BO198" s="190">
        <f t="shared" si="503"/>
        <v>0.5</v>
      </c>
      <c r="BP198" s="190">
        <f t="shared" si="503"/>
        <v>0.5</v>
      </c>
      <c r="BQ198" s="190">
        <f t="shared" si="503"/>
        <v>0.5</v>
      </c>
      <c r="BR198" s="190">
        <f t="shared" si="503"/>
        <v>0.5</v>
      </c>
      <c r="BS198" s="190">
        <f t="shared" si="503"/>
        <v>0.5</v>
      </c>
      <c r="BT198" s="190">
        <f t="shared" si="503"/>
        <v>0.5</v>
      </c>
      <c r="BU198" s="190">
        <f t="shared" si="503"/>
        <v>0.5</v>
      </c>
      <c r="BV198" s="190">
        <f t="shared" si="503"/>
        <v>0.5</v>
      </c>
      <c r="BW198" s="190">
        <f t="shared" ref="BW198:DB198" si="504">SUMIF($D12:$D190,ScrumRoleScrumMaster,BW12:BW190)</f>
        <v>0.5</v>
      </c>
      <c r="BX198" s="190">
        <f t="shared" si="504"/>
        <v>0.5</v>
      </c>
      <c r="BY198" s="190">
        <f t="shared" si="504"/>
        <v>0.5</v>
      </c>
      <c r="BZ198" s="190">
        <f t="shared" si="504"/>
        <v>0.5</v>
      </c>
      <c r="CA198" s="190">
        <f t="shared" si="504"/>
        <v>0.5</v>
      </c>
      <c r="CB198" s="190">
        <f t="shared" si="504"/>
        <v>0.5</v>
      </c>
      <c r="CC198" s="190">
        <f t="shared" si="504"/>
        <v>0.5</v>
      </c>
      <c r="CD198" s="190">
        <f t="shared" si="504"/>
        <v>0.5</v>
      </c>
      <c r="CE198" s="190">
        <f t="shared" si="504"/>
        <v>0.5</v>
      </c>
      <c r="CF198" s="190">
        <f t="shared" si="504"/>
        <v>0.5</v>
      </c>
      <c r="CG198" s="190">
        <f t="shared" si="504"/>
        <v>0.5</v>
      </c>
      <c r="CH198" s="190">
        <f t="shared" si="504"/>
        <v>0.5</v>
      </c>
      <c r="CI198" s="190">
        <f t="shared" si="504"/>
        <v>0.5</v>
      </c>
      <c r="CJ198" s="190">
        <f t="shared" si="504"/>
        <v>0.5</v>
      </c>
      <c r="CK198" s="190">
        <f t="shared" si="504"/>
        <v>0.5</v>
      </c>
      <c r="CL198" s="190">
        <f t="shared" si="504"/>
        <v>0.5</v>
      </c>
      <c r="CM198" s="190">
        <f t="shared" si="504"/>
        <v>0.5</v>
      </c>
      <c r="CN198" s="190">
        <f t="shared" si="504"/>
        <v>0.5</v>
      </c>
      <c r="CO198" s="190">
        <f t="shared" si="504"/>
        <v>0.5</v>
      </c>
      <c r="CP198" s="190">
        <f t="shared" si="504"/>
        <v>0.5</v>
      </c>
      <c r="CQ198" s="190">
        <f t="shared" si="504"/>
        <v>0.5</v>
      </c>
      <c r="CR198" s="190">
        <f t="shared" si="504"/>
        <v>0.5</v>
      </c>
      <c r="CS198" s="190">
        <f t="shared" si="504"/>
        <v>0.5</v>
      </c>
      <c r="CT198" s="190">
        <f t="shared" si="504"/>
        <v>0.5</v>
      </c>
      <c r="CU198" s="190">
        <f t="shared" si="504"/>
        <v>0.5</v>
      </c>
      <c r="CV198" s="190">
        <f t="shared" si="504"/>
        <v>0.5</v>
      </c>
      <c r="CW198" s="190">
        <f t="shared" si="504"/>
        <v>0.5</v>
      </c>
      <c r="CX198" s="190">
        <f t="shared" si="504"/>
        <v>0.5</v>
      </c>
      <c r="CY198" s="190">
        <f t="shared" si="504"/>
        <v>0.5</v>
      </c>
      <c r="CZ198" s="190">
        <f t="shared" si="504"/>
        <v>0.5</v>
      </c>
      <c r="DA198" s="190">
        <f t="shared" si="504"/>
        <v>0.5</v>
      </c>
      <c r="DB198" s="190">
        <f t="shared" si="504"/>
        <v>0.5</v>
      </c>
      <c r="DC198" s="190">
        <f t="shared" ref="DC198:DX198" si="505">SUMIF($D12:$D190,ScrumRoleScrumMaster,DC12:DC190)</f>
        <v>0.5</v>
      </c>
      <c r="DD198" s="190">
        <f t="shared" si="505"/>
        <v>0.5</v>
      </c>
      <c r="DE198" s="190">
        <f t="shared" si="505"/>
        <v>0.5</v>
      </c>
      <c r="DF198" s="190">
        <f t="shared" si="505"/>
        <v>0.5</v>
      </c>
      <c r="DG198" s="190">
        <f t="shared" si="505"/>
        <v>0.5</v>
      </c>
      <c r="DH198" s="190">
        <f t="shared" si="505"/>
        <v>0.5</v>
      </c>
      <c r="DI198" s="190">
        <f t="shared" si="505"/>
        <v>0.5</v>
      </c>
      <c r="DJ198" s="190">
        <f t="shared" si="505"/>
        <v>0.5</v>
      </c>
      <c r="DK198" s="190">
        <f t="shared" si="505"/>
        <v>0.5</v>
      </c>
      <c r="DL198" s="190">
        <f t="shared" si="505"/>
        <v>0</v>
      </c>
      <c r="DM198" s="190">
        <f t="shared" si="505"/>
        <v>0</v>
      </c>
      <c r="DN198" s="190">
        <f t="shared" si="505"/>
        <v>0</v>
      </c>
      <c r="DO198" s="190">
        <f t="shared" si="505"/>
        <v>0</v>
      </c>
      <c r="DP198" s="190">
        <f t="shared" si="505"/>
        <v>0</v>
      </c>
      <c r="DQ198" s="190">
        <f t="shared" si="505"/>
        <v>0</v>
      </c>
      <c r="DR198" s="190">
        <f t="shared" si="505"/>
        <v>0</v>
      </c>
      <c r="DS198" s="190">
        <f t="shared" si="505"/>
        <v>0</v>
      </c>
      <c r="DT198" s="190">
        <f t="shared" si="505"/>
        <v>0</v>
      </c>
      <c r="DU198" s="190">
        <f t="shared" si="505"/>
        <v>0</v>
      </c>
      <c r="DV198" s="190">
        <f t="shared" si="505"/>
        <v>0</v>
      </c>
      <c r="DW198" s="190">
        <f t="shared" si="505"/>
        <v>0</v>
      </c>
      <c r="DX198" s="190">
        <f t="shared" si="505"/>
        <v>0</v>
      </c>
      <c r="DY198" s="130"/>
      <c r="EA198" s="681" t="s">
        <v>716</v>
      </c>
      <c r="EB198" s="682">
        <f>SUM(EB192:EB196)</f>
        <v>20220.777500000015</v>
      </c>
      <c r="EC198" s="281"/>
    </row>
    <row r="199" spans="1:138" ht="11.25" customHeight="1" x14ac:dyDescent="0.25">
      <c r="D199" s="141"/>
      <c r="E199" s="119" t="str">
        <f>ScrumRoleScrumDeveloper</f>
        <v>Scrum Developers</v>
      </c>
      <c r="F199" s="119"/>
      <c r="G199" s="119"/>
      <c r="H199" s="119"/>
      <c r="I199" s="190">
        <f t="shared" ref="I199:AQ199" si="506">SUMIF($D12:$D190,ScrumRoleScrumDeveloper,I12:I190)+SUMIF($D12:$D190,ScrumRoleScrumDevTechLead,I12:I190)</f>
        <v>3</v>
      </c>
      <c r="J199" s="190">
        <f t="shared" si="506"/>
        <v>3</v>
      </c>
      <c r="K199" s="190">
        <f t="shared" si="506"/>
        <v>3</v>
      </c>
      <c r="L199" s="190">
        <f t="shared" si="506"/>
        <v>3</v>
      </c>
      <c r="M199" s="190">
        <f t="shared" si="506"/>
        <v>3</v>
      </c>
      <c r="N199" s="190">
        <f t="shared" si="506"/>
        <v>3</v>
      </c>
      <c r="O199" s="190">
        <f t="shared" si="506"/>
        <v>3</v>
      </c>
      <c r="P199" s="190">
        <f t="shared" si="506"/>
        <v>3</v>
      </c>
      <c r="Q199" s="190">
        <f t="shared" si="506"/>
        <v>3</v>
      </c>
      <c r="R199" s="190">
        <f t="shared" si="506"/>
        <v>3</v>
      </c>
      <c r="S199" s="190">
        <f t="shared" si="506"/>
        <v>18</v>
      </c>
      <c r="T199" s="190">
        <f t="shared" si="506"/>
        <v>18</v>
      </c>
      <c r="U199" s="190">
        <f t="shared" si="506"/>
        <v>18</v>
      </c>
      <c r="V199" s="190">
        <f t="shared" ref="V199:W199" si="507">SUMIF($D12:$D190,ScrumRoleScrumDeveloper,V12:V190)+SUMIF($D12:$D190,ScrumRoleScrumDevTechLead,V12:V190)</f>
        <v>18</v>
      </c>
      <c r="W199" s="190">
        <f t="shared" si="507"/>
        <v>18</v>
      </c>
      <c r="X199" s="190">
        <f t="shared" ref="X199:Y199" si="508">SUMIF($D12:$D190,ScrumRoleScrumDeveloper,X12:X190)+SUMIF($D12:$D190,ScrumRoleScrumDevTechLead,X12:X190)</f>
        <v>18</v>
      </c>
      <c r="Y199" s="190">
        <f t="shared" si="508"/>
        <v>18</v>
      </c>
      <c r="Z199" s="190">
        <f t="shared" si="506"/>
        <v>18</v>
      </c>
      <c r="AA199" s="190">
        <f t="shared" si="506"/>
        <v>18</v>
      </c>
      <c r="AB199" s="190">
        <f t="shared" si="506"/>
        <v>18</v>
      </c>
      <c r="AC199" s="190">
        <f t="shared" si="506"/>
        <v>18</v>
      </c>
      <c r="AD199" s="190">
        <f t="shared" si="506"/>
        <v>18</v>
      </c>
      <c r="AE199" s="190">
        <f t="shared" si="506"/>
        <v>17</v>
      </c>
      <c r="AF199" s="190">
        <f t="shared" si="506"/>
        <v>17</v>
      </c>
      <c r="AG199" s="190">
        <f t="shared" si="506"/>
        <v>17</v>
      </c>
      <c r="AH199" s="190">
        <f t="shared" si="506"/>
        <v>17</v>
      </c>
      <c r="AI199" s="190">
        <f t="shared" si="506"/>
        <v>17</v>
      </c>
      <c r="AJ199" s="190">
        <f t="shared" si="506"/>
        <v>17</v>
      </c>
      <c r="AK199" s="190">
        <f t="shared" si="506"/>
        <v>17</v>
      </c>
      <c r="AL199" s="190">
        <f t="shared" si="506"/>
        <v>17</v>
      </c>
      <c r="AM199" s="190">
        <f t="shared" si="506"/>
        <v>17</v>
      </c>
      <c r="AN199" s="190">
        <f t="shared" si="506"/>
        <v>17</v>
      </c>
      <c r="AO199" s="190">
        <f t="shared" si="506"/>
        <v>12</v>
      </c>
      <c r="AP199" s="190">
        <f t="shared" si="506"/>
        <v>12</v>
      </c>
      <c r="AQ199" s="190">
        <f t="shared" si="506"/>
        <v>12</v>
      </c>
      <c r="AR199" s="190">
        <f t="shared" ref="AR199:BV199" si="509">SUMIF($D12:$D190,ScrumRoleScrumDeveloper,AR12:AR190)+SUMIF($D12:$D190,ScrumRoleScrumDevTechLead,AR12:AR190)</f>
        <v>12</v>
      </c>
      <c r="AS199" s="190">
        <f t="shared" si="509"/>
        <v>12</v>
      </c>
      <c r="AT199" s="190">
        <f t="shared" si="509"/>
        <v>12</v>
      </c>
      <c r="AU199" s="190">
        <f t="shared" si="509"/>
        <v>12</v>
      </c>
      <c r="AV199" s="190">
        <f t="shared" si="509"/>
        <v>12</v>
      </c>
      <c r="AW199" s="190">
        <f t="shared" si="509"/>
        <v>12</v>
      </c>
      <c r="AX199" s="190">
        <f t="shared" si="509"/>
        <v>12</v>
      </c>
      <c r="AY199" s="190">
        <f t="shared" si="509"/>
        <v>12</v>
      </c>
      <c r="AZ199" s="190">
        <f t="shared" si="509"/>
        <v>12</v>
      </c>
      <c r="BA199" s="190">
        <f t="shared" si="509"/>
        <v>12</v>
      </c>
      <c r="BB199" s="190">
        <f t="shared" si="509"/>
        <v>12</v>
      </c>
      <c r="BC199" s="190">
        <f t="shared" si="509"/>
        <v>12</v>
      </c>
      <c r="BD199" s="190">
        <f t="shared" si="509"/>
        <v>12</v>
      </c>
      <c r="BE199" s="190">
        <f t="shared" si="509"/>
        <v>12</v>
      </c>
      <c r="BF199" s="190">
        <f t="shared" si="509"/>
        <v>12</v>
      </c>
      <c r="BG199" s="190">
        <f t="shared" si="509"/>
        <v>12</v>
      </c>
      <c r="BH199" s="190">
        <f t="shared" si="509"/>
        <v>12</v>
      </c>
      <c r="BI199" s="190">
        <f t="shared" si="509"/>
        <v>12</v>
      </c>
      <c r="BJ199" s="190">
        <f t="shared" si="509"/>
        <v>6</v>
      </c>
      <c r="BK199" s="190">
        <f t="shared" si="509"/>
        <v>6</v>
      </c>
      <c r="BL199" s="190">
        <f t="shared" si="509"/>
        <v>6</v>
      </c>
      <c r="BM199" s="190">
        <f t="shared" si="509"/>
        <v>6</v>
      </c>
      <c r="BN199" s="190">
        <f t="shared" si="509"/>
        <v>6</v>
      </c>
      <c r="BO199" s="190">
        <f t="shared" si="509"/>
        <v>6</v>
      </c>
      <c r="BP199" s="190">
        <f t="shared" si="509"/>
        <v>6</v>
      </c>
      <c r="BQ199" s="190">
        <f t="shared" si="509"/>
        <v>6</v>
      </c>
      <c r="BR199" s="190">
        <f t="shared" si="509"/>
        <v>6</v>
      </c>
      <c r="BS199" s="190">
        <f t="shared" si="509"/>
        <v>6</v>
      </c>
      <c r="BT199" s="190">
        <f t="shared" si="509"/>
        <v>6</v>
      </c>
      <c r="BU199" s="190">
        <f t="shared" si="509"/>
        <v>6</v>
      </c>
      <c r="BV199" s="190">
        <f t="shared" si="509"/>
        <v>6</v>
      </c>
      <c r="BW199" s="190">
        <f t="shared" ref="BW199:DB199" si="510">SUMIF($D12:$D190,ScrumRoleScrumDeveloper,BW12:BW190)+SUMIF($D12:$D190,ScrumRoleScrumDevTechLead,BW12:BW190)</f>
        <v>6</v>
      </c>
      <c r="BX199" s="190">
        <f t="shared" si="510"/>
        <v>6</v>
      </c>
      <c r="BY199" s="190">
        <f t="shared" si="510"/>
        <v>6</v>
      </c>
      <c r="BZ199" s="190">
        <f t="shared" si="510"/>
        <v>6</v>
      </c>
      <c r="CA199" s="190">
        <f t="shared" si="510"/>
        <v>6</v>
      </c>
      <c r="CB199" s="190">
        <f t="shared" si="510"/>
        <v>6</v>
      </c>
      <c r="CC199" s="190">
        <f t="shared" si="510"/>
        <v>6</v>
      </c>
      <c r="CD199" s="190">
        <f t="shared" si="510"/>
        <v>6</v>
      </c>
      <c r="CE199" s="190">
        <f t="shared" si="510"/>
        <v>6</v>
      </c>
      <c r="CF199" s="190">
        <f t="shared" si="510"/>
        <v>6</v>
      </c>
      <c r="CG199" s="190">
        <f t="shared" si="510"/>
        <v>6</v>
      </c>
      <c r="CH199" s="190">
        <f t="shared" si="510"/>
        <v>6</v>
      </c>
      <c r="CI199" s="190">
        <f t="shared" si="510"/>
        <v>6</v>
      </c>
      <c r="CJ199" s="190">
        <f t="shared" si="510"/>
        <v>6</v>
      </c>
      <c r="CK199" s="190">
        <f t="shared" si="510"/>
        <v>6</v>
      </c>
      <c r="CL199" s="190">
        <f t="shared" si="510"/>
        <v>6</v>
      </c>
      <c r="CM199" s="190">
        <f t="shared" si="510"/>
        <v>6</v>
      </c>
      <c r="CN199" s="190">
        <f t="shared" si="510"/>
        <v>6</v>
      </c>
      <c r="CO199" s="190">
        <f t="shared" si="510"/>
        <v>6</v>
      </c>
      <c r="CP199" s="190">
        <f t="shared" si="510"/>
        <v>6</v>
      </c>
      <c r="CQ199" s="190">
        <f t="shared" si="510"/>
        <v>6</v>
      </c>
      <c r="CR199" s="190">
        <f t="shared" si="510"/>
        <v>6</v>
      </c>
      <c r="CS199" s="190">
        <f t="shared" si="510"/>
        <v>6</v>
      </c>
      <c r="CT199" s="190">
        <f t="shared" si="510"/>
        <v>6</v>
      </c>
      <c r="CU199" s="190">
        <f t="shared" si="510"/>
        <v>6</v>
      </c>
      <c r="CV199" s="190">
        <f t="shared" si="510"/>
        <v>6</v>
      </c>
      <c r="CW199" s="190">
        <f t="shared" si="510"/>
        <v>6</v>
      </c>
      <c r="CX199" s="190">
        <f t="shared" si="510"/>
        <v>6</v>
      </c>
      <c r="CY199" s="190">
        <f t="shared" si="510"/>
        <v>6</v>
      </c>
      <c r="CZ199" s="190">
        <f t="shared" si="510"/>
        <v>6</v>
      </c>
      <c r="DA199" s="190">
        <f t="shared" si="510"/>
        <v>6</v>
      </c>
      <c r="DB199" s="190">
        <f t="shared" si="510"/>
        <v>6</v>
      </c>
      <c r="DC199" s="190">
        <f t="shared" ref="DC199:DX199" si="511">SUMIF($D12:$D190,ScrumRoleScrumDeveloper,DC12:DC190)+SUMIF($D12:$D190,ScrumRoleScrumDevTechLead,DC12:DC190)</f>
        <v>6</v>
      </c>
      <c r="DD199" s="190">
        <f t="shared" si="511"/>
        <v>6</v>
      </c>
      <c r="DE199" s="190">
        <f t="shared" si="511"/>
        <v>6</v>
      </c>
      <c r="DF199" s="190">
        <f t="shared" si="511"/>
        <v>6</v>
      </c>
      <c r="DG199" s="190">
        <f t="shared" si="511"/>
        <v>6</v>
      </c>
      <c r="DH199" s="190">
        <f t="shared" si="511"/>
        <v>6</v>
      </c>
      <c r="DI199" s="190">
        <f t="shared" si="511"/>
        <v>6</v>
      </c>
      <c r="DJ199" s="190">
        <f t="shared" si="511"/>
        <v>6</v>
      </c>
      <c r="DK199" s="190">
        <f t="shared" si="511"/>
        <v>6</v>
      </c>
      <c r="DL199" s="190">
        <f t="shared" si="511"/>
        <v>1</v>
      </c>
      <c r="DM199" s="190">
        <f t="shared" si="511"/>
        <v>1</v>
      </c>
      <c r="DN199" s="190">
        <f t="shared" si="511"/>
        <v>1</v>
      </c>
      <c r="DO199" s="190">
        <f t="shared" si="511"/>
        <v>1</v>
      </c>
      <c r="DP199" s="190">
        <f t="shared" si="511"/>
        <v>1</v>
      </c>
      <c r="DQ199" s="190">
        <f t="shared" si="511"/>
        <v>1</v>
      </c>
      <c r="DR199" s="190">
        <f t="shared" si="511"/>
        <v>1</v>
      </c>
      <c r="DS199" s="190">
        <f t="shared" si="511"/>
        <v>1</v>
      </c>
      <c r="DT199" s="190">
        <f t="shared" si="511"/>
        <v>1</v>
      </c>
      <c r="DU199" s="190">
        <f t="shared" si="511"/>
        <v>1</v>
      </c>
      <c r="DV199" s="190">
        <f t="shared" si="511"/>
        <v>1</v>
      </c>
      <c r="DW199" s="190">
        <f t="shared" si="511"/>
        <v>1</v>
      </c>
      <c r="DX199" s="190">
        <f t="shared" si="511"/>
        <v>1</v>
      </c>
      <c r="DY199" s="130"/>
      <c r="EA199" s="681"/>
      <c r="EB199" s="682"/>
    </row>
    <row r="200" spans="1:138" ht="11.25" customHeight="1" x14ac:dyDescent="0.25">
      <c r="D200" s="141"/>
      <c r="E200" s="119" t="str">
        <f>ScrumRoleTester</f>
        <v>Scrum Testers</v>
      </c>
      <c r="F200" s="119"/>
      <c r="G200" s="119"/>
      <c r="H200" s="119"/>
      <c r="I200" s="190">
        <f t="shared" ref="I200:AQ200" si="512">SUMIF($D12:$D190,ScrumRoleTester,I12:I190)</f>
        <v>0</v>
      </c>
      <c r="J200" s="190">
        <f t="shared" si="512"/>
        <v>0</v>
      </c>
      <c r="K200" s="190">
        <f t="shared" si="512"/>
        <v>0</v>
      </c>
      <c r="L200" s="190">
        <f t="shared" si="512"/>
        <v>0</v>
      </c>
      <c r="M200" s="190">
        <f t="shared" si="512"/>
        <v>0</v>
      </c>
      <c r="N200" s="190">
        <f t="shared" si="512"/>
        <v>0</v>
      </c>
      <c r="O200" s="190">
        <f t="shared" si="512"/>
        <v>0</v>
      </c>
      <c r="P200" s="190">
        <f t="shared" si="512"/>
        <v>0</v>
      </c>
      <c r="Q200" s="190">
        <f t="shared" si="512"/>
        <v>0</v>
      </c>
      <c r="R200" s="190">
        <f t="shared" si="512"/>
        <v>0</v>
      </c>
      <c r="S200" s="190">
        <f t="shared" si="512"/>
        <v>9</v>
      </c>
      <c r="T200" s="190">
        <f t="shared" si="512"/>
        <v>9</v>
      </c>
      <c r="U200" s="190">
        <f t="shared" si="512"/>
        <v>9</v>
      </c>
      <c r="V200" s="190">
        <f t="shared" ref="V200:W200" si="513">SUMIF($D12:$D190,ScrumRoleTester,V12:V190)</f>
        <v>9</v>
      </c>
      <c r="W200" s="190">
        <f t="shared" si="513"/>
        <v>9</v>
      </c>
      <c r="X200" s="190">
        <f t="shared" ref="X200:Y200" si="514">SUMIF($D12:$D190,ScrumRoleTester,X12:X190)</f>
        <v>9</v>
      </c>
      <c r="Y200" s="190">
        <f t="shared" si="514"/>
        <v>9</v>
      </c>
      <c r="Z200" s="190">
        <f t="shared" si="512"/>
        <v>9</v>
      </c>
      <c r="AA200" s="190">
        <f t="shared" si="512"/>
        <v>9</v>
      </c>
      <c r="AB200" s="190">
        <f t="shared" si="512"/>
        <v>9</v>
      </c>
      <c r="AC200" s="190">
        <f t="shared" si="512"/>
        <v>9</v>
      </c>
      <c r="AD200" s="190">
        <f t="shared" si="512"/>
        <v>9</v>
      </c>
      <c r="AE200" s="190">
        <f t="shared" si="512"/>
        <v>10</v>
      </c>
      <c r="AF200" s="190">
        <f t="shared" si="512"/>
        <v>10</v>
      </c>
      <c r="AG200" s="190">
        <f t="shared" si="512"/>
        <v>10</v>
      </c>
      <c r="AH200" s="190">
        <f t="shared" si="512"/>
        <v>10</v>
      </c>
      <c r="AI200" s="190">
        <f t="shared" si="512"/>
        <v>10</v>
      </c>
      <c r="AJ200" s="190">
        <f t="shared" si="512"/>
        <v>10</v>
      </c>
      <c r="AK200" s="190">
        <f t="shared" si="512"/>
        <v>10</v>
      </c>
      <c r="AL200" s="190">
        <f t="shared" si="512"/>
        <v>10</v>
      </c>
      <c r="AM200" s="190">
        <f t="shared" si="512"/>
        <v>10</v>
      </c>
      <c r="AN200" s="190">
        <f t="shared" si="512"/>
        <v>10</v>
      </c>
      <c r="AO200" s="190">
        <f t="shared" si="512"/>
        <v>6</v>
      </c>
      <c r="AP200" s="190">
        <f t="shared" si="512"/>
        <v>6</v>
      </c>
      <c r="AQ200" s="190">
        <f t="shared" si="512"/>
        <v>6</v>
      </c>
      <c r="AR200" s="190">
        <f t="shared" ref="AR200:BV200" si="515">SUMIF($D12:$D190,ScrumRoleTester,AR12:AR190)</f>
        <v>6</v>
      </c>
      <c r="AS200" s="190">
        <f t="shared" si="515"/>
        <v>6</v>
      </c>
      <c r="AT200" s="190">
        <f t="shared" si="515"/>
        <v>6</v>
      </c>
      <c r="AU200" s="190">
        <f t="shared" si="515"/>
        <v>6</v>
      </c>
      <c r="AV200" s="190">
        <f t="shared" si="515"/>
        <v>6</v>
      </c>
      <c r="AW200" s="190">
        <f t="shared" si="515"/>
        <v>6</v>
      </c>
      <c r="AX200" s="190">
        <f t="shared" si="515"/>
        <v>6</v>
      </c>
      <c r="AY200" s="190">
        <f t="shared" si="515"/>
        <v>6</v>
      </c>
      <c r="AZ200" s="190">
        <f t="shared" si="515"/>
        <v>6</v>
      </c>
      <c r="BA200" s="190">
        <f t="shared" si="515"/>
        <v>6</v>
      </c>
      <c r="BB200" s="190">
        <f t="shared" si="515"/>
        <v>6</v>
      </c>
      <c r="BC200" s="190">
        <f t="shared" si="515"/>
        <v>6</v>
      </c>
      <c r="BD200" s="190">
        <f t="shared" si="515"/>
        <v>6</v>
      </c>
      <c r="BE200" s="190">
        <f t="shared" si="515"/>
        <v>6</v>
      </c>
      <c r="BF200" s="190">
        <f t="shared" si="515"/>
        <v>6</v>
      </c>
      <c r="BG200" s="190">
        <f t="shared" si="515"/>
        <v>6</v>
      </c>
      <c r="BH200" s="190">
        <f t="shared" si="515"/>
        <v>6</v>
      </c>
      <c r="BI200" s="190">
        <f t="shared" si="515"/>
        <v>6</v>
      </c>
      <c r="BJ200" s="190">
        <f t="shared" si="515"/>
        <v>3</v>
      </c>
      <c r="BK200" s="190">
        <f t="shared" si="515"/>
        <v>3</v>
      </c>
      <c r="BL200" s="190">
        <f t="shared" si="515"/>
        <v>3</v>
      </c>
      <c r="BM200" s="190">
        <f t="shared" si="515"/>
        <v>3</v>
      </c>
      <c r="BN200" s="190">
        <f t="shared" si="515"/>
        <v>3</v>
      </c>
      <c r="BO200" s="190">
        <f t="shared" si="515"/>
        <v>3</v>
      </c>
      <c r="BP200" s="190">
        <f t="shared" si="515"/>
        <v>3</v>
      </c>
      <c r="BQ200" s="190">
        <f t="shared" si="515"/>
        <v>3</v>
      </c>
      <c r="BR200" s="190">
        <f t="shared" si="515"/>
        <v>3</v>
      </c>
      <c r="BS200" s="190">
        <f t="shared" si="515"/>
        <v>3</v>
      </c>
      <c r="BT200" s="190">
        <f t="shared" si="515"/>
        <v>3</v>
      </c>
      <c r="BU200" s="190">
        <f t="shared" si="515"/>
        <v>3</v>
      </c>
      <c r="BV200" s="190">
        <f t="shared" si="515"/>
        <v>3</v>
      </c>
      <c r="BW200" s="190">
        <f t="shared" ref="BW200:DB200" si="516">SUMIF($D12:$D190,ScrumRoleTester,BW12:BW190)</f>
        <v>3</v>
      </c>
      <c r="BX200" s="190">
        <f t="shared" si="516"/>
        <v>3</v>
      </c>
      <c r="BY200" s="190">
        <f t="shared" si="516"/>
        <v>3</v>
      </c>
      <c r="BZ200" s="190">
        <f t="shared" si="516"/>
        <v>3</v>
      </c>
      <c r="CA200" s="190">
        <f t="shared" si="516"/>
        <v>3</v>
      </c>
      <c r="CB200" s="190">
        <f t="shared" si="516"/>
        <v>3</v>
      </c>
      <c r="CC200" s="190">
        <f t="shared" si="516"/>
        <v>3</v>
      </c>
      <c r="CD200" s="190">
        <f t="shared" si="516"/>
        <v>3</v>
      </c>
      <c r="CE200" s="190">
        <f t="shared" si="516"/>
        <v>3</v>
      </c>
      <c r="CF200" s="190">
        <f t="shared" si="516"/>
        <v>3</v>
      </c>
      <c r="CG200" s="190">
        <f t="shared" si="516"/>
        <v>3</v>
      </c>
      <c r="CH200" s="190">
        <f t="shared" si="516"/>
        <v>3</v>
      </c>
      <c r="CI200" s="190">
        <f t="shared" si="516"/>
        <v>3</v>
      </c>
      <c r="CJ200" s="190">
        <f t="shared" si="516"/>
        <v>3</v>
      </c>
      <c r="CK200" s="190">
        <f t="shared" si="516"/>
        <v>3</v>
      </c>
      <c r="CL200" s="190">
        <f t="shared" si="516"/>
        <v>3</v>
      </c>
      <c r="CM200" s="190">
        <f t="shared" si="516"/>
        <v>3</v>
      </c>
      <c r="CN200" s="190">
        <f t="shared" si="516"/>
        <v>3</v>
      </c>
      <c r="CO200" s="190">
        <f t="shared" si="516"/>
        <v>3</v>
      </c>
      <c r="CP200" s="190">
        <f t="shared" si="516"/>
        <v>3</v>
      </c>
      <c r="CQ200" s="190">
        <f t="shared" si="516"/>
        <v>3</v>
      </c>
      <c r="CR200" s="190">
        <f t="shared" si="516"/>
        <v>3</v>
      </c>
      <c r="CS200" s="190">
        <f t="shared" si="516"/>
        <v>3</v>
      </c>
      <c r="CT200" s="190">
        <f t="shared" si="516"/>
        <v>3</v>
      </c>
      <c r="CU200" s="190">
        <f t="shared" si="516"/>
        <v>3</v>
      </c>
      <c r="CV200" s="190">
        <f t="shared" si="516"/>
        <v>3</v>
      </c>
      <c r="CW200" s="190">
        <f t="shared" si="516"/>
        <v>3</v>
      </c>
      <c r="CX200" s="190">
        <f t="shared" si="516"/>
        <v>3</v>
      </c>
      <c r="CY200" s="190">
        <f t="shared" si="516"/>
        <v>3</v>
      </c>
      <c r="CZ200" s="190">
        <f t="shared" si="516"/>
        <v>3</v>
      </c>
      <c r="DA200" s="190">
        <f t="shared" si="516"/>
        <v>3</v>
      </c>
      <c r="DB200" s="190">
        <f t="shared" si="516"/>
        <v>3</v>
      </c>
      <c r="DC200" s="190">
        <f t="shared" ref="DC200:DX200" si="517">SUMIF($D12:$D190,ScrumRoleTester,DC12:DC190)</f>
        <v>3</v>
      </c>
      <c r="DD200" s="190">
        <f t="shared" si="517"/>
        <v>3</v>
      </c>
      <c r="DE200" s="190">
        <f t="shared" si="517"/>
        <v>3</v>
      </c>
      <c r="DF200" s="190">
        <f t="shared" si="517"/>
        <v>3</v>
      </c>
      <c r="DG200" s="190">
        <f t="shared" si="517"/>
        <v>3</v>
      </c>
      <c r="DH200" s="190">
        <f t="shared" si="517"/>
        <v>3</v>
      </c>
      <c r="DI200" s="190">
        <f t="shared" si="517"/>
        <v>3</v>
      </c>
      <c r="DJ200" s="190">
        <f t="shared" si="517"/>
        <v>3</v>
      </c>
      <c r="DK200" s="190">
        <f t="shared" si="517"/>
        <v>3</v>
      </c>
      <c r="DL200" s="190">
        <f t="shared" si="517"/>
        <v>1</v>
      </c>
      <c r="DM200" s="190">
        <f t="shared" si="517"/>
        <v>1</v>
      </c>
      <c r="DN200" s="190">
        <f t="shared" si="517"/>
        <v>1</v>
      </c>
      <c r="DO200" s="190">
        <f t="shared" si="517"/>
        <v>1</v>
      </c>
      <c r="DP200" s="190">
        <f t="shared" si="517"/>
        <v>1</v>
      </c>
      <c r="DQ200" s="190">
        <f t="shared" si="517"/>
        <v>1</v>
      </c>
      <c r="DR200" s="190">
        <f t="shared" si="517"/>
        <v>1</v>
      </c>
      <c r="DS200" s="190">
        <f t="shared" si="517"/>
        <v>1</v>
      </c>
      <c r="DT200" s="190">
        <f t="shared" si="517"/>
        <v>1</v>
      </c>
      <c r="DU200" s="190">
        <f t="shared" si="517"/>
        <v>1</v>
      </c>
      <c r="DV200" s="190">
        <f t="shared" si="517"/>
        <v>1</v>
      </c>
      <c r="DW200" s="190">
        <f t="shared" si="517"/>
        <v>1</v>
      </c>
      <c r="DX200" s="190">
        <f t="shared" si="517"/>
        <v>1</v>
      </c>
      <c r="DY200" s="130"/>
      <c r="EA200" s="136"/>
      <c r="EB200" s="137"/>
    </row>
    <row r="201" spans="1:138" ht="11.25" customHeight="1" x14ac:dyDescent="0.25">
      <c r="D201" s="31"/>
      <c r="E201" s="81"/>
      <c r="F201" s="81"/>
      <c r="G201" s="81"/>
      <c r="EA201" s="136"/>
      <c r="EB201" s="137"/>
    </row>
    <row r="202" spans="1:138" ht="11.25" customHeight="1" x14ac:dyDescent="0.25"/>
    <row r="203" spans="1:138" ht="11.25" customHeight="1" x14ac:dyDescent="0.25"/>
    <row r="204" spans="1:138" ht="11.25" customHeight="1" x14ac:dyDescent="0.25"/>
    <row r="205" spans="1:138" ht="11.25" customHeight="1" x14ac:dyDescent="0.25"/>
    <row r="206" spans="1:138" ht="11.25" customHeight="1" x14ac:dyDescent="0.25"/>
    <row r="207" spans="1:138" ht="11.25" customHeight="1" x14ac:dyDescent="0.25"/>
    <row r="208" spans="1:138"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sheetData>
  <sheetProtection sheet="1" objects="1" scenarios="1" formatCells="0" formatColumns="0" formatRows="0" insertHyperlinks="0" autoFilter="0"/>
  <protectedRanges>
    <protectedRange sqref="E2:G4" name="Range2"/>
    <protectedRange sqref="A11:DY189" name="Range1"/>
    <protectedRange sqref="EE11:EE189" name="Range3"/>
  </protectedRanges>
  <autoFilter ref="C10:E189" xr:uid="{00000000-0001-0000-0500-000000000000}"/>
  <mergeCells count="6">
    <mergeCell ref="C5:C7"/>
    <mergeCell ref="EA8:ED8"/>
    <mergeCell ref="D1:H1"/>
    <mergeCell ref="EA198:EA199"/>
    <mergeCell ref="EB198:EB199"/>
    <mergeCell ref="EA191:EB191"/>
  </mergeCells>
  <conditionalFormatting sqref="E2:G2">
    <cfRule type="cellIs" dxfId="88" priority="66" operator="notEqual">
      <formula>AgileDeveloperCUTCapacityDefault</formula>
    </cfRule>
  </conditionalFormatting>
  <conditionalFormatting sqref="E6:G7">
    <cfRule type="expression" dxfId="87" priority="54">
      <formula>$E$6&gt;$E$7</formula>
    </cfRule>
    <cfRule type="expression" dxfId="86" priority="55">
      <formula>$E$6&lt;=$E$7</formula>
    </cfRule>
  </conditionalFormatting>
  <conditionalFormatting sqref="I197:DY200">
    <cfRule type="expression" dxfId="85" priority="52">
      <formula>INT(I197)&lt;&gt;I197</formula>
    </cfRule>
  </conditionalFormatting>
  <conditionalFormatting sqref="E3:G3">
    <cfRule type="cellIs" dxfId="84" priority="8" operator="equal">
      <formula>AgileContingencyDefault</formula>
    </cfRule>
  </conditionalFormatting>
  <conditionalFormatting sqref="E4:G4">
    <cfRule type="cellIs" dxfId="83" priority="7" operator="equal">
      <formula>AgileWarrantyDefault</formula>
    </cfRule>
  </conditionalFormatting>
  <conditionalFormatting sqref="C1:C1048576">
    <cfRule type="cellIs" dxfId="82" priority="6" operator="equal">
      <formula>"SET Agile Resource Role"</formula>
    </cfRule>
  </conditionalFormatting>
  <conditionalFormatting sqref="I7:DY8">
    <cfRule type="cellIs" dxfId="81" priority="3" operator="equal">
      <formula>AgileIteration_PPT</formula>
    </cfRule>
    <cfRule type="cellIs" dxfId="80" priority="4" operator="equal">
      <formula>AgileIteration_ORT</formula>
    </cfRule>
    <cfRule type="cellIs" dxfId="79" priority="5" operator="equal">
      <formula>AgileIteration_E2E</formula>
    </cfRule>
  </conditionalFormatting>
  <conditionalFormatting sqref="F1:F1048576">
    <cfRule type="cellIs" dxfId="78" priority="2" operator="equal">
      <formula>"SU Resource Role"</formula>
    </cfRule>
  </conditionalFormatting>
  <dataValidations count="8">
    <dataValidation type="list" allowBlank="1" showInputMessage="1" showErrorMessage="1" sqref="D67 D37:D39 D112:D121 D139:D140 D104:D110 D79:D86 D51:D53 D142:D152 D123:D132 D41:D42 D63:D65 D76:D77 D88:D94 D96:D102 D73:D74 D69:D71 D12:D20 D134:D137 D22:D29 D166:D176 D44:D49 D154:D164 D178:D188 D55:D61 D31:D35" xr:uid="{00000000-0002-0000-0500-000000000000}">
      <formula1>AgileRoles</formula1>
    </dataValidation>
    <dataValidation type="list" allowBlank="1" showInputMessage="1" showErrorMessage="1" sqref="E112:E121 E67 E139:E140 E104:E110 E37:E39 F189:G189 E79:E86 E51:E53 E142:E152 E123:E132 E41:E42 E63:E65 E76:E77 E88:E94 E96:E102 E73:E74 E69:E71 E12:E20 E134:E137 E22:E29 E166:E176 E44:E49 E154:E164 E178:E189 E55:E61 E31:E35" xr:uid="{00000000-0002-0000-0500-000001000000}">
      <formula1>AgileResourceLocations</formula1>
    </dataValidation>
    <dataValidation type="decimal" allowBlank="1" showInputMessage="1" showErrorMessage="1" sqref="E2:G4" xr:uid="{00000000-0002-0000-0500-000004000000}">
      <formula1>0</formula1>
      <formula2>1</formula2>
    </dataValidation>
    <dataValidation type="list" allowBlank="1" showInputMessage="1" showErrorMessage="1" sqref="C139:C140 C37:C39 C67 C112:C121 C104:C110 C79:C86 C51:C53 C142:C152 C123:C132 C41:C42 C63:C65 C76:C77 C88:C94 C96:C102 C73:C74 C69:C71 C12:C20 C134:C137 C22:C29 C166:C176 C44:C49 C154:C164 C178:C188 C55:C61 C31:C35" xr:uid="{6D66CD9E-EA39-4A5D-8EDC-C68B952C0D9E}">
      <formula1>TTSRoles</formula1>
    </dataValidation>
    <dataValidation type="custom" allowBlank="1" showInputMessage="1" showErrorMessage="1" errorTitle="Number of Resources" error="You must enter a number of resources._x000a__x000a_The value you entered is not a number._x000a_" sqref="DL40:DY40 CV30:DY30 CR36:DY36 DJ21:DY21 BR11:DY11 CH37:DX39 CV26:DI29 DJ22:DX29 CK12:DX20 BR12:CJ24 CK21:DI24 CS25:DI25 CS26:CU30 CG40:DK188 DL41:DX188 I11:BQ24 O25:CR28 O33:CF188 CG33:CG39 CH29:CR31 CS31:DX35 I25:N188 O29:CG32 CR32:CR35 CH32:CQ36" xr:uid="{00000000-0002-0000-0500-000005000000}">
      <formula1>OR( $A11&lt;&gt;2, ISNUMBER(I11) )</formula1>
    </dataValidation>
    <dataValidation type="list" allowBlank="1" showInputMessage="1" showErrorMessage="1" sqref="F104:F110 F112:F121 F67 F37:F39 F139:F140 F79:F86 F51:F53 F142:F152 F123:F132 F41:F42 F63:F65 F76:F77 F88:F94 F96:F102 F73:F74 F69:F71 F12:F20 F134:F137 F22:F29 F166:F176 F44:F49 F154:F164 F178:F188 F55:F61 F31:F35" xr:uid="{9FB742AD-EA8D-41F9-967A-66F6AF0679F5}">
      <formula1>SolutionUnit</formula1>
    </dataValidation>
    <dataValidation type="list" showInputMessage="1" showErrorMessage="1" sqref="I8:DY8" xr:uid="{00000000-0002-0000-0500-000002000000}">
      <formula1>AgileIterationTypes</formula1>
    </dataValidation>
    <dataValidation type="list" allowBlank="1" showInputMessage="1" showErrorMessage="1" sqref="I7:DY7" xr:uid="{00000000-0002-0000-0500-000003000000}">
      <formula1>AgileIterationTypeSecondary</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67" operator="equal" id="{824EAA4D-5A56-4CFA-8B54-80C440638047}">
            <xm:f>Parameters!$A$168</xm:f>
            <x14:dxf>
              <fill>
                <patternFill>
                  <bgColor theme="9"/>
                </patternFill>
              </fill>
            </x14:dxf>
          </x14:cfRule>
          <x14:cfRule type="cellIs" priority="68" operator="equal" id="{37205D81-4A77-4ECC-9B4B-80DE4D381C5F}">
            <xm:f>Parameters!$A$152</xm:f>
            <x14:dxf>
              <fill>
                <patternFill>
                  <bgColor rgb="FFD07876"/>
                </patternFill>
              </fill>
            </x14:dxf>
          </x14:cfRule>
          <x14:cfRule type="cellIs" priority="69" operator="equal" id="{46E2AC82-9868-47E3-A2CC-58CE26A0001D}">
            <xm:f>Parameters!$A$158</xm:f>
            <x14:dxf>
              <fill>
                <patternFill>
                  <bgColor theme="9" tint="0.39994506668294322"/>
                </patternFill>
              </fill>
            </x14:dxf>
          </x14:cfRule>
          <x14:cfRule type="cellIs" priority="70" operator="equal" id="{AF479AFB-EA16-477A-B6EE-11373B62CAD9}">
            <xm:f>Parameters!$A$150</xm:f>
            <x14:dxf>
              <fill>
                <patternFill>
                  <bgColor rgb="FFE6B8B7"/>
                </patternFill>
              </fill>
            </x14:dxf>
          </x14:cfRule>
          <x14:cfRule type="cellIs" priority="71" operator="equal" id="{8A5D1F70-73EA-4E96-90EA-EC81C2B743A7}">
            <xm:f>Parameters!$A$151</xm:f>
            <x14:dxf>
              <fill>
                <patternFill>
                  <bgColor rgb="FFDA9694"/>
                </patternFill>
              </fill>
            </x14:dxf>
          </x14:cfRule>
          <x14:cfRule type="cellIs" priority="72" operator="equal" id="{232A8126-EE8A-44C9-9726-D4CB3C335C90}">
            <xm:f>Parameters!$A$153</xm:f>
            <x14:dxf>
              <fill>
                <patternFill>
                  <bgColor rgb="FFE6B8B7"/>
                </patternFill>
              </fill>
            </x14:dxf>
          </x14:cfRule>
          <x14:cfRule type="cellIs" priority="73" operator="equal" id="{3CD72822-3914-4DBA-93A2-D878A6F0787F}">
            <xm:f>Parameters!$A$155</xm:f>
            <x14:dxf>
              <fill>
                <patternFill>
                  <bgColor rgb="FFCCC0DA"/>
                </patternFill>
              </fill>
            </x14:dxf>
          </x14:cfRule>
          <x14:cfRule type="cellIs" priority="74" operator="equal" id="{B790CCCF-D4C7-47F7-9B32-3C1253027EE2}">
            <xm:f>Parameters!$A$156</xm:f>
            <x14:dxf>
              <fill>
                <patternFill>
                  <bgColor rgb="FFB1A0C7"/>
                </patternFill>
              </fill>
            </x14:dxf>
          </x14:cfRule>
          <x14:cfRule type="cellIs" priority="75" operator="equal" id="{1CF90865-503D-48AA-8618-5A54A4EEF5F2}">
            <xm:f>Parameters!$A$159</xm:f>
            <x14:dxf>
              <fill>
                <patternFill>
                  <bgColor theme="9"/>
                </patternFill>
              </fill>
            </x14:dxf>
          </x14:cfRule>
          <x14:cfRule type="cellIs" priority="76" operator="equal" id="{53A80F6F-3638-4C84-88F0-528BAF686BC0}">
            <xm:f>Parameters!$A$161</xm:f>
            <x14:dxf>
              <fill>
                <patternFill>
                  <bgColor theme="5" tint="0.59996337778862885"/>
                </patternFill>
              </fill>
            </x14:dxf>
          </x14:cfRule>
          <x14:cfRule type="cellIs" priority="77" operator="equal" id="{6E8E2096-A6B5-4C5D-9DFF-099F44CC8917}">
            <xm:f>Parameters!$A$163</xm:f>
            <x14:dxf>
              <fill>
                <patternFill>
                  <bgColor theme="4" tint="0.59996337778862885"/>
                </patternFill>
              </fill>
            </x14:dxf>
          </x14:cfRule>
          <xm:sqref>I7:DY8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gileTopDownSheet2">
    <tabColor theme="4" tint="0.59999389629810485"/>
  </sheetPr>
  <dimension ref="A1:BQ1275"/>
  <sheetViews>
    <sheetView showGridLines="0" zoomScaleNormal="100" workbookViewId="0">
      <pane xSplit="8" ySplit="10" topLeftCell="I59" activePane="bottomRight" state="frozen"/>
      <selection pane="topRight" activeCell="E34" sqref="E34"/>
      <selection pane="bottomLeft" activeCell="E34" sqref="E34"/>
      <selection pane="bottomRight" activeCell="C63" sqref="C63"/>
    </sheetView>
  </sheetViews>
  <sheetFormatPr defaultColWidth="9.28515625" defaultRowHeight="15" x14ac:dyDescent="0.25"/>
  <cols>
    <col min="1" max="1" width="20.42578125" style="120" hidden="1" customWidth="1"/>
    <col min="2" max="2" width="11.5703125" style="146" hidden="1" customWidth="1"/>
    <col min="3" max="3" width="21.42578125" style="282" customWidth="1"/>
    <col min="4" max="4" width="22.42578125" style="76" customWidth="1"/>
    <col min="5" max="5" width="10" style="77" customWidth="1"/>
    <col min="6" max="6" width="15.42578125" style="77" customWidth="1"/>
    <col min="7" max="7" width="15.28515625" style="77" customWidth="1"/>
    <col min="8" max="8" width="16.7109375" style="77" customWidth="1"/>
    <col min="9" max="59" width="8.5703125" style="77" customWidth="1"/>
    <col min="60" max="60" width="2.7109375" style="21" hidden="1" customWidth="1"/>
    <col min="61" max="61" width="5.5703125" style="188" customWidth="1"/>
    <col min="62" max="65" width="10.5703125" style="77" customWidth="1"/>
    <col min="66" max="69" width="9.28515625" style="78"/>
    <col min="70" max="16384" width="9.28515625" style="77"/>
  </cols>
  <sheetData>
    <row r="1" spans="1:69" ht="35.1" customHeight="1" x14ac:dyDescent="0.25">
      <c r="C1" s="684"/>
      <c r="D1" s="686" t="str">
        <f>Attributes!D4</f>
        <v>&lt;Scenario 2&gt;</v>
      </c>
      <c r="E1" s="686"/>
      <c r="F1" s="686"/>
      <c r="G1" s="686"/>
      <c r="H1" s="686"/>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9"/>
      <c r="BI1" s="220"/>
      <c r="BJ1" s="218"/>
      <c r="BK1" s="218"/>
      <c r="BL1" s="218"/>
    </row>
    <row r="2" spans="1:69" s="81" customFormat="1" ht="12" customHeight="1" x14ac:dyDescent="0.25">
      <c r="A2" s="143"/>
      <c r="B2" s="144"/>
      <c r="C2" s="684"/>
      <c r="D2" s="221" t="s">
        <v>561</v>
      </c>
      <c r="E2" s="226">
        <v>0.58799999999999997</v>
      </c>
      <c r="F2" s="226"/>
      <c r="G2" s="226"/>
      <c r="H2" s="222"/>
      <c r="I2" s="219"/>
      <c r="J2" s="171"/>
      <c r="K2" s="171"/>
      <c r="L2" s="171"/>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24"/>
      <c r="BI2" s="225"/>
      <c r="BJ2" s="219"/>
      <c r="BK2" s="219"/>
      <c r="BL2" s="219"/>
    </row>
    <row r="3" spans="1:69" s="81" customFormat="1" ht="12" customHeight="1" x14ac:dyDescent="0.25">
      <c r="A3" s="145" t="str">
        <f>Customer &amp; CHAR(10) &amp; Project</f>
        <v>Optus
BoSS Proposal</v>
      </c>
      <c r="B3" s="144"/>
      <c r="C3" s="684"/>
      <c r="D3" s="221" t="s">
        <v>562</v>
      </c>
      <c r="E3" s="226">
        <v>0.1</v>
      </c>
      <c r="F3" s="226"/>
      <c r="G3" s="226"/>
      <c r="H3" s="227"/>
      <c r="I3" s="219">
        <f t="shared" ref="I3:AO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ref="AP3:BG3" ca="1" si="1">ROUNDUP(((RIGHT(OFFSET(AP4,0,-1,1,1),LEN(OFFSET(AP4,0,-1,1,1))-3)+1)*5/ProformaDefaultDaysPerMonth),0.1)</f>
        <v>8</v>
      </c>
      <c r="AQ3" s="219">
        <f t="shared" ca="1" si="1"/>
        <v>8</v>
      </c>
      <c r="AR3" s="219">
        <f t="shared" ca="1" si="1"/>
        <v>9</v>
      </c>
      <c r="AS3" s="219">
        <f t="shared" ca="1" si="1"/>
        <v>9</v>
      </c>
      <c r="AT3" s="219">
        <f t="shared" ca="1" si="1"/>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c r="BI3" s="219"/>
      <c r="BJ3" s="219"/>
      <c r="BK3" s="219"/>
      <c r="BL3" s="219"/>
    </row>
    <row r="4" spans="1:69" s="81" customFormat="1" ht="12" customHeight="1" thickBot="1" x14ac:dyDescent="0.3">
      <c r="A4" s="143"/>
      <c r="B4" s="144"/>
      <c r="C4" s="684"/>
      <c r="D4" s="221" t="s">
        <v>563</v>
      </c>
      <c r="E4" s="226">
        <v>0</v>
      </c>
      <c r="F4" s="226"/>
      <c r="G4" s="226"/>
      <c r="H4" s="265" t="s">
        <v>564</v>
      </c>
      <c r="I4" s="219" t="str">
        <f ca="1">"wk " &amp; RIGHT(OFFSET(I4,0,-1,1,1),LEN(OFFSET(I4,0,-1,1,1))-3)+1</f>
        <v>wk 1</v>
      </c>
      <c r="J4" s="219" t="str">
        <f t="shared" ref="J4:BG4" ca="1" si="2">"wk " &amp; RIGHT(OFFSET(J4,0,-1,1,1),LEN(OFFSET(J4,0,-1,1,1))-3)+1</f>
        <v>wk 2</v>
      </c>
      <c r="K4" s="219" t="str">
        <f t="shared" ca="1" si="2"/>
        <v>wk 3</v>
      </c>
      <c r="L4" s="219" t="str">
        <f t="shared" ca="1" si="2"/>
        <v>wk 4</v>
      </c>
      <c r="M4" s="219" t="str">
        <f t="shared" ca="1" si="2"/>
        <v>wk 5</v>
      </c>
      <c r="N4" s="219" t="str">
        <f t="shared" ca="1" si="2"/>
        <v>wk 6</v>
      </c>
      <c r="O4" s="219" t="str">
        <f t="shared" ca="1" si="2"/>
        <v>wk 7</v>
      </c>
      <c r="P4" s="219" t="str">
        <f t="shared" ca="1" si="2"/>
        <v>wk 8</v>
      </c>
      <c r="Q4" s="219" t="str">
        <f t="shared" ca="1" si="2"/>
        <v>wk 9</v>
      </c>
      <c r="R4" s="219" t="str">
        <f t="shared" ca="1" si="2"/>
        <v>wk 10</v>
      </c>
      <c r="S4" s="219" t="str">
        <f t="shared" ca="1" si="2"/>
        <v>wk 11</v>
      </c>
      <c r="T4" s="219" t="str">
        <f t="shared" ca="1" si="2"/>
        <v>wk 12</v>
      </c>
      <c r="U4" s="219" t="str">
        <f t="shared" ca="1" si="2"/>
        <v>wk 13</v>
      </c>
      <c r="V4" s="219" t="str">
        <f t="shared" ca="1" si="2"/>
        <v>wk 14</v>
      </c>
      <c r="W4" s="219" t="str">
        <f t="shared" ca="1" si="2"/>
        <v>wk 15</v>
      </c>
      <c r="X4" s="219" t="str">
        <f t="shared" ca="1" si="2"/>
        <v>wk 16</v>
      </c>
      <c r="Y4" s="219" t="str">
        <f t="shared" ca="1" si="2"/>
        <v>wk 17</v>
      </c>
      <c r="Z4" s="219" t="str">
        <f t="shared" ca="1" si="2"/>
        <v>wk 18</v>
      </c>
      <c r="AA4" s="219" t="str">
        <f t="shared" ca="1" si="2"/>
        <v>wk 19</v>
      </c>
      <c r="AB4" s="219" t="str">
        <f t="shared" ca="1" si="2"/>
        <v>wk 20</v>
      </c>
      <c r="AC4" s="219" t="str">
        <f t="shared" ca="1" si="2"/>
        <v>wk 21</v>
      </c>
      <c r="AD4" s="219" t="str">
        <f t="shared" ca="1" si="2"/>
        <v>wk 22</v>
      </c>
      <c r="AE4" s="219" t="str">
        <f t="shared" ca="1" si="2"/>
        <v>wk 23</v>
      </c>
      <c r="AF4" s="219" t="str">
        <f t="shared" ca="1" si="2"/>
        <v>wk 24</v>
      </c>
      <c r="AG4" s="219" t="str">
        <f t="shared" ca="1" si="2"/>
        <v>wk 25</v>
      </c>
      <c r="AH4" s="219" t="str">
        <f t="shared" ca="1" si="2"/>
        <v>wk 26</v>
      </c>
      <c r="AI4" s="219" t="str">
        <f t="shared" ca="1" si="2"/>
        <v>wk 27</v>
      </c>
      <c r="AJ4" s="219" t="str">
        <f t="shared" ca="1" si="2"/>
        <v>wk 28</v>
      </c>
      <c r="AK4" s="219" t="str">
        <f t="shared" ca="1" si="2"/>
        <v>wk 29</v>
      </c>
      <c r="AL4" s="219" t="str">
        <f t="shared" ca="1" si="2"/>
        <v>wk 30</v>
      </c>
      <c r="AM4" s="219" t="str">
        <f t="shared" ca="1" si="2"/>
        <v>wk 31</v>
      </c>
      <c r="AN4" s="219" t="str">
        <f t="shared" ca="1" si="2"/>
        <v>wk 32</v>
      </c>
      <c r="AO4" s="219" t="str">
        <f t="shared" ca="1" si="2"/>
        <v>wk 33</v>
      </c>
      <c r="AP4" s="219" t="str">
        <f t="shared" ca="1" si="2"/>
        <v>wk 34</v>
      </c>
      <c r="AQ4" s="219" t="str">
        <f t="shared" ca="1" si="2"/>
        <v>wk 35</v>
      </c>
      <c r="AR4" s="219" t="str">
        <f t="shared" ca="1" si="2"/>
        <v>wk 36</v>
      </c>
      <c r="AS4" s="219" t="str">
        <f t="shared" ca="1" si="2"/>
        <v>wk 37</v>
      </c>
      <c r="AT4" s="219" t="str">
        <f t="shared" ca="1" si="2"/>
        <v>wk 38</v>
      </c>
      <c r="AU4" s="219" t="str">
        <f t="shared" ca="1" si="2"/>
        <v>wk 39</v>
      </c>
      <c r="AV4" s="219" t="str">
        <f t="shared" ca="1" si="2"/>
        <v>wk 40</v>
      </c>
      <c r="AW4" s="219" t="str">
        <f t="shared" ca="1" si="2"/>
        <v>wk 41</v>
      </c>
      <c r="AX4" s="219" t="str">
        <f t="shared" ca="1" si="2"/>
        <v>wk 42</v>
      </c>
      <c r="AY4" s="219" t="str">
        <f t="shared" ca="1" si="2"/>
        <v>wk 43</v>
      </c>
      <c r="AZ4" s="219" t="str">
        <f t="shared" ca="1" si="2"/>
        <v>wk 44</v>
      </c>
      <c r="BA4" s="219" t="str">
        <f t="shared" ca="1" si="2"/>
        <v>wk 45</v>
      </c>
      <c r="BB4" s="219" t="str">
        <f t="shared" ca="1" si="2"/>
        <v>wk 46</v>
      </c>
      <c r="BC4" s="219" t="str">
        <f t="shared" ca="1" si="2"/>
        <v>wk 47</v>
      </c>
      <c r="BD4" s="219" t="str">
        <f t="shared" ca="1" si="2"/>
        <v>wk 48</v>
      </c>
      <c r="BE4" s="219" t="str">
        <f t="shared" ca="1" si="2"/>
        <v>wk 49</v>
      </c>
      <c r="BF4" s="219" t="str">
        <f t="shared" ca="1" si="2"/>
        <v>wk 50</v>
      </c>
      <c r="BG4" s="219" t="str">
        <f t="shared" ca="1" si="2"/>
        <v>wk 51</v>
      </c>
      <c r="BH4" s="224"/>
      <c r="BI4" s="225"/>
      <c r="BJ4" s="219"/>
      <c r="BK4" s="219"/>
      <c r="BL4" s="219"/>
    </row>
    <row r="5" spans="1:69" s="81" customFormat="1" ht="4.1500000000000004" customHeight="1" x14ac:dyDescent="0.25">
      <c r="A5" s="120"/>
      <c r="B5" s="146"/>
      <c r="C5" s="687" t="s">
        <v>565</v>
      </c>
      <c r="D5" s="84"/>
      <c r="E5" s="27"/>
      <c r="F5" s="27"/>
      <c r="G5" s="27"/>
      <c r="H5" s="27"/>
      <c r="BH5" s="21"/>
      <c r="BI5" s="187"/>
      <c r="BN5"/>
      <c r="BO5"/>
      <c r="BP5"/>
      <c r="BQ5"/>
    </row>
    <row r="6" spans="1:69" ht="12" customHeight="1" x14ac:dyDescent="0.25">
      <c r="A6" s="147"/>
      <c r="C6" s="688"/>
      <c r="D6" s="84" t="s">
        <v>566</v>
      </c>
      <c r="E6" s="85">
        <f>'Detail CUT'!H4</f>
        <v>0</v>
      </c>
      <c r="F6" s="85"/>
      <c r="G6" s="85"/>
      <c r="H6" s="381" t="str">
        <f>CONCATENATE("Effort With Cont = ",ROUND(SUM(BK189),0))</f>
        <v>Effort With Cont = 0</v>
      </c>
      <c r="Q6" s="136" t="s">
        <v>717</v>
      </c>
      <c r="AA6" s="136" t="s">
        <v>718</v>
      </c>
      <c r="BI6" s="187"/>
      <c r="BJ6" s="81"/>
      <c r="BK6" s="81"/>
      <c r="BL6" s="81"/>
    </row>
    <row r="7" spans="1:69" ht="12" customHeight="1" thickBot="1" x14ac:dyDescent="0.3">
      <c r="A7" s="147"/>
      <c r="C7" s="689"/>
      <c r="D7" s="84" t="s">
        <v>188</v>
      </c>
      <c r="E7" s="85">
        <f>SUM(I186:BI186)</f>
        <v>0</v>
      </c>
      <c r="F7" s="85"/>
      <c r="G7" s="85"/>
      <c r="H7" s="382" t="str">
        <f>CONCATENATE("Effort W/out Cont = ",ROUND(SUM(BK183+BK187),0))</f>
        <v>Effort W/out Cont = 0</v>
      </c>
      <c r="AA7" s="77" t="s">
        <v>719</v>
      </c>
      <c r="AB7" s="77" t="s">
        <v>719</v>
      </c>
      <c r="AC7" s="77" t="s">
        <v>719</v>
      </c>
      <c r="AD7" s="77" t="s">
        <v>719</v>
      </c>
      <c r="BI7" s="187"/>
      <c r="BJ7" s="81"/>
      <c r="BK7" s="81"/>
      <c r="BL7" s="81"/>
    </row>
    <row r="8" spans="1:69" s="83" customFormat="1" ht="22.5" customHeight="1" x14ac:dyDescent="0.25">
      <c r="A8" s="148"/>
      <c r="B8" s="125"/>
      <c r="C8" s="289"/>
      <c r="D8" s="379"/>
      <c r="E8" s="378"/>
      <c r="F8" s="378"/>
      <c r="G8" s="378"/>
      <c r="H8" s="380"/>
      <c r="I8" s="83" t="s">
        <v>572</v>
      </c>
      <c r="J8" s="83" t="s">
        <v>573</v>
      </c>
      <c r="K8" s="83" t="s">
        <v>573</v>
      </c>
      <c r="L8" s="83" t="s">
        <v>573</v>
      </c>
      <c r="M8" s="83" t="s">
        <v>574</v>
      </c>
      <c r="N8" s="83" t="s">
        <v>574</v>
      </c>
      <c r="O8" s="558" t="s">
        <v>570</v>
      </c>
      <c r="P8" s="83" t="s">
        <v>575</v>
      </c>
      <c r="Q8" s="83" t="s">
        <v>576</v>
      </c>
      <c r="R8" s="83" t="s">
        <v>576</v>
      </c>
      <c r="S8" s="83" t="s">
        <v>576</v>
      </c>
      <c r="T8" s="83" t="s">
        <v>576</v>
      </c>
      <c r="U8" s="83" t="s">
        <v>576</v>
      </c>
      <c r="V8" s="83" t="s">
        <v>576</v>
      </c>
      <c r="W8" s="83" t="s">
        <v>577</v>
      </c>
      <c r="X8" s="83" t="s">
        <v>577</v>
      </c>
      <c r="Y8" s="83" t="s">
        <v>577</v>
      </c>
      <c r="Z8" s="83" t="s">
        <v>577</v>
      </c>
      <c r="AA8" s="83" t="s">
        <v>576</v>
      </c>
      <c r="AB8" s="83" t="s">
        <v>576</v>
      </c>
      <c r="AC8" s="83" t="s">
        <v>576</v>
      </c>
      <c r="AD8" s="83" t="s">
        <v>576</v>
      </c>
      <c r="AE8" s="83" t="s">
        <v>576</v>
      </c>
      <c r="AF8" s="83" t="s">
        <v>576</v>
      </c>
      <c r="AG8" s="83" t="s">
        <v>577</v>
      </c>
      <c r="AH8" s="83" t="s">
        <v>577</v>
      </c>
      <c r="AI8" s="83" t="s">
        <v>577</v>
      </c>
      <c r="AJ8" s="83" t="s">
        <v>577</v>
      </c>
      <c r="AK8" s="83" t="s">
        <v>571</v>
      </c>
      <c r="AL8" s="83" t="s">
        <v>571</v>
      </c>
      <c r="AM8" s="83" t="s">
        <v>571</v>
      </c>
      <c r="AN8" s="83" t="s">
        <v>571</v>
      </c>
      <c r="AO8" s="83" t="s">
        <v>578</v>
      </c>
      <c r="AP8" s="83" t="s">
        <v>578</v>
      </c>
      <c r="AQ8" s="83" t="s">
        <v>578</v>
      </c>
      <c r="AR8" s="83" t="s">
        <v>578</v>
      </c>
      <c r="AS8" s="83" t="s">
        <v>580</v>
      </c>
      <c r="AT8" s="83" t="s">
        <v>580</v>
      </c>
      <c r="AU8" s="83" t="s">
        <v>563</v>
      </c>
      <c r="AV8" s="83" t="s">
        <v>563</v>
      </c>
      <c r="AW8" s="83" t="s">
        <v>563</v>
      </c>
      <c r="AX8" s="83" t="s">
        <v>563</v>
      </c>
      <c r="AY8" s="83" t="s">
        <v>563</v>
      </c>
      <c r="AZ8" s="83" t="s">
        <v>563</v>
      </c>
      <c r="BA8" s="83" t="s">
        <v>563</v>
      </c>
      <c r="BB8" s="83" t="s">
        <v>563</v>
      </c>
      <c r="BC8" s="83" t="s">
        <v>563</v>
      </c>
      <c r="BD8" s="83" t="s">
        <v>563</v>
      </c>
      <c r="BE8" s="83" t="s">
        <v>563</v>
      </c>
      <c r="BF8" s="83" t="s">
        <v>563</v>
      </c>
      <c r="BG8" s="83" t="s">
        <v>563</v>
      </c>
      <c r="BH8" s="129"/>
      <c r="BI8" s="201"/>
      <c r="BJ8" s="679" t="s">
        <v>582</v>
      </c>
      <c r="BK8" s="679"/>
      <c r="BL8" s="679"/>
      <c r="BM8" s="679"/>
    </row>
    <row r="9" spans="1:69" hidden="1" x14ac:dyDescent="0.25">
      <c r="A9" s="143"/>
      <c r="B9" s="144"/>
      <c r="C9" s="283"/>
      <c r="D9" s="31" t="s">
        <v>585</v>
      </c>
      <c r="E9" s="81"/>
      <c r="F9" s="81"/>
      <c r="G9" s="81"/>
      <c r="H9" s="81"/>
      <c r="I9" s="77" t="str">
        <f t="shared" ref="I9:BG9" si="3">VLOOKUP( I8, AgileIterationTypeProjectPhase, 2, FALSE)</f>
        <v>Scope</v>
      </c>
      <c r="J9" s="77" t="str">
        <f t="shared" si="3"/>
        <v>Scope</v>
      </c>
      <c r="K9" s="77" t="str">
        <f t="shared" si="3"/>
        <v>Scope</v>
      </c>
      <c r="L9" s="77" t="str">
        <f t="shared" si="3"/>
        <v>Scope</v>
      </c>
      <c r="M9" s="77" t="str">
        <f t="shared" si="3"/>
        <v>Scope</v>
      </c>
      <c r="N9" s="77" t="str">
        <f t="shared" si="3"/>
        <v>Scope</v>
      </c>
      <c r="O9" s="77" t="str">
        <f t="shared" si="3"/>
        <v>Design</v>
      </c>
      <c r="Q9" s="77" t="str">
        <f t="shared" si="3"/>
        <v>Deploy</v>
      </c>
      <c r="R9" s="77" t="str">
        <f t="shared" si="3"/>
        <v>Deploy</v>
      </c>
      <c r="S9" s="77" t="str">
        <f t="shared" si="3"/>
        <v>Deploy</v>
      </c>
      <c r="T9" s="77" t="str">
        <f t="shared" si="3"/>
        <v>Deploy</v>
      </c>
      <c r="U9" s="77" t="str">
        <f t="shared" si="3"/>
        <v>Deploy</v>
      </c>
      <c r="V9" s="77" t="str">
        <f t="shared" si="3"/>
        <v>Deploy</v>
      </c>
      <c r="W9" s="77" t="str">
        <f t="shared" si="3"/>
        <v>Deploy</v>
      </c>
      <c r="X9" s="77" t="str">
        <f t="shared" si="3"/>
        <v>Deploy</v>
      </c>
      <c r="Y9" s="77" t="str">
        <f t="shared" si="3"/>
        <v>Deploy</v>
      </c>
      <c r="Z9" s="77" t="str">
        <f t="shared" si="3"/>
        <v>Deploy</v>
      </c>
      <c r="AA9" s="77" t="str">
        <f t="shared" si="3"/>
        <v>Deploy</v>
      </c>
      <c r="AB9" s="77" t="str">
        <f t="shared" si="3"/>
        <v>Deploy</v>
      </c>
      <c r="AC9" s="77" t="str">
        <f t="shared" si="3"/>
        <v>Deploy</v>
      </c>
      <c r="AD9" s="77" t="str">
        <f t="shared" si="3"/>
        <v>Deploy</v>
      </c>
      <c r="AE9" s="77" t="str">
        <f t="shared" si="3"/>
        <v>Deploy</v>
      </c>
      <c r="AF9" s="77" t="str">
        <f t="shared" si="3"/>
        <v>Deploy</v>
      </c>
      <c r="AG9" s="77" t="str">
        <f t="shared" si="3"/>
        <v>Deploy</v>
      </c>
      <c r="AH9" s="77" t="str">
        <f t="shared" si="3"/>
        <v>Deploy</v>
      </c>
      <c r="AI9" s="77" t="str">
        <f t="shared" si="3"/>
        <v>Deploy</v>
      </c>
      <c r="AJ9" s="77" t="str">
        <f t="shared" si="3"/>
        <v>Deploy</v>
      </c>
      <c r="AK9" s="77" t="str">
        <f t="shared" si="3"/>
        <v>Cust Test</v>
      </c>
      <c r="AL9" s="77" t="str">
        <f t="shared" si="3"/>
        <v>Cust Test</v>
      </c>
      <c r="AM9" s="77" t="str">
        <f t="shared" si="3"/>
        <v>Cust Test</v>
      </c>
      <c r="AN9" s="77" t="str">
        <f t="shared" si="3"/>
        <v>Cust Test</v>
      </c>
      <c r="AO9" s="77" t="str">
        <f t="shared" si="3"/>
        <v>Cust Test</v>
      </c>
      <c r="AP9" s="77" t="str">
        <f t="shared" si="3"/>
        <v>Cust Test</v>
      </c>
      <c r="AQ9" s="77" t="str">
        <f t="shared" si="3"/>
        <v>Cust Test</v>
      </c>
      <c r="AR9" s="77" t="str">
        <f t="shared" si="3"/>
        <v>Cust Test</v>
      </c>
      <c r="BB9" s="77" t="str">
        <f t="shared" si="3"/>
        <v>Warranty</v>
      </c>
      <c r="BD9" s="77" t="str">
        <f t="shared" si="3"/>
        <v>Warranty</v>
      </c>
      <c r="BE9" s="77" t="str">
        <f t="shared" si="3"/>
        <v>Warranty</v>
      </c>
      <c r="BF9" s="77" t="str">
        <f t="shared" si="3"/>
        <v>Warranty</v>
      </c>
      <c r="BG9" s="77" t="str">
        <f t="shared" si="3"/>
        <v>Warranty</v>
      </c>
      <c r="BI9" s="187"/>
      <c r="BJ9" s="81"/>
      <c r="BK9" s="81"/>
      <c r="BL9" s="81"/>
    </row>
    <row r="10" spans="1:69" s="142" customFormat="1" ht="11.25" x14ac:dyDescent="0.2">
      <c r="A10" s="143" t="s">
        <v>199</v>
      </c>
      <c r="B10" s="149" t="s">
        <v>586</v>
      </c>
      <c r="C10" s="194" t="s">
        <v>587</v>
      </c>
      <c r="D10" s="397" t="s">
        <v>588</v>
      </c>
      <c r="E10" s="439" t="s">
        <v>589</v>
      </c>
      <c r="F10" s="439" t="s">
        <v>590</v>
      </c>
      <c r="G10" s="439" t="s">
        <v>26</v>
      </c>
      <c r="H10" s="440" t="s">
        <v>591</v>
      </c>
      <c r="I10" s="405">
        <f>Attributes!D5</f>
        <v>43474</v>
      </c>
      <c r="J10" s="195">
        <f t="shared" ref="J10:BG10" ca="1" si="4">OFFSET(J10,0,-1,1,1)+7</f>
        <v>43481</v>
      </c>
      <c r="K10" s="195">
        <f t="shared" ca="1" si="4"/>
        <v>43488</v>
      </c>
      <c r="L10" s="195">
        <f t="shared" ca="1" si="4"/>
        <v>43495</v>
      </c>
      <c r="M10" s="195">
        <f t="shared" ca="1" si="4"/>
        <v>43502</v>
      </c>
      <c r="N10" s="195">
        <f t="shared" ca="1" si="4"/>
        <v>43509</v>
      </c>
      <c r="O10" s="195">
        <f t="shared" ca="1" si="4"/>
        <v>43516</v>
      </c>
      <c r="P10" s="195">
        <f t="shared" ca="1" si="4"/>
        <v>43523</v>
      </c>
      <c r="Q10" s="195">
        <f t="shared" ca="1" si="4"/>
        <v>43530</v>
      </c>
      <c r="R10" s="195">
        <f t="shared" ca="1" si="4"/>
        <v>43537</v>
      </c>
      <c r="S10" s="195">
        <f t="shared" ca="1" si="4"/>
        <v>43544</v>
      </c>
      <c r="T10" s="195">
        <f t="shared" ca="1" si="4"/>
        <v>43551</v>
      </c>
      <c r="U10" s="195">
        <f t="shared" ca="1" si="4"/>
        <v>43558</v>
      </c>
      <c r="V10" s="195">
        <f t="shared" ca="1" si="4"/>
        <v>43565</v>
      </c>
      <c r="W10" s="195">
        <f t="shared" ca="1" si="4"/>
        <v>43572</v>
      </c>
      <c r="X10" s="195">
        <f t="shared" ca="1" si="4"/>
        <v>43579</v>
      </c>
      <c r="Y10" s="195">
        <f t="shared" ca="1" si="4"/>
        <v>43586</v>
      </c>
      <c r="Z10" s="195">
        <f t="shared" ca="1" si="4"/>
        <v>43593</v>
      </c>
      <c r="AA10" s="195">
        <f t="shared" ca="1" si="4"/>
        <v>43600</v>
      </c>
      <c r="AB10" s="195">
        <f t="shared" ca="1" si="4"/>
        <v>43607</v>
      </c>
      <c r="AC10" s="195">
        <f t="shared" ca="1" si="4"/>
        <v>43614</v>
      </c>
      <c r="AD10" s="195">
        <f t="shared" ca="1" si="4"/>
        <v>43621</v>
      </c>
      <c r="AE10" s="195">
        <f t="shared" ca="1" si="4"/>
        <v>43628</v>
      </c>
      <c r="AF10" s="195">
        <f t="shared" ca="1" si="4"/>
        <v>43635</v>
      </c>
      <c r="AG10" s="195">
        <f t="shared" ca="1" si="4"/>
        <v>43642</v>
      </c>
      <c r="AH10" s="195">
        <f t="shared" ca="1" si="4"/>
        <v>43649</v>
      </c>
      <c r="AI10" s="195">
        <f t="shared" ca="1" si="4"/>
        <v>43656</v>
      </c>
      <c r="AJ10" s="195">
        <f t="shared" ca="1" si="4"/>
        <v>43663</v>
      </c>
      <c r="AK10" s="195">
        <f t="shared" ca="1" si="4"/>
        <v>43670</v>
      </c>
      <c r="AL10" s="195">
        <f t="shared" ca="1" si="4"/>
        <v>43677</v>
      </c>
      <c r="AM10" s="195">
        <f t="shared" ca="1" si="4"/>
        <v>43684</v>
      </c>
      <c r="AN10" s="195">
        <f t="shared" ca="1" si="4"/>
        <v>43691</v>
      </c>
      <c r="AO10" s="195">
        <f t="shared" ca="1" si="4"/>
        <v>43698</v>
      </c>
      <c r="AP10" s="195">
        <f t="shared" ca="1" si="4"/>
        <v>43705</v>
      </c>
      <c r="AQ10" s="195">
        <f t="shared" ca="1" si="4"/>
        <v>43712</v>
      </c>
      <c r="AR10" s="195">
        <f t="shared" ca="1" si="4"/>
        <v>43719</v>
      </c>
      <c r="AS10" s="195">
        <f t="shared" ca="1" si="4"/>
        <v>43726</v>
      </c>
      <c r="AT10" s="195">
        <f t="shared" ca="1" si="4"/>
        <v>43733</v>
      </c>
      <c r="AU10" s="195">
        <f t="shared" ca="1" si="4"/>
        <v>43740</v>
      </c>
      <c r="AV10" s="195">
        <f t="shared" ca="1" si="4"/>
        <v>43747</v>
      </c>
      <c r="AW10" s="195">
        <f t="shared" ca="1" si="4"/>
        <v>43754</v>
      </c>
      <c r="AX10" s="195">
        <f t="shared" ca="1" si="4"/>
        <v>43761</v>
      </c>
      <c r="AY10" s="195">
        <f t="shared" ca="1" si="4"/>
        <v>43768</v>
      </c>
      <c r="AZ10" s="195">
        <f t="shared" ca="1" si="4"/>
        <v>43775</v>
      </c>
      <c r="BA10" s="195">
        <f t="shared" ca="1" si="4"/>
        <v>43782</v>
      </c>
      <c r="BB10" s="195">
        <f t="shared" ca="1" si="4"/>
        <v>43789</v>
      </c>
      <c r="BC10" s="195">
        <f t="shared" ca="1" si="4"/>
        <v>43796</v>
      </c>
      <c r="BD10" s="195">
        <f t="shared" ca="1" si="4"/>
        <v>43803</v>
      </c>
      <c r="BE10" s="195">
        <f t="shared" ca="1" si="4"/>
        <v>43810</v>
      </c>
      <c r="BF10" s="195">
        <f t="shared" ca="1" si="4"/>
        <v>43817</v>
      </c>
      <c r="BG10" s="195">
        <f t="shared" ca="1" si="4"/>
        <v>43824</v>
      </c>
      <c r="BH10" s="196"/>
      <c r="BI10" s="202"/>
      <c r="BJ10" s="150" t="str">
        <f>E183</f>
        <v xml:space="preserve"> Person-Days</v>
      </c>
      <c r="BK10" s="150" t="str">
        <f>E184</f>
        <v>Contingency</v>
      </c>
      <c r="BL10" s="150" t="str">
        <f>E185</f>
        <v>Warranty</v>
      </c>
      <c r="BM10" s="150" t="s">
        <v>720</v>
      </c>
    </row>
    <row r="11" spans="1:69" s="142" customFormat="1" ht="11.25" x14ac:dyDescent="0.2">
      <c r="A11" s="208">
        <v>1</v>
      </c>
      <c r="B11" s="209" t="s">
        <v>593</v>
      </c>
      <c r="C11" s="459" t="s">
        <v>594</v>
      </c>
      <c r="D11" s="459" t="s">
        <v>594</v>
      </c>
      <c r="E11" s="441"/>
      <c r="F11" s="441"/>
      <c r="G11" s="441"/>
      <c r="H11" s="442"/>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193"/>
      <c r="BI11" s="480"/>
      <c r="BJ11" s="150"/>
      <c r="BK11" s="150"/>
      <c r="BL11" s="150"/>
      <c r="BM11" s="150"/>
    </row>
    <row r="12" spans="1:69" s="74" customFormat="1" ht="11.25" x14ac:dyDescent="0.2">
      <c r="A12" s="210">
        <v>2</v>
      </c>
      <c r="B12" s="458" t="s">
        <v>593</v>
      </c>
      <c r="C12" s="462" t="str">
        <f t="shared" ref="C12:C25" si="5">IFERROR(VLOOKUP(D12,MappingFromSetAgiletoTTSRole,2,FALSE),"SET Agile Resource Role")</f>
        <v>Management</v>
      </c>
      <c r="D12" s="463" t="s">
        <v>595</v>
      </c>
      <c r="E12" s="460"/>
      <c r="F12" s="528" t="s">
        <v>597</v>
      </c>
      <c r="G12" s="528"/>
      <c r="H12" s="533" t="str">
        <f>C11</f>
        <v>Program</v>
      </c>
      <c r="I12" s="406"/>
      <c r="J12" s="406"/>
      <c r="K12" s="406"/>
      <c r="L12" s="406"/>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180"/>
      <c r="BI12" s="480"/>
      <c r="BJ12" s="82">
        <f t="shared" ref="BJ12:BJ25" si="6">SUMIF(I$8:BH$8, "&lt;&gt;"&amp;AgileIteration_Warranty,I12:BH12)*5*Scenario2Utilisation</f>
        <v>0</v>
      </c>
      <c r="BK12" s="82">
        <f t="shared" ref="BK12:BK68" si="7">BJ12*Scenario2AgileContingency</f>
        <v>0</v>
      </c>
      <c r="BL12" s="82">
        <f t="shared" ref="BL12:BL25" si="8">IF(Scenario2Warranty=AgileWarrantyDefault, (SUMIF(I$8:BH$8,AgileIteration_Warranty,I12:BH12)*5*Scenario2Utilisation), (BJ12*Scenario2Warranty))</f>
        <v>0</v>
      </c>
      <c r="BM12" s="127">
        <f t="shared" ref="BM12:BM155" si="9">SUM(BJ12:BL12)</f>
        <v>0</v>
      </c>
    </row>
    <row r="13" spans="1:69" s="74" customFormat="1" ht="11.25" x14ac:dyDescent="0.2">
      <c r="A13" s="210">
        <v>2</v>
      </c>
      <c r="B13" s="458" t="s">
        <v>593</v>
      </c>
      <c r="C13" s="462" t="str">
        <f t="shared" si="5"/>
        <v>Management</v>
      </c>
      <c r="D13" s="464" t="s">
        <v>598</v>
      </c>
      <c r="E13" s="460"/>
      <c r="F13" s="528" t="s">
        <v>597</v>
      </c>
      <c r="G13" s="528"/>
      <c r="H13" s="443" t="str">
        <f>H12</f>
        <v>Program</v>
      </c>
      <c r="I13" s="407"/>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3"/>
      <c r="BI13" s="480"/>
      <c r="BJ13" s="82">
        <f t="shared" si="6"/>
        <v>0</v>
      </c>
      <c r="BK13" s="82">
        <f t="shared" si="7"/>
        <v>0</v>
      </c>
      <c r="BL13" s="82">
        <f t="shared" si="8"/>
        <v>0</v>
      </c>
      <c r="BM13" s="127">
        <f t="shared" si="9"/>
        <v>0</v>
      </c>
    </row>
    <row r="14" spans="1:69" s="74" customFormat="1" ht="11.25" x14ac:dyDescent="0.2">
      <c r="A14" s="210">
        <v>2</v>
      </c>
      <c r="B14" s="458" t="s">
        <v>593</v>
      </c>
      <c r="C14" s="462" t="str">
        <f t="shared" si="5"/>
        <v>Project Manager</v>
      </c>
      <c r="D14" s="464" t="s">
        <v>599</v>
      </c>
      <c r="E14" s="460"/>
      <c r="F14" s="528" t="s">
        <v>597</v>
      </c>
      <c r="G14" s="528"/>
      <c r="H14" s="443" t="str">
        <f t="shared" ref="H14" si="10">H13</f>
        <v>Program</v>
      </c>
      <c r="I14" s="407"/>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c r="BH14" s="173"/>
      <c r="BI14" s="480"/>
      <c r="BJ14" s="82">
        <f t="shared" si="6"/>
        <v>0</v>
      </c>
      <c r="BK14" s="82">
        <f t="shared" si="7"/>
        <v>0</v>
      </c>
      <c r="BL14" s="82">
        <f t="shared" si="8"/>
        <v>0</v>
      </c>
      <c r="BM14" s="127">
        <f t="shared" ref="BM14:BM20" si="11">SUM(BJ14:BL14)</f>
        <v>0</v>
      </c>
    </row>
    <row r="15" spans="1:69" s="74" customFormat="1" ht="11.25" x14ac:dyDescent="0.2">
      <c r="A15" s="210">
        <v>2</v>
      </c>
      <c r="B15" s="458" t="s">
        <v>593</v>
      </c>
      <c r="C15" s="462" t="str">
        <f t="shared" ref="C15:C19" si="12">IFERROR(VLOOKUP(D15,MappingFromSetAgiletoTTSRole,2,FALSE),"SET Agile Resource Role")</f>
        <v>Architect Sr</v>
      </c>
      <c r="D15" s="464" t="s">
        <v>603</v>
      </c>
      <c r="E15" s="460"/>
      <c r="F15" s="528" t="str">
        <f t="shared" ref="F15:F23" si="13">IFERROR(VLOOKUP(C15,MappingFromTTStoSU,2,FALSE),"SU Resource Role")</f>
        <v>DWMS</v>
      </c>
      <c r="G15" s="528"/>
      <c r="H15" s="443" t="str">
        <f t="shared" ref="H15:H21" si="14">H14</f>
        <v>Program</v>
      </c>
      <c r="I15" s="407"/>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c r="BC15" s="172"/>
      <c r="BD15" s="172"/>
      <c r="BE15" s="172"/>
      <c r="BF15" s="172"/>
      <c r="BG15" s="172"/>
      <c r="BH15" s="173"/>
      <c r="BI15" s="480"/>
      <c r="BJ15" s="82">
        <f t="shared" ref="BJ15" si="15">SUMIF(I$8:BH$8, "&lt;&gt;"&amp;AgileIteration_Warranty,I15:BH15)*5*Scenario2Utilisation</f>
        <v>0</v>
      </c>
      <c r="BK15" s="82">
        <f t="shared" ref="BK15" si="16">BJ15*Scenario2AgileContingency</f>
        <v>0</v>
      </c>
      <c r="BL15" s="82">
        <f t="shared" ref="BL15" si="17">IF(Scenario2Warranty=AgileWarrantyDefault, (SUMIF(I$8:BH$8,AgileIteration_Warranty,I15:BH15)*5*Scenario2Utilisation), (BJ15*Scenario2Warranty))</f>
        <v>0</v>
      </c>
      <c r="BM15" s="127">
        <f t="shared" si="11"/>
        <v>0</v>
      </c>
    </row>
    <row r="16" spans="1:69" s="74" customFormat="1" ht="11.25" x14ac:dyDescent="0.2">
      <c r="A16" s="210">
        <v>2</v>
      </c>
      <c r="B16" s="458" t="s">
        <v>593</v>
      </c>
      <c r="C16" s="462" t="s">
        <v>604</v>
      </c>
      <c r="D16" s="464" t="s">
        <v>605</v>
      </c>
      <c r="E16" s="460"/>
      <c r="F16" s="528" t="str">
        <f t="shared" si="13"/>
        <v>DWMS</v>
      </c>
      <c r="G16" s="528"/>
      <c r="H16" s="443" t="str">
        <f t="shared" si="14"/>
        <v>Program</v>
      </c>
      <c r="I16" s="407"/>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c r="BC16" s="172"/>
      <c r="BD16" s="172"/>
      <c r="BE16" s="172"/>
      <c r="BF16" s="172"/>
      <c r="BG16" s="172"/>
      <c r="BH16" s="173"/>
      <c r="BI16" s="480"/>
      <c r="BJ16" s="82">
        <f t="shared" ref="BJ16" si="18">SUMIF(I$8:BH$8, "&lt;&gt;"&amp;AgileIteration_Warranty,I16:BH16)*5*Scenario2Utilisation</f>
        <v>0</v>
      </c>
      <c r="BK16" s="82">
        <f t="shared" ref="BK16" si="19">BJ16*Scenario2AgileContingency</f>
        <v>0</v>
      </c>
      <c r="BL16" s="82">
        <f t="shared" ref="BL16" si="20">IF(Scenario2Warranty=AgileWarrantyDefault, (SUMIF(I$8:BH$8,AgileIteration_Warranty,I16:BH16)*5*Scenario2Utilisation), (BJ16*Scenario2Warranty))</f>
        <v>0</v>
      </c>
      <c r="BM16" s="127">
        <f t="shared" si="11"/>
        <v>0</v>
      </c>
    </row>
    <row r="17" spans="1:65" s="74" customFormat="1" ht="11.25" x14ac:dyDescent="0.2">
      <c r="A17" s="210">
        <v>2</v>
      </c>
      <c r="B17" s="458" t="s">
        <v>593</v>
      </c>
      <c r="C17" s="462" t="str">
        <f t="shared" si="12"/>
        <v>Project Manager</v>
      </c>
      <c r="D17" s="464" t="s">
        <v>721</v>
      </c>
      <c r="E17" s="460"/>
      <c r="F17" s="528" t="str">
        <f t="shared" si="13"/>
        <v>DWMS</v>
      </c>
      <c r="G17" s="528"/>
      <c r="H17" s="443" t="str">
        <f t="shared" si="14"/>
        <v>Program</v>
      </c>
      <c r="I17" s="407"/>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c r="BC17" s="172"/>
      <c r="BD17" s="172"/>
      <c r="BE17" s="172"/>
      <c r="BF17" s="172"/>
      <c r="BG17" s="172"/>
      <c r="BH17" s="173"/>
      <c r="BI17" s="480"/>
      <c r="BJ17" s="82">
        <f t="shared" ref="BJ17" si="21">SUMIF(I$8:BH$8, "&lt;&gt;"&amp;AgileIteration_Warranty,I17:BH17)*5*Scenario2Utilisation</f>
        <v>0</v>
      </c>
      <c r="BK17" s="82">
        <f t="shared" ref="BK17" si="22">BJ17*Scenario2AgileContingency</f>
        <v>0</v>
      </c>
      <c r="BL17" s="82">
        <f t="shared" ref="BL17" si="23">IF(Scenario2Warranty=AgileWarrantyDefault, (SUMIF(I$8:BH$8,AgileIteration_Warranty,I17:BH17)*5*Scenario2Utilisation), (BJ17*Scenario2Warranty))</f>
        <v>0</v>
      </c>
      <c r="BM17" s="127">
        <f t="shared" si="11"/>
        <v>0</v>
      </c>
    </row>
    <row r="18" spans="1:65" s="74" customFormat="1" ht="11.25" x14ac:dyDescent="0.2">
      <c r="A18" s="210">
        <v>2</v>
      </c>
      <c r="B18" s="458" t="s">
        <v>593</v>
      </c>
      <c r="C18" s="462" t="str">
        <f>IFERROR(VLOOKUP(D18,MappingFromSetAgiletoTTSRole,2,FALSE),"SET Agile Resource Role")</f>
        <v>Architect Sr</v>
      </c>
      <c r="D18" s="464" t="s">
        <v>608</v>
      </c>
      <c r="E18" s="460"/>
      <c r="F18" s="528" t="s">
        <v>609</v>
      </c>
      <c r="G18" s="528"/>
      <c r="H18" s="443" t="str">
        <f>H17</f>
        <v>Program</v>
      </c>
      <c r="I18" s="407"/>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c r="BC18" s="172"/>
      <c r="BD18" s="172"/>
      <c r="BE18" s="172"/>
      <c r="BF18" s="172"/>
      <c r="BG18" s="172"/>
      <c r="BH18" s="173"/>
      <c r="BI18" s="480"/>
      <c r="BJ18" s="82">
        <f t="shared" ref="BJ18" si="24">SUMIF(I$8:BH$8, "&lt;&gt;"&amp;AgileIteration_Warranty,I18:BH18)*5*Scenario2Utilisation</f>
        <v>0</v>
      </c>
      <c r="BK18" s="82">
        <f t="shared" ref="BK18" si="25">BJ18*Scenario2AgileContingency</f>
        <v>0</v>
      </c>
      <c r="BL18" s="82">
        <f t="shared" ref="BL18" si="26">IF(Scenario2Warranty=AgileWarrantyDefault, (SUMIF(I$8:BH$8,AgileIteration_Warranty,I18:BH18)*5*Scenario2Utilisation), (BJ18*Scenario2Warranty))</f>
        <v>0</v>
      </c>
      <c r="BM18" s="127">
        <f t="shared" ref="BM18" si="27">SUM(BJ18:BL18)</f>
        <v>0</v>
      </c>
    </row>
    <row r="19" spans="1:65" s="74" customFormat="1" ht="11.25" x14ac:dyDescent="0.2">
      <c r="A19" s="210">
        <v>2</v>
      </c>
      <c r="B19" s="458" t="s">
        <v>593</v>
      </c>
      <c r="C19" s="462" t="str">
        <f t="shared" si="12"/>
        <v>Architect Sr</v>
      </c>
      <c r="D19" s="464" t="s">
        <v>679</v>
      </c>
      <c r="E19" s="460"/>
      <c r="F19" s="528" t="str">
        <f t="shared" si="13"/>
        <v>DWMS</v>
      </c>
      <c r="G19" s="528"/>
      <c r="H19" s="443" t="str">
        <f>H17</f>
        <v>Program</v>
      </c>
      <c r="I19" s="407"/>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2"/>
      <c r="BE19" s="172"/>
      <c r="BF19" s="172"/>
      <c r="BG19" s="172"/>
      <c r="BH19" s="173"/>
      <c r="BI19" s="480"/>
      <c r="BJ19" s="82">
        <f t="shared" ref="BJ19" si="28">SUMIF(I$8:BH$8, "&lt;&gt;"&amp;AgileIteration_Warranty,I19:BH19)*5*Scenario2Utilisation</f>
        <v>0</v>
      </c>
      <c r="BK19" s="82">
        <f t="shared" ref="BK19" si="29">BJ19*Scenario2AgileContingency</f>
        <v>0</v>
      </c>
      <c r="BL19" s="82">
        <f t="shared" ref="BL19" si="30">IF(Scenario2Warranty=AgileWarrantyDefault, (SUMIF(I$8:BH$8,AgileIteration_Warranty,I19:BH19)*5*Scenario2Utilisation), (BJ19*Scenario2Warranty))</f>
        <v>0</v>
      </c>
      <c r="BM19" s="127">
        <f t="shared" si="11"/>
        <v>0</v>
      </c>
    </row>
    <row r="20" spans="1:65" s="74" customFormat="1" ht="11.25" x14ac:dyDescent="0.2">
      <c r="A20" s="210">
        <v>2</v>
      </c>
      <c r="B20" s="458" t="s">
        <v>593</v>
      </c>
      <c r="C20" s="462" t="s">
        <v>604</v>
      </c>
      <c r="D20" s="464" t="s">
        <v>722</v>
      </c>
      <c r="E20" s="460"/>
      <c r="F20" s="528" t="str">
        <f t="shared" si="13"/>
        <v>DWMS</v>
      </c>
      <c r="G20" s="528"/>
      <c r="H20" s="443" t="str">
        <f>H19</f>
        <v>Program</v>
      </c>
      <c r="I20" s="407"/>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c r="BC20" s="172"/>
      <c r="BD20" s="172"/>
      <c r="BE20" s="172"/>
      <c r="BF20" s="172"/>
      <c r="BG20" s="172"/>
      <c r="BH20" s="173"/>
      <c r="BI20" s="480"/>
      <c r="BJ20" s="82">
        <f t="shared" ref="BJ20" si="31">SUMIF(I$8:BH$8, "&lt;&gt;"&amp;AgileIteration_Warranty,I20:BH20)*5*Scenario2Utilisation</f>
        <v>0</v>
      </c>
      <c r="BK20" s="82">
        <f t="shared" ref="BK20" si="32">BJ20*Scenario2AgileContingency</f>
        <v>0</v>
      </c>
      <c r="BL20" s="82">
        <f t="shared" ref="BL20" si="33">IF(Scenario2Warranty=AgileWarrantyDefault, (SUMIF(I$8:BH$8,AgileIteration_Warranty,I20:BH20)*5*Scenario2Utilisation), (BJ20*Scenario2Warranty))</f>
        <v>0</v>
      </c>
      <c r="BM20" s="127">
        <f t="shared" si="11"/>
        <v>0</v>
      </c>
    </row>
    <row r="21" spans="1:65" s="74" customFormat="1" ht="11.25" x14ac:dyDescent="0.2">
      <c r="A21" s="210">
        <v>2</v>
      </c>
      <c r="B21" s="458" t="s">
        <v>593</v>
      </c>
      <c r="C21" s="462" t="str">
        <f>IFERROR(VLOOKUP(D21,MappingFromSetAgiletoTTSRole,2,FALSE),"SET Agile Resource Role")</f>
        <v>Project Manager</v>
      </c>
      <c r="D21" s="464" t="s">
        <v>723</v>
      </c>
      <c r="E21" s="460"/>
      <c r="F21" s="528" t="str">
        <f t="shared" si="13"/>
        <v>DWMS</v>
      </c>
      <c r="G21" s="528"/>
      <c r="H21" s="443" t="str">
        <f t="shared" si="14"/>
        <v>Program</v>
      </c>
      <c r="I21" s="407"/>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3"/>
      <c r="BI21" s="480"/>
      <c r="BJ21" s="82">
        <f t="shared" ref="BJ21" si="34">SUMIF(I$8:BH$8, "&lt;&gt;"&amp;AgileIteration_Warranty,I21:BH21)*5*Scenario2Utilisation</f>
        <v>0</v>
      </c>
      <c r="BK21" s="82">
        <f t="shared" ref="BK21" si="35">BJ21*Scenario2AgileContingency</f>
        <v>0</v>
      </c>
      <c r="BL21" s="82">
        <f t="shared" ref="BL21" si="36">IF(Scenario2Warranty=AgileWarrantyDefault, (SUMIF(I$8:BH$8,AgileIteration_Warranty,I21:BH21)*5*Scenario2Utilisation), (BJ21*Scenario2Warranty))</f>
        <v>0</v>
      </c>
      <c r="BM21" s="127">
        <f t="shared" ref="BM21" si="37">SUM(BJ21:BL21)</f>
        <v>0</v>
      </c>
    </row>
    <row r="22" spans="1:65" s="74" customFormat="1" ht="11.25" x14ac:dyDescent="0.2">
      <c r="A22" s="210">
        <v>2</v>
      </c>
      <c r="B22" s="458" t="s">
        <v>593</v>
      </c>
      <c r="C22" s="462" t="str">
        <f>IFERROR(VLOOKUP(D22,MappingFromSetAgiletoTTSRole,2,FALSE),"SET Agile Resource Role")</f>
        <v>Project Manager</v>
      </c>
      <c r="D22" s="464" t="s">
        <v>620</v>
      </c>
      <c r="E22" s="460"/>
      <c r="F22" s="528" t="str">
        <f t="shared" si="13"/>
        <v>DWMS</v>
      </c>
      <c r="G22" s="528"/>
      <c r="H22" s="443" t="str">
        <f>H20</f>
        <v>Program</v>
      </c>
      <c r="I22" s="407"/>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c r="BC22" s="172"/>
      <c r="BD22" s="172"/>
      <c r="BE22" s="172"/>
      <c r="BF22" s="172"/>
      <c r="BG22" s="172"/>
      <c r="BH22" s="173"/>
      <c r="BI22" s="480"/>
      <c r="BJ22" s="82">
        <f t="shared" ref="BJ22" si="38">SUMIF(I$8:BH$8, "&lt;&gt;"&amp;AgileIteration_Warranty,I22:BH22)*5*Scenario2Utilisation</f>
        <v>0</v>
      </c>
      <c r="BK22" s="82">
        <f t="shared" ref="BK22" si="39">BJ22*Scenario2AgileContingency</f>
        <v>0</v>
      </c>
      <c r="BL22" s="82">
        <f t="shared" ref="BL22" si="40">IF(Scenario2Warranty=AgileWarrantyDefault, (SUMIF(I$8:BH$8,AgileIteration_Warranty,I22:BH22)*5*Scenario2Utilisation), (BJ22*Scenario2Warranty))</f>
        <v>0</v>
      </c>
      <c r="BM22" s="127">
        <f t="shared" ref="BM22" si="41">SUM(BJ22:BL22)</f>
        <v>0</v>
      </c>
    </row>
    <row r="23" spans="1:65" s="74" customFormat="1" ht="11.25" x14ac:dyDescent="0.2">
      <c r="A23" s="210">
        <v>2</v>
      </c>
      <c r="B23" s="458" t="s">
        <v>593</v>
      </c>
      <c r="C23" s="462" t="str">
        <f>IFERROR(VLOOKUP(D23,MappingFromSetAgiletoTTSRole,2,FALSE),"SET Agile Resource Role")</f>
        <v>Project Manager</v>
      </c>
      <c r="D23" s="464" t="s">
        <v>610</v>
      </c>
      <c r="E23" s="460"/>
      <c r="F23" s="528" t="str">
        <f t="shared" si="13"/>
        <v>DWMS</v>
      </c>
      <c r="G23" s="528"/>
      <c r="H23" s="443" t="str">
        <f>H22</f>
        <v>Program</v>
      </c>
      <c r="I23" s="407"/>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c r="BC23" s="172"/>
      <c r="BD23" s="172"/>
      <c r="BE23" s="172"/>
      <c r="BF23" s="172"/>
      <c r="BG23" s="172"/>
      <c r="BH23" s="173"/>
      <c r="BI23" s="480"/>
      <c r="BJ23" s="82">
        <f t="shared" ref="BJ23" si="42">SUMIF(I$8:BH$8, "&lt;&gt;"&amp;AgileIteration_Warranty,I23:BH23)*5*Scenario2Utilisation</f>
        <v>0</v>
      </c>
      <c r="BK23" s="82">
        <f t="shared" ref="BK23" si="43">BJ23*Scenario2AgileContingency</f>
        <v>0</v>
      </c>
      <c r="BL23" s="82">
        <f t="shared" ref="BL23" si="44">IF(Scenario2Warranty=AgileWarrantyDefault, (SUMIF(I$8:BH$8,AgileIteration_Warranty,I23:BH23)*5*Scenario2Utilisation), (BJ23*Scenario2Warranty))</f>
        <v>0</v>
      </c>
      <c r="BM23" s="127">
        <f t="shared" ref="BM23" si="45">SUM(BJ23:BL23)</f>
        <v>0</v>
      </c>
    </row>
    <row r="24" spans="1:65" s="74" customFormat="1" ht="11.25" x14ac:dyDescent="0.2">
      <c r="A24" s="210">
        <v>2</v>
      </c>
      <c r="B24" s="458" t="s">
        <v>593</v>
      </c>
      <c r="C24" s="462" t="str">
        <f>IFERROR(VLOOKUP(D24,MappingFromSetAgiletoTTSRole,2,FALSE),"SET Agile Resource Role")</f>
        <v>Support Analyst</v>
      </c>
      <c r="D24" s="464" t="s">
        <v>611</v>
      </c>
      <c r="E24" s="460"/>
      <c r="F24" s="528" t="str">
        <f>IFERROR(VLOOKUP(C24,MappingFromTTStoSU,2,FALSE),"SU Resource Role")</f>
        <v>DE</v>
      </c>
      <c r="G24" s="528"/>
      <c r="H24" s="443" t="str">
        <f>H23</f>
        <v>Program</v>
      </c>
      <c r="I24" s="407"/>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c r="BC24" s="172"/>
      <c r="BD24" s="172"/>
      <c r="BE24" s="172"/>
      <c r="BF24" s="172"/>
      <c r="BG24" s="172"/>
      <c r="BH24" s="173"/>
      <c r="BI24" s="480"/>
      <c r="BJ24" s="82">
        <f t="shared" ref="BJ24" si="46">SUMIF(I$8:BH$8, "&lt;&gt;"&amp;AgileIteration_Warranty,I24:BH24)*5*Scenario2Utilisation</f>
        <v>0</v>
      </c>
      <c r="BK24" s="82">
        <f t="shared" ref="BK24" si="47">BJ24*Scenario2AgileContingency</f>
        <v>0</v>
      </c>
      <c r="BL24" s="82">
        <f t="shared" ref="BL24" si="48">IF(Scenario2Warranty=AgileWarrantyDefault, (SUMIF(I$8:BH$8,AgileIteration_Warranty,I24:BH24)*5*Scenario2Utilisation), (BJ24*Scenario2Warranty))</f>
        <v>0</v>
      </c>
      <c r="BM24" s="127">
        <f t="shared" ref="BM24" si="49">SUM(BJ24:BL24)</f>
        <v>0</v>
      </c>
    </row>
    <row r="25" spans="1:65" s="74" customFormat="1" ht="11.25" x14ac:dyDescent="0.2">
      <c r="A25" s="210">
        <v>2</v>
      </c>
      <c r="B25" s="458" t="s">
        <v>593</v>
      </c>
      <c r="C25" s="462" t="str">
        <f t="shared" si="5"/>
        <v>Project Manager</v>
      </c>
      <c r="D25" s="465" t="s">
        <v>724</v>
      </c>
      <c r="E25" s="460"/>
      <c r="F25" s="528" t="s">
        <v>607</v>
      </c>
      <c r="G25" s="528"/>
      <c r="H25" s="443" t="str">
        <f>H23</f>
        <v>Program</v>
      </c>
      <c r="I25" s="407"/>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86"/>
      <c r="BI25" s="480"/>
      <c r="BJ25" s="82">
        <f t="shared" si="6"/>
        <v>0</v>
      </c>
      <c r="BK25" s="82">
        <f t="shared" si="7"/>
        <v>0</v>
      </c>
      <c r="BL25" s="82">
        <f t="shared" si="8"/>
        <v>0</v>
      </c>
      <c r="BM25" s="127">
        <f t="shared" si="9"/>
        <v>0</v>
      </c>
    </row>
    <row r="26" spans="1:65" s="74" customFormat="1" ht="11.25" x14ac:dyDescent="0.2">
      <c r="A26" s="210">
        <v>2</v>
      </c>
      <c r="B26" s="458" t="s">
        <v>593</v>
      </c>
      <c r="C26" s="462" t="str">
        <f>IFERROR(VLOOKUP(D26,MappingFromSetAgiletoTTSRole,2,FALSE),"SET Agile Resource Role")</f>
        <v>Project Manager</v>
      </c>
      <c r="D26" s="465" t="s">
        <v>725</v>
      </c>
      <c r="E26" s="460"/>
      <c r="F26" s="528" t="str">
        <f>IFERROR(VLOOKUP(C26,MappingFromTTStoSU,2,FALSE),"SU Resource Role")</f>
        <v>DWMS</v>
      </c>
      <c r="G26" s="528"/>
      <c r="H26" s="443" t="str">
        <f>H25</f>
        <v>Program</v>
      </c>
      <c r="I26" s="407"/>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86"/>
      <c r="BI26" s="480"/>
      <c r="BJ26" s="82">
        <f t="shared" ref="BJ26" si="50">SUMIF(I$8:BH$8, "&lt;&gt;"&amp;AgileIteration_Warranty,I26:BH26)*5*Scenario2Utilisation</f>
        <v>0</v>
      </c>
      <c r="BK26" s="82">
        <f t="shared" ref="BK26" si="51">BJ26*Scenario2AgileContingency</f>
        <v>0</v>
      </c>
      <c r="BL26" s="82">
        <f t="shared" ref="BL26" si="52">IF(Scenario2Warranty=AgileWarrantyDefault, (SUMIF(I$8:BH$8,AgileIteration_Warranty,I26:BH26)*5*Scenario2Utilisation), (BJ26*Scenario2Warranty))</f>
        <v>0</v>
      </c>
      <c r="BM26" s="127">
        <f t="shared" ref="BM26" si="53">SUM(BJ26:BL26)</f>
        <v>0</v>
      </c>
    </row>
    <row r="27" spans="1:65" s="74" customFormat="1" ht="11.25" x14ac:dyDescent="0.2">
      <c r="A27" s="210">
        <v>2</v>
      </c>
      <c r="B27" s="458" t="s">
        <v>593</v>
      </c>
      <c r="C27" s="462" t="str">
        <f>IFERROR(VLOOKUP(D27,MappingFromSetAgiletoTTSRole,2,FALSE),"SET Agile Resource Role")</f>
        <v>Architect Sr</v>
      </c>
      <c r="D27" s="461" t="s">
        <v>608</v>
      </c>
      <c r="E27" s="460"/>
      <c r="F27" s="528" t="str">
        <f>IFERROR(VLOOKUP(C27,MappingFromTTStoSU,2,FALSE),"SU Resource Role")</f>
        <v>DWMS</v>
      </c>
      <c r="G27" s="528"/>
      <c r="H27" s="443" t="str">
        <f>H25</f>
        <v>Program</v>
      </c>
      <c r="I27" s="407"/>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2"/>
      <c r="AL27" s="172"/>
      <c r="AM27" s="172"/>
      <c r="AN27" s="172"/>
      <c r="AO27" s="172"/>
      <c r="AP27" s="172"/>
      <c r="AQ27" s="172"/>
      <c r="AR27" s="172"/>
      <c r="AS27" s="172"/>
      <c r="AT27" s="172"/>
      <c r="AU27" s="172"/>
      <c r="AV27" s="172"/>
      <c r="AW27" s="172"/>
      <c r="AX27" s="172"/>
      <c r="AY27" s="172"/>
      <c r="AZ27" s="172"/>
      <c r="BA27" s="172"/>
      <c r="BB27" s="172"/>
      <c r="BC27" s="172"/>
      <c r="BD27" s="172"/>
      <c r="BE27" s="172"/>
      <c r="BF27" s="172"/>
      <c r="BG27" s="172"/>
      <c r="BH27" s="186"/>
      <c r="BI27" s="480"/>
      <c r="BJ27" s="82">
        <f t="shared" ref="BJ27" si="54">SUMIF(I$8:BH$8, "&lt;&gt;"&amp;AgileIteration_Warranty,I27:BH27)*5*Scenario2Utilisation</f>
        <v>0</v>
      </c>
      <c r="BK27" s="82">
        <f t="shared" ref="BK27" si="55">BJ27*Scenario2AgileContingency</f>
        <v>0</v>
      </c>
      <c r="BL27" s="82">
        <f t="shared" ref="BL27" si="56">IF(Scenario2Warranty=AgileWarrantyDefault, (SUMIF(I$8:BH$8,AgileIteration_Warranty,I27:BH27)*5*Scenario2Utilisation), (BJ27*Scenario2Warranty))</f>
        <v>0</v>
      </c>
      <c r="BM27" s="127">
        <f t="shared" ref="BM27" si="57">SUM(BJ27:BL27)</f>
        <v>0</v>
      </c>
    </row>
    <row r="28" spans="1:65" s="74" customFormat="1" ht="11.25" x14ac:dyDescent="0.2">
      <c r="A28" s="210">
        <v>2</v>
      </c>
      <c r="B28" s="458" t="s">
        <v>593</v>
      </c>
      <c r="C28" s="462" t="str">
        <f>IFERROR(VLOOKUP(D28,MappingFromSetAgiletoTTSRole,2,FALSE),"SET Agile Resource Role")</f>
        <v>Business Consultant Sr</v>
      </c>
      <c r="D28" s="461" t="s">
        <v>668</v>
      </c>
      <c r="E28" s="460"/>
      <c r="F28" s="528" t="str">
        <f>IFERROR(VLOOKUP(C28,MappingFromTTStoSU,2,FALSE),"SU Resource Role")</f>
        <v>DWMS</v>
      </c>
      <c r="G28" s="528"/>
      <c r="H28" s="443" t="str">
        <f>H27</f>
        <v>Program</v>
      </c>
      <c r="I28" s="407"/>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2"/>
      <c r="AL28" s="172"/>
      <c r="AM28" s="172"/>
      <c r="AN28" s="172"/>
      <c r="AO28" s="172"/>
      <c r="AP28" s="172"/>
      <c r="AQ28" s="172"/>
      <c r="AR28" s="172"/>
      <c r="AS28" s="172"/>
      <c r="AT28" s="172"/>
      <c r="AU28" s="172"/>
      <c r="AV28" s="172"/>
      <c r="AW28" s="172"/>
      <c r="AX28" s="172"/>
      <c r="AY28" s="172"/>
      <c r="AZ28" s="172"/>
      <c r="BA28" s="172"/>
      <c r="BB28" s="172"/>
      <c r="BC28" s="172"/>
      <c r="BD28" s="172"/>
      <c r="BE28" s="172"/>
      <c r="BF28" s="172"/>
      <c r="BG28" s="172"/>
      <c r="BH28" s="186"/>
      <c r="BI28" s="480"/>
      <c r="BJ28" s="82">
        <f t="shared" ref="BJ28" si="58">SUMIF(I$8:BH$8, "&lt;&gt;"&amp;AgileIteration_Warranty,I28:BH28)*5*Scenario2Utilisation</f>
        <v>0</v>
      </c>
      <c r="BK28" s="82">
        <f t="shared" ref="BK28" si="59">BJ28*Scenario2AgileContingency</f>
        <v>0</v>
      </c>
      <c r="BL28" s="82">
        <f t="shared" ref="BL28" si="60">IF(Scenario2Warranty=AgileWarrantyDefault, (SUMIF(I$8:BH$8,AgileIteration_Warranty,I28:BH28)*5*Scenario2Utilisation), (BJ28*Scenario2Warranty))</f>
        <v>0</v>
      </c>
      <c r="BM28" s="127">
        <f t="shared" ref="BM28" si="61">SUM(BJ28:BL28)</f>
        <v>0</v>
      </c>
    </row>
    <row r="29" spans="1:65" s="142" customFormat="1" ht="11.25" x14ac:dyDescent="0.2">
      <c r="A29" s="208">
        <v>1</v>
      </c>
      <c r="B29" s="209" t="s">
        <v>593</v>
      </c>
      <c r="C29" s="459" t="s">
        <v>612</v>
      </c>
      <c r="D29" s="459" t="s">
        <v>612</v>
      </c>
      <c r="E29" s="441"/>
      <c r="F29" s="441"/>
      <c r="G29" s="441"/>
      <c r="H29" s="442"/>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193"/>
      <c r="BI29" s="480"/>
      <c r="BJ29" s="150"/>
      <c r="BK29" s="150"/>
      <c r="BL29" s="150"/>
      <c r="BM29" s="150"/>
    </row>
    <row r="30" spans="1:65" s="74" customFormat="1" ht="11.25" x14ac:dyDescent="0.2">
      <c r="A30" s="210">
        <v>2</v>
      </c>
      <c r="B30" s="458" t="s">
        <v>593</v>
      </c>
      <c r="C30" s="462" t="str">
        <f>IFERROR(VLOOKUP(D30,MappingFromSetAgiletoTTSRole,2,FALSE),"SET Agile Resource Role")</f>
        <v>Architect</v>
      </c>
      <c r="D30" s="463" t="s">
        <v>614</v>
      </c>
      <c r="E30" s="460"/>
      <c r="F30" s="528" t="str">
        <f>IFERROR(VLOOKUP(C30,MappingFromTTStoSU,2,FALSE),"SU Resource Role")</f>
        <v>DWMS</v>
      </c>
      <c r="G30" s="528"/>
      <c r="H30" s="533" t="str">
        <f>C29</f>
        <v>Project</v>
      </c>
      <c r="I30" s="406"/>
      <c r="J30" s="406"/>
      <c r="K30" s="406"/>
      <c r="L30" s="406"/>
      <c r="M30" s="406"/>
      <c r="N30" s="406"/>
      <c r="O30" s="406"/>
      <c r="P30" s="406"/>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180"/>
      <c r="BI30" s="480"/>
      <c r="BJ30" s="82">
        <f t="shared" ref="BJ30" si="62">SUMIF(I$8:BH$8, "&lt;&gt;"&amp;AgileIteration_Warranty,I30:BH30)*5*Scenario2Utilisation</f>
        <v>0</v>
      </c>
      <c r="BK30" s="82">
        <f t="shared" ref="BK30" si="63">BJ30*Scenario2AgileContingency</f>
        <v>0</v>
      </c>
      <c r="BL30" s="82">
        <f t="shared" ref="BL30" si="64">IF(Scenario2Warranty=AgileWarrantyDefault, (SUMIF(I$8:BH$8,AgileIteration_Warranty,I30:BH30)*5*Scenario2Utilisation), (BJ30*Scenario2Warranty))</f>
        <v>0</v>
      </c>
      <c r="BM30" s="127">
        <f t="shared" ref="BM30" si="65">SUM(BJ30:BL30)</f>
        <v>0</v>
      </c>
    </row>
    <row r="31" spans="1:65" s="74" customFormat="1" ht="11.25" x14ac:dyDescent="0.2">
      <c r="A31" s="210">
        <v>2</v>
      </c>
      <c r="B31" s="458" t="s">
        <v>593</v>
      </c>
      <c r="C31" s="462" t="str">
        <f>IFERROR(VLOOKUP(D31,MappingFromSetAgiletoTTSRole,2,FALSE),"SET Agile Resource Role")</f>
        <v>Business Consultant Sr</v>
      </c>
      <c r="D31" s="463" t="s">
        <v>615</v>
      </c>
      <c r="E31" s="460"/>
      <c r="F31" s="528" t="str">
        <f>IFERROR(VLOOKUP(C31,MappingFromTTStoSU,2,FALSE),"SU Resource Role")</f>
        <v>DWMS</v>
      </c>
      <c r="G31" s="528"/>
      <c r="H31" s="533" t="str">
        <f>H30</f>
        <v>Project</v>
      </c>
      <c r="I31" s="406"/>
      <c r="J31" s="406"/>
      <c r="K31" s="406"/>
      <c r="L31" s="406"/>
      <c r="M31" s="406"/>
      <c r="N31" s="406"/>
      <c r="O31" s="406"/>
      <c r="P31" s="406"/>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180"/>
      <c r="BI31" s="480"/>
      <c r="BJ31" s="82">
        <f t="shared" ref="BJ31" si="66">SUMIF(I$8:BH$8, "&lt;&gt;"&amp;AgileIteration_Warranty,I31:BH31)*5*Scenario2Utilisation</f>
        <v>0</v>
      </c>
      <c r="BK31" s="82">
        <f t="shared" ref="BK31" si="67">BJ31*Scenario2AgileContingency</f>
        <v>0</v>
      </c>
      <c r="BL31" s="82">
        <f t="shared" ref="BL31" si="68">IF(Scenario2Warranty=AgileWarrantyDefault, (SUMIF(I$8:BH$8,AgileIteration_Warranty,I31:BH31)*5*Scenario2Utilisation), (BJ31*Scenario2Warranty))</f>
        <v>0</v>
      </c>
      <c r="BM31" s="127">
        <f t="shared" ref="BM31" si="69">SUM(BJ31:BL31)</f>
        <v>0</v>
      </c>
    </row>
    <row r="32" spans="1:65" s="74" customFormat="1" ht="11.25" x14ac:dyDescent="0.2">
      <c r="A32" s="210">
        <v>2</v>
      </c>
      <c r="B32" s="458" t="s">
        <v>593</v>
      </c>
      <c r="C32" s="462" t="str">
        <f>IFERROR(VLOOKUP(D32,MappingFromSetAgiletoTTSRole,2,FALSE),"SET Agile Resource Role")</f>
        <v>Project Manager</v>
      </c>
      <c r="D32" s="463" t="s">
        <v>616</v>
      </c>
      <c r="E32" s="460"/>
      <c r="F32" s="528" t="str">
        <f>IFERROR(VLOOKUP(C32,MappingFromTTStoSU,2,FALSE),"SU Resource Role")</f>
        <v>DWMS</v>
      </c>
      <c r="G32" s="528"/>
      <c r="H32" s="533" t="str">
        <f>H31</f>
        <v>Project</v>
      </c>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180"/>
      <c r="BI32" s="480"/>
      <c r="BJ32" s="82">
        <f t="shared" ref="BJ32" si="70">SUMIF(I$8:BH$8, "&lt;&gt;"&amp;AgileIteration_Warranty,I32:BH32)*5*Scenario2Utilisation</f>
        <v>0</v>
      </c>
      <c r="BK32" s="82">
        <f t="shared" ref="BK32" si="71">BJ32*Scenario2AgileContingency</f>
        <v>0</v>
      </c>
      <c r="BL32" s="82">
        <f t="shared" ref="BL32" si="72">IF(Scenario2Warranty=AgileWarrantyDefault, (SUMIF(I$8:BH$8,AgileIteration_Warranty,I32:BH32)*5*Scenario2Utilisation), (BJ32*Scenario2Warranty))</f>
        <v>0</v>
      </c>
      <c r="BM32" s="127">
        <f t="shared" ref="BM32" si="73">SUM(BJ32:BL32)</f>
        <v>0</v>
      </c>
    </row>
    <row r="33" spans="1:65" s="74" customFormat="1" ht="11.25" x14ac:dyDescent="0.2">
      <c r="A33" s="210">
        <v>2</v>
      </c>
      <c r="B33" s="458" t="s">
        <v>593</v>
      </c>
      <c r="C33" s="462" t="str">
        <f>IFERROR(VLOOKUP(D33,MappingFromSetAgiletoTTSRole,2,FALSE),"SET Agile Resource Role")</f>
        <v>Project Manager</v>
      </c>
      <c r="D33" s="463" t="s">
        <v>622</v>
      </c>
      <c r="E33" s="460"/>
      <c r="F33" s="528" t="str">
        <f>IFERROR(VLOOKUP(C33,MappingFromTTStoSU,2,FALSE),"SU Resource Role")</f>
        <v>DWMS</v>
      </c>
      <c r="G33" s="528"/>
      <c r="H33" s="533" t="str">
        <f>H32</f>
        <v>Project</v>
      </c>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180"/>
      <c r="BI33" s="480"/>
      <c r="BJ33" s="82">
        <f t="shared" ref="BJ33" si="74">SUMIF(I$8:BH$8, "&lt;&gt;"&amp;AgileIteration_Warranty,I33:BH33)*5*Scenario2Utilisation</f>
        <v>0</v>
      </c>
      <c r="BK33" s="82">
        <f t="shared" ref="BK33" si="75">BJ33*Scenario2AgileContingency</f>
        <v>0</v>
      </c>
      <c r="BL33" s="82">
        <f t="shared" ref="BL33" si="76">IF(Scenario2Warranty=AgileWarrantyDefault, (SUMIF(I$8:BH$8,AgileIteration_Warranty,I33:BH33)*5*Scenario2Utilisation), (BJ33*Scenario2Warranty))</f>
        <v>0</v>
      </c>
      <c r="BM33" s="127">
        <f t="shared" ref="BM33" si="77">SUM(BJ33:BL33)</f>
        <v>0</v>
      </c>
    </row>
    <row r="34" spans="1:65" s="142" customFormat="1" ht="11.25" x14ac:dyDescent="0.2">
      <c r="A34" s="208">
        <v>1</v>
      </c>
      <c r="B34" s="209" t="s">
        <v>593</v>
      </c>
      <c r="C34" s="459" t="s">
        <v>627</v>
      </c>
      <c r="D34" s="459" t="s">
        <v>627</v>
      </c>
      <c r="E34" s="441"/>
      <c r="F34" s="441"/>
      <c r="G34" s="441"/>
      <c r="H34" s="442"/>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193"/>
      <c r="BI34" s="480"/>
      <c r="BJ34" s="150"/>
      <c r="BK34" s="150"/>
      <c r="BL34" s="150"/>
      <c r="BM34" s="150"/>
    </row>
    <row r="35" spans="1:65" s="74" customFormat="1" ht="11.25" x14ac:dyDescent="0.2">
      <c r="A35" s="210">
        <v>2</v>
      </c>
      <c r="B35" s="458" t="s">
        <v>593</v>
      </c>
      <c r="C35" s="462" t="s">
        <v>628</v>
      </c>
      <c r="D35" s="463" t="s">
        <v>629</v>
      </c>
      <c r="E35" s="460"/>
      <c r="F35" s="528" t="s">
        <v>627</v>
      </c>
      <c r="G35" s="528"/>
      <c r="H35" s="533" t="str">
        <f>C34</f>
        <v>Platform Engineering</v>
      </c>
      <c r="I35" s="406"/>
      <c r="J35" s="406"/>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180"/>
      <c r="BI35" s="480"/>
      <c r="BJ35" s="82">
        <f t="shared" ref="BJ35" si="78">SUMIF(I$8:BH$8, "&lt;&gt;"&amp;AgileIteration_Warranty,I35:BH35)*5*Scenario2Utilisation</f>
        <v>0</v>
      </c>
      <c r="BK35" s="82">
        <f t="shared" ref="BK35" si="79">BJ35*Scenario2AgileContingency</f>
        <v>0</v>
      </c>
      <c r="BL35" s="82">
        <f t="shared" ref="BL35" si="80">IF(Scenario2Warranty=AgileWarrantyDefault, (SUMIF(I$8:BH$8,AgileIteration_Warranty,I35:BH35)*5*Scenario2Utilisation), (BJ35*Scenario2Warranty))</f>
        <v>0</v>
      </c>
      <c r="BM35" s="127">
        <f t="shared" ref="BM35" si="81">SUM(BJ35:BL35)</f>
        <v>0</v>
      </c>
    </row>
    <row r="36" spans="1:65" s="74" customFormat="1" ht="11.25" x14ac:dyDescent="0.2">
      <c r="A36" s="210">
        <v>2</v>
      </c>
      <c r="B36" s="458" t="s">
        <v>593</v>
      </c>
      <c r="C36" s="462" t="str">
        <f>IFERROR(VLOOKUP(D36,MappingFromSetAgiletoTTSRole,2,FALSE),"SET Agile Resource Role")</f>
        <v>Technical Consultant</v>
      </c>
      <c r="D36" s="463" t="s">
        <v>629</v>
      </c>
      <c r="E36" s="460"/>
      <c r="F36" s="528" t="s">
        <v>627</v>
      </c>
      <c r="G36" s="528"/>
      <c r="H36" s="533" t="str">
        <f>H35</f>
        <v>Platform Engineering</v>
      </c>
      <c r="I36" s="406"/>
      <c r="J36" s="406"/>
      <c r="K36" s="406"/>
      <c r="L36" s="406"/>
      <c r="M36" s="406"/>
      <c r="N36" s="406"/>
      <c r="O36" s="406"/>
      <c r="P36" s="406"/>
      <c r="Q36" s="406"/>
      <c r="R36" s="406"/>
      <c r="S36" s="406"/>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180"/>
      <c r="BI36" s="480"/>
      <c r="BJ36" s="82">
        <f t="shared" ref="BJ36" si="82">SUMIF(I$8:BH$8, "&lt;&gt;"&amp;AgileIteration_Warranty,I36:BH36)*5*Scenario2Utilisation</f>
        <v>0</v>
      </c>
      <c r="BK36" s="82">
        <f t="shared" ref="BK36" si="83">BJ36*Scenario2AgileContingency</f>
        <v>0</v>
      </c>
      <c r="BL36" s="82">
        <f t="shared" ref="BL36" si="84">IF(Scenario2Warranty=AgileWarrantyDefault, (SUMIF(I$8:BH$8,AgileIteration_Warranty,I36:BH36)*5*Scenario2Utilisation), (BJ36*Scenario2Warranty))</f>
        <v>0</v>
      </c>
      <c r="BM36" s="127">
        <f t="shared" ref="BM36" si="85">SUM(BJ36:BL36)</f>
        <v>0</v>
      </c>
    </row>
    <row r="37" spans="1:65" s="74" customFormat="1" ht="11.25" x14ac:dyDescent="0.2">
      <c r="A37" s="210">
        <v>2</v>
      </c>
      <c r="B37" s="458" t="s">
        <v>593</v>
      </c>
      <c r="C37" s="462" t="str">
        <f>IFERROR(VLOOKUP(D37,MappingFromSetAgiletoTTSRole,2,FALSE),"SET Agile Resource Role")</f>
        <v>Technical Consultant</v>
      </c>
      <c r="D37" s="463" t="s">
        <v>631</v>
      </c>
      <c r="E37" s="460"/>
      <c r="F37" s="528" t="s">
        <v>627</v>
      </c>
      <c r="G37" s="528"/>
      <c r="H37" s="533" t="str">
        <f>H35</f>
        <v>Platform Engineering</v>
      </c>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180"/>
      <c r="BI37" s="480"/>
      <c r="BJ37" s="82">
        <f t="shared" ref="BJ37" si="86">SUMIF(I$8:BH$8, "&lt;&gt;"&amp;AgileIteration_Warranty,I37:BH37)*5*Scenario2Utilisation</f>
        <v>0</v>
      </c>
      <c r="BK37" s="82">
        <f t="shared" ref="BK37" si="87">BJ37*Scenario2AgileContingency</f>
        <v>0</v>
      </c>
      <c r="BL37" s="82">
        <f t="shared" ref="BL37" si="88">IF(Scenario2Warranty=AgileWarrantyDefault, (SUMIF(I$8:BH$8,AgileIteration_Warranty,I37:BH37)*5*Scenario2Utilisation), (BJ37*Scenario2Warranty))</f>
        <v>0</v>
      </c>
      <c r="BM37" s="127">
        <f t="shared" ref="BM37" si="89">SUM(BJ37:BL37)</f>
        <v>0</v>
      </c>
    </row>
    <row r="38" spans="1:65" s="142" customFormat="1" ht="11.25" x14ac:dyDescent="0.2">
      <c r="A38" s="208">
        <v>1</v>
      </c>
      <c r="B38" s="209" t="s">
        <v>593</v>
      </c>
      <c r="C38" s="459" t="s">
        <v>632</v>
      </c>
      <c r="D38" s="459"/>
      <c r="E38" s="441"/>
      <c r="F38" s="441"/>
      <c r="G38" s="441"/>
      <c r="H38" s="442"/>
      <c r="I38" s="215"/>
      <c r="J38" s="215"/>
      <c r="K38" s="215"/>
      <c r="L38" s="215"/>
      <c r="M38" s="215"/>
      <c r="N38" s="215"/>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193"/>
      <c r="BI38" s="480"/>
      <c r="BJ38" s="150"/>
      <c r="BK38" s="150"/>
      <c r="BL38" s="150"/>
      <c r="BM38" s="150"/>
    </row>
    <row r="39" spans="1:65" s="74" customFormat="1" ht="11.25" x14ac:dyDescent="0.2">
      <c r="A39" s="210">
        <v>2</v>
      </c>
      <c r="B39" s="458" t="s">
        <v>593</v>
      </c>
      <c r="C39" s="462" t="str">
        <f>IFERROR(VLOOKUP(D39,MappingFromSetAgiletoTTSRole,2,FALSE),"SET Agile Resource Role")</f>
        <v>Test Consultant</v>
      </c>
      <c r="D39" s="463" t="s">
        <v>633</v>
      </c>
      <c r="E39" s="460"/>
      <c r="F39" s="528" t="str">
        <f>IFERROR(VLOOKUP(C39,MappingFromTTStoSU,2,FALSE),"SU Resource Role")</f>
        <v>DWMS</v>
      </c>
      <c r="G39" s="528"/>
      <c r="H39" s="533" t="str">
        <f>C38</f>
        <v>PI0</v>
      </c>
      <c r="I39" s="40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6"/>
      <c r="BH39" s="180"/>
      <c r="BI39" s="480"/>
      <c r="BJ39" s="82">
        <f t="shared" ref="BJ39" si="90">SUMIF(I$8:BH$8, "&lt;&gt;"&amp;AgileIteration_Warranty,I39:BH39)*5*Scenario2Utilisation</f>
        <v>0</v>
      </c>
      <c r="BK39" s="82">
        <f t="shared" ref="BK39" si="91">BJ39*Scenario2AgileContingency</f>
        <v>0</v>
      </c>
      <c r="BL39" s="82">
        <f t="shared" ref="BL39" si="92">IF(Scenario2Warranty=AgileWarrantyDefault, (SUMIF(I$8:BH$8,AgileIteration_Warranty,I39:BH39)*5*Scenario2Utilisation), (BJ39*Scenario2Warranty))</f>
        <v>0</v>
      </c>
      <c r="BM39" s="127">
        <f t="shared" ref="BM39" si="93">SUM(BJ39:BL39)</f>
        <v>0</v>
      </c>
    </row>
    <row r="40" spans="1:65" s="74" customFormat="1" ht="11.25" x14ac:dyDescent="0.2">
      <c r="A40" s="210">
        <v>2</v>
      </c>
      <c r="B40" s="458" t="s">
        <v>593</v>
      </c>
      <c r="C40" s="462" t="str">
        <f>IFERROR(VLOOKUP(D40,MappingFromSetAgiletoTTSRole,2,FALSE),"SET Agile Resource Role")</f>
        <v>Test Consultant Sr</v>
      </c>
      <c r="D40" s="463" t="s">
        <v>634</v>
      </c>
      <c r="E40" s="460"/>
      <c r="F40" s="528" t="str">
        <f>IFERROR(VLOOKUP(C40,MappingFromTTStoSU,2,FALSE),"SU Resource Role")</f>
        <v>DWMS</v>
      </c>
      <c r="G40" s="528"/>
      <c r="H40" s="533" t="str">
        <f>H39</f>
        <v>PI0</v>
      </c>
      <c r="I40" s="406"/>
      <c r="J40" s="406"/>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06"/>
      <c r="AP40" s="406"/>
      <c r="AQ40" s="406"/>
      <c r="AR40" s="406"/>
      <c r="AS40" s="406"/>
      <c r="AT40" s="406"/>
      <c r="AU40" s="406"/>
      <c r="AV40" s="406"/>
      <c r="AW40" s="406"/>
      <c r="AX40" s="406"/>
      <c r="AY40" s="406"/>
      <c r="AZ40" s="406"/>
      <c r="BA40" s="406"/>
      <c r="BB40" s="406"/>
      <c r="BC40" s="406"/>
      <c r="BD40" s="406"/>
      <c r="BE40" s="406"/>
      <c r="BF40" s="406"/>
      <c r="BG40" s="406"/>
      <c r="BH40" s="180"/>
      <c r="BI40" s="480"/>
      <c r="BJ40" s="82">
        <f t="shared" ref="BJ40" si="94">SUMIF(I$8:BH$8, "&lt;&gt;"&amp;AgileIteration_Warranty,I40:BH40)*5*Scenario2Utilisation</f>
        <v>0</v>
      </c>
      <c r="BK40" s="82">
        <f t="shared" ref="BK40" si="95">BJ40*Scenario2AgileContingency</f>
        <v>0</v>
      </c>
      <c r="BL40" s="82">
        <f t="shared" ref="BL40" si="96">IF(Scenario2Warranty=AgileWarrantyDefault, (SUMIF(I$8:BH$8,AgileIteration_Warranty,I40:BH40)*5*Scenario2Utilisation), (BJ40*Scenario2Warranty))</f>
        <v>0</v>
      </c>
      <c r="BM40" s="127">
        <f t="shared" ref="BM40" si="97">SUM(BJ40:BL40)</f>
        <v>0</v>
      </c>
    </row>
    <row r="41" spans="1:65" s="74" customFormat="1" ht="11.25" x14ac:dyDescent="0.2">
      <c r="A41" s="210">
        <v>2</v>
      </c>
      <c r="B41" s="458" t="s">
        <v>593</v>
      </c>
      <c r="C41" s="462" t="s">
        <v>635</v>
      </c>
      <c r="D41" s="463" t="s">
        <v>636</v>
      </c>
      <c r="E41" s="460"/>
      <c r="F41" s="528" t="str">
        <f>IFERROR(VLOOKUP(C41,MappingFromTTStoSU,2,FALSE),"SU Resource Role")</f>
        <v>DWMS</v>
      </c>
      <c r="G41" s="528"/>
      <c r="H41" s="533" t="str">
        <f>H40</f>
        <v>PI0</v>
      </c>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c r="BG41" s="406"/>
      <c r="BH41" s="180"/>
      <c r="BI41" s="480"/>
      <c r="BJ41" s="82">
        <f t="shared" ref="BJ41" si="98">SUMIF(I$8:BH$8, "&lt;&gt;"&amp;AgileIteration_Warranty,I41:BH41)*5*Scenario2Utilisation</f>
        <v>0</v>
      </c>
      <c r="BK41" s="82">
        <f t="shared" ref="BK41" si="99">BJ41*Scenario2AgileContingency</f>
        <v>0</v>
      </c>
      <c r="BL41" s="82">
        <f t="shared" ref="BL41" si="100">IF(Scenario2Warranty=AgileWarrantyDefault, (SUMIF(I$8:BH$8,AgileIteration_Warranty,I41:BH41)*5*Scenario2Utilisation), (BJ41*Scenario2Warranty))</f>
        <v>0</v>
      </c>
      <c r="BM41" s="127">
        <f t="shared" ref="BM41" si="101">SUM(BJ41:BL41)</f>
        <v>0</v>
      </c>
    </row>
    <row r="42" spans="1:65" s="142" customFormat="1" ht="11.25" x14ac:dyDescent="0.2">
      <c r="A42" s="208">
        <v>1</v>
      </c>
      <c r="B42" s="209" t="s">
        <v>593</v>
      </c>
      <c r="C42" s="548" t="s">
        <v>637</v>
      </c>
      <c r="D42" s="548" t="s">
        <v>637</v>
      </c>
      <c r="E42" s="548"/>
      <c r="F42" s="441"/>
      <c r="G42" s="441"/>
      <c r="H42" s="442"/>
      <c r="I42" s="215"/>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193"/>
      <c r="BI42" s="480"/>
      <c r="BJ42" s="150"/>
      <c r="BK42" s="150"/>
      <c r="BL42" s="150"/>
      <c r="BM42" s="150"/>
    </row>
    <row r="43" spans="1:65" s="74" customFormat="1" ht="11.25" x14ac:dyDescent="0.2">
      <c r="A43" s="210">
        <v>2</v>
      </c>
      <c r="B43" s="458" t="s">
        <v>593</v>
      </c>
      <c r="C43" s="462" t="str">
        <f>IFERROR(VLOOKUP(D43,MappingFromSetAgiletoTTSRole,2,FALSE),"SET Agile Resource Role")</f>
        <v>Test Consultant</v>
      </c>
      <c r="D43" s="463" t="s">
        <v>633</v>
      </c>
      <c r="E43" s="460"/>
      <c r="F43" s="528" t="str">
        <f>IFERROR(VLOOKUP(C43,MappingFromTTStoSU,2,FALSE),"SU Resource Role")</f>
        <v>DWMS</v>
      </c>
      <c r="G43" s="528" t="s">
        <v>638</v>
      </c>
      <c r="H43" s="533" t="str">
        <f>C42</f>
        <v>Automation</v>
      </c>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c r="AQ43" s="406"/>
      <c r="AR43" s="406"/>
      <c r="AS43" s="406"/>
      <c r="AT43" s="406"/>
      <c r="AU43" s="406"/>
      <c r="AV43" s="406"/>
      <c r="AW43" s="406"/>
      <c r="AX43" s="406"/>
      <c r="AY43" s="406"/>
      <c r="AZ43" s="406"/>
      <c r="BA43" s="406"/>
      <c r="BB43" s="406"/>
      <c r="BC43" s="406"/>
      <c r="BD43" s="406"/>
      <c r="BE43" s="406"/>
      <c r="BF43" s="406"/>
      <c r="BG43" s="406"/>
      <c r="BH43" s="180"/>
      <c r="BI43" s="480"/>
      <c r="BJ43" s="82">
        <f t="shared" ref="BJ43" si="102">SUMIF(I$8:BH$8, "&lt;&gt;"&amp;AgileIteration_Warranty,I43:BH43)*5*Scenario2Utilisation</f>
        <v>0</v>
      </c>
      <c r="BK43" s="82">
        <f t="shared" ref="BK43" si="103">BJ43*Scenario2AgileContingency</f>
        <v>0</v>
      </c>
      <c r="BL43" s="82">
        <f t="shared" ref="BL43" si="104">IF(Scenario2Warranty=AgileWarrantyDefault, (SUMIF(I$8:BH$8,AgileIteration_Warranty,I43:BH43)*5*Scenario2Utilisation), (BJ43*Scenario2Warranty))</f>
        <v>0</v>
      </c>
      <c r="BM43" s="127">
        <f t="shared" ref="BM43" si="105">SUM(BJ43:BL43)</f>
        <v>0</v>
      </c>
    </row>
    <row r="44" spans="1:65" s="74" customFormat="1" ht="11.25" x14ac:dyDescent="0.2">
      <c r="A44" s="210">
        <v>2</v>
      </c>
      <c r="B44" s="458" t="s">
        <v>593</v>
      </c>
      <c r="C44" s="462" t="str">
        <f>IFERROR(VLOOKUP(D44,MappingFromSetAgiletoTTSRole,2,FALSE),"SET Agile Resource Role")</f>
        <v>Test Consultant Sr</v>
      </c>
      <c r="D44" s="463" t="s">
        <v>634</v>
      </c>
      <c r="E44" s="460"/>
      <c r="F44" s="528" t="str">
        <f>IFERROR(VLOOKUP(C44,MappingFromTTStoSU,2,FALSE),"SU Resource Role")</f>
        <v>DWMS</v>
      </c>
      <c r="G44" s="528" t="s">
        <v>639</v>
      </c>
      <c r="H44" s="533" t="str">
        <f>H43</f>
        <v>Automation</v>
      </c>
      <c r="I44" s="406"/>
      <c r="J44" s="406"/>
      <c r="K44" s="406"/>
      <c r="L44" s="406"/>
      <c r="M44" s="406"/>
      <c r="N44" s="406"/>
      <c r="O44" s="406"/>
      <c r="P44" s="406"/>
      <c r="Q44" s="406"/>
      <c r="R44" s="406"/>
      <c r="S44" s="406"/>
      <c r="T44" s="406"/>
      <c r="U44" s="406"/>
      <c r="V44" s="406"/>
      <c r="W44" s="406"/>
      <c r="X44" s="406"/>
      <c r="Y44" s="406"/>
      <c r="Z44" s="406"/>
      <c r="AA44" s="406"/>
      <c r="AB44" s="406"/>
      <c r="AC44" s="406"/>
      <c r="AD44" s="406"/>
      <c r="AE44" s="406"/>
      <c r="AF44" s="406"/>
      <c r="AG44" s="406"/>
      <c r="AH44" s="406"/>
      <c r="AI44" s="406"/>
      <c r="AJ44" s="406"/>
      <c r="AK44" s="406"/>
      <c r="AL44" s="406"/>
      <c r="AM44" s="406"/>
      <c r="AN44" s="406"/>
      <c r="AO44" s="406"/>
      <c r="AP44" s="406"/>
      <c r="AQ44" s="406"/>
      <c r="AR44" s="406"/>
      <c r="AS44" s="406"/>
      <c r="AT44" s="406"/>
      <c r="AU44" s="406"/>
      <c r="AV44" s="406"/>
      <c r="AW44" s="406"/>
      <c r="AX44" s="406"/>
      <c r="AY44" s="406"/>
      <c r="AZ44" s="406"/>
      <c r="BA44" s="406"/>
      <c r="BB44" s="406"/>
      <c r="BC44" s="406"/>
      <c r="BD44" s="406"/>
      <c r="BE44" s="406"/>
      <c r="BF44" s="406"/>
      <c r="BG44" s="406"/>
      <c r="BH44" s="180"/>
      <c r="BI44" s="480"/>
      <c r="BJ44" s="82">
        <f t="shared" ref="BJ44" si="106">SUMIF(I$8:BH$8, "&lt;&gt;"&amp;AgileIteration_Warranty,I44:BH44)*5*Scenario2Utilisation</f>
        <v>0</v>
      </c>
      <c r="BK44" s="82">
        <f t="shared" ref="BK44" si="107">BJ44*Scenario2AgileContingency</f>
        <v>0</v>
      </c>
      <c r="BL44" s="82">
        <f t="shared" ref="BL44" si="108">IF(Scenario2Warranty=AgileWarrantyDefault, (SUMIF(I$8:BH$8,AgileIteration_Warranty,I44:BH44)*5*Scenario2Utilisation), (BJ44*Scenario2Warranty))</f>
        <v>0</v>
      </c>
      <c r="BM44" s="127">
        <f t="shared" ref="BM44" si="109">SUM(BJ44:BL44)</f>
        <v>0</v>
      </c>
    </row>
    <row r="45" spans="1:65" s="74" customFormat="1" ht="11.25" x14ac:dyDescent="0.2">
      <c r="A45" s="210">
        <v>1</v>
      </c>
      <c r="B45" s="396" t="s">
        <v>640</v>
      </c>
      <c r="C45" s="206" t="s">
        <v>640</v>
      </c>
      <c r="D45" s="206" t="s">
        <v>640</v>
      </c>
      <c r="E45" s="436"/>
      <c r="F45" s="436"/>
      <c r="G45" s="436"/>
      <c r="H45" s="43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186"/>
      <c r="BI45" s="480"/>
      <c r="BJ45" s="127"/>
      <c r="BK45" s="127"/>
      <c r="BL45" s="127"/>
      <c r="BM45" s="127"/>
    </row>
    <row r="46" spans="1:65" s="74" customFormat="1" ht="11.25" x14ac:dyDescent="0.2">
      <c r="A46" s="581">
        <v>2</v>
      </c>
      <c r="B46" s="601" t="s">
        <v>640</v>
      </c>
      <c r="C46" s="462" t="str">
        <f>IFERROR(VLOOKUP(D46,MappingFromSetAgiletoTTSRole,2,FALSE),"SET Agile Resource Role")</f>
        <v>Project Manager</v>
      </c>
      <c r="D46" s="398" t="s">
        <v>650</v>
      </c>
      <c r="E46" s="435"/>
      <c r="F46" s="443" t="s">
        <v>607</v>
      </c>
      <c r="G46" s="443"/>
      <c r="H46" s="534" t="str">
        <f>C45</f>
        <v>Data Migration</v>
      </c>
      <c r="I46" s="406"/>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602"/>
      <c r="BI46" s="480"/>
      <c r="BJ46" s="82">
        <f>SUMIF(I$8:BH$8, "&lt;&gt;"&amp;AgileIteration_Warranty,I46:BH46)*5*Scenario2Utilisation</f>
        <v>0</v>
      </c>
      <c r="BK46" s="82">
        <f t="shared" si="7"/>
        <v>0</v>
      </c>
      <c r="BL46" s="82">
        <f>IF(Scenario2Warranty=AgileWarrantyDefault, (SUMIF(I$8:BH$8,AgileIteration_Warranty,I46:BH46)*5*Scenario2Utilisation), (BJ46*Scenario2Warranty))</f>
        <v>0</v>
      </c>
      <c r="BM46" s="127">
        <f t="shared" si="9"/>
        <v>0</v>
      </c>
    </row>
    <row r="47" spans="1:65" s="74" customFormat="1" ht="11.25" x14ac:dyDescent="0.2">
      <c r="A47" s="210">
        <v>2</v>
      </c>
      <c r="B47" s="396" t="s">
        <v>640</v>
      </c>
      <c r="C47" s="462" t="str">
        <f>IFERROR(VLOOKUP(D47,MappingFromSetAgiletoTTSRole,2,FALSE),"SET Agile Resource Role")</f>
        <v>Architect</v>
      </c>
      <c r="D47" s="398" t="s">
        <v>726</v>
      </c>
      <c r="E47" s="435"/>
      <c r="F47" s="443" t="str">
        <f>IFERROR(VLOOKUP(C47,MappingFromTTStoSU,2,FALSE),"SU Resource Role")</f>
        <v>DWMS</v>
      </c>
      <c r="G47" s="443"/>
      <c r="H47" s="534" t="str">
        <f>H46</f>
        <v>Data Migration</v>
      </c>
      <c r="I47" s="406"/>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86"/>
      <c r="BI47" s="480"/>
      <c r="BJ47" s="82">
        <f>SUMIF(I$8:BH$8, "&lt;&gt;"&amp;AgileIteration_Warranty,I47:BH47)*5*Scenario2Utilisation</f>
        <v>0</v>
      </c>
      <c r="BK47" s="82">
        <f t="shared" ref="BK47" si="110">BJ47*Scenario2AgileContingency</f>
        <v>0</v>
      </c>
      <c r="BL47" s="82">
        <f>IF(Scenario2Warranty=AgileWarrantyDefault, (SUMIF(I$8:BH$8,AgileIteration_Warranty,I47:BH47)*5*Scenario2Utilisation), (BJ47*Scenario2Warranty))</f>
        <v>0</v>
      </c>
      <c r="BM47" s="127">
        <f t="shared" ref="BM47" si="111">SUM(BJ47:BL47)</f>
        <v>0</v>
      </c>
    </row>
    <row r="48" spans="1:65" s="74" customFormat="1" ht="11.25" x14ac:dyDescent="0.2">
      <c r="A48" s="210">
        <v>2</v>
      </c>
      <c r="B48" s="396" t="s">
        <v>640</v>
      </c>
      <c r="C48" s="462" t="s">
        <v>635</v>
      </c>
      <c r="D48" s="398" t="s">
        <v>727</v>
      </c>
      <c r="E48" s="435"/>
      <c r="F48" s="443" t="str">
        <f>IFERROR(VLOOKUP(C48,MappingFromTTStoSU,2,FALSE),"SU Resource Role")</f>
        <v>DWMS</v>
      </c>
      <c r="G48" s="443"/>
      <c r="H48" s="534" t="str">
        <f>H46</f>
        <v>Data Migration</v>
      </c>
      <c r="I48" s="406"/>
      <c r="J48" s="179"/>
      <c r="K48" s="179"/>
      <c r="L48" s="179"/>
      <c r="M48" s="179"/>
      <c r="N48" s="179"/>
      <c r="O48" s="179"/>
      <c r="P48" s="179"/>
      <c r="Q48" s="181"/>
      <c r="R48" s="181"/>
      <c r="S48" s="181"/>
      <c r="T48" s="181"/>
      <c r="U48" s="181"/>
      <c r="V48" s="181"/>
      <c r="W48" s="181"/>
      <c r="X48" s="181"/>
      <c r="Y48" s="181"/>
      <c r="Z48" s="181"/>
      <c r="AA48" s="181"/>
      <c r="AB48" s="181"/>
      <c r="AC48" s="181"/>
      <c r="AD48" s="181"/>
      <c r="AE48" s="181"/>
      <c r="AF48" s="181"/>
      <c r="AG48" s="181"/>
      <c r="AH48" s="181"/>
      <c r="AI48" s="181"/>
      <c r="AJ48" s="181"/>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86"/>
      <c r="BI48" s="480"/>
      <c r="BJ48" s="82">
        <f>SUMIF(I$8:BH$8, "&lt;&gt;"&amp;AgileIteration_Warranty,I48:BH48)*5*Scenario2Utilisation</f>
        <v>0</v>
      </c>
      <c r="BK48" s="82">
        <f t="shared" ref="BK48" si="112">BJ48*Scenario2AgileContingency</f>
        <v>0</v>
      </c>
      <c r="BL48" s="82">
        <f>IF(Scenario2Warranty=AgileWarrantyDefault, (SUMIF(I$8:BH$8,AgileIteration_Warranty,I48:BH48)*5*Scenario2Utilisation), (BJ48*Scenario2Warranty))</f>
        <v>0</v>
      </c>
      <c r="BM48" s="127">
        <f t="shared" ref="BM48" si="113">SUM(BJ48:BL48)</f>
        <v>0</v>
      </c>
    </row>
    <row r="49" spans="1:65" s="74" customFormat="1" ht="11.25" x14ac:dyDescent="0.2">
      <c r="A49" s="210">
        <v>2</v>
      </c>
      <c r="B49" s="396" t="s">
        <v>640</v>
      </c>
      <c r="C49" s="462" t="str">
        <f>IFERROR(VLOOKUP(D49,MappingFromSetAgiletoTTSRole,2,FALSE),"SET Agile Resource Role")</f>
        <v>Software Developer</v>
      </c>
      <c r="D49" s="398" t="s">
        <v>728</v>
      </c>
      <c r="E49" s="435"/>
      <c r="F49" s="443" t="str">
        <f>IFERROR(VLOOKUP(C49,MappingFromTTStoSU,2,FALSE),"SU Resource Role")</f>
        <v>DWMS</v>
      </c>
      <c r="G49" s="443"/>
      <c r="H49" s="534" t="str">
        <f>H46</f>
        <v>Data Migration</v>
      </c>
      <c r="I49" s="406"/>
      <c r="J49" s="179"/>
      <c r="K49" s="179"/>
      <c r="L49" s="179"/>
      <c r="M49" s="179"/>
      <c r="N49" s="179"/>
      <c r="O49" s="179"/>
      <c r="P49" s="179"/>
      <c r="Q49" s="181"/>
      <c r="R49" s="181"/>
      <c r="S49" s="181"/>
      <c r="T49" s="181"/>
      <c r="U49" s="181"/>
      <c r="V49" s="181"/>
      <c r="W49" s="181"/>
      <c r="X49" s="181"/>
      <c r="Y49" s="181"/>
      <c r="Z49" s="181"/>
      <c r="AA49" s="181"/>
      <c r="AB49" s="181"/>
      <c r="AC49" s="181"/>
      <c r="AD49" s="181"/>
      <c r="AE49" s="181"/>
      <c r="AF49" s="181"/>
      <c r="AG49" s="181"/>
      <c r="AH49" s="181"/>
      <c r="AI49" s="181"/>
      <c r="AJ49" s="181"/>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86"/>
      <c r="BI49" s="480"/>
      <c r="BJ49" s="82">
        <f>SUMIF(I$8:BH$8, "&lt;&gt;"&amp;AgileIteration_Warranty,I49:BH49)*5*Scenario2Utilisation</f>
        <v>0</v>
      </c>
      <c r="BK49" s="82">
        <f t="shared" ref="BK49" si="114">BJ49*Scenario2AgileContingency</f>
        <v>0</v>
      </c>
      <c r="BL49" s="82">
        <f>IF(Scenario2Warranty=AgileWarrantyDefault, (SUMIF(I$8:BH$8,AgileIteration_Warranty,I49:BH49)*5*Scenario2Utilisation), (BJ49*Scenario2Warranty))</f>
        <v>0</v>
      </c>
      <c r="BM49" s="127">
        <f t="shared" ref="BM49" si="115">SUM(BJ49:BL49)</f>
        <v>0</v>
      </c>
    </row>
    <row r="50" spans="1:65" s="74" customFormat="1" ht="11.25" x14ac:dyDescent="0.2">
      <c r="A50" s="210">
        <v>1</v>
      </c>
      <c r="B50" s="396" t="s">
        <v>640</v>
      </c>
      <c r="C50" s="206" t="s">
        <v>652</v>
      </c>
      <c r="D50" s="206" t="s">
        <v>652</v>
      </c>
      <c r="E50" s="436"/>
      <c r="F50" s="436"/>
      <c r="G50" s="436"/>
      <c r="H50" s="43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186"/>
      <c r="BI50" s="480"/>
      <c r="BJ50" s="127"/>
      <c r="BK50" s="127"/>
      <c r="BL50" s="127"/>
      <c r="BM50" s="127"/>
    </row>
    <row r="51" spans="1:65" s="74" customFormat="1" ht="11.25" x14ac:dyDescent="0.2">
      <c r="A51" s="210">
        <v>2</v>
      </c>
      <c r="B51" s="396" t="s">
        <v>640</v>
      </c>
      <c r="C51" s="462" t="str">
        <f>IFERROR(VLOOKUP(D51,MappingFromSetAgiletoTTSRole,2,FALSE),"SET Agile Resource Role")</f>
        <v>Architect Sr</v>
      </c>
      <c r="D51" s="398" t="s">
        <v>606</v>
      </c>
      <c r="E51" s="435"/>
      <c r="F51" s="443" t="str">
        <f>IFERROR(VLOOKUP(C51,MappingFromTTStoSU,2,FALSE),"SU Resource Role")</f>
        <v>DWMS</v>
      </c>
      <c r="G51" s="443"/>
      <c r="H51" s="534" t="str">
        <f>C50</f>
        <v>Integration</v>
      </c>
      <c r="I51" s="406"/>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86"/>
      <c r="BI51" s="480"/>
      <c r="BJ51" s="82">
        <f>SUMIF(I$8:BH$8, "&lt;&gt;"&amp;AgileIteration_Warranty,I51:BH51)*5*Scenario2Utilisation</f>
        <v>0</v>
      </c>
      <c r="BK51" s="82">
        <f t="shared" ref="BK51" si="116">BJ51*Scenario2AgileContingency</f>
        <v>0</v>
      </c>
      <c r="BL51" s="82">
        <f>IF(Scenario2Warranty=AgileWarrantyDefault, (SUMIF(I$8:BH$8,AgileIteration_Warranty,I51:BH51)*5*Scenario2Utilisation), (BJ51*Scenario2Warranty))</f>
        <v>0</v>
      </c>
      <c r="BM51" s="127">
        <f t="shared" ref="BM51" si="117">SUM(BJ51:BL51)</f>
        <v>0</v>
      </c>
    </row>
    <row r="52" spans="1:65" s="74" customFormat="1" ht="11.25" x14ac:dyDescent="0.2">
      <c r="A52" s="210">
        <v>2</v>
      </c>
      <c r="B52" s="396" t="s">
        <v>640</v>
      </c>
      <c r="C52" s="462" t="str">
        <f>IFERROR(VLOOKUP(D52,MappingFromSetAgiletoTTSRole,2,FALSE),"SET Agile Resource Role")</f>
        <v>Project Manager</v>
      </c>
      <c r="D52" s="398" t="s">
        <v>599</v>
      </c>
      <c r="E52" s="435"/>
      <c r="F52" s="443" t="str">
        <f>IFERROR(VLOOKUP(C52,MappingFromTTStoSU,2,FALSE),"SU Resource Role")</f>
        <v>DWMS</v>
      </c>
      <c r="G52" s="443"/>
      <c r="H52" s="534" t="str">
        <f>H51</f>
        <v>Integration</v>
      </c>
      <c r="I52" s="406"/>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86"/>
      <c r="BI52" s="480"/>
      <c r="BJ52" s="82">
        <f>SUMIF(I$8:BH$8, "&lt;&gt;"&amp;AgileIteration_Warranty,I52:BH52)*5*Scenario2Utilisation</f>
        <v>0</v>
      </c>
      <c r="BK52" s="82">
        <f t="shared" ref="BK52" si="118">BJ52*Scenario2AgileContingency</f>
        <v>0</v>
      </c>
      <c r="BL52" s="82">
        <f>IF(Scenario2Warranty=AgileWarrantyDefault, (SUMIF(I$8:BH$8,AgileIteration_Warranty,I52:BH52)*5*Scenario2Utilisation), (BJ52*Scenario2Warranty))</f>
        <v>0</v>
      </c>
      <c r="BM52" s="127">
        <f t="shared" ref="BM52" si="119">SUM(BJ52:BL52)</f>
        <v>0</v>
      </c>
    </row>
    <row r="53" spans="1:65" s="74" customFormat="1" ht="11.25" x14ac:dyDescent="0.2">
      <c r="A53" s="210">
        <v>2</v>
      </c>
      <c r="B53" s="396" t="s">
        <v>640</v>
      </c>
      <c r="C53" s="462" t="str">
        <f>IFERROR(VLOOKUP(D53,MappingFromSetAgiletoTTSRole,2,FALSE),"SET Agile Resource Role")</f>
        <v>Business Consultant</v>
      </c>
      <c r="D53" s="398" t="s">
        <v>584</v>
      </c>
      <c r="E53" s="435"/>
      <c r="F53" s="443" t="str">
        <f>IFERROR(VLOOKUP(C53,MappingFromTTStoSU,2,FALSE),"SU Resource Role")</f>
        <v>DWMS</v>
      </c>
      <c r="G53" s="443"/>
      <c r="H53" s="534" t="str">
        <f>H52</f>
        <v>Integration</v>
      </c>
      <c r="I53" s="406"/>
      <c r="J53" s="179"/>
      <c r="K53" s="179"/>
      <c r="L53" s="179"/>
      <c r="M53" s="179"/>
      <c r="N53" s="179"/>
      <c r="O53" s="179"/>
      <c r="P53" s="179"/>
      <c r="Q53" s="181"/>
      <c r="R53" s="181"/>
      <c r="S53" s="181"/>
      <c r="T53" s="181"/>
      <c r="U53" s="181"/>
      <c r="V53" s="181"/>
      <c r="W53" s="181"/>
      <c r="X53" s="181"/>
      <c r="Y53" s="181"/>
      <c r="Z53" s="181"/>
      <c r="AA53" s="181"/>
      <c r="AB53" s="181"/>
      <c r="AC53" s="181"/>
      <c r="AD53" s="181"/>
      <c r="AE53" s="181"/>
      <c r="AF53" s="181"/>
      <c r="AG53" s="181"/>
      <c r="AH53" s="181"/>
      <c r="AI53" s="181"/>
      <c r="AJ53" s="181"/>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86"/>
      <c r="BI53" s="480"/>
      <c r="BJ53" s="82">
        <f>SUMIF(I$8:BH$8, "&lt;&gt;"&amp;AgileIteration_Warranty,I53:BH53)*5*Scenario2Utilisation</f>
        <v>0</v>
      </c>
      <c r="BK53" s="82">
        <f t="shared" ref="BK53" si="120">BJ53*Scenario2AgileContingency</f>
        <v>0</v>
      </c>
      <c r="BL53" s="82">
        <f>IF(Scenario2Warranty=AgileWarrantyDefault, (SUMIF(I$8:BH$8,AgileIteration_Warranty,I53:BH53)*5*Scenario2Utilisation), (BJ53*Scenario2Warranty))</f>
        <v>0</v>
      </c>
      <c r="BM53" s="127">
        <f t="shared" ref="BM53" si="121">SUM(BJ53:BL53)</f>
        <v>0</v>
      </c>
    </row>
    <row r="54" spans="1:65" s="74" customFormat="1" ht="11.25" x14ac:dyDescent="0.2">
      <c r="A54" s="210">
        <v>1</v>
      </c>
      <c r="B54" s="396" t="s">
        <v>640</v>
      </c>
      <c r="C54" s="206" t="s">
        <v>518</v>
      </c>
      <c r="D54" s="206" t="s">
        <v>518</v>
      </c>
      <c r="E54" s="436"/>
      <c r="F54" s="436"/>
      <c r="G54" s="436"/>
      <c r="H54" s="436"/>
      <c r="I54" s="216"/>
      <c r="J54" s="216"/>
      <c r="K54" s="216"/>
      <c r="L54" s="216"/>
      <c r="M54" s="216"/>
      <c r="N54" s="216"/>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186"/>
      <c r="BI54" s="480"/>
      <c r="BJ54" s="127"/>
      <c r="BK54" s="127"/>
      <c r="BL54" s="127"/>
      <c r="BM54" s="127"/>
    </row>
    <row r="55" spans="1:65" s="74" customFormat="1" ht="11.25" x14ac:dyDescent="0.2">
      <c r="A55" s="210">
        <v>2</v>
      </c>
      <c r="B55" s="396" t="s">
        <v>640</v>
      </c>
      <c r="C55" s="462" t="s">
        <v>658</v>
      </c>
      <c r="D55" s="398" t="s">
        <v>636</v>
      </c>
      <c r="E55" s="435" t="s">
        <v>600</v>
      </c>
      <c r="F55" s="443" t="s">
        <v>607</v>
      </c>
      <c r="G55" s="443"/>
      <c r="H55" s="534" t="str">
        <f>C54</f>
        <v>Non-CUT</v>
      </c>
      <c r="I55" s="406"/>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86"/>
      <c r="BI55" s="480"/>
      <c r="BJ55" s="82">
        <f>SUMIF(I$8:BH$8, "&lt;&gt;"&amp;AgileIteration_Warranty,I55:BH55)*5*Scenario2Utilisation</f>
        <v>0</v>
      </c>
      <c r="BK55" s="82">
        <f t="shared" ref="BK55" si="122">BJ55*Scenario2AgileContingency</f>
        <v>0</v>
      </c>
      <c r="BL55" s="82">
        <f>IF(Scenario2Warranty=AgileWarrantyDefault, (SUMIF(I$8:BH$8,AgileIteration_Warranty,I55:BH55)*5*Scenario2Utilisation), (BJ55*Scenario2Warranty))</f>
        <v>0</v>
      </c>
      <c r="BM55" s="127">
        <f t="shared" ref="BM55" si="123">SUM(BJ55:BL55)</f>
        <v>0</v>
      </c>
    </row>
    <row r="56" spans="1:65" s="74" customFormat="1" ht="11.25" x14ac:dyDescent="0.2">
      <c r="A56" s="210">
        <v>2</v>
      </c>
      <c r="B56" s="396" t="s">
        <v>640</v>
      </c>
      <c r="C56" s="462" t="s">
        <v>635</v>
      </c>
      <c r="D56" s="398" t="s">
        <v>636</v>
      </c>
      <c r="E56" s="435" t="s">
        <v>600</v>
      </c>
      <c r="F56" s="443" t="str">
        <f>IFERROR(VLOOKUP(C56,MappingFromTTStoSU,2,FALSE),"SU Resource Role")</f>
        <v>DWMS</v>
      </c>
      <c r="G56" s="443"/>
      <c r="H56" s="534" t="str">
        <f>H55</f>
        <v>Non-CUT</v>
      </c>
      <c r="I56" s="406"/>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86"/>
      <c r="BI56" s="480"/>
      <c r="BJ56" s="82">
        <f>SUMIF(I$8:BH$8, "&lt;&gt;"&amp;AgileIteration_Warranty,I56:BH56)*5*Scenario2Utilisation</f>
        <v>0</v>
      </c>
      <c r="BK56" s="82">
        <f t="shared" ref="BK56" si="124">BJ56*Scenario2AgileContingency</f>
        <v>0</v>
      </c>
      <c r="BL56" s="82">
        <f>IF(Scenario2Warranty=AgileWarrantyDefault, (SUMIF(I$8:BH$8,AgileIteration_Warranty,I56:BH56)*5*Scenario2Utilisation), (BJ56*Scenario2Warranty))</f>
        <v>0</v>
      </c>
      <c r="BM56" s="127">
        <f t="shared" ref="BM56" si="125">SUM(BJ56:BL56)</f>
        <v>0</v>
      </c>
    </row>
    <row r="57" spans="1:65" s="74" customFormat="1" ht="11.25" x14ac:dyDescent="0.2">
      <c r="A57" s="210">
        <v>2</v>
      </c>
      <c r="B57" s="396" t="s">
        <v>640</v>
      </c>
      <c r="C57" s="462" t="str">
        <f>IFERROR(VLOOKUP(D57,MappingFromSetAgiletoTTSRole,2,FALSE),"SET Agile Resource Role")</f>
        <v>Software Developer</v>
      </c>
      <c r="D57" s="398" t="s">
        <v>636</v>
      </c>
      <c r="E57" s="435" t="s">
        <v>600</v>
      </c>
      <c r="F57" s="443" t="str">
        <f>IFERROR(VLOOKUP(C57,MappingFromTTStoSU,2,FALSE),"SU Resource Role")</f>
        <v>DWMS</v>
      </c>
      <c r="G57" s="443"/>
      <c r="H57" s="534" t="str">
        <f>H55</f>
        <v>Non-CUT</v>
      </c>
      <c r="I57" s="406"/>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86"/>
      <c r="BI57" s="480"/>
      <c r="BJ57" s="82">
        <f>SUMIF(I$8:BH$8, "&lt;&gt;"&amp;AgileIteration_Warranty,I57:BH57)*5*Scenario2Utilisation</f>
        <v>0</v>
      </c>
      <c r="BK57" s="82">
        <f t="shared" ref="BK57" si="126">BJ57*Scenario2AgileContingency</f>
        <v>0</v>
      </c>
      <c r="BL57" s="82">
        <f>IF(Scenario2Warranty=AgileWarrantyDefault, (SUMIF(I$8:BH$8,AgileIteration_Warranty,I57:BH57)*5*Scenario2Utilisation), (BJ57*Scenario2Warranty))</f>
        <v>0</v>
      </c>
      <c r="BM57" s="127">
        <f t="shared" ref="BM57" si="127">SUM(BJ57:BL57)</f>
        <v>0</v>
      </c>
    </row>
    <row r="58" spans="1:65" s="74" customFormat="1" ht="11.25" x14ac:dyDescent="0.2">
      <c r="A58" s="210">
        <v>2</v>
      </c>
      <c r="B58" s="396" t="s">
        <v>640</v>
      </c>
      <c r="C58" s="462" t="str">
        <f>IFERROR(VLOOKUP(D58,MappingFromSetAgiletoTTSRole,2,FALSE),"SET Agile Resource Role")</f>
        <v>Test Consultant</v>
      </c>
      <c r="D58" s="398" t="s">
        <v>633</v>
      </c>
      <c r="E58" s="435" t="s">
        <v>600</v>
      </c>
      <c r="F58" s="443" t="str">
        <f>IFERROR(VLOOKUP(C58,MappingFromTTStoSU,2,FALSE),"SU Resource Role")</f>
        <v>DWMS</v>
      </c>
      <c r="G58" s="443"/>
      <c r="H58" s="534" t="str">
        <f>H55</f>
        <v>Non-CUT</v>
      </c>
      <c r="I58" s="406"/>
      <c r="J58" s="179"/>
      <c r="K58" s="179"/>
      <c r="L58" s="179"/>
      <c r="M58" s="179"/>
      <c r="N58" s="179"/>
      <c r="O58" s="179"/>
      <c r="P58" s="179"/>
      <c r="Q58" s="181"/>
      <c r="R58" s="181"/>
      <c r="S58" s="181"/>
      <c r="T58" s="181"/>
      <c r="U58" s="181"/>
      <c r="V58" s="181"/>
      <c r="W58" s="181"/>
      <c r="X58" s="181"/>
      <c r="Y58" s="181"/>
      <c r="Z58" s="181"/>
      <c r="AA58" s="181"/>
      <c r="AB58" s="181"/>
      <c r="AC58" s="181"/>
      <c r="AD58" s="181"/>
      <c r="AE58" s="181"/>
      <c r="AF58" s="181"/>
      <c r="AG58" s="181"/>
      <c r="AH58" s="181"/>
      <c r="AI58" s="181"/>
      <c r="AJ58" s="181"/>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86"/>
      <c r="BI58" s="480"/>
      <c r="BJ58" s="82">
        <f>SUMIF(I$8:BH$8, "&lt;&gt;"&amp;AgileIteration_Warranty,I58:BH58)*5*Scenario2Utilisation</f>
        <v>0</v>
      </c>
      <c r="BK58" s="82">
        <f t="shared" ref="BK58" si="128">BJ58*Scenario2AgileContingency</f>
        <v>0</v>
      </c>
      <c r="BL58" s="82">
        <f>IF(Scenario2Warranty=AgileWarrantyDefault, (SUMIF(I$8:BH$8,AgileIteration_Warranty,I58:BH58)*5*Scenario2Utilisation), (BJ58*Scenario2Warranty))</f>
        <v>0</v>
      </c>
      <c r="BM58" s="127">
        <f t="shared" ref="BM58" si="129">SUM(BJ58:BL58)</f>
        <v>0</v>
      </c>
    </row>
    <row r="59" spans="1:65" s="74" customFormat="1" ht="11.25" x14ac:dyDescent="0.2">
      <c r="A59" s="210">
        <v>1</v>
      </c>
      <c r="B59" s="211" t="s">
        <v>663</v>
      </c>
      <c r="C59" s="206" t="s">
        <v>663</v>
      </c>
      <c r="D59" s="206" t="s">
        <v>663</v>
      </c>
      <c r="E59" s="436"/>
      <c r="F59" s="436"/>
      <c r="G59" s="436"/>
      <c r="H59" s="436"/>
      <c r="I59" s="216"/>
      <c r="J59" s="216"/>
      <c r="K59" s="216"/>
      <c r="L59" s="216"/>
      <c r="M59" s="216"/>
      <c r="N59" s="216"/>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186"/>
      <c r="BI59" s="480"/>
      <c r="BJ59" s="127"/>
      <c r="BK59" s="127"/>
      <c r="BL59" s="127"/>
      <c r="BM59" s="127"/>
    </row>
    <row r="60" spans="1:65" s="74" customFormat="1" ht="11.25" x14ac:dyDescent="0.2">
      <c r="A60" s="210">
        <v>2</v>
      </c>
      <c r="B60" s="211" t="s">
        <v>663</v>
      </c>
      <c r="C60" s="462" t="str">
        <f>IFERROR(VLOOKUP(D60,MappingFromSetAgiletoTTSRole,2,FALSE),"SET Agile Resource Role")</f>
        <v>Business Consultant</v>
      </c>
      <c r="D60" s="401" t="s">
        <v>664</v>
      </c>
      <c r="E60" s="435"/>
      <c r="F60" s="443" t="s">
        <v>607</v>
      </c>
      <c r="G60" s="443"/>
      <c r="H60" s="534" t="str">
        <f>C59</f>
        <v>Documentation</v>
      </c>
      <c r="I60" s="409"/>
      <c r="J60" s="182"/>
      <c r="K60" s="182"/>
      <c r="L60" s="182"/>
      <c r="M60" s="182"/>
      <c r="N60" s="182"/>
      <c r="O60" s="182"/>
      <c r="P60" s="182"/>
      <c r="Q60" s="182"/>
      <c r="R60" s="183"/>
      <c r="S60" s="183"/>
      <c r="T60" s="183"/>
      <c r="U60" s="183"/>
      <c r="V60" s="183"/>
      <c r="W60" s="183"/>
      <c r="X60" s="183"/>
      <c r="Y60" s="183"/>
      <c r="Z60" s="183"/>
      <c r="AA60" s="183"/>
      <c r="AB60" s="183"/>
      <c r="AC60" s="183"/>
      <c r="AD60" s="183"/>
      <c r="AE60" s="183"/>
      <c r="AF60" s="183"/>
      <c r="AG60" s="183"/>
      <c r="AH60" s="183"/>
      <c r="AI60" s="183"/>
      <c r="AJ60" s="183"/>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c r="BH60" s="186"/>
      <c r="BI60" s="480"/>
      <c r="BJ60" s="82">
        <f>SUMIF(I$8:BH$8, "&lt;&gt;"&amp;AgileIteration_Warranty,I60:BH60)*5*Scenario2Utilisation</f>
        <v>0</v>
      </c>
      <c r="BK60" s="82">
        <f t="shared" si="7"/>
        <v>0</v>
      </c>
      <c r="BL60" s="82">
        <f>IF(Scenario2Warranty=AgileWarrantyDefault, (SUMIF(I$8:BH$8,AgileIteration_Warranty,I60:BH60)*5*Scenario2Utilisation), (BJ60*Scenario2Warranty))</f>
        <v>0</v>
      </c>
      <c r="BM60" s="127">
        <f t="shared" si="9"/>
        <v>0</v>
      </c>
    </row>
    <row r="61" spans="1:65" s="74" customFormat="1" ht="11.25" x14ac:dyDescent="0.2">
      <c r="A61" s="210">
        <v>1</v>
      </c>
      <c r="B61" s="211" t="s">
        <v>729</v>
      </c>
      <c r="C61" s="206" t="s">
        <v>665</v>
      </c>
      <c r="D61" s="206" t="s">
        <v>665</v>
      </c>
      <c r="E61" s="436"/>
      <c r="F61" s="436"/>
      <c r="G61" s="436"/>
      <c r="H61" s="43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186"/>
      <c r="BI61" s="480"/>
      <c r="BJ61" s="127"/>
      <c r="BK61" s="127"/>
      <c r="BL61" s="127"/>
      <c r="BM61" s="127"/>
    </row>
    <row r="62" spans="1:65" s="74" customFormat="1" ht="11.25" x14ac:dyDescent="0.2">
      <c r="A62" s="210">
        <v>2</v>
      </c>
      <c r="B62" s="211" t="s">
        <v>729</v>
      </c>
      <c r="C62" s="462" t="s">
        <v>658</v>
      </c>
      <c r="D62" s="398" t="s">
        <v>669</v>
      </c>
      <c r="E62" s="435"/>
      <c r="F62" s="443" t="s">
        <v>607</v>
      </c>
      <c r="G62" s="443"/>
      <c r="H62" s="534" t="str">
        <f>C61</f>
        <v>Ref Data Configuration</v>
      </c>
      <c r="I62" s="406"/>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86"/>
      <c r="BI62" s="480"/>
      <c r="BJ62" s="82">
        <f>SUMIF(I$8:BH$8, "&lt;&gt;"&amp;AgileIteration_Warranty,I62:BH62)*5*Scenario2Utilisation</f>
        <v>0</v>
      </c>
      <c r="BK62" s="82">
        <f t="shared" si="7"/>
        <v>0</v>
      </c>
      <c r="BL62" s="82">
        <f>IF(Scenario2Warranty=AgileWarrantyDefault, (SUMIF(I$8:BH$8,AgileIteration_Warranty,I62:BH62)*5*Scenario2Utilisation), (BJ62*Scenario2Warranty))</f>
        <v>0</v>
      </c>
      <c r="BM62" s="127">
        <f t="shared" si="9"/>
        <v>0</v>
      </c>
    </row>
    <row r="63" spans="1:65" s="74" customFormat="1" ht="11.25" x14ac:dyDescent="0.2">
      <c r="A63" s="210">
        <v>2</v>
      </c>
      <c r="B63" s="211" t="s">
        <v>729</v>
      </c>
      <c r="C63" s="462" t="str">
        <f>IFERROR(VLOOKUP(D63,MappingFromSetAgiletoTTSRole,2,FALSE),"SET Agile Resource Role")</f>
        <v>Software Developer</v>
      </c>
      <c r="D63" s="398" t="s">
        <v>669</v>
      </c>
      <c r="E63" s="435"/>
      <c r="F63" s="443" t="str">
        <f>IFERROR(VLOOKUP(C63,MappingFromTTStoSU,2,FALSE),"SU Resource Role")</f>
        <v>DWMS</v>
      </c>
      <c r="G63" s="443"/>
      <c r="H63" s="534" t="str">
        <f>H62</f>
        <v>Ref Data Configuration</v>
      </c>
      <c r="I63" s="406"/>
      <c r="J63" s="179"/>
      <c r="K63" s="179"/>
      <c r="L63" s="179"/>
      <c r="M63" s="179"/>
      <c r="N63" s="179"/>
      <c r="O63" s="179"/>
      <c r="P63" s="179"/>
      <c r="Q63" s="181"/>
      <c r="R63" s="181"/>
      <c r="S63" s="181"/>
      <c r="T63" s="181"/>
      <c r="U63" s="181"/>
      <c r="V63" s="181"/>
      <c r="W63" s="181"/>
      <c r="X63" s="181"/>
      <c r="Y63" s="181"/>
      <c r="Z63" s="181"/>
      <c r="AA63" s="181"/>
      <c r="AB63" s="181"/>
      <c r="AC63" s="181"/>
      <c r="AD63" s="181"/>
      <c r="AE63" s="181"/>
      <c r="AF63" s="181"/>
      <c r="AG63" s="181"/>
      <c r="AH63" s="181"/>
      <c r="AI63" s="181"/>
      <c r="AJ63" s="181"/>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86"/>
      <c r="BI63" s="480"/>
      <c r="BJ63" s="82">
        <f>SUMIF(I$8:BH$8, "&lt;&gt;"&amp;AgileIteration_Warranty,I63:BH63)*5*Scenario2Utilisation</f>
        <v>0</v>
      </c>
      <c r="BK63" s="82">
        <f t="shared" ref="BK63" si="130">BJ63*Scenario2AgileContingency</f>
        <v>0</v>
      </c>
      <c r="BL63" s="82">
        <f>IF(Scenario2Warranty=AgileWarrantyDefault, (SUMIF(I$8:BH$8,AgileIteration_Warranty,I63:BH63)*5*Scenario2Utilisation), (BJ63*Scenario2Warranty))</f>
        <v>0</v>
      </c>
      <c r="BM63" s="127">
        <f t="shared" ref="BM63" si="131">SUM(BJ63:BL63)</f>
        <v>0</v>
      </c>
    </row>
    <row r="64" spans="1:65" s="74" customFormat="1" ht="11.25" x14ac:dyDescent="0.2">
      <c r="A64" s="210">
        <v>1</v>
      </c>
      <c r="B64" s="211" t="s">
        <v>670</v>
      </c>
      <c r="C64" s="206" t="s">
        <v>670</v>
      </c>
      <c r="D64" s="206" t="s">
        <v>670</v>
      </c>
      <c r="E64" s="436"/>
      <c r="F64" s="436"/>
      <c r="G64" s="436"/>
      <c r="H64" s="436"/>
      <c r="I64" s="216"/>
      <c r="J64" s="216"/>
      <c r="K64" s="216"/>
      <c r="L64" s="216"/>
      <c r="M64" s="216"/>
      <c r="N64" s="216"/>
      <c r="O64" s="216"/>
      <c r="P64" s="216"/>
      <c r="Q64" s="216"/>
      <c r="R64" s="216"/>
      <c r="S64" s="216"/>
      <c r="T64" s="216"/>
      <c r="U64" s="216"/>
      <c r="V64" s="216"/>
      <c r="W64" s="216"/>
      <c r="X64" s="216"/>
      <c r="Y64" s="216"/>
      <c r="Z64" s="216"/>
      <c r="AA64" s="216"/>
      <c r="AB64" s="216"/>
      <c r="AC64" s="216"/>
      <c r="AD64" s="216"/>
      <c r="AE64" s="216"/>
      <c r="AF64" s="216"/>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186"/>
      <c r="BI64" s="480"/>
      <c r="BJ64" s="127"/>
      <c r="BK64" s="127"/>
      <c r="BL64" s="127"/>
      <c r="BM64" s="127"/>
    </row>
    <row r="65" spans="1:65" s="74" customFormat="1" ht="11.25" x14ac:dyDescent="0.2">
      <c r="A65" s="210">
        <v>2</v>
      </c>
      <c r="B65" s="211" t="s">
        <v>670</v>
      </c>
      <c r="C65" s="462" t="str">
        <f>IFERROR(VLOOKUP(D65,MappingFromSetAgiletoTTSRole,2,FALSE),"SET Agile Resource Role")</f>
        <v>Business Analyst</v>
      </c>
      <c r="D65" s="398" t="s">
        <v>671</v>
      </c>
      <c r="E65" s="435"/>
      <c r="F65" s="443" t="s">
        <v>607</v>
      </c>
      <c r="G65" s="443"/>
      <c r="H65" s="534" t="str">
        <f>C64</f>
        <v>Training</v>
      </c>
      <c r="I65" s="406"/>
      <c r="J65" s="179"/>
      <c r="K65" s="179"/>
      <c r="L65" s="179"/>
      <c r="M65" s="179"/>
      <c r="N65" s="179"/>
      <c r="O65" s="179"/>
      <c r="P65" s="179"/>
      <c r="Q65" s="181"/>
      <c r="R65" s="181"/>
      <c r="S65" s="181"/>
      <c r="T65" s="181"/>
      <c r="U65" s="181"/>
      <c r="V65" s="181"/>
      <c r="W65" s="181"/>
      <c r="X65" s="181"/>
      <c r="Y65" s="181"/>
      <c r="Z65" s="181"/>
      <c r="AA65" s="181"/>
      <c r="AB65" s="181"/>
      <c r="AC65" s="181"/>
      <c r="AD65" s="181"/>
      <c r="AE65" s="181"/>
      <c r="AF65" s="181"/>
      <c r="AG65" s="181"/>
      <c r="AH65" s="181"/>
      <c r="AI65" s="181"/>
      <c r="AJ65" s="181"/>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86"/>
      <c r="BI65" s="480"/>
      <c r="BJ65" s="82">
        <f>SUMIF(I$8:BH$8, "&lt;&gt;"&amp;AgileIteration_Warranty,I65:BH65)*5*Scenario2Utilisation</f>
        <v>0</v>
      </c>
      <c r="BK65" s="82">
        <f t="shared" si="7"/>
        <v>0</v>
      </c>
      <c r="BL65" s="82">
        <f>IF(Scenario2Warranty=AgileWarrantyDefault, (SUMIF(I$8:BH$8,AgileIteration_Warranty,I65:BH65)*5*Scenario2Utilisation), (BJ65*Scenario2Warranty))</f>
        <v>0</v>
      </c>
      <c r="BM65" s="127">
        <f t="shared" si="9"/>
        <v>0</v>
      </c>
    </row>
    <row r="66" spans="1:65" s="74" customFormat="1" ht="11.25" x14ac:dyDescent="0.2">
      <c r="A66" s="210">
        <v>2</v>
      </c>
      <c r="B66" s="211" t="s">
        <v>670</v>
      </c>
      <c r="C66" s="462" t="str">
        <f>IFERROR(VLOOKUP(D66,MappingFromSetAgiletoTTSRole,2,FALSE),"SET Agile Resource Role")</f>
        <v>Business Consultant</v>
      </c>
      <c r="D66" s="400" t="s">
        <v>672</v>
      </c>
      <c r="E66" s="435"/>
      <c r="F66" s="443" t="s">
        <v>607</v>
      </c>
      <c r="G66" s="443"/>
      <c r="H66" s="534" t="str">
        <f>H65</f>
        <v>Training</v>
      </c>
      <c r="I66" s="408"/>
      <c r="J66" s="176"/>
      <c r="K66" s="176"/>
      <c r="L66" s="176"/>
      <c r="M66" s="176"/>
      <c r="N66" s="176"/>
      <c r="O66" s="176"/>
      <c r="P66" s="176"/>
      <c r="Q66" s="176"/>
      <c r="R66" s="177"/>
      <c r="S66" s="177"/>
      <c r="T66" s="177"/>
      <c r="U66" s="177"/>
      <c r="V66" s="177"/>
      <c r="W66" s="177"/>
      <c r="X66" s="177"/>
      <c r="Y66" s="177"/>
      <c r="Z66" s="177"/>
      <c r="AA66" s="177"/>
      <c r="AB66" s="177"/>
      <c r="AC66" s="177"/>
      <c r="AD66" s="177"/>
      <c r="AE66" s="177"/>
      <c r="AF66" s="177"/>
      <c r="AG66" s="177"/>
      <c r="AH66" s="177"/>
      <c r="AI66" s="177"/>
      <c r="AJ66" s="177"/>
      <c r="AK66" s="176"/>
      <c r="AL66" s="176"/>
      <c r="AM66" s="176"/>
      <c r="AN66" s="176"/>
      <c r="AO66" s="176"/>
      <c r="AP66" s="176"/>
      <c r="AQ66" s="176"/>
      <c r="AR66" s="176"/>
      <c r="AS66" s="176"/>
      <c r="AT66" s="176"/>
      <c r="AU66" s="176"/>
      <c r="AV66" s="176"/>
      <c r="AW66" s="176"/>
      <c r="AX66" s="176"/>
      <c r="AY66" s="176"/>
      <c r="AZ66" s="176"/>
      <c r="BA66" s="176"/>
      <c r="BB66" s="176"/>
      <c r="BC66" s="176"/>
      <c r="BD66" s="176"/>
      <c r="BE66" s="176"/>
      <c r="BF66" s="176"/>
      <c r="BG66" s="176"/>
      <c r="BH66" s="186"/>
      <c r="BI66" s="480"/>
      <c r="BJ66" s="82">
        <f>SUMIF(I$8:BH$8, "&lt;&gt;"&amp;AgileIteration_Warranty,I66:BH66)*5*Scenario2Utilisation</f>
        <v>0</v>
      </c>
      <c r="BK66" s="82">
        <f t="shared" si="7"/>
        <v>0</v>
      </c>
      <c r="BL66" s="82">
        <f>IF(Scenario2Warranty=AgileWarrantyDefault, (SUMIF(I$8:BH$8,AgileIteration_Warranty,I66:BH66)*5*Scenario2Utilisation), (BJ66*Scenario2Warranty))</f>
        <v>0</v>
      </c>
      <c r="BM66" s="127">
        <f t="shared" si="9"/>
        <v>0</v>
      </c>
    </row>
    <row r="67" spans="1:65" s="74" customFormat="1" ht="11.25" x14ac:dyDescent="0.2">
      <c r="A67" s="210">
        <v>1</v>
      </c>
      <c r="B67" s="211" t="s">
        <v>730</v>
      </c>
      <c r="C67" s="206" t="s">
        <v>674</v>
      </c>
      <c r="D67" s="206" t="s">
        <v>674</v>
      </c>
      <c r="E67" s="436"/>
      <c r="F67" s="436"/>
      <c r="G67" s="436"/>
      <c r="H67" s="436"/>
      <c r="I67" s="216"/>
      <c r="J67" s="216"/>
      <c r="K67" s="216"/>
      <c r="L67" s="216"/>
      <c r="M67" s="216"/>
      <c r="N67" s="216"/>
      <c r="O67" s="216"/>
      <c r="P67" s="216"/>
      <c r="Q67" s="216"/>
      <c r="R67" s="216"/>
      <c r="S67" s="216"/>
      <c r="T67" s="216"/>
      <c r="U67" s="216"/>
      <c r="V67" s="216"/>
      <c r="W67" s="216"/>
      <c r="X67" s="216"/>
      <c r="Y67" s="216"/>
      <c r="Z67" s="216"/>
      <c r="AA67" s="216"/>
      <c r="AB67" s="216"/>
      <c r="AC67" s="216"/>
      <c r="AD67" s="216"/>
      <c r="AE67" s="216"/>
      <c r="AF67" s="216"/>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186"/>
      <c r="BI67" s="480"/>
      <c r="BJ67" s="127"/>
      <c r="BK67" s="127"/>
      <c r="BL67" s="127"/>
      <c r="BM67" s="127"/>
    </row>
    <row r="68" spans="1:65" s="74" customFormat="1" ht="11.25" x14ac:dyDescent="0.2">
      <c r="A68" s="210">
        <v>2</v>
      </c>
      <c r="B68" s="211" t="s">
        <v>730</v>
      </c>
      <c r="C68" s="462" t="s">
        <v>613</v>
      </c>
      <c r="D68" s="398" t="s">
        <v>675</v>
      </c>
      <c r="E68" s="435"/>
      <c r="F68" s="443" t="s">
        <v>607</v>
      </c>
      <c r="G68" s="443"/>
      <c r="H68" s="534" t="str">
        <f>C67</f>
        <v>EC Performance Testing</v>
      </c>
      <c r="I68" s="406"/>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c r="AL68" s="181"/>
      <c r="AM68" s="181"/>
      <c r="AN68" s="181"/>
      <c r="AO68" s="179"/>
      <c r="AP68" s="179"/>
      <c r="AQ68" s="179"/>
      <c r="AR68" s="179"/>
      <c r="AS68" s="179"/>
      <c r="AT68" s="179"/>
      <c r="AU68" s="179"/>
      <c r="AV68" s="179"/>
      <c r="AW68" s="179"/>
      <c r="AX68" s="179"/>
      <c r="AY68" s="179"/>
      <c r="AZ68" s="179"/>
      <c r="BA68" s="179"/>
      <c r="BB68" s="179"/>
      <c r="BC68" s="179"/>
      <c r="BD68" s="179"/>
      <c r="BE68" s="179"/>
      <c r="BF68" s="179"/>
      <c r="BG68" s="179"/>
      <c r="BH68" s="186"/>
      <c r="BI68" s="480"/>
      <c r="BJ68" s="82">
        <f>SUMIF(I$8:BH$8, "&lt;&gt;"&amp;AgileIteration_Warranty,I68:BH68)*5*Scenario2Utilisation</f>
        <v>0</v>
      </c>
      <c r="BK68" s="82">
        <f t="shared" si="7"/>
        <v>0</v>
      </c>
      <c r="BL68" s="82">
        <f>IF(Scenario2Warranty=AgileWarrantyDefault, (SUMIF(I$8:BH$8,AgileIteration_Warranty,I68:BH68)*5*Scenario2Utilisation), (BJ68*Scenario2Warranty))</f>
        <v>0</v>
      </c>
      <c r="BM68" s="127">
        <f t="shared" si="9"/>
        <v>0</v>
      </c>
    </row>
    <row r="69" spans="1:65" s="74" customFormat="1" ht="11.25" x14ac:dyDescent="0.2">
      <c r="A69" s="210">
        <v>2</v>
      </c>
      <c r="B69" s="211" t="s">
        <v>730</v>
      </c>
      <c r="C69" s="462" t="s">
        <v>651</v>
      </c>
      <c r="D69" s="400" t="s">
        <v>677</v>
      </c>
      <c r="E69" s="435"/>
      <c r="F69" s="443" t="s">
        <v>607</v>
      </c>
      <c r="G69" s="443"/>
      <c r="H69" s="534" t="str">
        <f>H68</f>
        <v>EC Performance Testing</v>
      </c>
      <c r="I69" s="408"/>
      <c r="J69" s="177"/>
      <c r="K69" s="177"/>
      <c r="L69" s="177"/>
      <c r="M69" s="177"/>
      <c r="N69" s="177"/>
      <c r="O69" s="177"/>
      <c r="P69" s="177"/>
      <c r="Q69" s="177"/>
      <c r="R69" s="177"/>
      <c r="S69" s="177"/>
      <c r="T69" s="177"/>
      <c r="U69" s="177"/>
      <c r="V69" s="177"/>
      <c r="W69" s="177"/>
      <c r="X69" s="177"/>
      <c r="Y69" s="177"/>
      <c r="Z69" s="177"/>
      <c r="AA69" s="177"/>
      <c r="AB69" s="177"/>
      <c r="AC69" s="177"/>
      <c r="AD69" s="177"/>
      <c r="AE69" s="177"/>
      <c r="AF69" s="177"/>
      <c r="AG69" s="177"/>
      <c r="AH69" s="177"/>
      <c r="AI69" s="177"/>
      <c r="AJ69" s="177"/>
      <c r="AK69" s="177"/>
      <c r="AL69" s="177"/>
      <c r="AM69" s="177"/>
      <c r="AN69" s="177"/>
      <c r="AO69" s="176"/>
      <c r="AP69" s="176"/>
      <c r="AQ69" s="176"/>
      <c r="AR69" s="176"/>
      <c r="AS69" s="176"/>
      <c r="AT69" s="176"/>
      <c r="AU69" s="176"/>
      <c r="AV69" s="176"/>
      <c r="AW69" s="176"/>
      <c r="AX69" s="176"/>
      <c r="AY69" s="176"/>
      <c r="AZ69" s="176"/>
      <c r="BA69" s="176"/>
      <c r="BB69" s="176"/>
      <c r="BC69" s="176"/>
      <c r="BD69" s="176"/>
      <c r="BE69" s="176"/>
      <c r="BF69" s="176"/>
      <c r="BG69" s="176"/>
      <c r="BH69" s="186"/>
      <c r="BI69" s="480"/>
      <c r="BJ69" s="82">
        <f>SUMIF(I$8:BH$8, "&lt;&gt;"&amp;AgileIteration_Warranty,I69:BH69)*5*Scenario2Utilisation</f>
        <v>0</v>
      </c>
      <c r="BK69" s="82">
        <f t="shared" ref="BK69:BK142" si="132">BJ69*Scenario2AgileContingency</f>
        <v>0</v>
      </c>
      <c r="BL69" s="82">
        <f>IF(Scenario2Warranty=AgileWarrantyDefault, (SUMIF(I$8:BH$8,AgileIteration_Warranty,I69:BH69)*5*Scenario2Utilisation), (BJ69*Scenario2Warranty))</f>
        <v>0</v>
      </c>
      <c r="BM69" s="127">
        <f t="shared" si="9"/>
        <v>0</v>
      </c>
    </row>
    <row r="70" spans="1:65" s="74" customFormat="1" ht="11.25" x14ac:dyDescent="0.2">
      <c r="A70" s="210">
        <v>1</v>
      </c>
      <c r="B70" s="211" t="s">
        <v>730</v>
      </c>
      <c r="C70" s="206" t="s">
        <v>678</v>
      </c>
      <c r="D70" s="206" t="s">
        <v>678</v>
      </c>
      <c r="E70" s="436"/>
      <c r="F70" s="436"/>
      <c r="G70" s="436"/>
      <c r="H70" s="436"/>
      <c r="I70" s="216"/>
      <c r="J70" s="216"/>
      <c r="K70" s="216"/>
      <c r="L70" s="216"/>
      <c r="M70" s="216"/>
      <c r="N70" s="216"/>
      <c r="O70" s="216"/>
      <c r="P70" s="216"/>
      <c r="Q70" s="216"/>
      <c r="R70" s="216"/>
      <c r="S70" s="216"/>
      <c r="T70" s="216"/>
      <c r="U70" s="216"/>
      <c r="V70" s="216"/>
      <c r="W70" s="216"/>
      <c r="X70" s="216"/>
      <c r="Y70" s="216"/>
      <c r="Z70" s="216"/>
      <c r="AA70" s="216"/>
      <c r="AB70" s="216"/>
      <c r="AC70" s="216"/>
      <c r="AD70" s="216"/>
      <c r="AE70" s="216"/>
      <c r="AF70" s="216"/>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186"/>
      <c r="BI70" s="480"/>
      <c r="BJ70" s="127"/>
      <c r="BK70" s="127"/>
      <c r="BL70" s="127"/>
      <c r="BM70" s="127"/>
    </row>
    <row r="71" spans="1:65" s="74" customFormat="1" ht="11.25" x14ac:dyDescent="0.2">
      <c r="A71" s="210">
        <v>2</v>
      </c>
      <c r="B71" s="211" t="s">
        <v>730</v>
      </c>
      <c r="C71" s="462" t="str">
        <f>IFERROR(VLOOKUP(D71,MappingFromSetAgiletoTTSRole,2,FALSE),"SET Agile Resource Role")</f>
        <v>Architect Sr</v>
      </c>
      <c r="D71" s="398" t="s">
        <v>679</v>
      </c>
      <c r="E71" s="435"/>
      <c r="F71" s="443" t="str">
        <f t="shared" ref="F71:F77" si="133">IFERROR(VLOOKUP(C71,MappingFromTTStoSU,2,FALSE),"SU Resource Role")</f>
        <v>DWMS</v>
      </c>
      <c r="G71" s="443"/>
      <c r="H71" s="534" t="str">
        <f>C70</f>
        <v>Digital Mediation - IME</v>
      </c>
      <c r="I71" s="406"/>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79"/>
      <c r="AP71" s="179"/>
      <c r="AQ71" s="179"/>
      <c r="AR71" s="179"/>
      <c r="AS71" s="179"/>
      <c r="AT71" s="179"/>
      <c r="AU71" s="179"/>
      <c r="AV71" s="179"/>
      <c r="AW71" s="179"/>
      <c r="AX71" s="179"/>
      <c r="AY71" s="179"/>
      <c r="AZ71" s="179"/>
      <c r="BA71" s="179"/>
      <c r="BB71" s="179"/>
      <c r="BC71" s="179"/>
      <c r="BD71" s="179"/>
      <c r="BE71" s="179"/>
      <c r="BF71" s="179"/>
      <c r="BG71" s="179"/>
      <c r="BH71" s="186"/>
      <c r="BI71" s="480"/>
      <c r="BJ71" s="82">
        <f t="shared" ref="BJ71:BJ77" si="134">SUMIF(I$8:BH$8, "&lt;&gt;"&amp;AgileIteration_Warranty,I71:BH71)*5*Scenario2Utilisation</f>
        <v>0</v>
      </c>
      <c r="BK71" s="82">
        <f t="shared" ref="BK71" si="135">BJ71*Scenario2AgileContingency</f>
        <v>0</v>
      </c>
      <c r="BL71" s="82">
        <f t="shared" ref="BL71:BL77" si="136">IF(Scenario2Warranty=AgileWarrantyDefault, (SUMIF(I$8:BH$8,AgileIteration_Warranty,I71:BH71)*5*Scenario2Utilisation), (BJ71*Scenario2Warranty))</f>
        <v>0</v>
      </c>
      <c r="BM71" s="127">
        <f t="shared" ref="BM71" si="137">SUM(BJ71:BL71)</f>
        <v>0</v>
      </c>
    </row>
    <row r="72" spans="1:65" s="74" customFormat="1" ht="11.25" x14ac:dyDescent="0.2">
      <c r="A72" s="210">
        <v>2</v>
      </c>
      <c r="B72" s="211" t="s">
        <v>730</v>
      </c>
      <c r="C72" s="462" t="str">
        <f>IFERROR(VLOOKUP(D72,MappingFromSetAgiletoTTSRole,2,FALSE),"SET Agile Resource Role")</f>
        <v>Architect Sr</v>
      </c>
      <c r="D72" s="398" t="s">
        <v>679</v>
      </c>
      <c r="E72" s="435"/>
      <c r="F72" s="443" t="str">
        <f t="shared" si="133"/>
        <v>DWMS</v>
      </c>
      <c r="G72" s="443"/>
      <c r="H72" s="534" t="str">
        <f t="shared" ref="H72:H77" si="138">H71</f>
        <v>Digital Mediation - IME</v>
      </c>
      <c r="I72" s="406"/>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79"/>
      <c r="AP72" s="179"/>
      <c r="AQ72" s="179"/>
      <c r="AR72" s="179"/>
      <c r="AS72" s="179"/>
      <c r="AT72" s="179"/>
      <c r="AU72" s="179"/>
      <c r="AV72" s="179"/>
      <c r="AW72" s="179"/>
      <c r="AX72" s="179"/>
      <c r="AY72" s="179"/>
      <c r="AZ72" s="179"/>
      <c r="BA72" s="179"/>
      <c r="BB72" s="179"/>
      <c r="BC72" s="179"/>
      <c r="BD72" s="179"/>
      <c r="BE72" s="179"/>
      <c r="BF72" s="179"/>
      <c r="BG72" s="179"/>
      <c r="BH72" s="186"/>
      <c r="BI72" s="480"/>
      <c r="BJ72" s="82">
        <f t="shared" si="134"/>
        <v>0</v>
      </c>
      <c r="BK72" s="82">
        <f t="shared" ref="BK72" si="139">BJ72*Scenario2AgileContingency</f>
        <v>0</v>
      </c>
      <c r="BL72" s="82">
        <f t="shared" si="136"/>
        <v>0</v>
      </c>
      <c r="BM72" s="127">
        <f t="shared" ref="BM72" si="140">SUM(BJ72:BL72)</f>
        <v>0</v>
      </c>
    </row>
    <row r="73" spans="1:65" s="74" customFormat="1" ht="11.25" x14ac:dyDescent="0.2">
      <c r="A73" s="210">
        <v>2</v>
      </c>
      <c r="B73" s="211" t="s">
        <v>730</v>
      </c>
      <c r="C73" s="462" t="str">
        <f>IFERROR(VLOOKUP(D73,MappingFromSetAgiletoTTSRole,2,FALSE),"SET Agile Resource Role")</f>
        <v>Software Developer</v>
      </c>
      <c r="D73" s="398" t="s">
        <v>636</v>
      </c>
      <c r="E73" s="435"/>
      <c r="F73" s="443" t="str">
        <f t="shared" si="133"/>
        <v>DWMS</v>
      </c>
      <c r="G73" s="443"/>
      <c r="H73" s="534" t="str">
        <f t="shared" si="138"/>
        <v>Digital Mediation - IME</v>
      </c>
      <c r="I73" s="406"/>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79"/>
      <c r="AP73" s="179"/>
      <c r="AQ73" s="179"/>
      <c r="AR73" s="179"/>
      <c r="AS73" s="179"/>
      <c r="AT73" s="179"/>
      <c r="AU73" s="179"/>
      <c r="AV73" s="179"/>
      <c r="AW73" s="179"/>
      <c r="AX73" s="179"/>
      <c r="AY73" s="179"/>
      <c r="AZ73" s="179"/>
      <c r="BA73" s="179"/>
      <c r="BB73" s="179"/>
      <c r="BC73" s="179"/>
      <c r="BD73" s="179"/>
      <c r="BE73" s="179"/>
      <c r="BF73" s="179"/>
      <c r="BG73" s="179"/>
      <c r="BH73" s="186"/>
      <c r="BI73" s="480"/>
      <c r="BJ73" s="82">
        <f t="shared" si="134"/>
        <v>0</v>
      </c>
      <c r="BK73" s="82">
        <f t="shared" ref="BK73" si="141">BJ73*Scenario2AgileContingency</f>
        <v>0</v>
      </c>
      <c r="BL73" s="82">
        <f t="shared" si="136"/>
        <v>0</v>
      </c>
      <c r="BM73" s="127">
        <f t="shared" ref="BM73" si="142">SUM(BJ73:BL73)</f>
        <v>0</v>
      </c>
    </row>
    <row r="74" spans="1:65" s="74" customFormat="1" ht="11.25" x14ac:dyDescent="0.2">
      <c r="A74" s="210">
        <v>2</v>
      </c>
      <c r="B74" s="211" t="s">
        <v>730</v>
      </c>
      <c r="C74" s="462" t="str">
        <f>IFERROR(VLOOKUP(D74,MappingFromSetAgiletoTTSRole,2,FALSE),"SET Agile Resource Role")</f>
        <v>Test Consultant</v>
      </c>
      <c r="D74" s="398" t="s">
        <v>633</v>
      </c>
      <c r="E74" s="435"/>
      <c r="F74" s="443" t="str">
        <f t="shared" si="133"/>
        <v>DWMS</v>
      </c>
      <c r="G74" s="443"/>
      <c r="H74" s="534" t="str">
        <f t="shared" si="138"/>
        <v>Digital Mediation - IME</v>
      </c>
      <c r="I74" s="406"/>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79"/>
      <c r="AP74" s="179"/>
      <c r="AQ74" s="179"/>
      <c r="AR74" s="179"/>
      <c r="AS74" s="179"/>
      <c r="AT74" s="179"/>
      <c r="AU74" s="179"/>
      <c r="AV74" s="179"/>
      <c r="AW74" s="179"/>
      <c r="AX74" s="179"/>
      <c r="AY74" s="179"/>
      <c r="AZ74" s="179"/>
      <c r="BA74" s="179"/>
      <c r="BB74" s="179"/>
      <c r="BC74" s="179"/>
      <c r="BD74" s="179"/>
      <c r="BE74" s="179"/>
      <c r="BF74" s="179"/>
      <c r="BG74" s="179"/>
      <c r="BH74" s="186"/>
      <c r="BI74" s="480"/>
      <c r="BJ74" s="82">
        <f t="shared" si="134"/>
        <v>0</v>
      </c>
      <c r="BK74" s="82">
        <f t="shared" ref="BK74" si="143">BJ74*Scenario2AgileContingency</f>
        <v>0</v>
      </c>
      <c r="BL74" s="82">
        <f t="shared" si="136"/>
        <v>0</v>
      </c>
      <c r="BM74" s="127">
        <f t="shared" ref="BM74" si="144">SUM(BJ74:BL74)</f>
        <v>0</v>
      </c>
    </row>
    <row r="75" spans="1:65" s="74" customFormat="1" ht="11.25" x14ac:dyDescent="0.2">
      <c r="A75" s="210">
        <v>2</v>
      </c>
      <c r="B75" s="211" t="s">
        <v>730</v>
      </c>
      <c r="C75" s="462" t="str">
        <f>IFERROR(VLOOKUP(D75,MappingFromSetAgiletoTTSRole,2,FALSE),"SET Agile Resource Role")</f>
        <v>Project Manager</v>
      </c>
      <c r="D75" s="398" t="s">
        <v>599</v>
      </c>
      <c r="E75" s="435"/>
      <c r="F75" s="443" t="str">
        <f t="shared" si="133"/>
        <v>DWMS</v>
      </c>
      <c r="G75" s="443"/>
      <c r="H75" s="534" t="str">
        <f t="shared" si="138"/>
        <v>Digital Mediation - IME</v>
      </c>
      <c r="I75" s="406"/>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79"/>
      <c r="AP75" s="179"/>
      <c r="AQ75" s="179"/>
      <c r="AR75" s="179"/>
      <c r="AS75" s="179"/>
      <c r="AT75" s="179"/>
      <c r="AU75" s="179"/>
      <c r="AV75" s="179"/>
      <c r="AW75" s="179"/>
      <c r="AX75" s="179"/>
      <c r="AY75" s="179"/>
      <c r="AZ75" s="179"/>
      <c r="BA75" s="179"/>
      <c r="BB75" s="179"/>
      <c r="BC75" s="179"/>
      <c r="BD75" s="179"/>
      <c r="BE75" s="179"/>
      <c r="BF75" s="179"/>
      <c r="BG75" s="179"/>
      <c r="BH75" s="186"/>
      <c r="BI75" s="480"/>
      <c r="BJ75" s="82">
        <f t="shared" si="134"/>
        <v>0</v>
      </c>
      <c r="BK75" s="82">
        <f t="shared" ref="BK75" si="145">BJ75*Scenario2AgileContingency</f>
        <v>0</v>
      </c>
      <c r="BL75" s="82">
        <f t="shared" si="136"/>
        <v>0</v>
      </c>
      <c r="BM75" s="127">
        <f t="shared" ref="BM75" si="146">SUM(BJ75:BL75)</f>
        <v>0</v>
      </c>
    </row>
    <row r="76" spans="1:65" s="74" customFormat="1" ht="11.25" x14ac:dyDescent="0.2">
      <c r="A76" s="210">
        <v>2</v>
      </c>
      <c r="B76" s="211" t="s">
        <v>730</v>
      </c>
      <c r="C76" s="462" t="s">
        <v>630</v>
      </c>
      <c r="D76" s="398" t="s">
        <v>679</v>
      </c>
      <c r="E76" s="435"/>
      <c r="F76" s="443" t="str">
        <f t="shared" si="133"/>
        <v>DWMS</v>
      </c>
      <c r="G76" s="443"/>
      <c r="H76" s="534" t="str">
        <f t="shared" si="138"/>
        <v>Digital Mediation - IME</v>
      </c>
      <c r="I76" s="406"/>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79"/>
      <c r="AP76" s="179"/>
      <c r="AQ76" s="179"/>
      <c r="AR76" s="179"/>
      <c r="AS76" s="179"/>
      <c r="AT76" s="179"/>
      <c r="AU76" s="179"/>
      <c r="AV76" s="179"/>
      <c r="AW76" s="179"/>
      <c r="AX76" s="179"/>
      <c r="AY76" s="179"/>
      <c r="AZ76" s="179"/>
      <c r="BA76" s="179"/>
      <c r="BB76" s="179"/>
      <c r="BC76" s="179"/>
      <c r="BD76" s="179"/>
      <c r="BE76" s="179"/>
      <c r="BF76" s="179"/>
      <c r="BG76" s="179"/>
      <c r="BH76" s="186"/>
      <c r="BI76" s="480"/>
      <c r="BJ76" s="82">
        <f t="shared" si="134"/>
        <v>0</v>
      </c>
      <c r="BK76" s="82">
        <f t="shared" ref="BK76" si="147">BJ76*Scenario2AgileContingency</f>
        <v>0</v>
      </c>
      <c r="BL76" s="82">
        <f t="shared" si="136"/>
        <v>0</v>
      </c>
      <c r="BM76" s="127">
        <f t="shared" ref="BM76" si="148">SUM(BJ76:BL76)</f>
        <v>0</v>
      </c>
    </row>
    <row r="77" spans="1:65" s="74" customFormat="1" ht="11.25" x14ac:dyDescent="0.2">
      <c r="A77" s="210">
        <v>2</v>
      </c>
      <c r="B77" s="211" t="s">
        <v>730</v>
      </c>
      <c r="C77" s="462" t="s">
        <v>625</v>
      </c>
      <c r="D77" s="398" t="s">
        <v>672</v>
      </c>
      <c r="E77" s="435"/>
      <c r="F77" s="443" t="str">
        <f t="shared" si="133"/>
        <v>DE</v>
      </c>
      <c r="G77" s="443"/>
      <c r="H77" s="534" t="str">
        <f t="shared" si="138"/>
        <v>Digital Mediation - IME</v>
      </c>
      <c r="I77" s="406"/>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c r="AG77" s="181"/>
      <c r="AH77" s="181"/>
      <c r="AI77" s="181"/>
      <c r="AJ77" s="181"/>
      <c r="AK77" s="181"/>
      <c r="AL77" s="181"/>
      <c r="AM77" s="181"/>
      <c r="AN77" s="181"/>
      <c r="AO77" s="179"/>
      <c r="AP77" s="179"/>
      <c r="AQ77" s="179"/>
      <c r="AR77" s="179"/>
      <c r="AS77" s="179"/>
      <c r="AT77" s="179"/>
      <c r="AU77" s="179"/>
      <c r="AV77" s="179"/>
      <c r="AW77" s="179"/>
      <c r="AX77" s="179"/>
      <c r="AY77" s="179"/>
      <c r="AZ77" s="179"/>
      <c r="BA77" s="179"/>
      <c r="BB77" s="179"/>
      <c r="BC77" s="179"/>
      <c r="BD77" s="179"/>
      <c r="BE77" s="179"/>
      <c r="BF77" s="179"/>
      <c r="BG77" s="179"/>
      <c r="BH77" s="186"/>
      <c r="BI77" s="480"/>
      <c r="BJ77" s="82">
        <f t="shared" si="134"/>
        <v>0</v>
      </c>
      <c r="BK77" s="82">
        <f t="shared" ref="BK77" si="149">BJ77*Scenario2AgileContingency</f>
        <v>0</v>
      </c>
      <c r="BL77" s="82">
        <f t="shared" si="136"/>
        <v>0</v>
      </c>
      <c r="BM77" s="127">
        <f t="shared" ref="BM77" si="150">SUM(BJ77:BL77)</f>
        <v>0</v>
      </c>
    </row>
    <row r="78" spans="1:65" s="74" customFormat="1" ht="11.25" x14ac:dyDescent="0.2">
      <c r="A78" s="210">
        <v>1</v>
      </c>
      <c r="B78" s="211" t="s">
        <v>730</v>
      </c>
      <c r="C78" s="206" t="s">
        <v>680</v>
      </c>
      <c r="D78" s="206" t="s">
        <v>680</v>
      </c>
      <c r="E78" s="436"/>
      <c r="F78" s="436"/>
      <c r="G78" s="436"/>
      <c r="H78" s="43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186"/>
      <c r="BI78" s="480"/>
      <c r="BJ78" s="127"/>
      <c r="BK78" s="127"/>
      <c r="BL78" s="127"/>
      <c r="BM78" s="127"/>
    </row>
    <row r="79" spans="1:65" s="74" customFormat="1" ht="11.25" x14ac:dyDescent="0.2">
      <c r="A79" s="210">
        <v>2</v>
      </c>
      <c r="B79" s="211" t="s">
        <v>730</v>
      </c>
      <c r="C79" s="462" t="str">
        <f>IFERROR(VLOOKUP(D79,MappingFromSetAgiletoTTSRole,2,FALSE),"SET Agile Resource Role")</f>
        <v>Architect Sr</v>
      </c>
      <c r="D79" s="398" t="s">
        <v>679</v>
      </c>
      <c r="E79" s="435"/>
      <c r="F79" s="443" t="str">
        <f t="shared" ref="F79:F85" si="151">IFERROR(VLOOKUP(C79,MappingFromTTStoSU,2,FALSE),"SU Resource Role")</f>
        <v>DWMS</v>
      </c>
      <c r="G79" s="443"/>
      <c r="H79" s="534" t="str">
        <f>C78</f>
        <v>Digital Mediation - IAT</v>
      </c>
      <c r="I79" s="406"/>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79"/>
      <c r="AP79" s="179"/>
      <c r="AQ79" s="179"/>
      <c r="AR79" s="179"/>
      <c r="AS79" s="179"/>
      <c r="AT79" s="179"/>
      <c r="AU79" s="179"/>
      <c r="AV79" s="179"/>
      <c r="AW79" s="179"/>
      <c r="AX79" s="179"/>
      <c r="AY79" s="179"/>
      <c r="AZ79" s="179"/>
      <c r="BA79" s="179"/>
      <c r="BB79" s="179"/>
      <c r="BC79" s="179"/>
      <c r="BD79" s="179"/>
      <c r="BE79" s="179"/>
      <c r="BF79" s="179"/>
      <c r="BG79" s="179"/>
      <c r="BH79" s="186"/>
      <c r="BI79" s="480"/>
      <c r="BJ79" s="82">
        <f t="shared" ref="BJ79:BJ85" si="152">SUMIF(I$8:BH$8, "&lt;&gt;"&amp;AgileIteration_Warranty,I79:BH79)*5*Scenario2Utilisation</f>
        <v>0</v>
      </c>
      <c r="BK79" s="82">
        <f t="shared" ref="BK79" si="153">BJ79*Scenario2AgileContingency</f>
        <v>0</v>
      </c>
      <c r="BL79" s="82">
        <f t="shared" ref="BL79:BL85" si="154">IF(Scenario2Warranty=AgileWarrantyDefault, (SUMIF(I$8:BH$8,AgileIteration_Warranty,I79:BH79)*5*Scenario2Utilisation), (BJ79*Scenario2Warranty))</f>
        <v>0</v>
      </c>
      <c r="BM79" s="127">
        <f t="shared" ref="BM79" si="155">SUM(BJ79:BL79)</f>
        <v>0</v>
      </c>
    </row>
    <row r="80" spans="1:65" s="74" customFormat="1" ht="11.25" x14ac:dyDescent="0.2">
      <c r="A80" s="210">
        <v>2</v>
      </c>
      <c r="B80" s="211" t="s">
        <v>730</v>
      </c>
      <c r="C80" s="462" t="str">
        <f>IFERROR(VLOOKUP(D80,MappingFromSetAgiletoTTSRole,2,FALSE),"SET Agile Resource Role")</f>
        <v>Architect Sr</v>
      </c>
      <c r="D80" s="398" t="s">
        <v>679</v>
      </c>
      <c r="E80" s="435"/>
      <c r="F80" s="443" t="str">
        <f t="shared" si="151"/>
        <v>DWMS</v>
      </c>
      <c r="G80" s="443"/>
      <c r="H80" s="534" t="str">
        <f>H79</f>
        <v>Digital Mediation - IAT</v>
      </c>
      <c r="I80" s="406"/>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79"/>
      <c r="AP80" s="179"/>
      <c r="AQ80" s="179"/>
      <c r="AR80" s="179"/>
      <c r="AS80" s="179"/>
      <c r="AT80" s="179"/>
      <c r="AU80" s="179"/>
      <c r="AV80" s="179"/>
      <c r="AW80" s="179"/>
      <c r="AX80" s="179"/>
      <c r="AY80" s="179"/>
      <c r="AZ80" s="179"/>
      <c r="BA80" s="179"/>
      <c r="BB80" s="179"/>
      <c r="BC80" s="179"/>
      <c r="BD80" s="179"/>
      <c r="BE80" s="179"/>
      <c r="BF80" s="179"/>
      <c r="BG80" s="179"/>
      <c r="BH80" s="186"/>
      <c r="BI80" s="480"/>
      <c r="BJ80" s="82">
        <f t="shared" si="152"/>
        <v>0</v>
      </c>
      <c r="BK80" s="82">
        <f t="shared" ref="BK80" si="156">BJ80*Scenario2AgileContingency</f>
        <v>0</v>
      </c>
      <c r="BL80" s="82">
        <f t="shared" si="154"/>
        <v>0</v>
      </c>
      <c r="BM80" s="127">
        <f t="shared" ref="BM80" si="157">SUM(BJ80:BL80)</f>
        <v>0</v>
      </c>
    </row>
    <row r="81" spans="1:65" s="74" customFormat="1" ht="11.25" x14ac:dyDescent="0.2">
      <c r="A81" s="210">
        <v>2</v>
      </c>
      <c r="B81" s="211" t="s">
        <v>730</v>
      </c>
      <c r="C81" s="462" t="str">
        <f>IFERROR(VLOOKUP(D81,MappingFromSetAgiletoTTSRole,2,FALSE),"SET Agile Resource Role")</f>
        <v>Software Developer</v>
      </c>
      <c r="D81" s="398" t="s">
        <v>636</v>
      </c>
      <c r="E81" s="435"/>
      <c r="F81" s="443" t="str">
        <f t="shared" si="151"/>
        <v>DWMS</v>
      </c>
      <c r="G81" s="443"/>
      <c r="H81" s="534" t="str">
        <f>H80</f>
        <v>Digital Mediation - IAT</v>
      </c>
      <c r="I81" s="406"/>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79"/>
      <c r="AP81" s="179"/>
      <c r="AQ81" s="179"/>
      <c r="AR81" s="179"/>
      <c r="AS81" s="179"/>
      <c r="AT81" s="179"/>
      <c r="AU81" s="179"/>
      <c r="AV81" s="179"/>
      <c r="AW81" s="179"/>
      <c r="AX81" s="179"/>
      <c r="AY81" s="179"/>
      <c r="AZ81" s="179"/>
      <c r="BA81" s="179"/>
      <c r="BB81" s="179"/>
      <c r="BC81" s="179"/>
      <c r="BD81" s="179"/>
      <c r="BE81" s="179"/>
      <c r="BF81" s="179"/>
      <c r="BG81" s="179"/>
      <c r="BH81" s="186"/>
      <c r="BI81" s="480"/>
      <c r="BJ81" s="82">
        <f t="shared" si="152"/>
        <v>0</v>
      </c>
      <c r="BK81" s="82">
        <f t="shared" ref="BK81" si="158">BJ81*Scenario2AgileContingency</f>
        <v>0</v>
      </c>
      <c r="BL81" s="82">
        <f t="shared" si="154"/>
        <v>0</v>
      </c>
      <c r="BM81" s="127">
        <f t="shared" ref="BM81" si="159">SUM(BJ81:BL81)</f>
        <v>0</v>
      </c>
    </row>
    <row r="82" spans="1:65" s="74" customFormat="1" ht="11.25" x14ac:dyDescent="0.2">
      <c r="A82" s="210">
        <v>2</v>
      </c>
      <c r="B82" s="211" t="s">
        <v>730</v>
      </c>
      <c r="C82" s="462" t="str">
        <f>IFERROR(VLOOKUP(D82,MappingFromSetAgiletoTTSRole,2,FALSE),"SET Agile Resource Role")</f>
        <v>Test Consultant</v>
      </c>
      <c r="D82" s="398" t="s">
        <v>633</v>
      </c>
      <c r="E82" s="435"/>
      <c r="F82" s="443" t="str">
        <f t="shared" si="151"/>
        <v>DWMS</v>
      </c>
      <c r="G82" s="443"/>
      <c r="H82" s="534" t="str">
        <f>H81</f>
        <v>Digital Mediation - IAT</v>
      </c>
      <c r="I82" s="406"/>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79"/>
      <c r="AP82" s="179"/>
      <c r="AQ82" s="179"/>
      <c r="AR82" s="179"/>
      <c r="AS82" s="179"/>
      <c r="AT82" s="179"/>
      <c r="AU82" s="179"/>
      <c r="AV82" s="179"/>
      <c r="AW82" s="179"/>
      <c r="AX82" s="179"/>
      <c r="AY82" s="179"/>
      <c r="AZ82" s="179"/>
      <c r="BA82" s="179"/>
      <c r="BB82" s="179"/>
      <c r="BC82" s="179"/>
      <c r="BD82" s="179"/>
      <c r="BE82" s="179"/>
      <c r="BF82" s="179"/>
      <c r="BG82" s="179"/>
      <c r="BH82" s="186"/>
      <c r="BI82" s="480"/>
      <c r="BJ82" s="82">
        <f t="shared" si="152"/>
        <v>0</v>
      </c>
      <c r="BK82" s="82">
        <f t="shared" ref="BK82" si="160">BJ82*Scenario2AgileContingency</f>
        <v>0</v>
      </c>
      <c r="BL82" s="82">
        <f t="shared" si="154"/>
        <v>0</v>
      </c>
      <c r="BM82" s="127">
        <f t="shared" ref="BM82" si="161">SUM(BJ82:BL82)</f>
        <v>0</v>
      </c>
    </row>
    <row r="83" spans="1:65" s="74" customFormat="1" ht="11.25" x14ac:dyDescent="0.2">
      <c r="A83" s="210">
        <v>2</v>
      </c>
      <c r="B83" s="211" t="s">
        <v>730</v>
      </c>
      <c r="C83" s="462" t="str">
        <f>IFERROR(VLOOKUP(D83,MappingFromSetAgiletoTTSRole,2,FALSE),"SET Agile Resource Role")</f>
        <v>Project Manager</v>
      </c>
      <c r="D83" s="398" t="s">
        <v>599</v>
      </c>
      <c r="E83" s="435"/>
      <c r="F83" s="443" t="str">
        <f t="shared" si="151"/>
        <v>DWMS</v>
      </c>
      <c r="G83" s="443"/>
      <c r="H83" s="534" t="str">
        <f>H82</f>
        <v>Digital Mediation - IAT</v>
      </c>
      <c r="I83" s="406"/>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79"/>
      <c r="AP83" s="179"/>
      <c r="AQ83" s="179"/>
      <c r="AR83" s="179"/>
      <c r="AS83" s="179"/>
      <c r="AT83" s="179"/>
      <c r="AU83" s="179"/>
      <c r="AV83" s="179"/>
      <c r="AW83" s="179"/>
      <c r="AX83" s="179"/>
      <c r="AY83" s="179"/>
      <c r="AZ83" s="179"/>
      <c r="BA83" s="179"/>
      <c r="BB83" s="179"/>
      <c r="BC83" s="179"/>
      <c r="BD83" s="179"/>
      <c r="BE83" s="179"/>
      <c r="BF83" s="179"/>
      <c r="BG83" s="179"/>
      <c r="BH83" s="186"/>
      <c r="BI83" s="480"/>
      <c r="BJ83" s="82">
        <f t="shared" si="152"/>
        <v>0</v>
      </c>
      <c r="BK83" s="82">
        <f t="shared" ref="BK83" si="162">BJ83*Scenario2AgileContingency</f>
        <v>0</v>
      </c>
      <c r="BL83" s="82">
        <f t="shared" si="154"/>
        <v>0</v>
      </c>
      <c r="BM83" s="127">
        <f t="shared" ref="BM83" si="163">SUM(BJ83:BL83)</f>
        <v>0</v>
      </c>
    </row>
    <row r="84" spans="1:65" s="74" customFormat="1" ht="11.25" x14ac:dyDescent="0.2">
      <c r="A84" s="210">
        <v>2</v>
      </c>
      <c r="B84" s="211" t="s">
        <v>730</v>
      </c>
      <c r="C84" s="462" t="s">
        <v>630</v>
      </c>
      <c r="D84" s="398" t="s">
        <v>679</v>
      </c>
      <c r="E84" s="435"/>
      <c r="F84" s="443" t="str">
        <f t="shared" si="151"/>
        <v>DWMS</v>
      </c>
      <c r="G84" s="443"/>
      <c r="H84" s="534" t="str">
        <f>H79</f>
        <v>Digital Mediation - IAT</v>
      </c>
      <c r="I84" s="406"/>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79"/>
      <c r="AP84" s="179"/>
      <c r="AQ84" s="179"/>
      <c r="AR84" s="179"/>
      <c r="AS84" s="179"/>
      <c r="AT84" s="179"/>
      <c r="AU84" s="179"/>
      <c r="AV84" s="179"/>
      <c r="AW84" s="179"/>
      <c r="AX84" s="179"/>
      <c r="AY84" s="179"/>
      <c r="AZ84" s="179"/>
      <c r="BA84" s="179"/>
      <c r="BB84" s="179"/>
      <c r="BC84" s="179"/>
      <c r="BD84" s="179"/>
      <c r="BE84" s="179"/>
      <c r="BF84" s="179"/>
      <c r="BG84" s="179"/>
      <c r="BH84" s="186"/>
      <c r="BI84" s="480"/>
      <c r="BJ84" s="82">
        <f t="shared" si="152"/>
        <v>0</v>
      </c>
      <c r="BK84" s="82">
        <f t="shared" ref="BK84" si="164">BJ84*Scenario2AgileContingency</f>
        <v>0</v>
      </c>
      <c r="BL84" s="82">
        <f t="shared" si="154"/>
        <v>0</v>
      </c>
      <c r="BM84" s="127">
        <f t="shared" ref="BM84" si="165">SUM(BJ84:BL84)</f>
        <v>0</v>
      </c>
    </row>
    <row r="85" spans="1:65" s="74" customFormat="1" ht="11.25" x14ac:dyDescent="0.2">
      <c r="A85" s="210">
        <v>2</v>
      </c>
      <c r="B85" s="211" t="s">
        <v>730</v>
      </c>
      <c r="C85" s="462" t="s">
        <v>625</v>
      </c>
      <c r="D85" s="398" t="s">
        <v>672</v>
      </c>
      <c r="E85" s="435"/>
      <c r="F85" s="443" t="str">
        <f t="shared" si="151"/>
        <v>DE</v>
      </c>
      <c r="G85" s="443"/>
      <c r="H85" s="534" t="str">
        <f>H84</f>
        <v>Digital Mediation - IAT</v>
      </c>
      <c r="I85" s="406"/>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179"/>
      <c r="AP85" s="179"/>
      <c r="AQ85" s="179"/>
      <c r="AR85" s="179"/>
      <c r="AS85" s="179"/>
      <c r="AT85" s="179"/>
      <c r="AU85" s="179"/>
      <c r="AV85" s="179"/>
      <c r="AW85" s="179"/>
      <c r="AX85" s="179"/>
      <c r="AY85" s="179"/>
      <c r="AZ85" s="179"/>
      <c r="BA85" s="179"/>
      <c r="BB85" s="179"/>
      <c r="BC85" s="179"/>
      <c r="BD85" s="179"/>
      <c r="BE85" s="179"/>
      <c r="BF85" s="179"/>
      <c r="BG85" s="179"/>
      <c r="BH85" s="186"/>
      <c r="BI85" s="480"/>
      <c r="BJ85" s="82">
        <f t="shared" si="152"/>
        <v>0</v>
      </c>
      <c r="BK85" s="82">
        <f t="shared" ref="BK85" si="166">BJ85*Scenario2AgileContingency</f>
        <v>0</v>
      </c>
      <c r="BL85" s="82">
        <f t="shared" si="154"/>
        <v>0</v>
      </c>
      <c r="BM85" s="127">
        <f t="shared" ref="BM85" si="167">SUM(BJ85:BL85)</f>
        <v>0</v>
      </c>
    </row>
    <row r="86" spans="1:65" s="74" customFormat="1" ht="11.25" x14ac:dyDescent="0.2">
      <c r="A86" s="210">
        <v>1</v>
      </c>
      <c r="B86" s="211" t="s">
        <v>730</v>
      </c>
      <c r="C86" s="206" t="s">
        <v>681</v>
      </c>
      <c r="D86" s="206" t="s">
        <v>681</v>
      </c>
      <c r="E86" s="436"/>
      <c r="F86" s="436"/>
      <c r="G86" s="436"/>
      <c r="H86" s="436"/>
      <c r="I86" s="216"/>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c r="AM86" s="216"/>
      <c r="AN86" s="216"/>
      <c r="AO86" s="216"/>
      <c r="AP86" s="216"/>
      <c r="AQ86" s="216"/>
      <c r="AR86" s="216"/>
      <c r="AS86" s="216"/>
      <c r="AT86" s="216"/>
      <c r="AU86" s="216"/>
      <c r="AV86" s="216"/>
      <c r="AW86" s="216"/>
      <c r="AX86" s="216"/>
      <c r="AY86" s="216"/>
      <c r="AZ86" s="216"/>
      <c r="BA86" s="216"/>
      <c r="BB86" s="216"/>
      <c r="BC86" s="216"/>
      <c r="BD86" s="216"/>
      <c r="BE86" s="216"/>
      <c r="BF86" s="216"/>
      <c r="BG86" s="216"/>
      <c r="BH86" s="186"/>
      <c r="BI86" s="480"/>
      <c r="BJ86" s="127"/>
      <c r="BK86" s="127"/>
      <c r="BL86" s="127"/>
      <c r="BM86" s="127"/>
    </row>
    <row r="87" spans="1:65" s="74" customFormat="1" ht="11.25" x14ac:dyDescent="0.2">
      <c r="A87" s="210">
        <v>2</v>
      </c>
      <c r="B87" s="211" t="s">
        <v>730</v>
      </c>
      <c r="C87" s="462" t="str">
        <f>IFERROR(VLOOKUP(D87,MappingFromSetAgiletoTTSRole,2,FALSE),"SET Agile Resource Role")</f>
        <v>Architect Sr</v>
      </c>
      <c r="D87" s="398" t="s">
        <v>679</v>
      </c>
      <c r="E87" s="435"/>
      <c r="F87" s="443" t="str">
        <f t="shared" ref="F87:F93" si="168">IFERROR(VLOOKUP(C87,MappingFromTTStoSU,2,FALSE),"SU Resource Role")</f>
        <v>DWMS</v>
      </c>
      <c r="G87" s="443"/>
      <c r="H87" s="534" t="str">
        <f>C86</f>
        <v>Digital Mediation - AMM</v>
      </c>
      <c r="I87" s="406"/>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79"/>
      <c r="AP87" s="179"/>
      <c r="AQ87" s="179"/>
      <c r="AR87" s="179"/>
      <c r="AS87" s="179"/>
      <c r="AT87" s="179"/>
      <c r="AU87" s="179"/>
      <c r="AV87" s="179"/>
      <c r="AW87" s="179"/>
      <c r="AX87" s="179"/>
      <c r="AY87" s="179"/>
      <c r="AZ87" s="179"/>
      <c r="BA87" s="179"/>
      <c r="BB87" s="179"/>
      <c r="BC87" s="179"/>
      <c r="BD87" s="179"/>
      <c r="BE87" s="179"/>
      <c r="BF87" s="179"/>
      <c r="BG87" s="179"/>
      <c r="BH87" s="186"/>
      <c r="BI87" s="480"/>
      <c r="BJ87" s="82">
        <f t="shared" ref="BJ87:BJ93" si="169">SUMIF(I$8:BH$8, "&lt;&gt;"&amp;AgileIteration_Warranty,I87:BH87)*5*Scenario2Utilisation</f>
        <v>0</v>
      </c>
      <c r="BK87" s="82">
        <f t="shared" ref="BK87" si="170">BJ87*Scenario2AgileContingency</f>
        <v>0</v>
      </c>
      <c r="BL87" s="82">
        <f t="shared" ref="BL87:BL93" si="171">IF(Scenario2Warranty=AgileWarrantyDefault, (SUMIF(I$8:BH$8,AgileIteration_Warranty,I87:BH87)*5*Scenario2Utilisation), (BJ87*Scenario2Warranty))</f>
        <v>0</v>
      </c>
      <c r="BM87" s="127">
        <f t="shared" ref="BM87" si="172">SUM(BJ87:BL87)</f>
        <v>0</v>
      </c>
    </row>
    <row r="88" spans="1:65" s="74" customFormat="1" ht="11.25" x14ac:dyDescent="0.2">
      <c r="A88" s="210">
        <v>2</v>
      </c>
      <c r="B88" s="211" t="s">
        <v>730</v>
      </c>
      <c r="C88" s="462" t="str">
        <f>IFERROR(VLOOKUP(D88,MappingFromSetAgiletoTTSRole,2,FALSE),"SET Agile Resource Role")</f>
        <v>Architect Sr</v>
      </c>
      <c r="D88" s="398" t="s">
        <v>679</v>
      </c>
      <c r="E88" s="435"/>
      <c r="F88" s="443" t="str">
        <f t="shared" si="168"/>
        <v>DWMS</v>
      </c>
      <c r="G88" s="443"/>
      <c r="H88" s="534" t="str">
        <f t="shared" ref="H88:H93" si="173">H87</f>
        <v>Digital Mediation - AMM</v>
      </c>
      <c r="I88" s="406"/>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79"/>
      <c r="AP88" s="179"/>
      <c r="AQ88" s="179"/>
      <c r="AR88" s="179"/>
      <c r="AS88" s="179"/>
      <c r="AT88" s="179"/>
      <c r="AU88" s="179"/>
      <c r="AV88" s="179"/>
      <c r="AW88" s="179"/>
      <c r="AX88" s="179"/>
      <c r="AY88" s="179"/>
      <c r="AZ88" s="179"/>
      <c r="BA88" s="179"/>
      <c r="BB88" s="179"/>
      <c r="BC88" s="179"/>
      <c r="BD88" s="179"/>
      <c r="BE88" s="179"/>
      <c r="BF88" s="179"/>
      <c r="BG88" s="179"/>
      <c r="BH88" s="186"/>
      <c r="BI88" s="480"/>
      <c r="BJ88" s="82">
        <f t="shared" si="169"/>
        <v>0</v>
      </c>
      <c r="BK88" s="82">
        <f t="shared" ref="BK88" si="174">BJ88*Scenario2AgileContingency</f>
        <v>0</v>
      </c>
      <c r="BL88" s="82">
        <f t="shared" si="171"/>
        <v>0</v>
      </c>
      <c r="BM88" s="127">
        <f t="shared" ref="BM88" si="175">SUM(BJ88:BL88)</f>
        <v>0</v>
      </c>
    </row>
    <row r="89" spans="1:65" s="74" customFormat="1" ht="11.25" x14ac:dyDescent="0.2">
      <c r="A89" s="210">
        <v>2</v>
      </c>
      <c r="B89" s="211" t="s">
        <v>730</v>
      </c>
      <c r="C89" s="462" t="str">
        <f>IFERROR(VLOOKUP(D89,MappingFromSetAgiletoTTSRole,2,FALSE),"SET Agile Resource Role")</f>
        <v>Software Developer</v>
      </c>
      <c r="D89" s="398" t="s">
        <v>636</v>
      </c>
      <c r="E89" s="435"/>
      <c r="F89" s="443" t="str">
        <f t="shared" si="168"/>
        <v>DWMS</v>
      </c>
      <c r="G89" s="443"/>
      <c r="H89" s="534" t="str">
        <f t="shared" si="173"/>
        <v>Digital Mediation - AMM</v>
      </c>
      <c r="I89" s="406"/>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79"/>
      <c r="AP89" s="179"/>
      <c r="AQ89" s="179"/>
      <c r="AR89" s="179"/>
      <c r="AS89" s="179"/>
      <c r="AT89" s="179"/>
      <c r="AU89" s="179"/>
      <c r="AV89" s="179"/>
      <c r="AW89" s="179"/>
      <c r="AX89" s="179"/>
      <c r="AY89" s="179"/>
      <c r="AZ89" s="179"/>
      <c r="BA89" s="179"/>
      <c r="BB89" s="179"/>
      <c r="BC89" s="179"/>
      <c r="BD89" s="179"/>
      <c r="BE89" s="179"/>
      <c r="BF89" s="179"/>
      <c r="BG89" s="179"/>
      <c r="BH89" s="186"/>
      <c r="BI89" s="480"/>
      <c r="BJ89" s="82">
        <f t="shared" si="169"/>
        <v>0</v>
      </c>
      <c r="BK89" s="82">
        <f t="shared" ref="BK89" si="176">BJ89*Scenario2AgileContingency</f>
        <v>0</v>
      </c>
      <c r="BL89" s="82">
        <f t="shared" si="171"/>
        <v>0</v>
      </c>
      <c r="BM89" s="127">
        <f t="shared" ref="BM89" si="177">SUM(BJ89:BL89)</f>
        <v>0</v>
      </c>
    </row>
    <row r="90" spans="1:65" s="74" customFormat="1" ht="11.25" x14ac:dyDescent="0.2">
      <c r="A90" s="210">
        <v>2</v>
      </c>
      <c r="B90" s="211" t="s">
        <v>730</v>
      </c>
      <c r="C90" s="462" t="str">
        <f>IFERROR(VLOOKUP(D90,MappingFromSetAgiletoTTSRole,2,FALSE),"SET Agile Resource Role")</f>
        <v>Test Consultant</v>
      </c>
      <c r="D90" s="398" t="s">
        <v>633</v>
      </c>
      <c r="E90" s="435"/>
      <c r="F90" s="443" t="str">
        <f t="shared" si="168"/>
        <v>DWMS</v>
      </c>
      <c r="G90" s="443"/>
      <c r="H90" s="534" t="str">
        <f t="shared" si="173"/>
        <v>Digital Mediation - AMM</v>
      </c>
      <c r="I90" s="406"/>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79"/>
      <c r="AP90" s="179"/>
      <c r="AQ90" s="179"/>
      <c r="AR90" s="179"/>
      <c r="AS90" s="179"/>
      <c r="AT90" s="179"/>
      <c r="AU90" s="179"/>
      <c r="AV90" s="179"/>
      <c r="AW90" s="179"/>
      <c r="AX90" s="179"/>
      <c r="AY90" s="179"/>
      <c r="AZ90" s="179"/>
      <c r="BA90" s="179"/>
      <c r="BB90" s="179"/>
      <c r="BC90" s="179"/>
      <c r="BD90" s="179"/>
      <c r="BE90" s="179"/>
      <c r="BF90" s="179"/>
      <c r="BG90" s="179"/>
      <c r="BH90" s="186"/>
      <c r="BI90" s="480"/>
      <c r="BJ90" s="82">
        <f t="shared" si="169"/>
        <v>0</v>
      </c>
      <c r="BK90" s="82">
        <f t="shared" ref="BK90" si="178">BJ90*Scenario2AgileContingency</f>
        <v>0</v>
      </c>
      <c r="BL90" s="82">
        <f t="shared" si="171"/>
        <v>0</v>
      </c>
      <c r="BM90" s="127">
        <f t="shared" ref="BM90" si="179">SUM(BJ90:BL90)</f>
        <v>0</v>
      </c>
    </row>
    <row r="91" spans="1:65" s="74" customFormat="1" ht="11.25" x14ac:dyDescent="0.2">
      <c r="A91" s="210">
        <v>2</v>
      </c>
      <c r="B91" s="211" t="s">
        <v>730</v>
      </c>
      <c r="C91" s="462" t="str">
        <f>IFERROR(VLOOKUP(D91,MappingFromSetAgiletoTTSRole,2,FALSE),"SET Agile Resource Role")</f>
        <v>Project Manager</v>
      </c>
      <c r="D91" s="398" t="s">
        <v>599</v>
      </c>
      <c r="E91" s="435"/>
      <c r="F91" s="443" t="str">
        <f t="shared" si="168"/>
        <v>DWMS</v>
      </c>
      <c r="G91" s="443"/>
      <c r="H91" s="534" t="str">
        <f t="shared" si="173"/>
        <v>Digital Mediation - AMM</v>
      </c>
      <c r="I91" s="406"/>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79"/>
      <c r="AP91" s="179"/>
      <c r="AQ91" s="179"/>
      <c r="AR91" s="179"/>
      <c r="AS91" s="179"/>
      <c r="AT91" s="179"/>
      <c r="AU91" s="179"/>
      <c r="AV91" s="179"/>
      <c r="AW91" s="179"/>
      <c r="AX91" s="179"/>
      <c r="AY91" s="179"/>
      <c r="AZ91" s="179"/>
      <c r="BA91" s="179"/>
      <c r="BB91" s="179"/>
      <c r="BC91" s="179"/>
      <c r="BD91" s="179"/>
      <c r="BE91" s="179"/>
      <c r="BF91" s="179"/>
      <c r="BG91" s="179"/>
      <c r="BH91" s="186"/>
      <c r="BI91" s="480"/>
      <c r="BJ91" s="82">
        <f t="shared" si="169"/>
        <v>0</v>
      </c>
      <c r="BK91" s="82">
        <f t="shared" ref="BK91" si="180">BJ91*Scenario2AgileContingency</f>
        <v>0</v>
      </c>
      <c r="BL91" s="82">
        <f t="shared" si="171"/>
        <v>0</v>
      </c>
      <c r="BM91" s="127">
        <f t="shared" ref="BM91" si="181">SUM(BJ91:BL91)</f>
        <v>0</v>
      </c>
    </row>
    <row r="92" spans="1:65" s="74" customFormat="1" ht="11.25" x14ac:dyDescent="0.2">
      <c r="A92" s="210">
        <v>2</v>
      </c>
      <c r="B92" s="211" t="s">
        <v>730</v>
      </c>
      <c r="C92" s="462" t="s">
        <v>630</v>
      </c>
      <c r="D92" s="398" t="s">
        <v>679</v>
      </c>
      <c r="E92" s="435"/>
      <c r="F92" s="443" t="str">
        <f t="shared" si="168"/>
        <v>DWMS</v>
      </c>
      <c r="G92" s="443"/>
      <c r="H92" s="534" t="str">
        <f t="shared" si="173"/>
        <v>Digital Mediation - AMM</v>
      </c>
      <c r="I92" s="406"/>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79"/>
      <c r="AP92" s="179"/>
      <c r="AQ92" s="179"/>
      <c r="AR92" s="179"/>
      <c r="AS92" s="179"/>
      <c r="AT92" s="179"/>
      <c r="AU92" s="179"/>
      <c r="AV92" s="179"/>
      <c r="AW92" s="179"/>
      <c r="AX92" s="179"/>
      <c r="AY92" s="179"/>
      <c r="AZ92" s="179"/>
      <c r="BA92" s="179"/>
      <c r="BB92" s="179"/>
      <c r="BC92" s="179"/>
      <c r="BD92" s="179"/>
      <c r="BE92" s="179"/>
      <c r="BF92" s="179"/>
      <c r="BG92" s="179"/>
      <c r="BH92" s="186"/>
      <c r="BI92" s="480"/>
      <c r="BJ92" s="82">
        <f t="shared" si="169"/>
        <v>0</v>
      </c>
      <c r="BK92" s="82">
        <f t="shared" ref="BK92" si="182">BJ92*Scenario2AgileContingency</f>
        <v>0</v>
      </c>
      <c r="BL92" s="82">
        <f t="shared" si="171"/>
        <v>0</v>
      </c>
      <c r="BM92" s="127">
        <f t="shared" ref="BM92" si="183">SUM(BJ92:BL92)</f>
        <v>0</v>
      </c>
    </row>
    <row r="93" spans="1:65" s="74" customFormat="1" ht="11.25" x14ac:dyDescent="0.2">
      <c r="A93" s="210">
        <v>2</v>
      </c>
      <c r="B93" s="211" t="s">
        <v>730</v>
      </c>
      <c r="C93" s="462" t="s">
        <v>625</v>
      </c>
      <c r="D93" s="398" t="s">
        <v>672</v>
      </c>
      <c r="E93" s="435"/>
      <c r="F93" s="443" t="str">
        <f t="shared" si="168"/>
        <v>DE</v>
      </c>
      <c r="G93" s="443"/>
      <c r="H93" s="534" t="str">
        <f t="shared" si="173"/>
        <v>Digital Mediation - AMM</v>
      </c>
      <c r="I93" s="406"/>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c r="AG93" s="181"/>
      <c r="AH93" s="181"/>
      <c r="AI93" s="181"/>
      <c r="AJ93" s="181"/>
      <c r="AK93" s="181"/>
      <c r="AL93" s="181"/>
      <c r="AM93" s="181"/>
      <c r="AN93" s="181"/>
      <c r="AO93" s="179"/>
      <c r="AP93" s="179"/>
      <c r="AQ93" s="179"/>
      <c r="AR93" s="179"/>
      <c r="AS93" s="179"/>
      <c r="AT93" s="179"/>
      <c r="AU93" s="179"/>
      <c r="AV93" s="179"/>
      <c r="AW93" s="179"/>
      <c r="AX93" s="179"/>
      <c r="AY93" s="179"/>
      <c r="AZ93" s="179"/>
      <c r="BA93" s="179"/>
      <c r="BB93" s="179"/>
      <c r="BC93" s="179"/>
      <c r="BD93" s="179"/>
      <c r="BE93" s="179"/>
      <c r="BF93" s="179"/>
      <c r="BG93" s="179"/>
      <c r="BH93" s="186"/>
      <c r="BI93" s="480"/>
      <c r="BJ93" s="82">
        <f t="shared" si="169"/>
        <v>0</v>
      </c>
      <c r="BK93" s="82">
        <f t="shared" ref="BK93" si="184">BJ93*Scenario2AgileContingency</f>
        <v>0</v>
      </c>
      <c r="BL93" s="82">
        <f t="shared" si="171"/>
        <v>0</v>
      </c>
      <c r="BM93" s="127">
        <f t="shared" ref="BM93" si="185">SUM(BJ93:BL93)</f>
        <v>0</v>
      </c>
    </row>
    <row r="94" spans="1:65" s="74" customFormat="1" ht="11.25" x14ac:dyDescent="0.2">
      <c r="A94" s="210">
        <v>1</v>
      </c>
      <c r="B94" s="211" t="s">
        <v>730</v>
      </c>
      <c r="C94" s="206" t="s">
        <v>682</v>
      </c>
      <c r="D94" s="206" t="s">
        <v>682</v>
      </c>
      <c r="E94" s="436"/>
      <c r="F94" s="436"/>
      <c r="G94" s="436"/>
      <c r="H94" s="436"/>
      <c r="I94" s="216"/>
      <c r="J94" s="216"/>
      <c r="K94" s="216"/>
      <c r="L94" s="216"/>
      <c r="M94" s="216"/>
      <c r="N94" s="216"/>
      <c r="O94" s="216"/>
      <c r="P94" s="216"/>
      <c r="Q94" s="216"/>
      <c r="R94" s="216"/>
      <c r="S94" s="216"/>
      <c r="T94" s="216"/>
      <c r="U94" s="216"/>
      <c r="V94" s="216"/>
      <c r="W94" s="216"/>
      <c r="X94" s="216"/>
      <c r="Y94" s="216"/>
      <c r="Z94" s="216"/>
      <c r="AA94" s="216"/>
      <c r="AB94" s="216"/>
      <c r="AC94" s="216"/>
      <c r="AD94" s="216"/>
      <c r="AE94" s="216"/>
      <c r="AF94" s="216"/>
      <c r="AG94" s="216"/>
      <c r="AH94" s="216"/>
      <c r="AI94" s="216"/>
      <c r="AJ94" s="216"/>
      <c r="AK94" s="216"/>
      <c r="AL94" s="216"/>
      <c r="AM94" s="216"/>
      <c r="AN94" s="216"/>
      <c r="AO94" s="216"/>
      <c r="AP94" s="216"/>
      <c r="AQ94" s="216"/>
      <c r="AR94" s="216"/>
      <c r="AS94" s="216"/>
      <c r="AT94" s="216"/>
      <c r="AU94" s="216"/>
      <c r="AV94" s="216"/>
      <c r="AW94" s="216"/>
      <c r="AX94" s="216"/>
      <c r="AY94" s="216"/>
      <c r="AZ94" s="216"/>
      <c r="BA94" s="216"/>
      <c r="BB94" s="216"/>
      <c r="BC94" s="216"/>
      <c r="BD94" s="216"/>
      <c r="BE94" s="216"/>
      <c r="BF94" s="216"/>
      <c r="BG94" s="216"/>
      <c r="BH94" s="186"/>
      <c r="BI94" s="480"/>
      <c r="BJ94" s="127"/>
      <c r="BK94" s="127"/>
      <c r="BL94" s="127"/>
      <c r="BM94" s="127"/>
    </row>
    <row r="95" spans="1:65" s="74" customFormat="1" ht="11.25" x14ac:dyDescent="0.2">
      <c r="A95" s="210">
        <v>2</v>
      </c>
      <c r="B95" s="211" t="s">
        <v>730</v>
      </c>
      <c r="C95" s="462" t="str">
        <f>IFERROR(VLOOKUP(D95,MappingFromSetAgiletoTTSRole,2,FALSE),"SET Agile Resource Role")</f>
        <v>Architect Sr</v>
      </c>
      <c r="D95" s="398" t="s">
        <v>679</v>
      </c>
      <c r="E95" s="435"/>
      <c r="F95" s="443" t="str">
        <f t="shared" ref="F95:F101" si="186">IFERROR(VLOOKUP(C95,MappingFromTTStoSU,2,FALSE),"SU Resource Role")</f>
        <v>DWMS</v>
      </c>
      <c r="G95" s="443"/>
      <c r="H95" s="534" t="str">
        <f>C94</f>
        <v>Charging &amp; Billing 5G CHF</v>
      </c>
      <c r="I95" s="406"/>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79"/>
      <c r="AP95" s="179"/>
      <c r="AQ95" s="179"/>
      <c r="AR95" s="179"/>
      <c r="AS95" s="179"/>
      <c r="AT95" s="179"/>
      <c r="AU95" s="179"/>
      <c r="AV95" s="179"/>
      <c r="AW95" s="179"/>
      <c r="AX95" s="179"/>
      <c r="AY95" s="179"/>
      <c r="AZ95" s="179"/>
      <c r="BA95" s="179"/>
      <c r="BB95" s="179"/>
      <c r="BC95" s="179"/>
      <c r="BD95" s="179"/>
      <c r="BE95" s="179"/>
      <c r="BF95" s="179"/>
      <c r="BG95" s="179"/>
      <c r="BH95" s="186"/>
      <c r="BI95" s="480"/>
      <c r="BJ95" s="82">
        <f t="shared" ref="BJ95:BJ101" si="187">SUMIF(I$8:BH$8, "&lt;&gt;"&amp;AgileIteration_Warranty,I95:BH95)*5*Scenario2Utilisation</f>
        <v>0</v>
      </c>
      <c r="BK95" s="82">
        <f t="shared" ref="BK95" si="188">BJ95*Scenario2AgileContingency</f>
        <v>0</v>
      </c>
      <c r="BL95" s="82">
        <f t="shared" ref="BL95:BL101" si="189">IF(Scenario2Warranty=AgileWarrantyDefault, (SUMIF(I$8:BH$8,AgileIteration_Warranty,I95:BH95)*5*Scenario2Utilisation), (BJ95*Scenario2Warranty))</f>
        <v>0</v>
      </c>
      <c r="BM95" s="127">
        <f t="shared" ref="BM95" si="190">SUM(BJ95:BL95)</f>
        <v>0</v>
      </c>
    </row>
    <row r="96" spans="1:65" s="74" customFormat="1" ht="11.25" x14ac:dyDescent="0.2">
      <c r="A96" s="210">
        <v>2</v>
      </c>
      <c r="B96" s="211" t="s">
        <v>730</v>
      </c>
      <c r="C96" s="462" t="str">
        <f>IFERROR(VLOOKUP(D96,MappingFromSetAgiletoTTSRole,2,FALSE),"SET Agile Resource Role")</f>
        <v>Architect Sr</v>
      </c>
      <c r="D96" s="398" t="s">
        <v>679</v>
      </c>
      <c r="E96" s="435"/>
      <c r="F96" s="443" t="str">
        <f t="shared" si="186"/>
        <v>DWMS</v>
      </c>
      <c r="G96" s="443"/>
      <c r="H96" s="534" t="str">
        <f t="shared" ref="H96:H101" si="191">H95</f>
        <v>Charging &amp; Billing 5G CHF</v>
      </c>
      <c r="I96" s="406"/>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79"/>
      <c r="AP96" s="179"/>
      <c r="AQ96" s="179"/>
      <c r="AR96" s="179"/>
      <c r="AS96" s="179"/>
      <c r="AT96" s="179"/>
      <c r="AU96" s="179"/>
      <c r="AV96" s="179"/>
      <c r="AW96" s="179"/>
      <c r="AX96" s="179"/>
      <c r="AY96" s="179"/>
      <c r="AZ96" s="179"/>
      <c r="BA96" s="179"/>
      <c r="BB96" s="179"/>
      <c r="BC96" s="179"/>
      <c r="BD96" s="179"/>
      <c r="BE96" s="179"/>
      <c r="BF96" s="179"/>
      <c r="BG96" s="179"/>
      <c r="BH96" s="186"/>
      <c r="BI96" s="480"/>
      <c r="BJ96" s="82">
        <f t="shared" si="187"/>
        <v>0</v>
      </c>
      <c r="BK96" s="82">
        <f t="shared" ref="BK96" si="192">BJ96*Scenario2AgileContingency</f>
        <v>0</v>
      </c>
      <c r="BL96" s="82">
        <f t="shared" si="189"/>
        <v>0</v>
      </c>
      <c r="BM96" s="127">
        <f t="shared" ref="BM96" si="193">SUM(BJ96:BL96)</f>
        <v>0</v>
      </c>
    </row>
    <row r="97" spans="1:65" s="74" customFormat="1" ht="11.25" x14ac:dyDescent="0.2">
      <c r="A97" s="210">
        <v>2</v>
      </c>
      <c r="B97" s="211" t="s">
        <v>730</v>
      </c>
      <c r="C97" s="462" t="str">
        <f>IFERROR(VLOOKUP(D97,MappingFromSetAgiletoTTSRole,2,FALSE),"SET Agile Resource Role")</f>
        <v>Software Developer</v>
      </c>
      <c r="D97" s="398" t="s">
        <v>636</v>
      </c>
      <c r="E97" s="435"/>
      <c r="F97" s="443" t="str">
        <f t="shared" si="186"/>
        <v>DWMS</v>
      </c>
      <c r="G97" s="443"/>
      <c r="H97" s="534" t="str">
        <f t="shared" si="191"/>
        <v>Charging &amp; Billing 5G CHF</v>
      </c>
      <c r="I97" s="406"/>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79"/>
      <c r="AP97" s="179"/>
      <c r="AQ97" s="179"/>
      <c r="AR97" s="179"/>
      <c r="AS97" s="179"/>
      <c r="AT97" s="179"/>
      <c r="AU97" s="179"/>
      <c r="AV97" s="179"/>
      <c r="AW97" s="179"/>
      <c r="AX97" s="179"/>
      <c r="AY97" s="179"/>
      <c r="AZ97" s="179"/>
      <c r="BA97" s="179"/>
      <c r="BB97" s="179"/>
      <c r="BC97" s="179"/>
      <c r="BD97" s="179"/>
      <c r="BE97" s="179"/>
      <c r="BF97" s="179"/>
      <c r="BG97" s="179"/>
      <c r="BH97" s="186"/>
      <c r="BI97" s="480"/>
      <c r="BJ97" s="82">
        <f t="shared" si="187"/>
        <v>0</v>
      </c>
      <c r="BK97" s="82">
        <f t="shared" ref="BK97" si="194">BJ97*Scenario2AgileContingency</f>
        <v>0</v>
      </c>
      <c r="BL97" s="82">
        <f t="shared" si="189"/>
        <v>0</v>
      </c>
      <c r="BM97" s="127">
        <f t="shared" ref="BM97" si="195">SUM(BJ97:BL97)</f>
        <v>0</v>
      </c>
    </row>
    <row r="98" spans="1:65" s="74" customFormat="1" ht="11.25" x14ac:dyDescent="0.2">
      <c r="A98" s="210">
        <v>2</v>
      </c>
      <c r="B98" s="211" t="s">
        <v>730</v>
      </c>
      <c r="C98" s="462" t="str">
        <f>IFERROR(VLOOKUP(D98,MappingFromSetAgiletoTTSRole,2,FALSE),"SET Agile Resource Role")</f>
        <v>Test Consultant</v>
      </c>
      <c r="D98" s="398" t="s">
        <v>633</v>
      </c>
      <c r="E98" s="435"/>
      <c r="F98" s="443" t="str">
        <f t="shared" si="186"/>
        <v>DWMS</v>
      </c>
      <c r="G98" s="443"/>
      <c r="H98" s="534" t="str">
        <f t="shared" si="191"/>
        <v>Charging &amp; Billing 5G CHF</v>
      </c>
      <c r="I98" s="406"/>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79"/>
      <c r="AP98" s="179"/>
      <c r="AQ98" s="179"/>
      <c r="AR98" s="179"/>
      <c r="AS98" s="179"/>
      <c r="AT98" s="179"/>
      <c r="AU98" s="179"/>
      <c r="AV98" s="179"/>
      <c r="AW98" s="179"/>
      <c r="AX98" s="179"/>
      <c r="AY98" s="179"/>
      <c r="AZ98" s="179"/>
      <c r="BA98" s="179"/>
      <c r="BB98" s="179"/>
      <c r="BC98" s="179"/>
      <c r="BD98" s="179"/>
      <c r="BE98" s="179"/>
      <c r="BF98" s="179"/>
      <c r="BG98" s="179"/>
      <c r="BH98" s="186"/>
      <c r="BI98" s="480"/>
      <c r="BJ98" s="82">
        <f t="shared" si="187"/>
        <v>0</v>
      </c>
      <c r="BK98" s="82">
        <f t="shared" ref="BK98" si="196">BJ98*Scenario2AgileContingency</f>
        <v>0</v>
      </c>
      <c r="BL98" s="82">
        <f t="shared" si="189"/>
        <v>0</v>
      </c>
      <c r="BM98" s="127">
        <f t="shared" ref="BM98" si="197">SUM(BJ98:BL98)</f>
        <v>0</v>
      </c>
    </row>
    <row r="99" spans="1:65" s="74" customFormat="1" ht="11.25" x14ac:dyDescent="0.2">
      <c r="A99" s="210">
        <v>2</v>
      </c>
      <c r="B99" s="211" t="s">
        <v>730</v>
      </c>
      <c r="C99" s="462" t="str">
        <f>IFERROR(VLOOKUP(D99,MappingFromSetAgiletoTTSRole,2,FALSE),"SET Agile Resource Role")</f>
        <v>Project Manager</v>
      </c>
      <c r="D99" s="398" t="s">
        <v>599</v>
      </c>
      <c r="E99" s="435"/>
      <c r="F99" s="443" t="str">
        <f t="shared" si="186"/>
        <v>DWMS</v>
      </c>
      <c r="G99" s="443"/>
      <c r="H99" s="534" t="str">
        <f t="shared" si="191"/>
        <v>Charging &amp; Billing 5G CHF</v>
      </c>
      <c r="I99" s="406"/>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79"/>
      <c r="AP99" s="179"/>
      <c r="AQ99" s="179"/>
      <c r="AR99" s="179"/>
      <c r="AS99" s="179"/>
      <c r="AT99" s="179"/>
      <c r="AU99" s="179"/>
      <c r="AV99" s="179"/>
      <c r="AW99" s="179"/>
      <c r="AX99" s="179"/>
      <c r="AY99" s="179"/>
      <c r="AZ99" s="179"/>
      <c r="BA99" s="179"/>
      <c r="BB99" s="179"/>
      <c r="BC99" s="179"/>
      <c r="BD99" s="179"/>
      <c r="BE99" s="179"/>
      <c r="BF99" s="179"/>
      <c r="BG99" s="179"/>
      <c r="BH99" s="186"/>
      <c r="BI99" s="480"/>
      <c r="BJ99" s="82">
        <f t="shared" si="187"/>
        <v>0</v>
      </c>
      <c r="BK99" s="82">
        <f t="shared" ref="BK99" si="198">BJ99*Scenario2AgileContingency</f>
        <v>0</v>
      </c>
      <c r="BL99" s="82">
        <f t="shared" si="189"/>
        <v>0</v>
      </c>
      <c r="BM99" s="127">
        <f t="shared" ref="BM99" si="199">SUM(BJ99:BL99)</f>
        <v>0</v>
      </c>
    </row>
    <row r="100" spans="1:65" s="74" customFormat="1" ht="11.25" x14ac:dyDescent="0.2">
      <c r="A100" s="210">
        <v>2</v>
      </c>
      <c r="B100" s="211" t="s">
        <v>730</v>
      </c>
      <c r="C100" s="462" t="s">
        <v>630</v>
      </c>
      <c r="D100" s="398" t="s">
        <v>679</v>
      </c>
      <c r="E100" s="435"/>
      <c r="F100" s="443" t="str">
        <f t="shared" si="186"/>
        <v>DWMS</v>
      </c>
      <c r="G100" s="443"/>
      <c r="H100" s="534" t="str">
        <f t="shared" si="191"/>
        <v>Charging &amp; Billing 5G CHF</v>
      </c>
      <c r="I100" s="406"/>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79"/>
      <c r="AP100" s="179"/>
      <c r="AQ100" s="179"/>
      <c r="AR100" s="179"/>
      <c r="AS100" s="179"/>
      <c r="AT100" s="179"/>
      <c r="AU100" s="179"/>
      <c r="AV100" s="179"/>
      <c r="AW100" s="179"/>
      <c r="AX100" s="179"/>
      <c r="AY100" s="179"/>
      <c r="AZ100" s="179"/>
      <c r="BA100" s="179"/>
      <c r="BB100" s="179"/>
      <c r="BC100" s="179"/>
      <c r="BD100" s="179"/>
      <c r="BE100" s="179"/>
      <c r="BF100" s="179"/>
      <c r="BG100" s="179"/>
      <c r="BH100" s="186"/>
      <c r="BI100" s="480"/>
      <c r="BJ100" s="82">
        <f t="shared" si="187"/>
        <v>0</v>
      </c>
      <c r="BK100" s="82">
        <f t="shared" ref="BK100" si="200">BJ100*Scenario2AgileContingency</f>
        <v>0</v>
      </c>
      <c r="BL100" s="82">
        <f t="shared" si="189"/>
        <v>0</v>
      </c>
      <c r="BM100" s="127">
        <f t="shared" ref="BM100" si="201">SUM(BJ100:BL100)</f>
        <v>0</v>
      </c>
    </row>
    <row r="101" spans="1:65" s="74" customFormat="1" ht="11.25" x14ac:dyDescent="0.2">
      <c r="A101" s="210">
        <v>2</v>
      </c>
      <c r="B101" s="211" t="s">
        <v>730</v>
      </c>
      <c r="C101" s="462" t="s">
        <v>625</v>
      </c>
      <c r="D101" s="398" t="s">
        <v>672</v>
      </c>
      <c r="E101" s="435"/>
      <c r="F101" s="443" t="str">
        <f t="shared" si="186"/>
        <v>DE</v>
      </c>
      <c r="G101" s="443"/>
      <c r="H101" s="534" t="str">
        <f t="shared" si="191"/>
        <v>Charging &amp; Billing 5G CHF</v>
      </c>
      <c r="I101" s="406"/>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79"/>
      <c r="AP101" s="179"/>
      <c r="AQ101" s="179"/>
      <c r="AR101" s="179"/>
      <c r="AS101" s="179"/>
      <c r="AT101" s="179"/>
      <c r="AU101" s="179"/>
      <c r="AV101" s="179"/>
      <c r="AW101" s="179"/>
      <c r="AX101" s="179"/>
      <c r="AY101" s="179"/>
      <c r="AZ101" s="179"/>
      <c r="BA101" s="179"/>
      <c r="BB101" s="179"/>
      <c r="BC101" s="179"/>
      <c r="BD101" s="179"/>
      <c r="BE101" s="179"/>
      <c r="BF101" s="179"/>
      <c r="BG101" s="179"/>
      <c r="BH101" s="186"/>
      <c r="BI101" s="480"/>
      <c r="BJ101" s="82">
        <f t="shared" si="187"/>
        <v>0</v>
      </c>
      <c r="BK101" s="82">
        <f t="shared" ref="BK101" si="202">BJ101*Scenario2AgileContingency</f>
        <v>0</v>
      </c>
      <c r="BL101" s="82">
        <f t="shared" si="189"/>
        <v>0</v>
      </c>
      <c r="BM101" s="127">
        <f t="shared" ref="BM101" si="203">SUM(BJ101:BL101)</f>
        <v>0</v>
      </c>
    </row>
    <row r="102" spans="1:65" s="74" customFormat="1" ht="11.25" x14ac:dyDescent="0.2">
      <c r="A102" s="210">
        <v>1</v>
      </c>
      <c r="B102" s="211" t="s">
        <v>571</v>
      </c>
      <c r="C102" s="206" t="s">
        <v>683</v>
      </c>
      <c r="D102" s="206" t="s">
        <v>683</v>
      </c>
      <c r="E102" s="436"/>
      <c r="F102" s="436"/>
      <c r="G102" s="436"/>
      <c r="H102" s="436"/>
      <c r="I102" s="217"/>
      <c r="J102" s="217"/>
      <c r="K102" s="217"/>
      <c r="L102" s="217"/>
      <c r="M102" s="217"/>
      <c r="N102" s="217"/>
      <c r="O102" s="217"/>
      <c r="P102" s="217"/>
      <c r="Q102" s="217"/>
      <c r="R102" s="217"/>
      <c r="S102" s="217"/>
      <c r="T102" s="217"/>
      <c r="U102" s="217"/>
      <c r="V102" s="217"/>
      <c r="W102" s="217"/>
      <c r="X102" s="217"/>
      <c r="Y102" s="217"/>
      <c r="Z102" s="217"/>
      <c r="AA102" s="217"/>
      <c r="AB102" s="217"/>
      <c r="AC102" s="217"/>
      <c r="AD102" s="217"/>
      <c r="AE102" s="217"/>
      <c r="AF102" s="217"/>
      <c r="AG102" s="217"/>
      <c r="AH102" s="217"/>
      <c r="AI102" s="217"/>
      <c r="AJ102" s="217"/>
      <c r="AK102" s="217"/>
      <c r="AL102" s="217"/>
      <c r="AM102" s="217"/>
      <c r="AN102" s="217"/>
      <c r="AO102" s="217"/>
      <c r="AP102" s="217"/>
      <c r="AQ102" s="217"/>
      <c r="AR102" s="217"/>
      <c r="AS102" s="217"/>
      <c r="AT102" s="217"/>
      <c r="AU102" s="217"/>
      <c r="AV102" s="217"/>
      <c r="AW102" s="217"/>
      <c r="AX102" s="217"/>
      <c r="AY102" s="217"/>
      <c r="AZ102" s="217"/>
      <c r="BA102" s="217"/>
      <c r="BB102" s="217"/>
      <c r="BC102" s="217"/>
      <c r="BD102" s="217"/>
      <c r="BE102" s="217"/>
      <c r="BF102" s="217"/>
      <c r="BG102" s="217"/>
      <c r="BH102" s="186"/>
      <c r="BI102" s="480"/>
      <c r="BJ102" s="127"/>
      <c r="BK102" s="127"/>
      <c r="BL102" s="127"/>
      <c r="BM102" s="127"/>
    </row>
    <row r="103" spans="1:65" s="74" customFormat="1" ht="11.25" x14ac:dyDescent="0.2">
      <c r="A103" s="210">
        <v>2</v>
      </c>
      <c r="B103" s="211" t="s">
        <v>571</v>
      </c>
      <c r="C103" s="462" t="str">
        <f>IFERROR(VLOOKUP(D103,MappingFromSetAgiletoTTSRole,2,FALSE),"SET Agile Resource Role")</f>
        <v>Business Consultant</v>
      </c>
      <c r="D103" s="398" t="s">
        <v>684</v>
      </c>
      <c r="E103" s="435"/>
      <c r="F103" s="443" t="s">
        <v>607</v>
      </c>
      <c r="G103" s="443"/>
      <c r="H103" s="534" t="str">
        <f>C102</f>
        <v>SIT Support</v>
      </c>
      <c r="I103" s="406"/>
      <c r="J103" s="181"/>
      <c r="K103" s="181"/>
      <c r="L103" s="181"/>
      <c r="M103" s="181"/>
      <c r="N103" s="181"/>
      <c r="O103" s="181"/>
      <c r="P103" s="181"/>
      <c r="Q103" s="181"/>
      <c r="R103" s="181"/>
      <c r="S103" s="181"/>
      <c r="T103" s="181"/>
      <c r="U103" s="181"/>
      <c r="V103" s="181"/>
      <c r="W103" s="181"/>
      <c r="X103" s="181"/>
      <c r="Y103" s="181"/>
      <c r="Z103" s="181"/>
      <c r="AA103" s="181"/>
      <c r="AB103" s="181"/>
      <c r="AC103" s="181"/>
      <c r="AD103" s="181"/>
      <c r="AE103" s="181"/>
      <c r="AF103" s="181"/>
      <c r="AG103" s="181"/>
      <c r="AH103" s="181"/>
      <c r="AI103" s="181"/>
      <c r="AJ103" s="181"/>
      <c r="AK103" s="181"/>
      <c r="AL103" s="181"/>
      <c r="AM103" s="181"/>
      <c r="AN103" s="181"/>
      <c r="AO103" s="179"/>
      <c r="AP103" s="179"/>
      <c r="AQ103" s="179"/>
      <c r="AR103" s="179"/>
      <c r="AS103" s="179"/>
      <c r="AT103" s="179"/>
      <c r="AU103" s="179"/>
      <c r="AV103" s="179"/>
      <c r="AW103" s="179"/>
      <c r="AX103" s="179"/>
      <c r="AY103" s="179"/>
      <c r="AZ103" s="179"/>
      <c r="BA103" s="179"/>
      <c r="BB103" s="179"/>
      <c r="BC103" s="179"/>
      <c r="BD103" s="179"/>
      <c r="BE103" s="179"/>
      <c r="BF103" s="179"/>
      <c r="BG103" s="179"/>
      <c r="BH103" s="186"/>
      <c r="BI103" s="480"/>
      <c r="BJ103" s="82">
        <f t="shared" ref="BJ103:BJ112" si="204">SUMIF(I$8:BH$8, "&lt;&gt;"&amp;AgileIteration_Warranty,I103:BH103)*5*Scenario2Utilisation</f>
        <v>0</v>
      </c>
      <c r="BK103" s="82">
        <f t="shared" si="132"/>
        <v>0</v>
      </c>
      <c r="BL103" s="82">
        <f t="shared" ref="BL103:BL112" si="205">IF(Scenario2Warranty=AgileWarrantyDefault, (SUMIF(I$8:BH$8,AgileIteration_Warranty,I103:BH103)*5*Scenario2Utilisation), (BJ103*Scenario2Warranty))</f>
        <v>0</v>
      </c>
      <c r="BM103" s="127">
        <f t="shared" si="9"/>
        <v>0</v>
      </c>
    </row>
    <row r="104" spans="1:65" s="74" customFormat="1" ht="11.25" x14ac:dyDescent="0.2">
      <c r="A104" s="210">
        <v>2</v>
      </c>
      <c r="B104" s="211" t="s">
        <v>571</v>
      </c>
      <c r="C104" s="462" t="s">
        <v>685</v>
      </c>
      <c r="D104" s="399" t="s">
        <v>686</v>
      </c>
      <c r="E104" s="435"/>
      <c r="F104" s="443" t="s">
        <v>607</v>
      </c>
      <c r="G104" s="443"/>
      <c r="H104" s="534" t="str">
        <f t="shared" ref="H104:H112" si="206">H103</f>
        <v>SIT Support</v>
      </c>
      <c r="I104" s="407"/>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2"/>
      <c r="AP104" s="172"/>
      <c r="AQ104" s="172"/>
      <c r="AR104" s="172"/>
      <c r="AS104" s="172"/>
      <c r="AT104" s="172"/>
      <c r="AU104" s="172"/>
      <c r="AV104" s="172"/>
      <c r="AW104" s="172"/>
      <c r="AX104" s="172"/>
      <c r="AY104" s="172"/>
      <c r="AZ104" s="172"/>
      <c r="BA104" s="172"/>
      <c r="BB104" s="172"/>
      <c r="BC104" s="172"/>
      <c r="BD104" s="172"/>
      <c r="BE104" s="172"/>
      <c r="BF104" s="172"/>
      <c r="BG104" s="172"/>
      <c r="BH104" s="186"/>
      <c r="BI104" s="480"/>
      <c r="BJ104" s="82">
        <f t="shared" si="204"/>
        <v>0</v>
      </c>
      <c r="BK104" s="82">
        <f t="shared" si="132"/>
        <v>0</v>
      </c>
      <c r="BL104" s="82">
        <f t="shared" si="205"/>
        <v>0</v>
      </c>
      <c r="BM104" s="127">
        <f t="shared" si="9"/>
        <v>0</v>
      </c>
    </row>
    <row r="105" spans="1:65" s="74" customFormat="1" ht="11.25" x14ac:dyDescent="0.2">
      <c r="A105" s="210">
        <v>2</v>
      </c>
      <c r="B105" s="211" t="s">
        <v>571</v>
      </c>
      <c r="C105" s="462" t="s">
        <v>658</v>
      </c>
      <c r="D105" s="399" t="s">
        <v>687</v>
      </c>
      <c r="E105" s="435"/>
      <c r="F105" s="443" t="str">
        <f>IFERROR(VLOOKUP(C105,MappingFromTTStoSU,2,FALSE),"SU Resource Role")</f>
        <v>DWMS</v>
      </c>
      <c r="G105" s="443"/>
      <c r="H105" s="534" t="str">
        <f>H104</f>
        <v>SIT Support</v>
      </c>
      <c r="I105" s="407"/>
      <c r="J105" s="174"/>
      <c r="K105" s="174"/>
      <c r="L105" s="174"/>
      <c r="M105" s="174"/>
      <c r="N105" s="174"/>
      <c r="O105" s="174"/>
      <c r="P105" s="174"/>
      <c r="Q105" s="174"/>
      <c r="R105" s="174"/>
      <c r="S105" s="174"/>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2"/>
      <c r="AP105" s="172"/>
      <c r="AQ105" s="172"/>
      <c r="AR105" s="172"/>
      <c r="AS105" s="172"/>
      <c r="AT105" s="172"/>
      <c r="AU105" s="172"/>
      <c r="AV105" s="172"/>
      <c r="AW105" s="172"/>
      <c r="AX105" s="172"/>
      <c r="AY105" s="172"/>
      <c r="AZ105" s="172"/>
      <c r="BA105" s="172"/>
      <c r="BB105" s="172"/>
      <c r="BC105" s="172"/>
      <c r="BD105" s="172"/>
      <c r="BE105" s="172"/>
      <c r="BF105" s="172"/>
      <c r="BG105" s="172"/>
      <c r="BH105" s="186"/>
      <c r="BI105" s="480"/>
      <c r="BJ105" s="82">
        <f t="shared" ref="BJ105" si="207">SUMIF(I$8:BH$8, "&lt;&gt;"&amp;AgileIteration_Warranty,I105:BH105)*5*Scenario2Utilisation</f>
        <v>0</v>
      </c>
      <c r="BK105" s="82">
        <f t="shared" ref="BK105" si="208">BJ105*Scenario2AgileContingency</f>
        <v>0</v>
      </c>
      <c r="BL105" s="82">
        <f t="shared" ref="BL105" si="209">IF(Scenario2Warranty=AgileWarrantyDefault, (SUMIF(I$8:BH$8,AgileIteration_Warranty,I105:BH105)*5*Scenario2Utilisation), (BJ105*Scenario2Warranty))</f>
        <v>0</v>
      </c>
      <c r="BM105" s="127">
        <f t="shared" ref="BM105" si="210">SUM(BJ105:BL105)</f>
        <v>0</v>
      </c>
    </row>
    <row r="106" spans="1:65" s="74" customFormat="1" ht="11.25" x14ac:dyDescent="0.2">
      <c r="A106" s="210">
        <v>2</v>
      </c>
      <c r="B106" s="211" t="s">
        <v>571</v>
      </c>
      <c r="C106" s="462" t="s">
        <v>635</v>
      </c>
      <c r="D106" s="400" t="s">
        <v>687</v>
      </c>
      <c r="E106" s="435"/>
      <c r="F106" s="443" t="str">
        <f t="shared" ref="F106:F112" si="211">IFERROR(VLOOKUP(C106,MappingFromTTStoSU,2,FALSE),"SU Resource Role")</f>
        <v>DWMS</v>
      </c>
      <c r="G106" s="443"/>
      <c r="H106" s="534" t="str">
        <f>H104</f>
        <v>SIT Support</v>
      </c>
      <c r="I106" s="408"/>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6"/>
      <c r="AP106" s="176"/>
      <c r="AQ106" s="176"/>
      <c r="AR106" s="176"/>
      <c r="AS106" s="176"/>
      <c r="AT106" s="176"/>
      <c r="AU106" s="176"/>
      <c r="AV106" s="176"/>
      <c r="AW106" s="176"/>
      <c r="AX106" s="176"/>
      <c r="AY106" s="176"/>
      <c r="AZ106" s="176"/>
      <c r="BA106" s="176"/>
      <c r="BB106" s="176"/>
      <c r="BC106" s="176"/>
      <c r="BD106" s="176"/>
      <c r="BE106" s="176"/>
      <c r="BF106" s="176"/>
      <c r="BG106" s="176"/>
      <c r="BH106" s="186"/>
      <c r="BI106" s="480"/>
      <c r="BJ106" s="82">
        <f t="shared" si="204"/>
        <v>0</v>
      </c>
      <c r="BK106" s="82">
        <f t="shared" ref="BK106" si="212">BJ106*Scenario2AgileContingency</f>
        <v>0</v>
      </c>
      <c r="BL106" s="82">
        <f t="shared" si="205"/>
        <v>0</v>
      </c>
      <c r="BM106" s="127">
        <f t="shared" ref="BM106" si="213">SUM(BJ106:BL106)</f>
        <v>0</v>
      </c>
    </row>
    <row r="107" spans="1:65" s="74" customFormat="1" ht="11.25" x14ac:dyDescent="0.2">
      <c r="A107" s="210">
        <v>2</v>
      </c>
      <c r="B107" s="211" t="s">
        <v>571</v>
      </c>
      <c r="C107" s="462" t="str">
        <f t="shared" ref="C107:C112" si="214">IFERROR(VLOOKUP(D107,MappingFromSetAgiletoTTSRole,2,FALSE),"SET Agile Resource Role")</f>
        <v>Software Developer</v>
      </c>
      <c r="D107" s="400" t="s">
        <v>687</v>
      </c>
      <c r="E107" s="435"/>
      <c r="F107" s="443" t="str">
        <f t="shared" si="211"/>
        <v>DWMS</v>
      </c>
      <c r="G107" s="443"/>
      <c r="H107" s="534" t="str">
        <f t="shared" si="206"/>
        <v>SIT Support</v>
      </c>
      <c r="I107" s="408"/>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6"/>
      <c r="AP107" s="176"/>
      <c r="AQ107" s="176"/>
      <c r="AR107" s="176"/>
      <c r="AS107" s="176"/>
      <c r="AT107" s="176"/>
      <c r="AU107" s="176"/>
      <c r="AV107" s="176"/>
      <c r="AW107" s="176"/>
      <c r="AX107" s="176"/>
      <c r="AY107" s="176"/>
      <c r="AZ107" s="176"/>
      <c r="BA107" s="176"/>
      <c r="BB107" s="176"/>
      <c r="BC107" s="176"/>
      <c r="BD107" s="176"/>
      <c r="BE107" s="176"/>
      <c r="BF107" s="176"/>
      <c r="BG107" s="176"/>
      <c r="BH107" s="186"/>
      <c r="BI107" s="480"/>
      <c r="BJ107" s="82">
        <f t="shared" si="204"/>
        <v>0</v>
      </c>
      <c r="BK107" s="82">
        <f t="shared" ref="BK107" si="215">BJ107*Scenario2AgileContingency</f>
        <v>0</v>
      </c>
      <c r="BL107" s="82">
        <f t="shared" si="205"/>
        <v>0</v>
      </c>
      <c r="BM107" s="127">
        <f t="shared" ref="BM107" si="216">SUM(BJ107:BL107)</f>
        <v>0</v>
      </c>
    </row>
    <row r="108" spans="1:65" s="74" customFormat="1" ht="11.25" x14ac:dyDescent="0.2">
      <c r="A108" s="210">
        <v>2</v>
      </c>
      <c r="B108" s="211" t="s">
        <v>571</v>
      </c>
      <c r="C108" s="462" t="str">
        <f t="shared" si="214"/>
        <v>Software Developer</v>
      </c>
      <c r="D108" s="400" t="s">
        <v>687</v>
      </c>
      <c r="E108" s="435"/>
      <c r="F108" s="443" t="str">
        <f t="shared" si="211"/>
        <v>DWMS</v>
      </c>
      <c r="G108" s="443"/>
      <c r="H108" s="534" t="str">
        <f t="shared" si="206"/>
        <v>SIT Support</v>
      </c>
      <c r="I108" s="408"/>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6"/>
      <c r="AP108" s="176"/>
      <c r="AQ108" s="176"/>
      <c r="AR108" s="176"/>
      <c r="AS108" s="176"/>
      <c r="AT108" s="176"/>
      <c r="AU108" s="176"/>
      <c r="AV108" s="176"/>
      <c r="AW108" s="176"/>
      <c r="AX108" s="176"/>
      <c r="AY108" s="176"/>
      <c r="AZ108" s="176"/>
      <c r="BA108" s="176"/>
      <c r="BB108" s="176"/>
      <c r="BC108" s="176"/>
      <c r="BD108" s="176"/>
      <c r="BE108" s="176"/>
      <c r="BF108" s="176"/>
      <c r="BG108" s="176"/>
      <c r="BH108" s="186"/>
      <c r="BI108" s="480"/>
      <c r="BJ108" s="82">
        <f t="shared" si="204"/>
        <v>0</v>
      </c>
      <c r="BK108" s="82">
        <f t="shared" ref="BK108" si="217">BJ108*Scenario2AgileContingency</f>
        <v>0</v>
      </c>
      <c r="BL108" s="82">
        <f t="shared" si="205"/>
        <v>0</v>
      </c>
      <c r="BM108" s="127">
        <f t="shared" ref="BM108" si="218">SUM(BJ108:BL108)</f>
        <v>0</v>
      </c>
    </row>
    <row r="109" spans="1:65" s="74" customFormat="1" ht="11.25" x14ac:dyDescent="0.2">
      <c r="A109" s="210">
        <v>2</v>
      </c>
      <c r="B109" s="211" t="s">
        <v>571</v>
      </c>
      <c r="C109" s="462" t="str">
        <f t="shared" si="214"/>
        <v>Software Developer</v>
      </c>
      <c r="D109" s="400" t="s">
        <v>687</v>
      </c>
      <c r="E109" s="435"/>
      <c r="F109" s="443" t="str">
        <f t="shared" si="211"/>
        <v>DWMS</v>
      </c>
      <c r="G109" s="443"/>
      <c r="H109" s="534" t="str">
        <f t="shared" si="206"/>
        <v>SIT Support</v>
      </c>
      <c r="I109" s="408"/>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6"/>
      <c r="AP109" s="176"/>
      <c r="AQ109" s="176"/>
      <c r="AR109" s="176"/>
      <c r="AS109" s="176"/>
      <c r="AT109" s="176"/>
      <c r="AU109" s="176"/>
      <c r="AV109" s="176"/>
      <c r="AW109" s="176"/>
      <c r="AX109" s="176"/>
      <c r="AY109" s="176"/>
      <c r="AZ109" s="176"/>
      <c r="BA109" s="176"/>
      <c r="BB109" s="176"/>
      <c r="BC109" s="176"/>
      <c r="BD109" s="176"/>
      <c r="BE109" s="176"/>
      <c r="BF109" s="176"/>
      <c r="BG109" s="176"/>
      <c r="BH109" s="186"/>
      <c r="BI109" s="480"/>
      <c r="BJ109" s="82">
        <f t="shared" si="204"/>
        <v>0</v>
      </c>
      <c r="BK109" s="82">
        <f t="shared" ref="BK109" si="219">BJ109*Scenario2AgileContingency</f>
        <v>0</v>
      </c>
      <c r="BL109" s="82">
        <f t="shared" si="205"/>
        <v>0</v>
      </c>
      <c r="BM109" s="127">
        <f t="shared" ref="BM109" si="220">SUM(BJ109:BL109)</f>
        <v>0</v>
      </c>
    </row>
    <row r="110" spans="1:65" s="74" customFormat="1" ht="11.25" x14ac:dyDescent="0.2">
      <c r="A110" s="210">
        <v>2</v>
      </c>
      <c r="B110" s="211" t="s">
        <v>571</v>
      </c>
      <c r="C110" s="462" t="s">
        <v>651</v>
      </c>
      <c r="D110" s="400" t="s">
        <v>688</v>
      </c>
      <c r="E110" s="435"/>
      <c r="F110" s="443" t="str">
        <f t="shared" si="211"/>
        <v>DWMS</v>
      </c>
      <c r="G110" s="443"/>
      <c r="H110" s="534" t="str">
        <f t="shared" si="206"/>
        <v>SIT Support</v>
      </c>
      <c r="I110" s="408"/>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6"/>
      <c r="AP110" s="176"/>
      <c r="AQ110" s="176"/>
      <c r="AR110" s="176"/>
      <c r="AS110" s="176"/>
      <c r="AT110" s="176"/>
      <c r="AU110" s="176"/>
      <c r="AV110" s="176"/>
      <c r="AW110" s="176"/>
      <c r="AX110" s="176"/>
      <c r="AY110" s="176"/>
      <c r="AZ110" s="176"/>
      <c r="BA110" s="176"/>
      <c r="BB110" s="176"/>
      <c r="BC110" s="176"/>
      <c r="BD110" s="176"/>
      <c r="BE110" s="176"/>
      <c r="BF110" s="176"/>
      <c r="BG110" s="176"/>
      <c r="BH110" s="186"/>
      <c r="BI110" s="480"/>
      <c r="BJ110" s="82">
        <f t="shared" si="204"/>
        <v>0</v>
      </c>
      <c r="BK110" s="82">
        <f t="shared" ref="BK110" si="221">BJ110*Scenario2AgileContingency</f>
        <v>0</v>
      </c>
      <c r="BL110" s="82">
        <f t="shared" si="205"/>
        <v>0</v>
      </c>
      <c r="BM110" s="127">
        <f t="shared" ref="BM110" si="222">SUM(BJ110:BL110)</f>
        <v>0</v>
      </c>
    </row>
    <row r="111" spans="1:65" s="74" customFormat="1" ht="11.25" x14ac:dyDescent="0.2">
      <c r="A111" s="210">
        <v>2</v>
      </c>
      <c r="B111" s="211" t="s">
        <v>571</v>
      </c>
      <c r="C111" s="462" t="str">
        <f t="shared" si="214"/>
        <v>Test Consultant</v>
      </c>
      <c r="D111" s="400" t="s">
        <v>688</v>
      </c>
      <c r="E111" s="435"/>
      <c r="F111" s="443" t="str">
        <f t="shared" si="211"/>
        <v>DWMS</v>
      </c>
      <c r="G111" s="443"/>
      <c r="H111" s="534" t="str">
        <f t="shared" si="206"/>
        <v>SIT Support</v>
      </c>
      <c r="I111" s="408"/>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6"/>
      <c r="AP111" s="176"/>
      <c r="AQ111" s="176"/>
      <c r="AR111" s="176"/>
      <c r="AS111" s="176"/>
      <c r="AT111" s="176"/>
      <c r="AU111" s="176"/>
      <c r="AV111" s="176"/>
      <c r="AW111" s="176"/>
      <c r="AX111" s="176"/>
      <c r="AY111" s="176"/>
      <c r="AZ111" s="176"/>
      <c r="BA111" s="176"/>
      <c r="BB111" s="176"/>
      <c r="BC111" s="176"/>
      <c r="BD111" s="176"/>
      <c r="BE111" s="176"/>
      <c r="BF111" s="176"/>
      <c r="BG111" s="176"/>
      <c r="BH111" s="186"/>
      <c r="BI111" s="480"/>
      <c r="BJ111" s="82">
        <f t="shared" si="204"/>
        <v>0</v>
      </c>
      <c r="BK111" s="82">
        <f t="shared" ref="BK111" si="223">BJ111*Scenario2AgileContingency</f>
        <v>0</v>
      </c>
      <c r="BL111" s="82">
        <f t="shared" si="205"/>
        <v>0</v>
      </c>
      <c r="BM111" s="127">
        <f t="shared" ref="BM111" si="224">SUM(BJ111:BL111)</f>
        <v>0</v>
      </c>
    </row>
    <row r="112" spans="1:65" s="74" customFormat="1" ht="11.25" x14ac:dyDescent="0.2">
      <c r="A112" s="210">
        <v>2</v>
      </c>
      <c r="B112" s="211" t="s">
        <v>571</v>
      </c>
      <c r="C112" s="462" t="str">
        <f t="shared" si="214"/>
        <v>Test Consultant</v>
      </c>
      <c r="D112" s="400" t="s">
        <v>688</v>
      </c>
      <c r="E112" s="435"/>
      <c r="F112" s="443" t="str">
        <f t="shared" si="211"/>
        <v>DWMS</v>
      </c>
      <c r="G112" s="443"/>
      <c r="H112" s="534" t="str">
        <f t="shared" si="206"/>
        <v>SIT Support</v>
      </c>
      <c r="I112" s="408"/>
      <c r="J112" s="177"/>
      <c r="K112" s="177"/>
      <c r="L112" s="177"/>
      <c r="M112" s="177"/>
      <c r="N112" s="177"/>
      <c r="O112" s="177"/>
      <c r="P112" s="177"/>
      <c r="Q112" s="177"/>
      <c r="R112" s="177"/>
      <c r="S112" s="177"/>
      <c r="T112" s="177"/>
      <c r="U112" s="177"/>
      <c r="V112" s="177"/>
      <c r="W112" s="177"/>
      <c r="X112" s="177"/>
      <c r="Y112" s="177"/>
      <c r="Z112" s="177"/>
      <c r="AA112" s="177"/>
      <c r="AB112" s="177"/>
      <c r="AC112" s="177"/>
      <c r="AD112" s="177"/>
      <c r="AE112" s="177"/>
      <c r="AF112" s="177"/>
      <c r="AG112" s="177"/>
      <c r="AH112" s="177"/>
      <c r="AI112" s="177"/>
      <c r="AJ112" s="177"/>
      <c r="AK112" s="177"/>
      <c r="AL112" s="177"/>
      <c r="AM112" s="177"/>
      <c r="AN112" s="177"/>
      <c r="AO112" s="176"/>
      <c r="AP112" s="176"/>
      <c r="AQ112" s="176"/>
      <c r="AR112" s="176"/>
      <c r="AS112" s="176"/>
      <c r="AT112" s="176"/>
      <c r="AU112" s="176"/>
      <c r="AV112" s="176"/>
      <c r="AW112" s="176"/>
      <c r="AX112" s="176"/>
      <c r="AY112" s="176"/>
      <c r="AZ112" s="176"/>
      <c r="BA112" s="176"/>
      <c r="BB112" s="176"/>
      <c r="BC112" s="176"/>
      <c r="BD112" s="176"/>
      <c r="BE112" s="176"/>
      <c r="BF112" s="176"/>
      <c r="BG112" s="176"/>
      <c r="BH112" s="186"/>
      <c r="BI112" s="480"/>
      <c r="BJ112" s="82">
        <f t="shared" si="204"/>
        <v>0</v>
      </c>
      <c r="BK112" s="82">
        <f t="shared" ref="BK112" si="225">BJ112*Scenario2AgileContingency</f>
        <v>0</v>
      </c>
      <c r="BL112" s="82">
        <f t="shared" si="205"/>
        <v>0</v>
      </c>
      <c r="BM112" s="127">
        <f t="shared" ref="BM112" si="226">SUM(BJ112:BL112)</f>
        <v>0</v>
      </c>
    </row>
    <row r="113" spans="1:65" s="74" customFormat="1" ht="11.25" x14ac:dyDescent="0.2">
      <c r="A113" s="210">
        <v>1</v>
      </c>
      <c r="B113" s="211" t="s">
        <v>578</v>
      </c>
      <c r="C113" s="206" t="s">
        <v>689</v>
      </c>
      <c r="D113" s="206" t="s">
        <v>689</v>
      </c>
      <c r="E113" s="436"/>
      <c r="F113" s="436"/>
      <c r="G113" s="436"/>
      <c r="H113" s="436"/>
      <c r="I113" s="217"/>
      <c r="J113" s="217"/>
      <c r="K113" s="217"/>
      <c r="L113" s="217"/>
      <c r="M113" s="217"/>
      <c r="N113" s="217"/>
      <c r="O113" s="217"/>
      <c r="P113" s="217"/>
      <c r="Q113" s="217"/>
      <c r="R113" s="217"/>
      <c r="S113" s="217"/>
      <c r="T113" s="217"/>
      <c r="U113" s="217"/>
      <c r="V113" s="217"/>
      <c r="W113" s="217"/>
      <c r="X113" s="217"/>
      <c r="Y113" s="217"/>
      <c r="Z113" s="217"/>
      <c r="AA113" s="217"/>
      <c r="AB113" s="217"/>
      <c r="AC113" s="217"/>
      <c r="AD113" s="217"/>
      <c r="AE113" s="217"/>
      <c r="AF113" s="217"/>
      <c r="AG113" s="217"/>
      <c r="AH113" s="217"/>
      <c r="AI113" s="217"/>
      <c r="AJ113" s="217"/>
      <c r="AK113" s="217"/>
      <c r="AL113" s="217"/>
      <c r="AM113" s="217"/>
      <c r="AN113" s="217"/>
      <c r="AO113" s="217"/>
      <c r="AP113" s="217"/>
      <c r="AQ113" s="217"/>
      <c r="AR113" s="217"/>
      <c r="AS113" s="217"/>
      <c r="AT113" s="217"/>
      <c r="AU113" s="217"/>
      <c r="AV113" s="217"/>
      <c r="AW113" s="217"/>
      <c r="AX113" s="217"/>
      <c r="AY113" s="217"/>
      <c r="AZ113" s="217"/>
      <c r="BA113" s="217"/>
      <c r="BB113" s="217"/>
      <c r="BC113" s="217"/>
      <c r="BD113" s="217"/>
      <c r="BE113" s="217"/>
      <c r="BF113" s="217"/>
      <c r="BG113" s="217"/>
      <c r="BH113" s="186"/>
      <c r="BI113" s="480"/>
      <c r="BJ113" s="127"/>
      <c r="BK113" s="127"/>
      <c r="BL113" s="127"/>
      <c r="BM113" s="127"/>
    </row>
    <row r="114" spans="1:65" s="74" customFormat="1" ht="11.25" x14ac:dyDescent="0.2">
      <c r="A114" s="210">
        <v>2</v>
      </c>
      <c r="B114" s="211" t="s">
        <v>578</v>
      </c>
      <c r="C114" s="462" t="str">
        <f>IFERROR(VLOOKUP(D114,MappingFromSetAgiletoTTSRole,2,FALSE),"SET Agile Resource Role")</f>
        <v>Business Consultant</v>
      </c>
      <c r="D114" s="398" t="s">
        <v>684</v>
      </c>
      <c r="E114" s="435"/>
      <c r="F114" s="443" t="s">
        <v>607</v>
      </c>
      <c r="G114" s="443"/>
      <c r="H114" s="534" t="str">
        <f>C113</f>
        <v>UAT Support</v>
      </c>
      <c r="I114" s="406"/>
      <c r="J114" s="181"/>
      <c r="K114" s="181"/>
      <c r="L114" s="181"/>
      <c r="M114" s="181"/>
      <c r="N114" s="181"/>
      <c r="O114" s="181"/>
      <c r="P114" s="181"/>
      <c r="Q114" s="181"/>
      <c r="R114" s="181"/>
      <c r="S114" s="181"/>
      <c r="T114" s="181"/>
      <c r="U114" s="181"/>
      <c r="V114" s="181"/>
      <c r="W114" s="181"/>
      <c r="X114" s="181"/>
      <c r="Y114" s="181"/>
      <c r="Z114" s="181"/>
      <c r="AA114" s="181"/>
      <c r="AB114" s="179"/>
      <c r="AC114" s="179"/>
      <c r="AD114" s="181"/>
      <c r="AE114" s="181"/>
      <c r="AF114" s="181"/>
      <c r="AG114" s="181"/>
      <c r="AH114" s="181"/>
      <c r="AI114" s="181"/>
      <c r="AJ114" s="181"/>
      <c r="AK114" s="181"/>
      <c r="AL114" s="181"/>
      <c r="AM114" s="181"/>
      <c r="AN114" s="181"/>
      <c r="AO114" s="181"/>
      <c r="AP114" s="181"/>
      <c r="AQ114" s="181"/>
      <c r="AR114" s="181"/>
      <c r="AS114" s="181"/>
      <c r="AT114" s="181"/>
      <c r="AU114" s="181"/>
      <c r="AV114" s="181"/>
      <c r="AW114" s="181"/>
      <c r="AX114" s="181"/>
      <c r="AY114" s="181"/>
      <c r="AZ114" s="181"/>
      <c r="BA114" s="181"/>
      <c r="BB114" s="181"/>
      <c r="BC114" s="181"/>
      <c r="BD114" s="181"/>
      <c r="BE114" s="181"/>
      <c r="BF114" s="181"/>
      <c r="BG114" s="181"/>
      <c r="BH114" s="186"/>
      <c r="BI114" s="480"/>
      <c r="BJ114" s="82">
        <f t="shared" ref="BJ114:BJ123" si="227">SUMIF(I$8:BH$8, "&lt;&gt;"&amp;AgileIteration_Warranty,I114:BH114)*5*Scenario2Utilisation</f>
        <v>0</v>
      </c>
      <c r="BK114" s="82">
        <f t="shared" si="132"/>
        <v>0</v>
      </c>
      <c r="BL114" s="82">
        <f t="shared" ref="BL114:BL123" si="228">IF(Scenario2Warranty=AgileWarrantyDefault, (SUMIF(I$8:BH$8,AgileIteration_Warranty,I114:BH114)*5*Scenario2Utilisation), (BJ114*Scenario2Warranty))</f>
        <v>0</v>
      </c>
      <c r="BM114" s="127">
        <f t="shared" si="9"/>
        <v>0</v>
      </c>
    </row>
    <row r="115" spans="1:65" s="74" customFormat="1" ht="11.25" x14ac:dyDescent="0.2">
      <c r="A115" s="210">
        <v>2</v>
      </c>
      <c r="B115" s="211" t="s">
        <v>578</v>
      </c>
      <c r="C115" s="462" t="s">
        <v>685</v>
      </c>
      <c r="D115" s="399" t="s">
        <v>686</v>
      </c>
      <c r="E115" s="435"/>
      <c r="F115" s="443" t="s">
        <v>607</v>
      </c>
      <c r="G115" s="443"/>
      <c r="H115" s="534" t="str">
        <f>H114</f>
        <v>UAT Support</v>
      </c>
      <c r="I115" s="407"/>
      <c r="J115" s="174"/>
      <c r="K115" s="174"/>
      <c r="L115" s="174"/>
      <c r="M115" s="174"/>
      <c r="N115" s="174"/>
      <c r="O115" s="174"/>
      <c r="P115" s="174"/>
      <c r="Q115" s="174"/>
      <c r="R115" s="174"/>
      <c r="S115" s="174"/>
      <c r="T115" s="174"/>
      <c r="U115" s="174"/>
      <c r="V115" s="174"/>
      <c r="W115" s="174"/>
      <c r="X115" s="174"/>
      <c r="Y115" s="174"/>
      <c r="Z115" s="174"/>
      <c r="AA115" s="174"/>
      <c r="AB115" s="172"/>
      <c r="AC115" s="172"/>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2"/>
      <c r="BF115" s="172"/>
      <c r="BG115" s="172"/>
      <c r="BH115" s="186"/>
      <c r="BI115" s="480"/>
      <c r="BJ115" s="82">
        <f t="shared" si="227"/>
        <v>0</v>
      </c>
      <c r="BK115" s="82">
        <f t="shared" si="132"/>
        <v>0</v>
      </c>
      <c r="BL115" s="82">
        <f t="shared" si="228"/>
        <v>0</v>
      </c>
      <c r="BM115" s="127">
        <f t="shared" si="9"/>
        <v>0</v>
      </c>
    </row>
    <row r="116" spans="1:65" s="74" customFormat="1" ht="11.25" x14ac:dyDescent="0.2">
      <c r="A116" s="210">
        <v>2</v>
      </c>
      <c r="B116" s="211" t="s">
        <v>578</v>
      </c>
      <c r="C116" s="462" t="s">
        <v>658</v>
      </c>
      <c r="D116" s="399" t="s">
        <v>687</v>
      </c>
      <c r="E116" s="435"/>
      <c r="F116" s="443" t="str">
        <f>IFERROR(VLOOKUP(C116,MappingFromTTStoSU,2,FALSE),"SU Resource Role")</f>
        <v>DWMS</v>
      </c>
      <c r="G116" s="443"/>
      <c r="H116" s="534" t="str">
        <f>H115</f>
        <v>UAT Support</v>
      </c>
      <c r="I116" s="407"/>
      <c r="J116" s="174"/>
      <c r="K116" s="174"/>
      <c r="L116" s="174"/>
      <c r="M116" s="174"/>
      <c r="N116" s="174"/>
      <c r="O116" s="174"/>
      <c r="P116" s="174"/>
      <c r="Q116" s="174"/>
      <c r="R116" s="174"/>
      <c r="S116" s="174"/>
      <c r="T116" s="174"/>
      <c r="U116" s="174"/>
      <c r="V116" s="174"/>
      <c r="W116" s="174"/>
      <c r="X116" s="174"/>
      <c r="Y116" s="174"/>
      <c r="Z116" s="174"/>
      <c r="AA116" s="174"/>
      <c r="AB116" s="172"/>
      <c r="AC116" s="172"/>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4"/>
      <c r="BA116" s="174"/>
      <c r="BB116" s="174"/>
      <c r="BC116" s="174"/>
      <c r="BD116" s="174"/>
      <c r="BE116" s="172"/>
      <c r="BF116" s="172"/>
      <c r="BG116" s="172"/>
      <c r="BH116" s="186"/>
      <c r="BI116" s="480"/>
      <c r="BJ116" s="82">
        <f t="shared" ref="BJ116" si="229">SUMIF(I$8:BH$8, "&lt;&gt;"&amp;AgileIteration_Warranty,I116:BH116)*5*Scenario2Utilisation</f>
        <v>0</v>
      </c>
      <c r="BK116" s="82">
        <f t="shared" ref="BK116" si="230">BJ116*Scenario2AgileContingency</f>
        <v>0</v>
      </c>
      <c r="BL116" s="82">
        <f t="shared" ref="BL116" si="231">IF(Scenario2Warranty=AgileWarrantyDefault, (SUMIF(I$8:BH$8,AgileIteration_Warranty,I116:BH116)*5*Scenario2Utilisation), (BJ116*Scenario2Warranty))</f>
        <v>0</v>
      </c>
      <c r="BM116" s="127">
        <f t="shared" ref="BM116" si="232">SUM(BJ116:BL116)</f>
        <v>0</v>
      </c>
    </row>
    <row r="117" spans="1:65" s="74" customFormat="1" ht="11.25" x14ac:dyDescent="0.2">
      <c r="A117" s="210">
        <v>2</v>
      </c>
      <c r="B117" s="211" t="s">
        <v>578</v>
      </c>
      <c r="C117" s="462" t="s">
        <v>635</v>
      </c>
      <c r="D117" s="399" t="s">
        <v>687</v>
      </c>
      <c r="E117" s="435"/>
      <c r="F117" s="443" t="s">
        <v>607</v>
      </c>
      <c r="G117" s="443"/>
      <c r="H117" s="534" t="str">
        <f>H115</f>
        <v>UAT Support</v>
      </c>
      <c r="I117" s="407"/>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4"/>
      <c r="BA117" s="174"/>
      <c r="BB117" s="174"/>
      <c r="BC117" s="174"/>
      <c r="BD117" s="174"/>
      <c r="BE117" s="172"/>
      <c r="BF117" s="172"/>
      <c r="BG117" s="172"/>
      <c r="BH117" s="186"/>
      <c r="BI117" s="480"/>
      <c r="BJ117" s="82">
        <f t="shared" si="227"/>
        <v>0</v>
      </c>
      <c r="BK117" s="82">
        <f t="shared" si="132"/>
        <v>0</v>
      </c>
      <c r="BL117" s="82">
        <f t="shared" si="228"/>
        <v>0</v>
      </c>
      <c r="BM117" s="127">
        <f t="shared" si="9"/>
        <v>0</v>
      </c>
    </row>
    <row r="118" spans="1:65" s="74" customFormat="1" ht="11.25" x14ac:dyDescent="0.2">
      <c r="A118" s="210">
        <v>2</v>
      </c>
      <c r="B118" s="211" t="s">
        <v>578</v>
      </c>
      <c r="C118" s="462" t="str">
        <f t="shared" ref="C118:C123" si="233">IFERROR(VLOOKUP(D118,MappingFromSetAgiletoTTSRole,2,FALSE),"SET Agile Resource Role")</f>
        <v>Software Developer</v>
      </c>
      <c r="D118" s="399" t="s">
        <v>687</v>
      </c>
      <c r="E118" s="435"/>
      <c r="F118" s="443" t="s">
        <v>607</v>
      </c>
      <c r="G118" s="443"/>
      <c r="H118" s="534" t="str">
        <f t="shared" ref="H118" si="234">H117</f>
        <v>UAT Support</v>
      </c>
      <c r="I118" s="407"/>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4"/>
      <c r="BA118" s="174"/>
      <c r="BB118" s="174"/>
      <c r="BC118" s="174"/>
      <c r="BD118" s="174"/>
      <c r="BE118" s="172"/>
      <c r="BF118" s="172"/>
      <c r="BG118" s="172"/>
      <c r="BH118" s="186"/>
      <c r="BI118" s="480"/>
      <c r="BJ118" s="82">
        <f t="shared" si="227"/>
        <v>0</v>
      </c>
      <c r="BK118" s="82">
        <f t="shared" si="132"/>
        <v>0</v>
      </c>
      <c r="BL118" s="82">
        <f t="shared" si="228"/>
        <v>0</v>
      </c>
      <c r="BM118" s="127">
        <f t="shared" si="9"/>
        <v>0</v>
      </c>
    </row>
    <row r="119" spans="1:65" s="74" customFormat="1" ht="11.25" x14ac:dyDescent="0.2">
      <c r="A119" s="210">
        <v>2</v>
      </c>
      <c r="B119" s="211" t="s">
        <v>578</v>
      </c>
      <c r="C119" s="462" t="str">
        <f t="shared" si="233"/>
        <v>Software Developer</v>
      </c>
      <c r="D119" s="399" t="s">
        <v>687</v>
      </c>
      <c r="E119" s="435"/>
      <c r="F119" s="443" t="str">
        <f>IFERROR(VLOOKUP(C119,MappingFromTTStoSU,2,FALSE),"SU Resource Role")</f>
        <v>DWMS</v>
      </c>
      <c r="G119" s="443"/>
      <c r="H119" s="534" t="str">
        <f>H118</f>
        <v>UAT Support</v>
      </c>
      <c r="I119" s="407"/>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4"/>
      <c r="BA119" s="174"/>
      <c r="BB119" s="174"/>
      <c r="BC119" s="174"/>
      <c r="BD119" s="174"/>
      <c r="BE119" s="172"/>
      <c r="BF119" s="172"/>
      <c r="BG119" s="172"/>
      <c r="BH119" s="186"/>
      <c r="BI119" s="480"/>
      <c r="BJ119" s="82">
        <f t="shared" si="227"/>
        <v>0</v>
      </c>
      <c r="BK119" s="82">
        <f t="shared" ref="BK119" si="235">BJ119*Scenario2AgileContingency</f>
        <v>0</v>
      </c>
      <c r="BL119" s="82">
        <f t="shared" si="228"/>
        <v>0</v>
      </c>
      <c r="BM119" s="127">
        <f t="shared" ref="BM119" si="236">SUM(BJ119:BL119)</f>
        <v>0</v>
      </c>
    </row>
    <row r="120" spans="1:65" s="74" customFormat="1" ht="11.25" x14ac:dyDescent="0.2">
      <c r="A120" s="210">
        <v>2</v>
      </c>
      <c r="B120" s="211" t="s">
        <v>578</v>
      </c>
      <c r="C120" s="462" t="str">
        <f t="shared" si="233"/>
        <v>Software Developer</v>
      </c>
      <c r="D120" s="399" t="s">
        <v>687</v>
      </c>
      <c r="E120" s="435"/>
      <c r="F120" s="443" t="str">
        <f>IFERROR(VLOOKUP(C120,MappingFromTTStoSU,2,FALSE),"SU Resource Role")</f>
        <v>DWMS</v>
      </c>
      <c r="G120" s="443"/>
      <c r="H120" s="534" t="str">
        <f>H119</f>
        <v>UAT Support</v>
      </c>
      <c r="I120" s="407"/>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4"/>
      <c r="BA120" s="174"/>
      <c r="BB120" s="174"/>
      <c r="BC120" s="174"/>
      <c r="BD120" s="174"/>
      <c r="BE120" s="172"/>
      <c r="BF120" s="172"/>
      <c r="BG120" s="172"/>
      <c r="BH120" s="186"/>
      <c r="BI120" s="480"/>
      <c r="BJ120" s="82">
        <f t="shared" si="227"/>
        <v>0</v>
      </c>
      <c r="BK120" s="82">
        <f t="shared" ref="BK120" si="237">BJ120*Scenario2AgileContingency</f>
        <v>0</v>
      </c>
      <c r="BL120" s="82">
        <f t="shared" si="228"/>
        <v>0</v>
      </c>
      <c r="BM120" s="127">
        <f t="shared" ref="BM120" si="238">SUM(BJ120:BL120)</f>
        <v>0</v>
      </c>
    </row>
    <row r="121" spans="1:65" s="74" customFormat="1" ht="11.25" x14ac:dyDescent="0.2">
      <c r="A121" s="210">
        <v>2</v>
      </c>
      <c r="B121" s="211" t="s">
        <v>578</v>
      </c>
      <c r="C121" s="462" t="s">
        <v>651</v>
      </c>
      <c r="D121" s="399" t="s">
        <v>688</v>
      </c>
      <c r="E121" s="435"/>
      <c r="F121" s="443" t="str">
        <f>IFERROR(VLOOKUP(C121,MappingFromTTStoSU,2,FALSE),"SU Resource Role")</f>
        <v>DWMS</v>
      </c>
      <c r="G121" s="443"/>
      <c r="H121" s="534" t="str">
        <f>H120</f>
        <v>UAT Support</v>
      </c>
      <c r="I121" s="407"/>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4"/>
      <c r="BA121" s="174"/>
      <c r="BB121" s="174"/>
      <c r="BC121" s="174"/>
      <c r="BD121" s="174"/>
      <c r="BE121" s="172"/>
      <c r="BF121" s="172"/>
      <c r="BG121" s="172"/>
      <c r="BH121" s="186"/>
      <c r="BI121" s="480"/>
      <c r="BJ121" s="82">
        <f t="shared" si="227"/>
        <v>0</v>
      </c>
      <c r="BK121" s="82">
        <f t="shared" ref="BK121" si="239">BJ121*Scenario2AgileContingency</f>
        <v>0</v>
      </c>
      <c r="BL121" s="82">
        <f t="shared" si="228"/>
        <v>0</v>
      </c>
      <c r="BM121" s="127">
        <f t="shared" ref="BM121" si="240">SUM(BJ121:BL121)</f>
        <v>0</v>
      </c>
    </row>
    <row r="122" spans="1:65" s="74" customFormat="1" ht="11.25" x14ac:dyDescent="0.2">
      <c r="A122" s="210">
        <v>2</v>
      </c>
      <c r="B122" s="211" t="s">
        <v>578</v>
      </c>
      <c r="C122" s="462" t="str">
        <f t="shared" si="233"/>
        <v>Test Consultant</v>
      </c>
      <c r="D122" s="399" t="s">
        <v>688</v>
      </c>
      <c r="E122" s="435"/>
      <c r="F122" s="443" t="str">
        <f>IFERROR(VLOOKUP(C122,MappingFromTTStoSU,2,FALSE),"SU Resource Role")</f>
        <v>DWMS</v>
      </c>
      <c r="G122" s="443"/>
      <c r="H122" s="534" t="str">
        <f>H121</f>
        <v>UAT Support</v>
      </c>
      <c r="I122" s="407"/>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2"/>
      <c r="BF122" s="172"/>
      <c r="BG122" s="172"/>
      <c r="BH122" s="186"/>
      <c r="BI122" s="480"/>
      <c r="BJ122" s="82">
        <f t="shared" si="227"/>
        <v>0</v>
      </c>
      <c r="BK122" s="82">
        <f t="shared" ref="BK122" si="241">BJ122*Scenario2AgileContingency</f>
        <v>0</v>
      </c>
      <c r="BL122" s="82">
        <f t="shared" si="228"/>
        <v>0</v>
      </c>
      <c r="BM122" s="127">
        <f t="shared" ref="BM122" si="242">SUM(BJ122:BL122)</f>
        <v>0</v>
      </c>
    </row>
    <row r="123" spans="1:65" s="74" customFormat="1" ht="11.25" x14ac:dyDescent="0.2">
      <c r="A123" s="210">
        <v>2</v>
      </c>
      <c r="B123" s="211" t="s">
        <v>578</v>
      </c>
      <c r="C123" s="462" t="str">
        <f t="shared" si="233"/>
        <v>Test Consultant</v>
      </c>
      <c r="D123" s="399" t="s">
        <v>688</v>
      </c>
      <c r="E123" s="435"/>
      <c r="F123" s="443" t="str">
        <f>IFERROR(VLOOKUP(C123,MappingFromTTStoSU,2,FALSE),"SU Resource Role")</f>
        <v>DWMS</v>
      </c>
      <c r="G123" s="443"/>
      <c r="H123" s="534" t="str">
        <f>H122</f>
        <v>UAT Support</v>
      </c>
      <c r="I123" s="407"/>
      <c r="J123" s="174"/>
      <c r="K123" s="174"/>
      <c r="L123" s="174"/>
      <c r="M123" s="174"/>
      <c r="N123" s="174"/>
      <c r="O123" s="174"/>
      <c r="P123" s="174"/>
      <c r="Q123" s="174"/>
      <c r="R123" s="174"/>
      <c r="S123" s="174"/>
      <c r="T123" s="174"/>
      <c r="U123" s="174"/>
      <c r="V123" s="174"/>
      <c r="W123" s="174"/>
      <c r="X123" s="174"/>
      <c r="Y123" s="174"/>
      <c r="Z123" s="174"/>
      <c r="AA123" s="174"/>
      <c r="AB123" s="174"/>
      <c r="AC123" s="174"/>
      <c r="AD123" s="174"/>
      <c r="AE123" s="174"/>
      <c r="AF123" s="174"/>
      <c r="AG123" s="174"/>
      <c r="AH123" s="174"/>
      <c r="AI123" s="174"/>
      <c r="AJ123" s="174"/>
      <c r="AK123" s="174"/>
      <c r="AL123" s="174"/>
      <c r="AM123" s="174"/>
      <c r="AN123" s="174"/>
      <c r="AO123" s="174"/>
      <c r="AP123" s="174"/>
      <c r="AQ123" s="174"/>
      <c r="AR123" s="174"/>
      <c r="AS123" s="174"/>
      <c r="AT123" s="174"/>
      <c r="AU123" s="174"/>
      <c r="AV123" s="174"/>
      <c r="AW123" s="174"/>
      <c r="AX123" s="174"/>
      <c r="AY123" s="174"/>
      <c r="AZ123" s="174"/>
      <c r="BA123" s="174"/>
      <c r="BB123" s="174"/>
      <c r="BC123" s="174"/>
      <c r="BD123" s="174"/>
      <c r="BE123" s="172"/>
      <c r="BF123" s="172"/>
      <c r="BG123" s="172"/>
      <c r="BH123" s="186"/>
      <c r="BI123" s="480"/>
      <c r="BJ123" s="82">
        <f t="shared" si="227"/>
        <v>0</v>
      </c>
      <c r="BK123" s="82">
        <f t="shared" ref="BK123" si="243">BJ123*Scenario2AgileContingency</f>
        <v>0</v>
      </c>
      <c r="BL123" s="82">
        <f t="shared" si="228"/>
        <v>0</v>
      </c>
      <c r="BM123" s="127">
        <f t="shared" ref="BM123" si="244">SUM(BJ123:BL123)</f>
        <v>0</v>
      </c>
    </row>
    <row r="124" spans="1:65" s="74" customFormat="1" ht="11.25" x14ac:dyDescent="0.2">
      <c r="A124" s="210">
        <v>1</v>
      </c>
      <c r="B124" s="211" t="s">
        <v>731</v>
      </c>
      <c r="C124" s="206" t="s">
        <v>691</v>
      </c>
      <c r="D124" s="206" t="s">
        <v>691</v>
      </c>
      <c r="E124" s="436"/>
      <c r="F124" s="436"/>
      <c r="G124" s="436"/>
      <c r="H124" s="436"/>
      <c r="I124" s="217"/>
      <c r="J124" s="217"/>
      <c r="K124" s="217"/>
      <c r="L124" s="217"/>
      <c r="M124" s="217"/>
      <c r="N124" s="217"/>
      <c r="O124" s="217"/>
      <c r="P124" s="217"/>
      <c r="Q124" s="217"/>
      <c r="R124" s="217"/>
      <c r="S124" s="217"/>
      <c r="T124" s="217"/>
      <c r="U124" s="217"/>
      <c r="V124" s="217"/>
      <c r="W124" s="217"/>
      <c r="X124" s="217"/>
      <c r="Y124" s="217"/>
      <c r="Z124" s="217"/>
      <c r="AA124" s="217"/>
      <c r="AB124" s="217"/>
      <c r="AC124" s="217"/>
      <c r="AD124" s="217"/>
      <c r="AE124" s="217"/>
      <c r="AF124" s="217"/>
      <c r="AG124" s="217"/>
      <c r="AH124" s="217"/>
      <c r="AI124" s="217"/>
      <c r="AJ124" s="217"/>
      <c r="AK124" s="217"/>
      <c r="AL124" s="217"/>
      <c r="AM124" s="217"/>
      <c r="AN124" s="217"/>
      <c r="AO124" s="217"/>
      <c r="AP124" s="217"/>
      <c r="AQ124" s="217"/>
      <c r="AR124" s="217"/>
      <c r="AS124" s="217"/>
      <c r="AT124" s="217"/>
      <c r="AU124" s="217"/>
      <c r="AV124" s="217"/>
      <c r="AW124" s="217"/>
      <c r="AX124" s="217"/>
      <c r="AY124" s="217"/>
      <c r="AZ124" s="217"/>
      <c r="BA124" s="217"/>
      <c r="BB124" s="217"/>
      <c r="BC124" s="217"/>
      <c r="BD124" s="217"/>
      <c r="BE124" s="217"/>
      <c r="BF124" s="217"/>
      <c r="BG124" s="217"/>
      <c r="BH124" s="186"/>
      <c r="BI124" s="480"/>
      <c r="BJ124" s="127"/>
      <c r="BK124" s="127"/>
      <c r="BL124" s="127"/>
      <c r="BM124" s="127"/>
    </row>
    <row r="125" spans="1:65" s="74" customFormat="1" ht="11.25" x14ac:dyDescent="0.2">
      <c r="A125" s="210">
        <v>2</v>
      </c>
      <c r="B125" s="211" t="s">
        <v>731</v>
      </c>
      <c r="C125" s="462" t="s">
        <v>618</v>
      </c>
      <c r="D125" s="398" t="s">
        <v>622</v>
      </c>
      <c r="E125" s="435"/>
      <c r="F125" s="443" t="str">
        <f>IFERROR(VLOOKUP(C125,MappingFromTTStoSU,2,FALSE),"SU Resource Role")</f>
        <v>DWMS</v>
      </c>
      <c r="G125" s="443"/>
      <c r="H125" s="534" t="str">
        <f>C124</f>
        <v>Customer SIT &amp; UAT</v>
      </c>
      <c r="I125" s="406"/>
      <c r="J125" s="181"/>
      <c r="K125" s="181"/>
      <c r="L125" s="181"/>
      <c r="M125" s="181"/>
      <c r="N125" s="181"/>
      <c r="O125" s="181"/>
      <c r="P125" s="181"/>
      <c r="Q125" s="181"/>
      <c r="R125" s="181"/>
      <c r="S125" s="181"/>
      <c r="T125" s="181"/>
      <c r="U125" s="181"/>
      <c r="V125" s="181"/>
      <c r="W125" s="181"/>
      <c r="X125" s="181"/>
      <c r="Y125" s="181"/>
      <c r="Z125" s="181"/>
      <c r="AA125" s="181"/>
      <c r="AB125" s="179"/>
      <c r="AC125" s="179"/>
      <c r="AD125" s="181"/>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81"/>
      <c r="BA125" s="181"/>
      <c r="BB125" s="181"/>
      <c r="BC125" s="181"/>
      <c r="BD125" s="181"/>
      <c r="BE125" s="179"/>
      <c r="BF125" s="179"/>
      <c r="BG125" s="179"/>
      <c r="BH125" s="186"/>
      <c r="BI125" s="480"/>
      <c r="BJ125" s="82">
        <f>SUMIF(I$8:BH$8, "&lt;&gt;"&amp;AgileIteration_Warranty,I125:BH125)*5*Scenario2Utilisation</f>
        <v>0</v>
      </c>
      <c r="BK125" s="82">
        <f t="shared" ref="BK125" si="245">BJ125*Scenario2AgileContingency</f>
        <v>0</v>
      </c>
      <c r="BL125" s="82">
        <f>IF(Scenario2Warranty=AgileWarrantyDefault, (SUMIF(I$8:BH$8,AgileIteration_Warranty,I125:BH125)*5*Scenario2Utilisation), (BJ125*Scenario2Warranty))</f>
        <v>0</v>
      </c>
      <c r="BM125" s="127">
        <f t="shared" ref="BM125" si="246">SUM(BJ125:BL125)</f>
        <v>0</v>
      </c>
    </row>
    <row r="126" spans="1:65" s="74" customFormat="1" ht="11.25" x14ac:dyDescent="0.2">
      <c r="A126" s="210">
        <v>2</v>
      </c>
      <c r="B126" s="211" t="s">
        <v>731</v>
      </c>
      <c r="C126" s="462" t="str">
        <f>IFERROR(VLOOKUP(D126,MappingFromSetAgiletoTTSRole,2,FALSE),"SET Agile Resource Role")</f>
        <v>Test Consultant</v>
      </c>
      <c r="D126" s="398" t="s">
        <v>633</v>
      </c>
      <c r="E126" s="435"/>
      <c r="F126" s="443" t="str">
        <f>IFERROR(VLOOKUP(C126,MappingFromTTStoSU,2,FALSE),"SU Resource Role")</f>
        <v>DWMS</v>
      </c>
      <c r="G126" s="443"/>
      <c r="H126" s="534" t="str">
        <f>H125</f>
        <v>Customer SIT &amp; UAT</v>
      </c>
      <c r="I126" s="406"/>
      <c r="J126" s="181"/>
      <c r="K126" s="181"/>
      <c r="L126" s="181"/>
      <c r="M126" s="181"/>
      <c r="N126" s="181"/>
      <c r="O126" s="181"/>
      <c r="P126" s="181"/>
      <c r="Q126" s="181"/>
      <c r="R126" s="181"/>
      <c r="S126" s="181"/>
      <c r="T126" s="181"/>
      <c r="U126" s="181"/>
      <c r="V126" s="181"/>
      <c r="W126" s="181"/>
      <c r="X126" s="181"/>
      <c r="Y126" s="181"/>
      <c r="Z126" s="181"/>
      <c r="AA126" s="181"/>
      <c r="AB126" s="179"/>
      <c r="AC126" s="179"/>
      <c r="AD126" s="181"/>
      <c r="AE126" s="181"/>
      <c r="AF126" s="181"/>
      <c r="AG126" s="181"/>
      <c r="AH126" s="181"/>
      <c r="AI126" s="181"/>
      <c r="AJ126" s="181"/>
      <c r="AK126" s="181"/>
      <c r="AL126" s="181"/>
      <c r="AM126" s="181"/>
      <c r="AN126" s="181"/>
      <c r="AO126" s="181"/>
      <c r="AP126" s="181"/>
      <c r="AQ126" s="181"/>
      <c r="AR126" s="181"/>
      <c r="AS126" s="181"/>
      <c r="AT126" s="181"/>
      <c r="AU126" s="181"/>
      <c r="AV126" s="181"/>
      <c r="AW126" s="181"/>
      <c r="AX126" s="181"/>
      <c r="AY126" s="181"/>
      <c r="AZ126" s="181"/>
      <c r="BA126" s="181"/>
      <c r="BB126" s="181"/>
      <c r="BC126" s="181"/>
      <c r="BD126" s="181"/>
      <c r="BE126" s="179"/>
      <c r="BF126" s="179"/>
      <c r="BG126" s="179"/>
      <c r="BH126" s="186"/>
      <c r="BI126" s="480"/>
      <c r="BJ126" s="82">
        <f>SUMIF(I$8:BH$8, "&lt;&gt;"&amp;AgileIteration_Warranty,I126:BH126)*5*Scenario2Utilisation</f>
        <v>0</v>
      </c>
      <c r="BK126" s="82">
        <f t="shared" ref="BK126" si="247">BJ126*Scenario2AgileContingency</f>
        <v>0</v>
      </c>
      <c r="BL126" s="82">
        <f>IF(Scenario2Warranty=AgileWarrantyDefault, (SUMIF(I$8:BH$8,AgileIteration_Warranty,I126:BH126)*5*Scenario2Utilisation), (BJ126*Scenario2Warranty))</f>
        <v>0</v>
      </c>
      <c r="BM126" s="127">
        <f t="shared" ref="BM126" si="248">SUM(BJ126:BL126)</f>
        <v>0</v>
      </c>
    </row>
    <row r="127" spans="1:65" s="74" customFormat="1" ht="11.25" x14ac:dyDescent="0.2">
      <c r="A127" s="210">
        <v>2</v>
      </c>
      <c r="B127" s="211" t="s">
        <v>731</v>
      </c>
      <c r="C127" s="462" t="s">
        <v>685</v>
      </c>
      <c r="D127" s="398" t="s">
        <v>622</v>
      </c>
      <c r="E127" s="435"/>
      <c r="F127" s="443" t="str">
        <f>IFERROR(VLOOKUP(C127,MappingFromTTStoSU,2,FALSE),"SU Resource Role")</f>
        <v>DWMS</v>
      </c>
      <c r="G127" s="443"/>
      <c r="H127" s="534" t="str">
        <f>H126</f>
        <v>Customer SIT &amp; UAT</v>
      </c>
      <c r="I127" s="406"/>
      <c r="J127" s="181"/>
      <c r="K127" s="181"/>
      <c r="L127" s="181"/>
      <c r="M127" s="181"/>
      <c r="N127" s="181"/>
      <c r="O127" s="181"/>
      <c r="P127" s="181"/>
      <c r="Q127" s="181"/>
      <c r="R127" s="181"/>
      <c r="S127" s="181"/>
      <c r="T127" s="181"/>
      <c r="U127" s="181"/>
      <c r="V127" s="181"/>
      <c r="W127" s="181"/>
      <c r="X127" s="181"/>
      <c r="Y127" s="181"/>
      <c r="Z127" s="181"/>
      <c r="AA127" s="181"/>
      <c r="AB127" s="179"/>
      <c r="AC127" s="179"/>
      <c r="AD127" s="181"/>
      <c r="AE127" s="181"/>
      <c r="AF127" s="181"/>
      <c r="AG127" s="181"/>
      <c r="AH127" s="181"/>
      <c r="AI127" s="181"/>
      <c r="AJ127" s="181"/>
      <c r="AK127" s="181"/>
      <c r="AL127" s="181"/>
      <c r="AM127" s="181"/>
      <c r="AN127" s="181"/>
      <c r="AO127" s="181"/>
      <c r="AP127" s="181"/>
      <c r="AQ127" s="181"/>
      <c r="AR127" s="181"/>
      <c r="AS127" s="181"/>
      <c r="AT127" s="181"/>
      <c r="AU127" s="181"/>
      <c r="AV127" s="181"/>
      <c r="AW127" s="181"/>
      <c r="AX127" s="181"/>
      <c r="AY127" s="181"/>
      <c r="AZ127" s="181"/>
      <c r="BA127" s="181"/>
      <c r="BB127" s="181"/>
      <c r="BC127" s="181"/>
      <c r="BD127" s="181"/>
      <c r="BE127" s="179"/>
      <c r="BF127" s="179"/>
      <c r="BG127" s="179"/>
      <c r="BH127" s="186"/>
      <c r="BI127" s="480"/>
      <c r="BJ127" s="82">
        <f>SUMIF(I$8:BH$8, "&lt;&gt;"&amp;AgileIteration_Warranty,I127:BH127)*5*Scenario2Utilisation</f>
        <v>0</v>
      </c>
      <c r="BK127" s="82">
        <f t="shared" ref="BK127" si="249">BJ127*Scenario2AgileContingency</f>
        <v>0</v>
      </c>
      <c r="BL127" s="82">
        <f>IF(Scenario2Warranty=AgileWarrantyDefault, (SUMIF(I$8:BH$8,AgileIteration_Warranty,I127:BH127)*5*Scenario2Utilisation), (BJ127*Scenario2Warranty))</f>
        <v>0</v>
      </c>
      <c r="BM127" s="127">
        <f t="shared" ref="BM127" si="250">SUM(BJ127:BL127)</f>
        <v>0</v>
      </c>
    </row>
    <row r="128" spans="1:65" s="74" customFormat="1" ht="11.25" x14ac:dyDescent="0.2">
      <c r="A128" s="210">
        <v>2</v>
      </c>
      <c r="B128" s="211" t="s">
        <v>731</v>
      </c>
      <c r="C128" s="462" t="str">
        <f>IFERROR(VLOOKUP(D128,MappingFromSetAgiletoTTSRole,2,FALSE),"SET Agile Resource Role")</f>
        <v>Test Consultant</v>
      </c>
      <c r="D128" s="398" t="s">
        <v>633</v>
      </c>
      <c r="E128" s="435"/>
      <c r="F128" s="443" t="str">
        <f>IFERROR(VLOOKUP(C128,MappingFromTTStoSU,2,FALSE),"SU Resource Role")</f>
        <v>DWMS</v>
      </c>
      <c r="G128" s="443"/>
      <c r="H128" s="534" t="str">
        <f>H127</f>
        <v>Customer SIT &amp; UAT</v>
      </c>
      <c r="I128" s="406"/>
      <c r="J128" s="181"/>
      <c r="K128" s="181"/>
      <c r="L128" s="181"/>
      <c r="M128" s="181"/>
      <c r="N128" s="181"/>
      <c r="O128" s="181"/>
      <c r="P128" s="181"/>
      <c r="Q128" s="181"/>
      <c r="R128" s="181"/>
      <c r="S128" s="181"/>
      <c r="T128" s="181"/>
      <c r="U128" s="181"/>
      <c r="V128" s="181"/>
      <c r="W128" s="181"/>
      <c r="X128" s="181"/>
      <c r="Y128" s="181"/>
      <c r="Z128" s="181"/>
      <c r="AA128" s="181"/>
      <c r="AB128" s="179"/>
      <c r="AC128" s="179"/>
      <c r="AD128" s="181"/>
      <c r="AE128" s="181"/>
      <c r="AF128" s="181"/>
      <c r="AG128" s="181"/>
      <c r="AH128" s="181"/>
      <c r="AI128" s="181"/>
      <c r="AJ128" s="181"/>
      <c r="AK128" s="181"/>
      <c r="AL128" s="181"/>
      <c r="AM128" s="181"/>
      <c r="AN128" s="181"/>
      <c r="AO128" s="181"/>
      <c r="AP128" s="181"/>
      <c r="AQ128" s="181"/>
      <c r="AR128" s="181"/>
      <c r="AS128" s="181"/>
      <c r="AT128" s="181"/>
      <c r="AU128" s="181"/>
      <c r="AV128" s="181"/>
      <c r="AW128" s="181"/>
      <c r="AX128" s="181"/>
      <c r="AY128" s="181"/>
      <c r="AZ128" s="181"/>
      <c r="BA128" s="181"/>
      <c r="BB128" s="181"/>
      <c r="BC128" s="181"/>
      <c r="BD128" s="181"/>
      <c r="BE128" s="179"/>
      <c r="BF128" s="179"/>
      <c r="BG128" s="179"/>
      <c r="BH128" s="186"/>
      <c r="BI128" s="480"/>
      <c r="BJ128" s="82">
        <f>SUMIF(I$8:BH$8, "&lt;&gt;"&amp;AgileIteration_Warranty,I128:BH128)*5*Scenario2Utilisation</f>
        <v>0</v>
      </c>
      <c r="BK128" s="82">
        <f t="shared" ref="BK128" si="251">BJ128*Scenario2AgileContingency</f>
        <v>0</v>
      </c>
      <c r="BL128" s="82">
        <f>IF(Scenario2Warranty=AgileWarrantyDefault, (SUMIF(I$8:BH$8,AgileIteration_Warranty,I128:BH128)*5*Scenario2Utilisation), (BJ128*Scenario2Warranty))</f>
        <v>0</v>
      </c>
      <c r="BM128" s="127">
        <f t="shared" ref="BM128" si="252">SUM(BJ128:BL128)</f>
        <v>0</v>
      </c>
    </row>
    <row r="129" spans="1:66" s="74" customFormat="1" ht="11.25" x14ac:dyDescent="0.2">
      <c r="A129" s="210">
        <v>1</v>
      </c>
      <c r="B129" s="211" t="s">
        <v>731</v>
      </c>
      <c r="C129" s="206" t="s">
        <v>696</v>
      </c>
      <c r="D129" s="206" t="s">
        <v>696</v>
      </c>
      <c r="E129" s="436"/>
      <c r="F129" s="436"/>
      <c r="G129" s="436"/>
      <c r="H129" s="436"/>
      <c r="I129" s="217"/>
      <c r="J129" s="217"/>
      <c r="K129" s="217"/>
      <c r="L129" s="217"/>
      <c r="M129" s="217"/>
      <c r="N129" s="217"/>
      <c r="O129" s="217"/>
      <c r="P129" s="217"/>
      <c r="Q129" s="217"/>
      <c r="R129" s="217"/>
      <c r="S129" s="217"/>
      <c r="T129" s="217"/>
      <c r="U129" s="217"/>
      <c r="V129" s="217"/>
      <c r="W129" s="217"/>
      <c r="X129" s="217"/>
      <c r="Y129" s="217"/>
      <c r="Z129" s="217"/>
      <c r="AA129" s="217"/>
      <c r="AB129" s="217"/>
      <c r="AC129" s="217"/>
      <c r="AD129" s="217"/>
      <c r="AE129" s="217"/>
      <c r="AF129" s="217"/>
      <c r="AG129" s="217"/>
      <c r="AH129" s="217"/>
      <c r="AI129" s="217"/>
      <c r="AJ129" s="217"/>
      <c r="AK129" s="217"/>
      <c r="AL129" s="217"/>
      <c r="AM129" s="217"/>
      <c r="AN129" s="217"/>
      <c r="AO129" s="217"/>
      <c r="AP129" s="217"/>
      <c r="AQ129" s="217"/>
      <c r="AR129" s="217"/>
      <c r="AS129" s="217"/>
      <c r="AT129" s="217"/>
      <c r="AU129" s="217"/>
      <c r="AV129" s="217"/>
      <c r="AW129" s="217"/>
      <c r="AX129" s="217"/>
      <c r="AY129" s="217"/>
      <c r="AZ129" s="217"/>
      <c r="BA129" s="217"/>
      <c r="BB129" s="217"/>
      <c r="BC129" s="217"/>
      <c r="BD129" s="217"/>
      <c r="BE129" s="217"/>
      <c r="BF129" s="217"/>
      <c r="BG129" s="217"/>
      <c r="BH129" s="186"/>
      <c r="BI129" s="480"/>
      <c r="BJ129" s="127"/>
      <c r="BK129" s="127"/>
      <c r="BL129" s="127"/>
      <c r="BM129" s="127"/>
    </row>
    <row r="130" spans="1:66" s="74" customFormat="1" ht="11.25" x14ac:dyDescent="0.2">
      <c r="A130" s="210">
        <v>2</v>
      </c>
      <c r="B130" s="211" t="s">
        <v>731</v>
      </c>
      <c r="C130" s="462" t="str">
        <f>IFERROR(VLOOKUP(D130,MappingFromSetAgiletoTTSRole,2,FALSE),"SET Agile Resource Role")</f>
        <v>Test Consultant Sr</v>
      </c>
      <c r="D130" s="398" t="s">
        <v>634</v>
      </c>
      <c r="E130" s="435"/>
      <c r="F130" s="443" t="str">
        <f>IFERROR(VLOOKUP(C130,MappingFromTTStoSU,2,FALSE),"SU Resource Role")</f>
        <v>DWMS</v>
      </c>
      <c r="G130" s="443"/>
      <c r="H130" s="534" t="str">
        <f>C129</f>
        <v>Internal SIT Support</v>
      </c>
      <c r="I130" s="406"/>
      <c r="J130" s="181"/>
      <c r="K130" s="181"/>
      <c r="L130" s="181"/>
      <c r="M130" s="181"/>
      <c r="N130" s="181"/>
      <c r="O130" s="181"/>
      <c r="P130" s="181"/>
      <c r="Q130" s="181"/>
      <c r="R130" s="181"/>
      <c r="S130" s="181"/>
      <c r="T130" s="181"/>
      <c r="U130" s="181"/>
      <c r="V130" s="181"/>
      <c r="W130" s="181"/>
      <c r="X130" s="181"/>
      <c r="Y130" s="181"/>
      <c r="Z130" s="181"/>
      <c r="AA130" s="181"/>
      <c r="AB130" s="179"/>
      <c r="AC130" s="179"/>
      <c r="AD130" s="181"/>
      <c r="AE130" s="181"/>
      <c r="AF130" s="181"/>
      <c r="AG130" s="181"/>
      <c r="AH130" s="181"/>
      <c r="AI130" s="181"/>
      <c r="AJ130" s="181"/>
      <c r="AK130" s="181"/>
      <c r="AL130" s="181"/>
      <c r="AM130" s="181"/>
      <c r="AN130" s="181"/>
      <c r="AO130" s="181"/>
      <c r="AP130" s="181"/>
      <c r="AQ130" s="181"/>
      <c r="AR130" s="181"/>
      <c r="AS130" s="181"/>
      <c r="AT130" s="181"/>
      <c r="AU130" s="181"/>
      <c r="AV130" s="181"/>
      <c r="AW130" s="181"/>
      <c r="AX130" s="181"/>
      <c r="AY130" s="181"/>
      <c r="AZ130" s="181"/>
      <c r="BA130" s="181"/>
      <c r="BB130" s="181"/>
      <c r="BC130" s="181"/>
      <c r="BD130" s="181"/>
      <c r="BE130" s="179"/>
      <c r="BF130" s="179"/>
      <c r="BG130" s="179"/>
      <c r="BH130" s="186"/>
      <c r="BI130" s="480"/>
      <c r="BJ130" s="82">
        <f>SUMIF(I$8:BH$8, "&lt;&gt;"&amp;AgileIteration_Warranty,I130:BH130)*5*Scenario2Utilisation</f>
        <v>0</v>
      </c>
      <c r="BK130" s="82">
        <f t="shared" ref="BK130" si="253">BJ130*Scenario2AgileContingency</f>
        <v>0</v>
      </c>
      <c r="BL130" s="82">
        <f>IF(Scenario2Warranty=AgileWarrantyDefault, (SUMIF(I$8:BH$8,AgileIteration_Warranty,I130:BH130)*5*Scenario2Utilisation), (BJ130*Scenario2Warranty))</f>
        <v>0</v>
      </c>
      <c r="BM130" s="127">
        <f t="shared" ref="BM130" si="254">SUM(BJ130:BL130)</f>
        <v>0</v>
      </c>
    </row>
    <row r="131" spans="1:66" s="74" customFormat="1" ht="11.25" x14ac:dyDescent="0.2">
      <c r="A131" s="210">
        <v>2</v>
      </c>
      <c r="B131" s="211" t="s">
        <v>731</v>
      </c>
      <c r="C131" s="462" t="str">
        <f>IFERROR(VLOOKUP(D131,MappingFromSetAgiletoTTSRole,2,FALSE),"SET Agile Resource Role")</f>
        <v>Test Consultant</v>
      </c>
      <c r="D131" s="398" t="s">
        <v>633</v>
      </c>
      <c r="E131" s="435"/>
      <c r="F131" s="443" t="str">
        <f>IFERROR(VLOOKUP(C131,MappingFromTTStoSU,2,FALSE),"SU Resource Role")</f>
        <v>DWMS</v>
      </c>
      <c r="G131" s="443"/>
      <c r="H131" s="534" t="str">
        <f>H130</f>
        <v>Internal SIT Support</v>
      </c>
      <c r="I131" s="406"/>
      <c r="J131" s="181"/>
      <c r="K131" s="181"/>
      <c r="L131" s="181"/>
      <c r="M131" s="181"/>
      <c r="N131" s="181"/>
      <c r="O131" s="181"/>
      <c r="P131" s="181"/>
      <c r="Q131" s="181"/>
      <c r="R131" s="181"/>
      <c r="S131" s="181"/>
      <c r="T131" s="181"/>
      <c r="U131" s="181"/>
      <c r="V131" s="181"/>
      <c r="W131" s="181"/>
      <c r="X131" s="181"/>
      <c r="Y131" s="181"/>
      <c r="Z131" s="181"/>
      <c r="AA131" s="181"/>
      <c r="AB131" s="179"/>
      <c r="AC131" s="179"/>
      <c r="AD131" s="181"/>
      <c r="AE131" s="181"/>
      <c r="AF131" s="181"/>
      <c r="AG131" s="181"/>
      <c r="AH131" s="181"/>
      <c r="AI131" s="181"/>
      <c r="AJ131" s="181"/>
      <c r="AK131" s="181"/>
      <c r="AL131" s="181"/>
      <c r="AM131" s="181"/>
      <c r="AN131" s="181"/>
      <c r="AO131" s="181"/>
      <c r="AP131" s="181"/>
      <c r="AQ131" s="181"/>
      <c r="AR131" s="181"/>
      <c r="AS131" s="181"/>
      <c r="AT131" s="181"/>
      <c r="AU131" s="181"/>
      <c r="AV131" s="181"/>
      <c r="AW131" s="181"/>
      <c r="AX131" s="181"/>
      <c r="AY131" s="181"/>
      <c r="AZ131" s="181"/>
      <c r="BA131" s="181"/>
      <c r="BB131" s="181"/>
      <c r="BC131" s="181"/>
      <c r="BD131" s="181"/>
      <c r="BE131" s="179"/>
      <c r="BF131" s="179"/>
      <c r="BG131" s="179"/>
      <c r="BH131" s="186"/>
      <c r="BI131" s="480"/>
      <c r="BJ131" s="82">
        <f>SUMIF(I$8:BH$8, "&lt;&gt;"&amp;AgileIteration_Warranty,I131:BH131)*5*Scenario2Utilisation</f>
        <v>0</v>
      </c>
      <c r="BK131" s="82">
        <f t="shared" ref="BK131" si="255">BJ131*Scenario2AgileContingency</f>
        <v>0</v>
      </c>
      <c r="BL131" s="82">
        <f>IF(Scenario2Warranty=AgileWarrantyDefault, (SUMIF(I$8:BH$8,AgileIteration_Warranty,I131:BH131)*5*Scenario2Utilisation), (BJ131*Scenario2Warranty))</f>
        <v>0</v>
      </c>
      <c r="BM131" s="127">
        <f t="shared" ref="BM131" si="256">SUM(BJ131:BL131)</f>
        <v>0</v>
      </c>
    </row>
    <row r="132" spans="1:66" s="74" customFormat="1" ht="11.25" x14ac:dyDescent="0.2">
      <c r="A132" s="210">
        <v>1</v>
      </c>
      <c r="B132" s="211" t="s">
        <v>697</v>
      </c>
      <c r="C132" s="207" t="s">
        <v>698</v>
      </c>
      <c r="D132" s="207" t="s">
        <v>698</v>
      </c>
      <c r="E132" s="437"/>
      <c r="F132" s="437"/>
      <c r="G132" s="437"/>
      <c r="H132" s="437"/>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c r="AQ132" s="214"/>
      <c r="AR132" s="214"/>
      <c r="AS132" s="214"/>
      <c r="AT132" s="214"/>
      <c r="AU132" s="214"/>
      <c r="AV132" s="214"/>
      <c r="AW132" s="214"/>
      <c r="AX132" s="214"/>
      <c r="AY132" s="214"/>
      <c r="AZ132" s="214"/>
      <c r="BA132" s="214"/>
      <c r="BB132" s="214"/>
      <c r="BC132" s="214"/>
      <c r="BD132" s="214"/>
      <c r="BE132" s="214"/>
      <c r="BF132" s="214"/>
      <c r="BG132" s="214"/>
      <c r="BH132" s="186"/>
      <c r="BI132" s="480"/>
      <c r="BJ132" s="127"/>
      <c r="BK132" s="127"/>
      <c r="BL132" s="127"/>
      <c r="BM132" s="127"/>
    </row>
    <row r="133" spans="1:66" s="75" customFormat="1" ht="11.25" x14ac:dyDescent="0.2">
      <c r="A133" s="212">
        <v>2</v>
      </c>
      <c r="B133" s="213" t="s">
        <v>697</v>
      </c>
      <c r="C133" s="462" t="str">
        <f>IFERROR(VLOOKUP(D133,MappingFromSetAgiletoTTSRole,2,FALSE),"SET Agile Resource Role")</f>
        <v>Business Consultant</v>
      </c>
      <c r="D133" s="402" t="s">
        <v>684</v>
      </c>
      <c r="E133" s="438"/>
      <c r="F133" s="525" t="s">
        <v>607</v>
      </c>
      <c r="G133" s="525"/>
      <c r="H133" s="443" t="s">
        <v>702</v>
      </c>
      <c r="I133" s="17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2"/>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86"/>
      <c r="BI133" s="480"/>
      <c r="BJ133" s="82">
        <f t="shared" ref="BJ133:BJ143" si="257">SUMIF(I$8:BH$8, "&lt;&gt;"&amp;AgileIteration_Warranty,I133:BH133)*5*Scenario2Utilisation</f>
        <v>0</v>
      </c>
      <c r="BK133" s="82">
        <f t="shared" si="132"/>
        <v>0</v>
      </c>
      <c r="BL133" s="82">
        <f t="shared" ref="BL133:BL143" si="258">IF(Scenario2Warranty=AgileWarrantyDefault, (SUMIF(I$8:BH$8,AgileIteration_Warranty,I133:BH133)*5*Scenario2Utilisation), (BJ133*Scenario2Warranty))</f>
        <v>0</v>
      </c>
      <c r="BM133" s="127">
        <f t="shared" si="9"/>
        <v>0</v>
      </c>
    </row>
    <row r="134" spans="1:66" s="75" customFormat="1" ht="11.25" x14ac:dyDescent="0.2">
      <c r="A134" s="212">
        <v>2</v>
      </c>
      <c r="B134" s="213" t="s">
        <v>697</v>
      </c>
      <c r="C134" s="462" t="s">
        <v>685</v>
      </c>
      <c r="D134" s="403" t="s">
        <v>686</v>
      </c>
      <c r="E134" s="438"/>
      <c r="F134" s="525" t="s">
        <v>607</v>
      </c>
      <c r="G134" s="525"/>
      <c r="H134" s="443" t="str">
        <f>H133</f>
        <v>Development</v>
      </c>
      <c r="I134" s="17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2"/>
      <c r="AI134" s="172"/>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86"/>
      <c r="BI134" s="480"/>
      <c r="BJ134" s="82">
        <f t="shared" si="257"/>
        <v>0</v>
      </c>
      <c r="BK134" s="82">
        <f t="shared" si="132"/>
        <v>0</v>
      </c>
      <c r="BL134" s="82">
        <f t="shared" si="258"/>
        <v>0</v>
      </c>
      <c r="BM134" s="127">
        <f t="shared" si="9"/>
        <v>0</v>
      </c>
    </row>
    <row r="135" spans="1:66" s="75" customFormat="1" ht="11.25" x14ac:dyDescent="0.2">
      <c r="A135" s="212">
        <v>2</v>
      </c>
      <c r="B135" s="213" t="s">
        <v>697</v>
      </c>
      <c r="C135" s="462" t="s">
        <v>613</v>
      </c>
      <c r="D135" s="403" t="s">
        <v>704</v>
      </c>
      <c r="E135" s="438"/>
      <c r="F135" s="525" t="s">
        <v>607</v>
      </c>
      <c r="G135" s="525"/>
      <c r="H135" s="443" t="str">
        <f t="shared" ref="H135:H143" si="259">H134</f>
        <v>Development</v>
      </c>
      <c r="I135" s="17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2"/>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86"/>
      <c r="BI135" s="480"/>
      <c r="BJ135" s="82">
        <f t="shared" si="257"/>
        <v>0</v>
      </c>
      <c r="BK135" s="82">
        <f t="shared" si="132"/>
        <v>0</v>
      </c>
      <c r="BL135" s="82">
        <f t="shared" si="258"/>
        <v>0</v>
      </c>
      <c r="BM135" s="127">
        <f t="shared" si="9"/>
        <v>0</v>
      </c>
    </row>
    <row r="136" spans="1:66" s="75" customFormat="1" ht="11.25" x14ac:dyDescent="0.2">
      <c r="A136" s="212">
        <v>2</v>
      </c>
      <c r="B136" s="213" t="s">
        <v>697</v>
      </c>
      <c r="C136" s="462" t="s">
        <v>658</v>
      </c>
      <c r="D136" s="403" t="s">
        <v>687</v>
      </c>
      <c r="E136" s="438"/>
      <c r="F136" s="525" t="str">
        <f>IFERROR(VLOOKUP(C136,MappingFromTTStoSU,2,FALSE),"SU Resource Role")</f>
        <v>DWMS</v>
      </c>
      <c r="G136" s="525"/>
      <c r="H136" s="443" t="str">
        <f>H135</f>
        <v>Development</v>
      </c>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86"/>
      <c r="BI136" s="480"/>
      <c r="BJ136" s="82">
        <f t="shared" ref="BJ136" si="260">SUMIF(I$8:BH$8, "&lt;&gt;"&amp;AgileIteration_Warranty,I136:BH136)*5*Scenario2Utilisation</f>
        <v>0</v>
      </c>
      <c r="BK136" s="82">
        <f t="shared" ref="BK136" si="261">BJ136*Scenario2AgileContingency</f>
        <v>0</v>
      </c>
      <c r="BL136" s="82">
        <f t="shared" ref="BL136" si="262">IF(Scenario2Warranty=AgileWarrantyDefault, (SUMIF(I$8:BH$8,AgileIteration_Warranty,I136:BH136)*5*Scenario2Utilisation), (BJ136*Scenario2Warranty))</f>
        <v>0</v>
      </c>
      <c r="BM136" s="127">
        <f t="shared" ref="BM136" si="263">SUM(BJ136:BL136)</f>
        <v>0</v>
      </c>
    </row>
    <row r="137" spans="1:66" s="75" customFormat="1" ht="11.25" customHeight="1" x14ac:dyDescent="0.2">
      <c r="A137" s="212">
        <v>2</v>
      </c>
      <c r="B137" s="213" t="s">
        <v>697</v>
      </c>
      <c r="C137" s="462" t="s">
        <v>635</v>
      </c>
      <c r="D137" s="403" t="s">
        <v>687</v>
      </c>
      <c r="E137" s="438"/>
      <c r="F137" s="525" t="s">
        <v>607</v>
      </c>
      <c r="G137" s="525"/>
      <c r="H137" s="443" t="str">
        <f>H135</f>
        <v>Development</v>
      </c>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86"/>
      <c r="BI137" s="480"/>
      <c r="BJ137" s="82">
        <f t="shared" si="257"/>
        <v>0</v>
      </c>
      <c r="BK137" s="82">
        <f t="shared" si="132"/>
        <v>0</v>
      </c>
      <c r="BL137" s="82">
        <f t="shared" si="258"/>
        <v>0</v>
      </c>
      <c r="BM137" s="127">
        <f t="shared" si="9"/>
        <v>0</v>
      </c>
    </row>
    <row r="138" spans="1:66" s="75" customFormat="1" ht="11.25" customHeight="1" x14ac:dyDescent="0.2">
      <c r="A138" s="212">
        <v>2</v>
      </c>
      <c r="B138" s="213" t="s">
        <v>697</v>
      </c>
      <c r="C138" s="462" t="str">
        <f t="shared" ref="C138:C143" si="264">IFERROR(VLOOKUP(D138,MappingFromSetAgiletoTTSRole,2,FALSE),"SET Agile Resource Role")</f>
        <v>Software Developer</v>
      </c>
      <c r="D138" s="403" t="s">
        <v>687</v>
      </c>
      <c r="E138" s="438"/>
      <c r="F138" s="525" t="s">
        <v>607</v>
      </c>
      <c r="G138" s="525"/>
      <c r="H138" s="443" t="str">
        <f>H137</f>
        <v>Development</v>
      </c>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86"/>
      <c r="BI138" s="480"/>
      <c r="BJ138" s="82">
        <f t="shared" si="257"/>
        <v>0</v>
      </c>
      <c r="BK138" s="82">
        <f t="shared" si="132"/>
        <v>0</v>
      </c>
      <c r="BL138" s="82">
        <f t="shared" si="258"/>
        <v>0</v>
      </c>
      <c r="BM138" s="127">
        <f t="shared" si="9"/>
        <v>0</v>
      </c>
    </row>
    <row r="139" spans="1:66" s="75" customFormat="1" ht="11.25" customHeight="1" x14ac:dyDescent="0.2">
      <c r="A139" s="212">
        <v>2</v>
      </c>
      <c r="B139" s="213" t="s">
        <v>697</v>
      </c>
      <c r="C139" s="462" t="str">
        <f t="shared" si="264"/>
        <v>Software Developer</v>
      </c>
      <c r="D139" s="403" t="s">
        <v>687</v>
      </c>
      <c r="E139" s="438"/>
      <c r="F139" s="525" t="s">
        <v>607</v>
      </c>
      <c r="G139" s="525"/>
      <c r="H139" s="443" t="str">
        <f t="shared" si="259"/>
        <v>Development</v>
      </c>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86"/>
      <c r="BI139" s="480"/>
      <c r="BJ139" s="82">
        <f t="shared" si="257"/>
        <v>0</v>
      </c>
      <c r="BK139" s="82">
        <f t="shared" si="132"/>
        <v>0</v>
      </c>
      <c r="BL139" s="82">
        <f t="shared" si="258"/>
        <v>0</v>
      </c>
      <c r="BM139" s="127">
        <f t="shared" si="9"/>
        <v>0</v>
      </c>
    </row>
    <row r="140" spans="1:66" s="75" customFormat="1" ht="11.25" customHeight="1" x14ac:dyDescent="0.2">
      <c r="A140" s="212">
        <v>2</v>
      </c>
      <c r="B140" s="213" t="s">
        <v>697</v>
      </c>
      <c r="C140" s="462" t="str">
        <f t="shared" si="264"/>
        <v>Software Developer</v>
      </c>
      <c r="D140" s="403" t="s">
        <v>687</v>
      </c>
      <c r="E140" s="438"/>
      <c r="F140" s="525" t="s">
        <v>607</v>
      </c>
      <c r="G140" s="525"/>
      <c r="H140" s="443" t="str">
        <f t="shared" si="259"/>
        <v>Development</v>
      </c>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86"/>
      <c r="BI140" s="480"/>
      <c r="BJ140" s="82">
        <f t="shared" si="257"/>
        <v>0</v>
      </c>
      <c r="BK140" s="82">
        <f t="shared" si="132"/>
        <v>0</v>
      </c>
      <c r="BL140" s="82">
        <f t="shared" si="258"/>
        <v>0</v>
      </c>
      <c r="BM140" s="127">
        <f t="shared" si="9"/>
        <v>0</v>
      </c>
    </row>
    <row r="141" spans="1:66" s="75" customFormat="1" ht="11.25" x14ac:dyDescent="0.2">
      <c r="A141" s="212">
        <v>2</v>
      </c>
      <c r="B141" s="213" t="s">
        <v>697</v>
      </c>
      <c r="C141" s="462" t="s">
        <v>651</v>
      </c>
      <c r="D141" s="403" t="s">
        <v>688</v>
      </c>
      <c r="E141" s="438"/>
      <c r="F141" s="525" t="s">
        <v>607</v>
      </c>
      <c r="G141" s="525"/>
      <c r="H141" s="443" t="str">
        <f t="shared" si="259"/>
        <v>Development</v>
      </c>
      <c r="I141" s="17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2"/>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86"/>
      <c r="BI141" s="480"/>
      <c r="BJ141" s="82">
        <f t="shared" si="257"/>
        <v>0</v>
      </c>
      <c r="BK141" s="82">
        <f t="shared" si="132"/>
        <v>0</v>
      </c>
      <c r="BL141" s="82">
        <f t="shared" si="258"/>
        <v>0</v>
      </c>
      <c r="BM141" s="127">
        <f t="shared" si="9"/>
        <v>0</v>
      </c>
    </row>
    <row r="142" spans="1:66" s="75" customFormat="1" ht="11.25" x14ac:dyDescent="0.2">
      <c r="A142" s="212">
        <v>2</v>
      </c>
      <c r="B142" s="213" t="s">
        <v>697</v>
      </c>
      <c r="C142" s="462" t="str">
        <f t="shared" si="264"/>
        <v>Test Consultant</v>
      </c>
      <c r="D142" s="403" t="s">
        <v>688</v>
      </c>
      <c r="E142" s="438"/>
      <c r="F142" s="525" t="s">
        <v>607</v>
      </c>
      <c r="G142" s="525"/>
      <c r="H142" s="443" t="str">
        <f t="shared" si="259"/>
        <v>Development</v>
      </c>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86"/>
      <c r="BI142" s="480"/>
      <c r="BJ142" s="82">
        <f t="shared" si="257"/>
        <v>0</v>
      </c>
      <c r="BK142" s="82">
        <f t="shared" si="132"/>
        <v>0</v>
      </c>
      <c r="BL142" s="82">
        <f t="shared" si="258"/>
        <v>0</v>
      </c>
      <c r="BM142" s="127">
        <f t="shared" si="9"/>
        <v>0</v>
      </c>
    </row>
    <row r="143" spans="1:66" s="75" customFormat="1" ht="11.25" x14ac:dyDescent="0.2">
      <c r="A143" s="212">
        <v>2</v>
      </c>
      <c r="B143" s="213" t="s">
        <v>697</v>
      </c>
      <c r="C143" s="462" t="str">
        <f t="shared" si="264"/>
        <v>Test Consultant</v>
      </c>
      <c r="D143" s="403" t="s">
        <v>688</v>
      </c>
      <c r="E143" s="438"/>
      <c r="F143" s="525" t="s">
        <v>607</v>
      </c>
      <c r="G143" s="525"/>
      <c r="H143" s="443" t="str">
        <f t="shared" si="259"/>
        <v>Development</v>
      </c>
      <c r="I143" s="172"/>
      <c r="J143" s="172"/>
      <c r="K143" s="172"/>
      <c r="L143" s="172"/>
      <c r="M143" s="172"/>
      <c r="N143" s="172"/>
      <c r="O143" s="172"/>
      <c r="P143" s="172"/>
      <c r="Q143" s="172"/>
      <c r="R143" s="172"/>
      <c r="S143" s="172"/>
      <c r="T143" s="172"/>
      <c r="U143" s="172"/>
      <c r="V143" s="172"/>
      <c r="W143" s="172"/>
      <c r="X143" s="172"/>
      <c r="Y143" s="172"/>
      <c r="Z143" s="172"/>
      <c r="AA143" s="172"/>
      <c r="AB143" s="172"/>
      <c r="AC143" s="172"/>
      <c r="AD143" s="172"/>
      <c r="AE143" s="172"/>
      <c r="AF143" s="172"/>
      <c r="AG143" s="172"/>
      <c r="AH143" s="172"/>
      <c r="AI143" s="172"/>
      <c r="AJ143" s="172"/>
      <c r="AK143" s="172"/>
      <c r="AL143" s="172"/>
      <c r="AM143" s="172"/>
      <c r="AN143" s="172"/>
      <c r="AO143" s="172"/>
      <c r="AP143" s="172"/>
      <c r="AQ143" s="172"/>
      <c r="AR143" s="172"/>
      <c r="AS143" s="172"/>
      <c r="AT143" s="172"/>
      <c r="AU143" s="172"/>
      <c r="AV143" s="172"/>
      <c r="AW143" s="172"/>
      <c r="AX143" s="172"/>
      <c r="AY143" s="172"/>
      <c r="AZ143" s="172"/>
      <c r="BA143" s="172"/>
      <c r="BB143" s="172"/>
      <c r="BC143" s="172"/>
      <c r="BD143" s="172"/>
      <c r="BE143" s="172"/>
      <c r="BF143" s="172"/>
      <c r="BG143" s="172"/>
      <c r="BH143" s="186"/>
      <c r="BI143" s="480"/>
      <c r="BJ143" s="82">
        <f t="shared" si="257"/>
        <v>0</v>
      </c>
      <c r="BK143" s="82">
        <f t="shared" ref="BK143:BK155" si="265">BJ143*Scenario2AgileContingency</f>
        <v>0</v>
      </c>
      <c r="BL143" s="82">
        <f t="shared" si="258"/>
        <v>0</v>
      </c>
      <c r="BM143" s="127">
        <f t="shared" ref="BM143" si="266">SUM(BJ143:BL143)</f>
        <v>0</v>
      </c>
    </row>
    <row r="144" spans="1:66" s="74" customFormat="1" ht="11.25" x14ac:dyDescent="0.2">
      <c r="A144" s="210">
        <v>1</v>
      </c>
      <c r="B144" s="211" t="s">
        <v>697</v>
      </c>
      <c r="C144" s="207" t="s">
        <v>705</v>
      </c>
      <c r="D144" s="207" t="s">
        <v>705</v>
      </c>
      <c r="E144" s="437"/>
      <c r="F144" s="437"/>
      <c r="G144" s="437"/>
      <c r="H144" s="437"/>
      <c r="I144" s="214"/>
      <c r="J144" s="214"/>
      <c r="K144" s="214"/>
      <c r="L144" s="214"/>
      <c r="M144" s="214"/>
      <c r="N144" s="214"/>
      <c r="O144" s="214"/>
      <c r="P144" s="214"/>
      <c r="Q144" s="214"/>
      <c r="R144" s="214"/>
      <c r="S144" s="214"/>
      <c r="T144" s="214"/>
      <c r="U144" s="214"/>
      <c r="V144" s="214"/>
      <c r="W144" s="214"/>
      <c r="X144" s="214"/>
      <c r="Y144" s="214"/>
      <c r="Z144" s="214"/>
      <c r="AA144" s="214"/>
      <c r="AB144" s="214"/>
      <c r="AC144" s="214"/>
      <c r="AD144" s="214"/>
      <c r="AE144" s="214"/>
      <c r="AF144" s="214"/>
      <c r="AG144" s="214"/>
      <c r="AH144" s="214"/>
      <c r="AI144" s="214"/>
      <c r="AJ144" s="214"/>
      <c r="AK144" s="214"/>
      <c r="AL144" s="214"/>
      <c r="AM144" s="214"/>
      <c r="AN144" s="214"/>
      <c r="AO144" s="214"/>
      <c r="AP144" s="214"/>
      <c r="AQ144" s="214"/>
      <c r="AR144" s="214"/>
      <c r="AS144" s="214"/>
      <c r="AT144" s="214"/>
      <c r="AU144" s="214"/>
      <c r="AV144" s="214"/>
      <c r="AW144" s="214"/>
      <c r="AX144" s="214"/>
      <c r="AY144" s="214"/>
      <c r="AZ144" s="214"/>
      <c r="BA144" s="214"/>
      <c r="BB144" s="214"/>
      <c r="BC144" s="214"/>
      <c r="BD144" s="214"/>
      <c r="BE144" s="214"/>
      <c r="BF144" s="214"/>
      <c r="BG144" s="214"/>
      <c r="BH144" s="186"/>
      <c r="BI144" s="480"/>
      <c r="BJ144" s="127"/>
      <c r="BK144" s="127"/>
      <c r="BL144" s="127"/>
      <c r="BM144" s="127"/>
      <c r="BN144" s="75"/>
    </row>
    <row r="145" spans="1:66" s="74" customFormat="1" ht="11.25" x14ac:dyDescent="0.2">
      <c r="A145" s="210">
        <v>2</v>
      </c>
      <c r="B145" s="213" t="s">
        <v>697</v>
      </c>
      <c r="C145" s="462" t="str">
        <f>IFERROR(VLOOKUP(D145,MappingFromSetAgiletoTTSRole,2,FALSE),"SET Agile Resource Role")</f>
        <v>Business Consultant</v>
      </c>
      <c r="D145" s="398" t="s">
        <v>684</v>
      </c>
      <c r="E145" s="435"/>
      <c r="F145" s="443" t="s">
        <v>607</v>
      </c>
      <c r="G145" s="443"/>
      <c r="H145" s="443" t="s">
        <v>702</v>
      </c>
      <c r="I145" s="179"/>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80"/>
      <c r="BI145" s="480"/>
      <c r="BJ145" s="82">
        <f t="shared" ref="BJ145:BJ155" si="267">SUMIF(I$8:BH$8, "&lt;&gt;"&amp;AgileIteration_Warranty,I145:BH145)*5*Scenario2Utilisation</f>
        <v>0</v>
      </c>
      <c r="BK145" s="82">
        <f t="shared" si="265"/>
        <v>0</v>
      </c>
      <c r="BL145" s="82">
        <f t="shared" ref="BL145:BL155" si="268">IF(Scenario2Warranty=AgileWarrantyDefault, (SUMIF(I$8:BH$8,AgileIteration_Warranty,I145:BH145)*5*Scenario2Utilisation), (BJ145*Scenario2Warranty))</f>
        <v>0</v>
      </c>
      <c r="BM145" s="127">
        <f t="shared" si="9"/>
        <v>0</v>
      </c>
      <c r="BN145" s="75"/>
    </row>
    <row r="146" spans="1:66" s="74" customFormat="1" ht="11.25" x14ac:dyDescent="0.2">
      <c r="A146" s="210">
        <v>2</v>
      </c>
      <c r="B146" s="213" t="s">
        <v>697</v>
      </c>
      <c r="C146" s="462" t="s">
        <v>685</v>
      </c>
      <c r="D146" s="398" t="s">
        <v>686</v>
      </c>
      <c r="E146" s="435"/>
      <c r="F146" s="443" t="s">
        <v>607</v>
      </c>
      <c r="G146" s="443"/>
      <c r="H146" s="443" t="str">
        <f>H145</f>
        <v>Development</v>
      </c>
      <c r="I146" s="17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80"/>
      <c r="BI146" s="480"/>
      <c r="BJ146" s="82">
        <f t="shared" si="267"/>
        <v>0</v>
      </c>
      <c r="BK146" s="82">
        <f t="shared" si="265"/>
        <v>0</v>
      </c>
      <c r="BL146" s="82">
        <f t="shared" si="268"/>
        <v>0</v>
      </c>
      <c r="BM146" s="127">
        <f t="shared" si="9"/>
        <v>0</v>
      </c>
      <c r="BN146" s="75"/>
    </row>
    <row r="147" spans="1:66" s="74" customFormat="1" ht="11.25" x14ac:dyDescent="0.2">
      <c r="A147" s="210">
        <v>2</v>
      </c>
      <c r="B147" s="213" t="s">
        <v>697</v>
      </c>
      <c r="C147" s="462" t="s">
        <v>613</v>
      </c>
      <c r="D147" s="399" t="s">
        <v>704</v>
      </c>
      <c r="E147" s="435"/>
      <c r="F147" s="443" t="s">
        <v>607</v>
      </c>
      <c r="G147" s="443"/>
      <c r="H147" s="443" t="str">
        <f t="shared" ref="H147:H155" si="269">H146</f>
        <v>Development</v>
      </c>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3"/>
      <c r="BI147" s="480"/>
      <c r="BJ147" s="82">
        <f t="shared" si="267"/>
        <v>0</v>
      </c>
      <c r="BK147" s="82">
        <f t="shared" si="265"/>
        <v>0</v>
      </c>
      <c r="BL147" s="82">
        <f t="shared" si="268"/>
        <v>0</v>
      </c>
      <c r="BM147" s="127">
        <f t="shared" si="9"/>
        <v>0</v>
      </c>
      <c r="BN147" s="75"/>
    </row>
    <row r="148" spans="1:66" s="74" customFormat="1" ht="11.25" x14ac:dyDescent="0.2">
      <c r="A148" s="210">
        <v>2</v>
      </c>
      <c r="B148" s="213" t="s">
        <v>697</v>
      </c>
      <c r="C148" s="462" t="s">
        <v>658</v>
      </c>
      <c r="D148" s="399" t="s">
        <v>687</v>
      </c>
      <c r="E148" s="435"/>
      <c r="F148" s="443" t="str">
        <f>IFERROR(VLOOKUP(C148,MappingFromTTStoSU,2,FALSE),"SU Resource Role")</f>
        <v>DWMS</v>
      </c>
      <c r="G148" s="443"/>
      <c r="H148" s="443" t="str">
        <f>H147</f>
        <v>Development</v>
      </c>
      <c r="I148" s="172"/>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3"/>
      <c r="BI148" s="480"/>
      <c r="BJ148" s="82">
        <f t="shared" ref="BJ148" si="270">SUMIF(I$8:BH$8, "&lt;&gt;"&amp;AgileIteration_Warranty,I148:BH148)*5*Scenario2Utilisation</f>
        <v>0</v>
      </c>
      <c r="BK148" s="82">
        <f t="shared" ref="BK148" si="271">BJ148*Scenario2AgileContingency</f>
        <v>0</v>
      </c>
      <c r="BL148" s="82">
        <f t="shared" ref="BL148" si="272">IF(Scenario2Warranty=AgileWarrantyDefault, (SUMIF(I$8:BH$8,AgileIteration_Warranty,I148:BH148)*5*Scenario2Utilisation), (BJ148*Scenario2Warranty))</f>
        <v>0</v>
      </c>
      <c r="BM148" s="127">
        <f t="shared" ref="BM148" si="273">SUM(BJ148:BL148)</f>
        <v>0</v>
      </c>
      <c r="BN148" s="75"/>
    </row>
    <row r="149" spans="1:66" s="74" customFormat="1" ht="11.25" x14ac:dyDescent="0.2">
      <c r="A149" s="210">
        <v>2</v>
      </c>
      <c r="B149" s="213" t="s">
        <v>697</v>
      </c>
      <c r="C149" s="462" t="s">
        <v>635</v>
      </c>
      <c r="D149" s="399" t="s">
        <v>687</v>
      </c>
      <c r="E149" s="435"/>
      <c r="F149" s="443" t="s">
        <v>607</v>
      </c>
      <c r="G149" s="443"/>
      <c r="H149" s="443" t="str">
        <f>H147</f>
        <v>Development</v>
      </c>
      <c r="I149" s="172"/>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3"/>
      <c r="BI149" s="480"/>
      <c r="BJ149" s="82">
        <f t="shared" si="267"/>
        <v>0</v>
      </c>
      <c r="BK149" s="82">
        <f t="shared" si="265"/>
        <v>0</v>
      </c>
      <c r="BL149" s="82">
        <f t="shared" si="268"/>
        <v>0</v>
      </c>
      <c r="BM149" s="127">
        <f t="shared" si="9"/>
        <v>0</v>
      </c>
      <c r="BN149" s="75"/>
    </row>
    <row r="150" spans="1:66" s="74" customFormat="1" ht="11.25" x14ac:dyDescent="0.2">
      <c r="A150" s="210">
        <v>2</v>
      </c>
      <c r="B150" s="213" t="s">
        <v>697</v>
      </c>
      <c r="C150" s="462" t="str">
        <f t="shared" ref="C150:C155" si="274">IFERROR(VLOOKUP(D150,MappingFromSetAgiletoTTSRole,2,FALSE),"SET Agile Resource Role")</f>
        <v>Software Developer</v>
      </c>
      <c r="D150" s="399" t="s">
        <v>687</v>
      </c>
      <c r="E150" s="435"/>
      <c r="F150" s="443" t="s">
        <v>607</v>
      </c>
      <c r="G150" s="443"/>
      <c r="H150" s="443" t="str">
        <f t="shared" si="269"/>
        <v>Development</v>
      </c>
      <c r="I150" s="172"/>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3"/>
      <c r="BI150" s="480"/>
      <c r="BJ150" s="82">
        <f t="shared" si="267"/>
        <v>0</v>
      </c>
      <c r="BK150" s="82">
        <f t="shared" si="265"/>
        <v>0</v>
      </c>
      <c r="BL150" s="82">
        <f t="shared" si="268"/>
        <v>0</v>
      </c>
      <c r="BM150" s="127">
        <f t="shared" si="9"/>
        <v>0</v>
      </c>
      <c r="BN150" s="75"/>
    </row>
    <row r="151" spans="1:66" s="74" customFormat="1" ht="11.25" x14ac:dyDescent="0.2">
      <c r="A151" s="210">
        <v>2</v>
      </c>
      <c r="B151" s="213" t="s">
        <v>697</v>
      </c>
      <c r="C151" s="462" t="str">
        <f t="shared" si="274"/>
        <v>Software Developer</v>
      </c>
      <c r="D151" s="399" t="s">
        <v>687</v>
      </c>
      <c r="E151" s="435"/>
      <c r="F151" s="443" t="s">
        <v>607</v>
      </c>
      <c r="G151" s="443"/>
      <c r="H151" s="443" t="str">
        <f t="shared" si="269"/>
        <v>Development</v>
      </c>
      <c r="I151" s="172"/>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3"/>
      <c r="BI151" s="480"/>
      <c r="BJ151" s="82">
        <f t="shared" si="267"/>
        <v>0</v>
      </c>
      <c r="BK151" s="82">
        <f t="shared" si="265"/>
        <v>0</v>
      </c>
      <c r="BL151" s="82">
        <f t="shared" si="268"/>
        <v>0</v>
      </c>
      <c r="BM151" s="127">
        <f t="shared" si="9"/>
        <v>0</v>
      </c>
      <c r="BN151" s="75"/>
    </row>
    <row r="152" spans="1:66" s="74" customFormat="1" ht="11.25" x14ac:dyDescent="0.2">
      <c r="A152" s="210">
        <v>2</v>
      </c>
      <c r="B152" s="213" t="s">
        <v>697</v>
      </c>
      <c r="C152" s="462" t="str">
        <f t="shared" si="274"/>
        <v>Software Developer</v>
      </c>
      <c r="D152" s="399" t="s">
        <v>687</v>
      </c>
      <c r="E152" s="435"/>
      <c r="F152" s="443" t="s">
        <v>607</v>
      </c>
      <c r="G152" s="443"/>
      <c r="H152" s="443" t="str">
        <f t="shared" si="269"/>
        <v>Development</v>
      </c>
      <c r="I152" s="172"/>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3"/>
      <c r="BI152" s="480"/>
      <c r="BJ152" s="82">
        <f t="shared" si="267"/>
        <v>0</v>
      </c>
      <c r="BK152" s="82">
        <f t="shared" si="265"/>
        <v>0</v>
      </c>
      <c r="BL152" s="82">
        <f t="shared" si="268"/>
        <v>0</v>
      </c>
      <c r="BM152" s="127">
        <f t="shared" si="9"/>
        <v>0</v>
      </c>
      <c r="BN152" s="75"/>
    </row>
    <row r="153" spans="1:66" s="74" customFormat="1" ht="11.25" x14ac:dyDescent="0.2">
      <c r="A153" s="210">
        <v>2</v>
      </c>
      <c r="B153" s="213" t="s">
        <v>697</v>
      </c>
      <c r="C153" s="462" t="s">
        <v>651</v>
      </c>
      <c r="D153" s="399" t="s">
        <v>688</v>
      </c>
      <c r="E153" s="435"/>
      <c r="F153" s="443" t="s">
        <v>607</v>
      </c>
      <c r="G153" s="443"/>
      <c r="H153" s="443" t="str">
        <f t="shared" si="269"/>
        <v>Development</v>
      </c>
      <c r="I153" s="172"/>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3"/>
      <c r="BI153" s="480"/>
      <c r="BJ153" s="82">
        <f t="shared" si="267"/>
        <v>0</v>
      </c>
      <c r="BK153" s="82">
        <f t="shared" si="265"/>
        <v>0</v>
      </c>
      <c r="BL153" s="82">
        <f t="shared" si="268"/>
        <v>0</v>
      </c>
      <c r="BM153" s="127">
        <f t="shared" si="9"/>
        <v>0</v>
      </c>
      <c r="BN153" s="75"/>
    </row>
    <row r="154" spans="1:66" s="74" customFormat="1" ht="11.25" x14ac:dyDescent="0.2">
      <c r="A154" s="210">
        <v>2</v>
      </c>
      <c r="B154" s="213" t="s">
        <v>697</v>
      </c>
      <c r="C154" s="462" t="str">
        <f t="shared" si="274"/>
        <v>Test Consultant</v>
      </c>
      <c r="D154" s="399" t="s">
        <v>688</v>
      </c>
      <c r="E154" s="435"/>
      <c r="F154" s="443" t="s">
        <v>607</v>
      </c>
      <c r="G154" s="443"/>
      <c r="H154" s="443" t="str">
        <f t="shared" si="269"/>
        <v>Development</v>
      </c>
      <c r="I154" s="172"/>
      <c r="J154" s="172"/>
      <c r="K154" s="172"/>
      <c r="L154" s="172"/>
      <c r="M154" s="172"/>
      <c r="N154" s="172"/>
      <c r="O154" s="172"/>
      <c r="P154" s="172"/>
      <c r="Q154" s="172"/>
      <c r="R154" s="172"/>
      <c r="S154" s="172"/>
      <c r="T154" s="172"/>
      <c r="U154" s="172"/>
      <c r="V154" s="172"/>
      <c r="W154" s="172"/>
      <c r="X154" s="172"/>
      <c r="Y154" s="172"/>
      <c r="Z154" s="172"/>
      <c r="AA154" s="172"/>
      <c r="AB154" s="172"/>
      <c r="AC154" s="172"/>
      <c r="AD154" s="172"/>
      <c r="AE154" s="172"/>
      <c r="AF154" s="172"/>
      <c r="AG154" s="172"/>
      <c r="AH154" s="172"/>
      <c r="AI154" s="172"/>
      <c r="AJ154" s="172"/>
      <c r="AK154" s="172"/>
      <c r="AL154" s="172"/>
      <c r="AM154" s="172"/>
      <c r="AN154" s="172"/>
      <c r="AO154" s="172"/>
      <c r="AP154" s="172"/>
      <c r="AQ154" s="172"/>
      <c r="AR154" s="172"/>
      <c r="AS154" s="172"/>
      <c r="AT154" s="172"/>
      <c r="AU154" s="172"/>
      <c r="AV154" s="172"/>
      <c r="AW154" s="172"/>
      <c r="AX154" s="172"/>
      <c r="AY154" s="172"/>
      <c r="AZ154" s="172"/>
      <c r="BA154" s="172"/>
      <c r="BB154" s="172"/>
      <c r="BC154" s="172"/>
      <c r="BD154" s="172"/>
      <c r="BE154" s="172"/>
      <c r="BF154" s="172"/>
      <c r="BG154" s="172"/>
      <c r="BH154" s="173"/>
      <c r="BI154" s="480"/>
      <c r="BJ154" s="82">
        <f t="shared" si="267"/>
        <v>0</v>
      </c>
      <c r="BK154" s="82">
        <f t="shared" si="265"/>
        <v>0</v>
      </c>
      <c r="BL154" s="82">
        <f t="shared" si="268"/>
        <v>0</v>
      </c>
      <c r="BM154" s="127">
        <f t="shared" si="9"/>
        <v>0</v>
      </c>
      <c r="BN154" s="75"/>
    </row>
    <row r="155" spans="1:66" s="74" customFormat="1" ht="11.25" x14ac:dyDescent="0.2">
      <c r="A155" s="210">
        <v>2</v>
      </c>
      <c r="B155" s="213" t="s">
        <v>697</v>
      </c>
      <c r="C155" s="462" t="str">
        <f t="shared" si="274"/>
        <v>Test Consultant</v>
      </c>
      <c r="D155" s="399" t="s">
        <v>688</v>
      </c>
      <c r="E155" s="435"/>
      <c r="F155" s="443" t="s">
        <v>607</v>
      </c>
      <c r="G155" s="443"/>
      <c r="H155" s="443" t="str">
        <f t="shared" si="269"/>
        <v>Development</v>
      </c>
      <c r="I155" s="172"/>
      <c r="J155" s="172"/>
      <c r="K155" s="172"/>
      <c r="L155" s="172"/>
      <c r="M155" s="172"/>
      <c r="N155" s="172"/>
      <c r="O155" s="172"/>
      <c r="P155" s="172"/>
      <c r="Q155" s="172"/>
      <c r="R155" s="172"/>
      <c r="S155" s="172"/>
      <c r="T155" s="172"/>
      <c r="U155" s="172"/>
      <c r="V155" s="172"/>
      <c r="W155" s="172"/>
      <c r="X155" s="172"/>
      <c r="Y155" s="172"/>
      <c r="Z155" s="172"/>
      <c r="AA155" s="172"/>
      <c r="AB155" s="172"/>
      <c r="AC155" s="172"/>
      <c r="AD155" s="172"/>
      <c r="AE155" s="172"/>
      <c r="AF155" s="172"/>
      <c r="AG155" s="172"/>
      <c r="AH155" s="172"/>
      <c r="AI155" s="172"/>
      <c r="AJ155" s="172"/>
      <c r="AK155" s="172"/>
      <c r="AL155" s="172"/>
      <c r="AM155" s="172"/>
      <c r="AN155" s="172"/>
      <c r="AO155" s="172"/>
      <c r="AP155" s="172"/>
      <c r="AQ155" s="172"/>
      <c r="AR155" s="172"/>
      <c r="AS155" s="172"/>
      <c r="AT155" s="172"/>
      <c r="AU155" s="172"/>
      <c r="AV155" s="172"/>
      <c r="AW155" s="172"/>
      <c r="AX155" s="172"/>
      <c r="AY155" s="172"/>
      <c r="AZ155" s="172"/>
      <c r="BA155" s="172"/>
      <c r="BB155" s="172"/>
      <c r="BC155" s="172"/>
      <c r="BD155" s="172"/>
      <c r="BE155" s="172"/>
      <c r="BF155" s="172"/>
      <c r="BG155" s="172"/>
      <c r="BH155" s="173"/>
      <c r="BI155" s="480"/>
      <c r="BJ155" s="82">
        <f t="shared" si="267"/>
        <v>0</v>
      </c>
      <c r="BK155" s="82">
        <f t="shared" si="265"/>
        <v>0</v>
      </c>
      <c r="BL155" s="82">
        <f t="shared" si="268"/>
        <v>0</v>
      </c>
      <c r="BM155" s="127">
        <f t="shared" si="9"/>
        <v>0</v>
      </c>
      <c r="BN155" s="75"/>
    </row>
    <row r="156" spans="1:66" s="74" customFormat="1" ht="11.25" x14ac:dyDescent="0.2">
      <c r="A156" s="210">
        <v>1</v>
      </c>
      <c r="B156" s="211" t="s">
        <v>697</v>
      </c>
      <c r="C156" s="207" t="s">
        <v>706</v>
      </c>
      <c r="D156" s="207" t="s">
        <v>706</v>
      </c>
      <c r="E156" s="437"/>
      <c r="F156" s="437"/>
      <c r="G156" s="437"/>
      <c r="H156" s="437"/>
      <c r="I156" s="214"/>
      <c r="J156" s="214"/>
      <c r="K156" s="214"/>
      <c r="L156" s="214"/>
      <c r="M156" s="214"/>
      <c r="N156" s="214"/>
      <c r="O156" s="214"/>
      <c r="P156" s="214"/>
      <c r="Q156" s="214"/>
      <c r="R156" s="214"/>
      <c r="S156" s="214"/>
      <c r="T156" s="214"/>
      <c r="U156" s="214"/>
      <c r="V156" s="214"/>
      <c r="W156" s="214"/>
      <c r="X156" s="214"/>
      <c r="Y156" s="214"/>
      <c r="Z156" s="214"/>
      <c r="AA156" s="214"/>
      <c r="AB156" s="214"/>
      <c r="AC156" s="214"/>
      <c r="AD156" s="214"/>
      <c r="AE156" s="214"/>
      <c r="AF156" s="214"/>
      <c r="AG156" s="214"/>
      <c r="AH156" s="214"/>
      <c r="AI156" s="214"/>
      <c r="AJ156" s="214"/>
      <c r="AK156" s="214"/>
      <c r="AL156" s="214"/>
      <c r="AM156" s="214"/>
      <c r="AN156" s="214"/>
      <c r="AO156" s="214"/>
      <c r="AP156" s="214"/>
      <c r="AQ156" s="214"/>
      <c r="AR156" s="214"/>
      <c r="AS156" s="214"/>
      <c r="AT156" s="214"/>
      <c r="AU156" s="214"/>
      <c r="AV156" s="214"/>
      <c r="AW156" s="214"/>
      <c r="AX156" s="214"/>
      <c r="AY156" s="214"/>
      <c r="AZ156" s="214"/>
      <c r="BA156" s="214"/>
      <c r="BB156" s="214"/>
      <c r="BC156" s="214"/>
      <c r="BD156" s="214"/>
      <c r="BE156" s="214"/>
      <c r="BF156" s="214"/>
      <c r="BG156" s="214"/>
      <c r="BH156" s="186"/>
      <c r="BI156" s="480"/>
      <c r="BJ156" s="127"/>
      <c r="BK156" s="127"/>
      <c r="BL156" s="127"/>
      <c r="BM156" s="127"/>
      <c r="BN156" s="75"/>
    </row>
    <row r="157" spans="1:66" s="74" customFormat="1" ht="11.25" x14ac:dyDescent="0.2">
      <c r="A157" s="210">
        <v>2</v>
      </c>
      <c r="B157" s="213" t="s">
        <v>697</v>
      </c>
      <c r="C157" s="462" t="str">
        <f>IFERROR(VLOOKUP(D157,MappingFromSetAgiletoTTSRole,2,FALSE),"SET Agile Resource Role")</f>
        <v>Business Consultant</v>
      </c>
      <c r="D157" s="398" t="s">
        <v>684</v>
      </c>
      <c r="E157" s="435"/>
      <c r="F157" s="443" t="str">
        <f t="shared" ref="F157:F167" si="275">IFERROR(VLOOKUP(C157,MappingFromTTStoSU,2,FALSE),"SU Resource Role")</f>
        <v>DWMS</v>
      </c>
      <c r="G157" s="443"/>
      <c r="H157" s="443" t="s">
        <v>702</v>
      </c>
      <c r="I157" s="179"/>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80"/>
      <c r="BI157" s="480"/>
      <c r="BJ157" s="82">
        <f t="shared" ref="BJ157:BJ167" si="276">SUMIF(I$8:BH$8, "&lt;&gt;"&amp;AgileIteration_Warranty,I157:BH157)*5*Scenario2Utilisation</f>
        <v>0</v>
      </c>
      <c r="BK157" s="82">
        <f t="shared" ref="BK157" si="277">BJ157*Scenario2AgileContingency</f>
        <v>0</v>
      </c>
      <c r="BL157" s="82">
        <f t="shared" ref="BL157:BL167" si="278">IF(Scenario2Warranty=AgileWarrantyDefault, (SUMIF(I$8:BH$8,AgileIteration_Warranty,I157:BH157)*5*Scenario2Utilisation), (BJ157*Scenario2Warranty))</f>
        <v>0</v>
      </c>
      <c r="BM157" s="127">
        <f t="shared" ref="BM157" si="279">SUM(BJ157:BL157)</f>
        <v>0</v>
      </c>
      <c r="BN157" s="75"/>
    </row>
    <row r="158" spans="1:66" s="74" customFormat="1" ht="11.25" x14ac:dyDescent="0.2">
      <c r="A158" s="210">
        <v>2</v>
      </c>
      <c r="B158" s="213" t="s">
        <v>697</v>
      </c>
      <c r="C158" s="462" t="s">
        <v>685</v>
      </c>
      <c r="D158" s="398" t="s">
        <v>686</v>
      </c>
      <c r="E158" s="435"/>
      <c r="F158" s="443" t="str">
        <f t="shared" si="275"/>
        <v>DWMS</v>
      </c>
      <c r="G158" s="443"/>
      <c r="H158" s="443" t="str">
        <f>H157</f>
        <v>Development</v>
      </c>
      <c r="I158" s="179"/>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80"/>
      <c r="BI158" s="480"/>
      <c r="BJ158" s="82">
        <f t="shared" si="276"/>
        <v>0</v>
      </c>
      <c r="BK158" s="82">
        <f t="shared" ref="BK158" si="280">BJ158*Scenario2AgileContingency</f>
        <v>0</v>
      </c>
      <c r="BL158" s="82">
        <f t="shared" si="278"/>
        <v>0</v>
      </c>
      <c r="BM158" s="127">
        <f t="shared" ref="BM158" si="281">SUM(BJ158:BL158)</f>
        <v>0</v>
      </c>
      <c r="BN158" s="75"/>
    </row>
    <row r="159" spans="1:66" s="74" customFormat="1" ht="11.25" x14ac:dyDescent="0.2">
      <c r="A159" s="210">
        <v>2</v>
      </c>
      <c r="B159" s="213" t="s">
        <v>697</v>
      </c>
      <c r="C159" s="462" t="s">
        <v>613</v>
      </c>
      <c r="D159" s="398" t="s">
        <v>704</v>
      </c>
      <c r="E159" s="435"/>
      <c r="F159" s="443" t="str">
        <f t="shared" si="275"/>
        <v>DWMS</v>
      </c>
      <c r="G159" s="443"/>
      <c r="H159" s="443" t="str">
        <f t="shared" ref="H159:H165" si="282">H158</f>
        <v>Development</v>
      </c>
      <c r="I159" s="179"/>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80"/>
      <c r="BI159" s="480"/>
      <c r="BJ159" s="82">
        <f t="shared" si="276"/>
        <v>0</v>
      </c>
      <c r="BK159" s="82">
        <f t="shared" ref="BK159" si="283">BJ159*Scenario2AgileContingency</f>
        <v>0</v>
      </c>
      <c r="BL159" s="82">
        <f t="shared" si="278"/>
        <v>0</v>
      </c>
      <c r="BM159" s="127">
        <f t="shared" ref="BM159" si="284">SUM(BJ159:BL159)</f>
        <v>0</v>
      </c>
      <c r="BN159" s="75"/>
    </row>
    <row r="160" spans="1:66" s="74" customFormat="1" ht="11.25" x14ac:dyDescent="0.2">
      <c r="A160" s="210">
        <v>2</v>
      </c>
      <c r="B160" s="213" t="s">
        <v>697</v>
      </c>
      <c r="C160" s="462" t="s">
        <v>658</v>
      </c>
      <c r="D160" s="398" t="s">
        <v>687</v>
      </c>
      <c r="E160" s="435"/>
      <c r="F160" s="443" t="str">
        <f t="shared" si="275"/>
        <v>DWMS</v>
      </c>
      <c r="G160" s="443"/>
      <c r="H160" s="443" t="str">
        <f t="shared" si="282"/>
        <v>Development</v>
      </c>
      <c r="I160" s="179"/>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80"/>
      <c r="BI160" s="480"/>
      <c r="BJ160" s="82">
        <f t="shared" si="276"/>
        <v>0</v>
      </c>
      <c r="BK160" s="82">
        <f t="shared" ref="BK160" si="285">BJ160*Scenario2AgileContingency</f>
        <v>0</v>
      </c>
      <c r="BL160" s="82">
        <f t="shared" si="278"/>
        <v>0</v>
      </c>
      <c r="BM160" s="127">
        <f t="shared" ref="BM160" si="286">SUM(BJ160:BL160)</f>
        <v>0</v>
      </c>
      <c r="BN160" s="75"/>
    </row>
    <row r="161" spans="1:66" s="74" customFormat="1" ht="11.25" x14ac:dyDescent="0.2">
      <c r="A161" s="210">
        <v>2</v>
      </c>
      <c r="B161" s="213" t="s">
        <v>697</v>
      </c>
      <c r="C161" s="462" t="s">
        <v>635</v>
      </c>
      <c r="D161" s="398" t="s">
        <v>687</v>
      </c>
      <c r="E161" s="435"/>
      <c r="F161" s="443" t="str">
        <f>IFERROR(VLOOKUP(C161,MappingFromTTStoSU,2,FALSE),"SU Resource Role")</f>
        <v>DWMS</v>
      </c>
      <c r="G161" s="443"/>
      <c r="H161" s="443" t="str">
        <f>H160</f>
        <v>Development</v>
      </c>
      <c r="I161" s="179"/>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80"/>
      <c r="BI161" s="480"/>
      <c r="BJ161" s="82">
        <f t="shared" ref="BJ161" si="287">SUMIF(I$8:BH$8, "&lt;&gt;"&amp;AgileIteration_Warranty,I161:BH161)*5*Scenario2Utilisation</f>
        <v>0</v>
      </c>
      <c r="BK161" s="82">
        <f t="shared" ref="BK161" si="288">BJ161*Scenario2AgileContingency</f>
        <v>0</v>
      </c>
      <c r="BL161" s="82">
        <f t="shared" ref="BL161" si="289">IF(Scenario2Warranty=AgileWarrantyDefault, (SUMIF(I$8:BH$8,AgileIteration_Warranty,I161:BH161)*5*Scenario2Utilisation), (BJ161*Scenario2Warranty))</f>
        <v>0</v>
      </c>
      <c r="BM161" s="127">
        <f t="shared" ref="BM161" si="290">SUM(BJ161:BL161)</f>
        <v>0</v>
      </c>
      <c r="BN161" s="75"/>
    </row>
    <row r="162" spans="1:66" s="74" customFormat="1" ht="11.25" x14ac:dyDescent="0.2">
      <c r="A162" s="210">
        <v>2</v>
      </c>
      <c r="B162" s="213" t="s">
        <v>697</v>
      </c>
      <c r="C162" s="462" t="str">
        <f t="shared" ref="C162:C167" si="291">IFERROR(VLOOKUP(D162,MappingFromSetAgiletoTTSRole,2,FALSE),"SET Agile Resource Role")</f>
        <v>Software Developer</v>
      </c>
      <c r="D162" s="398" t="s">
        <v>687</v>
      </c>
      <c r="E162" s="435"/>
      <c r="F162" s="443" t="str">
        <f t="shared" si="275"/>
        <v>DWMS</v>
      </c>
      <c r="G162" s="443"/>
      <c r="H162" s="443" t="str">
        <f>H160</f>
        <v>Development</v>
      </c>
      <c r="I162" s="179"/>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80"/>
      <c r="BI162" s="480"/>
      <c r="BJ162" s="82">
        <f t="shared" si="276"/>
        <v>0</v>
      </c>
      <c r="BK162" s="82">
        <f t="shared" ref="BK162" si="292">BJ162*Scenario2AgileContingency</f>
        <v>0</v>
      </c>
      <c r="BL162" s="82">
        <f t="shared" si="278"/>
        <v>0</v>
      </c>
      <c r="BM162" s="127">
        <f t="shared" ref="BM162" si="293">SUM(BJ162:BL162)</f>
        <v>0</v>
      </c>
      <c r="BN162" s="75"/>
    </row>
    <row r="163" spans="1:66" s="74" customFormat="1" ht="11.25" x14ac:dyDescent="0.2">
      <c r="A163" s="210">
        <v>2</v>
      </c>
      <c r="B163" s="213" t="s">
        <v>697</v>
      </c>
      <c r="C163" s="462" t="str">
        <f t="shared" si="291"/>
        <v>Software Developer</v>
      </c>
      <c r="D163" s="398" t="s">
        <v>687</v>
      </c>
      <c r="E163" s="435"/>
      <c r="F163" s="443" t="str">
        <f>IFERROR(VLOOKUP(C163,MappingFromTTStoSU,2,FALSE),"SU Resource Role")</f>
        <v>DWMS</v>
      </c>
      <c r="G163" s="443"/>
      <c r="H163" s="443" t="str">
        <f>H162</f>
        <v>Development</v>
      </c>
      <c r="I163" s="179"/>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80"/>
      <c r="BI163" s="480"/>
      <c r="BJ163" s="82">
        <f t="shared" ref="BJ163" si="294">SUMIF(I$8:BH$8, "&lt;&gt;"&amp;AgileIteration_Warranty,I163:BH163)*5*Scenario2Utilisation</f>
        <v>0</v>
      </c>
      <c r="BK163" s="82">
        <f t="shared" ref="BK163" si="295">BJ163*Scenario2AgileContingency</f>
        <v>0</v>
      </c>
      <c r="BL163" s="82">
        <f t="shared" ref="BL163" si="296">IF(Scenario2Warranty=AgileWarrantyDefault, (SUMIF(I$8:BH$8,AgileIteration_Warranty,I163:BH163)*5*Scenario2Utilisation), (BJ163*Scenario2Warranty))</f>
        <v>0</v>
      </c>
      <c r="BM163" s="127">
        <f t="shared" ref="BM163" si="297">SUM(BJ163:BL163)</f>
        <v>0</v>
      </c>
      <c r="BN163" s="75"/>
    </row>
    <row r="164" spans="1:66" s="74" customFormat="1" ht="11.25" x14ac:dyDescent="0.2">
      <c r="A164" s="210">
        <v>2</v>
      </c>
      <c r="B164" s="213" t="s">
        <v>697</v>
      </c>
      <c r="C164" s="462" t="str">
        <f t="shared" si="291"/>
        <v>Software Developer</v>
      </c>
      <c r="D164" s="398" t="s">
        <v>687</v>
      </c>
      <c r="E164" s="435"/>
      <c r="F164" s="443" t="str">
        <f t="shared" si="275"/>
        <v>DWMS</v>
      </c>
      <c r="G164" s="443"/>
      <c r="H164" s="443" t="str">
        <f>H162</f>
        <v>Development</v>
      </c>
      <c r="I164" s="179"/>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80"/>
      <c r="BI164" s="480"/>
      <c r="BJ164" s="82">
        <f t="shared" si="276"/>
        <v>0</v>
      </c>
      <c r="BK164" s="82">
        <f t="shared" ref="BK164" si="298">BJ164*Scenario2AgileContingency</f>
        <v>0</v>
      </c>
      <c r="BL164" s="82">
        <f t="shared" si="278"/>
        <v>0</v>
      </c>
      <c r="BM164" s="127">
        <f t="shared" ref="BM164" si="299">SUM(BJ164:BL164)</f>
        <v>0</v>
      </c>
      <c r="BN164" s="75"/>
    </row>
    <row r="165" spans="1:66" s="74" customFormat="1" ht="11.25" x14ac:dyDescent="0.2">
      <c r="A165" s="210">
        <v>2</v>
      </c>
      <c r="B165" s="213" t="s">
        <v>697</v>
      </c>
      <c r="C165" s="462" t="s">
        <v>651</v>
      </c>
      <c r="D165" s="398" t="s">
        <v>688</v>
      </c>
      <c r="E165" s="435"/>
      <c r="F165" s="443" t="str">
        <f t="shared" si="275"/>
        <v>DWMS</v>
      </c>
      <c r="G165" s="443"/>
      <c r="H165" s="443" t="str">
        <f t="shared" si="282"/>
        <v>Development</v>
      </c>
      <c r="I165" s="179"/>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80"/>
      <c r="BI165" s="480"/>
      <c r="BJ165" s="82">
        <f t="shared" si="276"/>
        <v>0</v>
      </c>
      <c r="BK165" s="82">
        <f t="shared" ref="BK165" si="300">BJ165*Scenario2AgileContingency</f>
        <v>0</v>
      </c>
      <c r="BL165" s="82">
        <f t="shared" si="278"/>
        <v>0</v>
      </c>
      <c r="BM165" s="127">
        <f t="shared" ref="BM165" si="301">SUM(BJ165:BL165)</f>
        <v>0</v>
      </c>
      <c r="BN165" s="75"/>
    </row>
    <row r="166" spans="1:66" s="74" customFormat="1" ht="11.25" x14ac:dyDescent="0.2">
      <c r="A166" s="210">
        <v>2</v>
      </c>
      <c r="B166" s="213" t="s">
        <v>697</v>
      </c>
      <c r="C166" s="462" t="str">
        <f t="shared" si="291"/>
        <v>Test Consultant</v>
      </c>
      <c r="D166" s="398" t="s">
        <v>688</v>
      </c>
      <c r="E166" s="435"/>
      <c r="F166" s="443" t="str">
        <f>IFERROR(VLOOKUP(C166,MappingFromTTStoSU,2,FALSE),"SU Resource Role")</f>
        <v>DWMS</v>
      </c>
      <c r="G166" s="443"/>
      <c r="H166" s="443" t="str">
        <f>H165</f>
        <v>Development</v>
      </c>
      <c r="I166" s="179"/>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80"/>
      <c r="BI166" s="480"/>
      <c r="BJ166" s="82">
        <f t="shared" ref="BJ166" si="302">SUMIF(I$8:BH$8, "&lt;&gt;"&amp;AgileIteration_Warranty,I166:BH166)*5*Scenario2Utilisation</f>
        <v>0</v>
      </c>
      <c r="BK166" s="82">
        <f t="shared" ref="BK166" si="303">BJ166*Scenario2AgileContingency</f>
        <v>0</v>
      </c>
      <c r="BL166" s="82">
        <f t="shared" ref="BL166" si="304">IF(Scenario2Warranty=AgileWarrantyDefault, (SUMIF(I$8:BH$8,AgileIteration_Warranty,I166:BH166)*5*Scenario2Utilisation), (BJ166*Scenario2Warranty))</f>
        <v>0</v>
      </c>
      <c r="BM166" s="127">
        <f t="shared" ref="BM166" si="305">SUM(BJ166:BL166)</f>
        <v>0</v>
      </c>
      <c r="BN166" s="75"/>
    </row>
    <row r="167" spans="1:66" s="74" customFormat="1" ht="11.25" x14ac:dyDescent="0.2">
      <c r="A167" s="210">
        <v>2</v>
      </c>
      <c r="B167" s="213" t="s">
        <v>697</v>
      </c>
      <c r="C167" s="462" t="str">
        <f t="shared" si="291"/>
        <v>Test Consultant</v>
      </c>
      <c r="D167" s="398" t="s">
        <v>688</v>
      </c>
      <c r="E167" s="435"/>
      <c r="F167" s="443" t="str">
        <f t="shared" si="275"/>
        <v>DWMS</v>
      </c>
      <c r="G167" s="443"/>
      <c r="H167" s="443" t="str">
        <f>H165</f>
        <v>Development</v>
      </c>
      <c r="I167" s="179"/>
      <c r="J167" s="179"/>
      <c r="K167" s="179"/>
      <c r="L167" s="179"/>
      <c r="M167" s="179"/>
      <c r="N167" s="179"/>
      <c r="O167" s="179"/>
      <c r="P167" s="179"/>
      <c r="Q167" s="179"/>
      <c r="R167" s="179"/>
      <c r="S167" s="179"/>
      <c r="T167" s="179"/>
      <c r="U167" s="179"/>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80"/>
      <c r="BI167" s="480"/>
      <c r="BJ167" s="82">
        <f t="shared" si="276"/>
        <v>0</v>
      </c>
      <c r="BK167" s="82">
        <f t="shared" ref="BK167" si="306">BJ167*Scenario2AgileContingency</f>
        <v>0</v>
      </c>
      <c r="BL167" s="82">
        <f t="shared" si="278"/>
        <v>0</v>
      </c>
      <c r="BM167" s="127">
        <f t="shared" ref="BM167" si="307">SUM(BJ167:BL167)</f>
        <v>0</v>
      </c>
      <c r="BN167" s="75"/>
    </row>
    <row r="168" spans="1:66" s="74" customFormat="1" ht="11.25" x14ac:dyDescent="0.2">
      <c r="A168" s="210">
        <v>1</v>
      </c>
      <c r="B168" s="211" t="s">
        <v>697</v>
      </c>
      <c r="C168" s="207" t="s">
        <v>708</v>
      </c>
      <c r="D168" s="207" t="s">
        <v>708</v>
      </c>
      <c r="E168" s="437"/>
      <c r="F168" s="437"/>
      <c r="G168" s="437"/>
      <c r="H168" s="437"/>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c r="AM168" s="214"/>
      <c r="AN168" s="214"/>
      <c r="AO168" s="214"/>
      <c r="AP168" s="214"/>
      <c r="AQ168" s="214"/>
      <c r="AR168" s="214"/>
      <c r="AS168" s="214"/>
      <c r="AT168" s="214"/>
      <c r="AU168" s="214"/>
      <c r="AV168" s="214"/>
      <c r="AW168" s="214"/>
      <c r="AX168" s="214"/>
      <c r="AY168" s="214"/>
      <c r="AZ168" s="214"/>
      <c r="BA168" s="214"/>
      <c r="BB168" s="214"/>
      <c r="BC168" s="214"/>
      <c r="BD168" s="214"/>
      <c r="BE168" s="214"/>
      <c r="BF168" s="214"/>
      <c r="BG168" s="214"/>
      <c r="BH168" s="186"/>
      <c r="BI168" s="480"/>
      <c r="BJ168" s="127"/>
      <c r="BK168" s="127"/>
      <c r="BL168" s="127"/>
      <c r="BM168" s="127"/>
      <c r="BN168" s="75"/>
    </row>
    <row r="169" spans="1:66" s="74" customFormat="1" ht="11.25" x14ac:dyDescent="0.2">
      <c r="A169" s="210">
        <v>2</v>
      </c>
      <c r="B169" s="213" t="s">
        <v>697</v>
      </c>
      <c r="C169" s="462" t="str">
        <f>IFERROR(VLOOKUP(D169,MappingFromSetAgiletoTTSRole,2,FALSE),"SET Agile Resource Role")</f>
        <v>Business Consultant</v>
      </c>
      <c r="D169" s="398" t="s">
        <v>684</v>
      </c>
      <c r="E169" s="435"/>
      <c r="F169" s="443" t="str">
        <f t="shared" ref="F169:F179" si="308">IFERROR(VLOOKUP(C169,MappingFromTTStoSU,2,FALSE),"SU Resource Role")</f>
        <v>DWMS</v>
      </c>
      <c r="G169" s="443"/>
      <c r="H169" s="443" t="s">
        <v>702</v>
      </c>
      <c r="I169" s="179"/>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80"/>
      <c r="BI169" s="480"/>
      <c r="BJ169" s="82">
        <f t="shared" ref="BJ169:BJ179" si="309">SUMIF(I$8:BH$8, "&lt;&gt;"&amp;AgileIteration_Warranty,I169:BH169)*5*Scenario2Utilisation</f>
        <v>0</v>
      </c>
      <c r="BK169" s="82">
        <f t="shared" ref="BK169" si="310">BJ169*Scenario2AgileContingency</f>
        <v>0</v>
      </c>
      <c r="BL169" s="82">
        <f t="shared" ref="BL169:BL180" si="311">IF(Scenario2Warranty=AgileWarrantyDefault, (SUMIF(I$8:BH$8,AgileIteration_Warranty,I169:BH169)*5*Scenario2Utilisation), (BJ169*Scenario2Warranty))</f>
        <v>0</v>
      </c>
      <c r="BM169" s="127">
        <f t="shared" ref="BM169" si="312">SUM(BJ169:BL169)</f>
        <v>0</v>
      </c>
      <c r="BN169" s="75"/>
    </row>
    <row r="170" spans="1:66" s="74" customFormat="1" ht="11.25" x14ac:dyDescent="0.2">
      <c r="A170" s="210">
        <v>2</v>
      </c>
      <c r="B170" s="213" t="s">
        <v>697</v>
      </c>
      <c r="C170" s="462" t="s">
        <v>685</v>
      </c>
      <c r="D170" s="398" t="s">
        <v>686</v>
      </c>
      <c r="E170" s="435"/>
      <c r="F170" s="443" t="str">
        <f t="shared" si="308"/>
        <v>DWMS</v>
      </c>
      <c r="G170" s="443"/>
      <c r="H170" s="443" t="str">
        <f>H169</f>
        <v>Development</v>
      </c>
      <c r="I170" s="179"/>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80"/>
      <c r="BI170" s="480"/>
      <c r="BJ170" s="82">
        <f t="shared" si="309"/>
        <v>0</v>
      </c>
      <c r="BK170" s="82">
        <f t="shared" ref="BK170" si="313">BJ170*Scenario2AgileContingency</f>
        <v>0</v>
      </c>
      <c r="BL170" s="82">
        <f t="shared" si="311"/>
        <v>0</v>
      </c>
      <c r="BM170" s="127">
        <f t="shared" ref="BM170" si="314">SUM(BJ170:BL170)</f>
        <v>0</v>
      </c>
      <c r="BN170" s="75"/>
    </row>
    <row r="171" spans="1:66" s="74" customFormat="1" ht="11.25" x14ac:dyDescent="0.2">
      <c r="A171" s="210">
        <v>2</v>
      </c>
      <c r="B171" s="213" t="s">
        <v>697</v>
      </c>
      <c r="C171" s="462" t="s">
        <v>613</v>
      </c>
      <c r="D171" s="398" t="s">
        <v>704</v>
      </c>
      <c r="E171" s="435"/>
      <c r="F171" s="443" t="str">
        <f t="shared" si="308"/>
        <v>DWMS</v>
      </c>
      <c r="G171" s="443"/>
      <c r="H171" s="443" t="str">
        <f t="shared" ref="H171:H180" si="315">H170</f>
        <v>Development</v>
      </c>
      <c r="I171" s="179"/>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80"/>
      <c r="BI171" s="480"/>
      <c r="BJ171" s="82">
        <f t="shared" si="309"/>
        <v>0</v>
      </c>
      <c r="BK171" s="82">
        <f t="shared" ref="BK171" si="316">BJ171*Scenario2AgileContingency</f>
        <v>0</v>
      </c>
      <c r="BL171" s="82">
        <f t="shared" si="311"/>
        <v>0</v>
      </c>
      <c r="BM171" s="127">
        <f t="shared" ref="BM171" si="317">SUM(BJ171:BL171)</f>
        <v>0</v>
      </c>
      <c r="BN171" s="75"/>
    </row>
    <row r="172" spans="1:66" s="74" customFormat="1" ht="11.25" x14ac:dyDescent="0.2">
      <c r="A172" s="210">
        <v>2</v>
      </c>
      <c r="B172" s="213" t="s">
        <v>697</v>
      </c>
      <c r="C172" s="462" t="s">
        <v>658</v>
      </c>
      <c r="D172" s="398" t="s">
        <v>687</v>
      </c>
      <c r="E172" s="435"/>
      <c r="F172" s="443" t="str">
        <f t="shared" si="308"/>
        <v>DWMS</v>
      </c>
      <c r="G172" s="443"/>
      <c r="H172" s="443" t="str">
        <f t="shared" si="315"/>
        <v>Development</v>
      </c>
      <c r="I172" s="179"/>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80"/>
      <c r="BI172" s="480"/>
      <c r="BJ172" s="82">
        <f t="shared" si="309"/>
        <v>0</v>
      </c>
      <c r="BK172" s="82">
        <f t="shared" ref="BK172" si="318">BJ172*Scenario2AgileContingency</f>
        <v>0</v>
      </c>
      <c r="BL172" s="82">
        <f t="shared" si="311"/>
        <v>0</v>
      </c>
      <c r="BM172" s="127">
        <f t="shared" ref="BM172" si="319">SUM(BJ172:BL172)</f>
        <v>0</v>
      </c>
      <c r="BN172" s="75"/>
    </row>
    <row r="173" spans="1:66" s="74" customFormat="1" ht="11.25" x14ac:dyDescent="0.2">
      <c r="A173" s="210">
        <v>2</v>
      </c>
      <c r="B173" s="213" t="s">
        <v>697</v>
      </c>
      <c r="C173" s="462" t="s">
        <v>635</v>
      </c>
      <c r="D173" s="398" t="s">
        <v>687</v>
      </c>
      <c r="E173" s="435"/>
      <c r="F173" s="443" t="str">
        <f>IFERROR(VLOOKUP(C173,MappingFromTTStoSU,2,FALSE),"SU Resource Role")</f>
        <v>DWMS</v>
      </c>
      <c r="G173" s="443"/>
      <c r="H173" s="443" t="str">
        <f>H172</f>
        <v>Development</v>
      </c>
      <c r="I173" s="179"/>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80"/>
      <c r="BI173" s="480"/>
      <c r="BJ173" s="82">
        <f t="shared" ref="BJ173" si="320">SUMIF(I$8:BH$8, "&lt;&gt;"&amp;AgileIteration_Warranty,I173:BH173)*5*Scenario2Utilisation</f>
        <v>0</v>
      </c>
      <c r="BK173" s="82">
        <f t="shared" ref="BK173" si="321">BJ173*Scenario2AgileContingency</f>
        <v>0</v>
      </c>
      <c r="BL173" s="82">
        <f t="shared" ref="BL173" si="322">IF(Scenario2Warranty=AgileWarrantyDefault, (SUMIF(I$8:BH$8,AgileIteration_Warranty,I173:BH173)*5*Scenario2Utilisation), (BJ173*Scenario2Warranty))</f>
        <v>0</v>
      </c>
      <c r="BM173" s="127">
        <f t="shared" ref="BM173" si="323">SUM(BJ173:BL173)</f>
        <v>0</v>
      </c>
      <c r="BN173" s="75"/>
    </row>
    <row r="174" spans="1:66" s="74" customFormat="1" ht="11.25" x14ac:dyDescent="0.2">
      <c r="A174" s="210">
        <v>2</v>
      </c>
      <c r="B174" s="213" t="s">
        <v>697</v>
      </c>
      <c r="C174" s="462" t="str">
        <f t="shared" ref="C174:C179" si="324">IFERROR(VLOOKUP(D174,MappingFromSetAgiletoTTSRole,2,FALSE),"SET Agile Resource Role")</f>
        <v>Software Developer</v>
      </c>
      <c r="D174" s="398" t="s">
        <v>687</v>
      </c>
      <c r="E174" s="435"/>
      <c r="F174" s="443" t="str">
        <f t="shared" si="308"/>
        <v>DWMS</v>
      </c>
      <c r="G174" s="443"/>
      <c r="H174" s="443" t="str">
        <f>H172</f>
        <v>Development</v>
      </c>
      <c r="I174" s="179"/>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80"/>
      <c r="BI174" s="480"/>
      <c r="BJ174" s="82">
        <f t="shared" si="309"/>
        <v>0</v>
      </c>
      <c r="BK174" s="82">
        <f t="shared" ref="BK174" si="325">BJ174*Scenario2AgileContingency</f>
        <v>0</v>
      </c>
      <c r="BL174" s="82">
        <f t="shared" si="311"/>
        <v>0</v>
      </c>
      <c r="BM174" s="127">
        <f t="shared" ref="BM174" si="326">SUM(BJ174:BL174)</f>
        <v>0</v>
      </c>
      <c r="BN174" s="75"/>
    </row>
    <row r="175" spans="1:66" s="74" customFormat="1" ht="11.25" x14ac:dyDescent="0.2">
      <c r="A175" s="210">
        <v>2</v>
      </c>
      <c r="B175" s="213" t="s">
        <v>697</v>
      </c>
      <c r="C175" s="462" t="str">
        <f t="shared" si="324"/>
        <v>Software Developer</v>
      </c>
      <c r="D175" s="398" t="s">
        <v>687</v>
      </c>
      <c r="E175" s="435"/>
      <c r="F175" s="443" t="str">
        <f>IFERROR(VLOOKUP(C175,MappingFromTTStoSU,2,FALSE),"SU Resource Role")</f>
        <v>DWMS</v>
      </c>
      <c r="G175" s="443"/>
      <c r="H175" s="443" t="str">
        <f>H174</f>
        <v>Development</v>
      </c>
      <c r="I175" s="179"/>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80"/>
      <c r="BI175" s="480"/>
      <c r="BJ175" s="82">
        <f t="shared" ref="BJ175" si="327">SUMIF(I$8:BH$8, "&lt;&gt;"&amp;AgileIteration_Warranty,I175:BH175)*5*Scenario2Utilisation</f>
        <v>0</v>
      </c>
      <c r="BK175" s="82">
        <f t="shared" ref="BK175" si="328">BJ175*Scenario2AgileContingency</f>
        <v>0</v>
      </c>
      <c r="BL175" s="82">
        <f t="shared" ref="BL175" si="329">IF(Scenario2Warranty=AgileWarrantyDefault, (SUMIF(I$8:BH$8,AgileIteration_Warranty,I175:BH175)*5*Scenario2Utilisation), (BJ175*Scenario2Warranty))</f>
        <v>0</v>
      </c>
      <c r="BM175" s="127">
        <f t="shared" ref="BM175" si="330">SUM(BJ175:BL175)</f>
        <v>0</v>
      </c>
      <c r="BN175" s="75"/>
    </row>
    <row r="176" spans="1:66" s="74" customFormat="1" ht="11.25" x14ac:dyDescent="0.2">
      <c r="A176" s="210">
        <v>2</v>
      </c>
      <c r="B176" s="213" t="s">
        <v>697</v>
      </c>
      <c r="C176" s="462" t="str">
        <f t="shared" si="324"/>
        <v>Software Developer</v>
      </c>
      <c r="D176" s="398" t="s">
        <v>687</v>
      </c>
      <c r="E176" s="435"/>
      <c r="F176" s="443" t="str">
        <f t="shared" si="308"/>
        <v>DWMS</v>
      </c>
      <c r="G176" s="443"/>
      <c r="H176" s="443" t="str">
        <f>H174</f>
        <v>Development</v>
      </c>
      <c r="I176" s="179"/>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80"/>
      <c r="BI176" s="480"/>
      <c r="BJ176" s="82">
        <f t="shared" si="309"/>
        <v>0</v>
      </c>
      <c r="BK176" s="82">
        <f t="shared" ref="BK176" si="331">BJ176*Scenario2AgileContingency</f>
        <v>0</v>
      </c>
      <c r="BL176" s="82">
        <f t="shared" si="311"/>
        <v>0</v>
      </c>
      <c r="BM176" s="127">
        <f t="shared" ref="BM176" si="332">SUM(BJ176:BL176)</f>
        <v>0</v>
      </c>
      <c r="BN176" s="75"/>
    </row>
    <row r="177" spans="1:69" s="74" customFormat="1" ht="11.25" x14ac:dyDescent="0.2">
      <c r="A177" s="210">
        <v>2</v>
      </c>
      <c r="B177" s="213" t="s">
        <v>697</v>
      </c>
      <c r="C177" s="462" t="s">
        <v>651</v>
      </c>
      <c r="D177" s="398" t="s">
        <v>688</v>
      </c>
      <c r="E177" s="435"/>
      <c r="F177" s="443" t="str">
        <f t="shared" si="308"/>
        <v>DWMS</v>
      </c>
      <c r="G177" s="443"/>
      <c r="H177" s="443" t="str">
        <f t="shared" si="315"/>
        <v>Development</v>
      </c>
      <c r="I177" s="179"/>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80"/>
      <c r="BI177" s="480"/>
      <c r="BJ177" s="82">
        <f t="shared" si="309"/>
        <v>0</v>
      </c>
      <c r="BK177" s="82">
        <f t="shared" ref="BK177" si="333">BJ177*Scenario2AgileContingency</f>
        <v>0</v>
      </c>
      <c r="BL177" s="82">
        <f t="shared" si="311"/>
        <v>0</v>
      </c>
      <c r="BM177" s="127">
        <f t="shared" ref="BM177" si="334">SUM(BJ177:BL177)</f>
        <v>0</v>
      </c>
      <c r="BN177" s="75"/>
    </row>
    <row r="178" spans="1:69" s="74" customFormat="1" ht="11.25" x14ac:dyDescent="0.2">
      <c r="A178" s="210">
        <v>2</v>
      </c>
      <c r="B178" s="213" t="s">
        <v>697</v>
      </c>
      <c r="C178" s="462" t="str">
        <f t="shared" si="324"/>
        <v>Test Consultant</v>
      </c>
      <c r="D178" s="398" t="s">
        <v>688</v>
      </c>
      <c r="E178" s="435"/>
      <c r="F178" s="443" t="str">
        <f>IFERROR(VLOOKUP(C178,MappingFromTTStoSU,2,FALSE),"SU Resource Role")</f>
        <v>DWMS</v>
      </c>
      <c r="G178" s="443"/>
      <c r="H178" s="443" t="str">
        <f>H177</f>
        <v>Development</v>
      </c>
      <c r="I178" s="179"/>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80"/>
      <c r="BI178" s="480"/>
      <c r="BJ178" s="82">
        <f t="shared" ref="BJ178" si="335">SUMIF(I$8:BH$8, "&lt;&gt;"&amp;AgileIteration_Warranty,I178:BH178)*5*Scenario2Utilisation</f>
        <v>0</v>
      </c>
      <c r="BK178" s="82">
        <f t="shared" ref="BK178" si="336">BJ178*Scenario2AgileContingency</f>
        <v>0</v>
      </c>
      <c r="BL178" s="82">
        <f t="shared" ref="BL178" si="337">IF(Scenario2Warranty=AgileWarrantyDefault, (SUMIF(I$8:BH$8,AgileIteration_Warranty,I178:BH178)*5*Scenario2Utilisation), (BJ178*Scenario2Warranty))</f>
        <v>0</v>
      </c>
      <c r="BM178" s="127">
        <f t="shared" ref="BM178" si="338">SUM(BJ178:BL178)</f>
        <v>0</v>
      </c>
      <c r="BN178" s="75"/>
    </row>
    <row r="179" spans="1:69" s="74" customFormat="1" ht="11.25" x14ac:dyDescent="0.2">
      <c r="A179" s="210">
        <v>2</v>
      </c>
      <c r="B179" s="213" t="s">
        <v>697</v>
      </c>
      <c r="C179" s="462" t="str">
        <f t="shared" si="324"/>
        <v>Test Consultant</v>
      </c>
      <c r="D179" s="398" t="s">
        <v>688</v>
      </c>
      <c r="E179" s="435"/>
      <c r="F179" s="443" t="str">
        <f t="shared" si="308"/>
        <v>DWMS</v>
      </c>
      <c r="G179" s="443"/>
      <c r="H179" s="443" t="str">
        <f>H177</f>
        <v>Development</v>
      </c>
      <c r="I179" s="179"/>
      <c r="J179" s="179"/>
      <c r="K179" s="179"/>
      <c r="L179" s="179"/>
      <c r="M179" s="179"/>
      <c r="N179" s="179"/>
      <c r="O179" s="179"/>
      <c r="P179" s="179"/>
      <c r="Q179" s="179"/>
      <c r="R179" s="179"/>
      <c r="S179" s="179"/>
      <c r="T179" s="179"/>
      <c r="U179" s="179"/>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80"/>
      <c r="BI179" s="480"/>
      <c r="BJ179" s="82">
        <f t="shared" si="309"/>
        <v>0</v>
      </c>
      <c r="BK179" s="82">
        <f t="shared" ref="BK179" si="339">BJ179*Scenario2AgileContingency</f>
        <v>0</v>
      </c>
      <c r="BL179" s="82">
        <f t="shared" si="311"/>
        <v>0</v>
      </c>
      <c r="BM179" s="127">
        <f t="shared" ref="BM179" si="340">SUM(BJ179:BL179)</f>
        <v>0</v>
      </c>
      <c r="BN179" s="75"/>
    </row>
    <row r="180" spans="1:69" s="122" customFormat="1" ht="12" hidden="1" customHeight="1" x14ac:dyDescent="0.2">
      <c r="A180" s="120"/>
      <c r="B180" s="121"/>
      <c r="C180" s="293"/>
      <c r="D180" s="394"/>
      <c r="E180" s="395"/>
      <c r="H180" s="443" t="str">
        <f t="shared" si="315"/>
        <v>Development</v>
      </c>
      <c r="I180" s="184"/>
      <c r="J180" s="184"/>
      <c r="K180" s="184"/>
      <c r="L180" s="184"/>
      <c r="M180" s="184"/>
      <c r="N180" s="184"/>
      <c r="O180" s="184"/>
      <c r="P180" s="184"/>
      <c r="Q180" s="184"/>
      <c r="R180" s="184"/>
      <c r="BL180" s="82">
        <f t="shared" si="311"/>
        <v>0</v>
      </c>
    </row>
    <row r="181" spans="1:69" ht="11.25" customHeight="1" x14ac:dyDescent="0.25">
      <c r="D181" s="31"/>
      <c r="E181" s="81"/>
      <c r="F181" s="81"/>
      <c r="G181" s="81"/>
      <c r="H181" s="81"/>
      <c r="I181" s="81"/>
      <c r="J181" s="81"/>
      <c r="K181" s="81"/>
      <c r="L181" s="81"/>
      <c r="M181" s="81"/>
      <c r="N181" s="81"/>
      <c r="O181" s="81"/>
      <c r="P181" s="81"/>
      <c r="Q181" s="81"/>
      <c r="R181" s="81"/>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I181" s="187"/>
      <c r="BJ181" s="200"/>
      <c r="BK181" s="200"/>
      <c r="BL181" s="80"/>
      <c r="BM181" s="80"/>
    </row>
    <row r="182" spans="1:69" ht="11.25" customHeight="1" x14ac:dyDescent="0.25">
      <c r="D182" s="139" t="s">
        <v>711</v>
      </c>
      <c r="E182" s="151" t="s">
        <v>712</v>
      </c>
      <c r="F182" s="151"/>
      <c r="G182" s="151"/>
      <c r="H182" s="150"/>
      <c r="I182" s="189">
        <f t="shared" ref="I182:AN182" si="341">SUM(I12:I180)</f>
        <v>0</v>
      </c>
      <c r="J182" s="189">
        <f t="shared" si="341"/>
        <v>0</v>
      </c>
      <c r="K182" s="189">
        <f t="shared" si="341"/>
        <v>0</v>
      </c>
      <c r="L182" s="189">
        <f t="shared" si="341"/>
        <v>0</v>
      </c>
      <c r="M182" s="189">
        <f t="shared" si="341"/>
        <v>0</v>
      </c>
      <c r="N182" s="189">
        <f t="shared" si="341"/>
        <v>0</v>
      </c>
      <c r="O182" s="189">
        <f t="shared" si="341"/>
        <v>0</v>
      </c>
      <c r="P182" s="189">
        <f t="shared" si="341"/>
        <v>0</v>
      </c>
      <c r="Q182" s="189">
        <f t="shared" si="341"/>
        <v>0</v>
      </c>
      <c r="R182" s="189">
        <f t="shared" si="341"/>
        <v>0</v>
      </c>
      <c r="S182" s="189">
        <f t="shared" si="341"/>
        <v>0</v>
      </c>
      <c r="T182" s="189">
        <f t="shared" si="341"/>
        <v>0</v>
      </c>
      <c r="U182" s="189">
        <f t="shared" si="341"/>
        <v>0</v>
      </c>
      <c r="V182" s="189">
        <f t="shared" si="341"/>
        <v>0</v>
      </c>
      <c r="W182" s="189">
        <f t="shared" si="341"/>
        <v>0</v>
      </c>
      <c r="X182" s="189">
        <f t="shared" si="341"/>
        <v>0</v>
      </c>
      <c r="Y182" s="189">
        <f t="shared" si="341"/>
        <v>0</v>
      </c>
      <c r="Z182" s="189">
        <f t="shared" si="341"/>
        <v>0</v>
      </c>
      <c r="AA182" s="189">
        <f t="shared" si="341"/>
        <v>0</v>
      </c>
      <c r="AB182" s="189">
        <f t="shared" si="341"/>
        <v>0</v>
      </c>
      <c r="AC182" s="189">
        <f t="shared" si="341"/>
        <v>0</v>
      </c>
      <c r="AD182" s="189">
        <f t="shared" si="341"/>
        <v>0</v>
      </c>
      <c r="AE182" s="189">
        <f t="shared" si="341"/>
        <v>0</v>
      </c>
      <c r="AF182" s="189">
        <f t="shared" si="341"/>
        <v>0</v>
      </c>
      <c r="AG182" s="189">
        <f t="shared" si="341"/>
        <v>0</v>
      </c>
      <c r="AH182" s="189">
        <f t="shared" si="341"/>
        <v>0</v>
      </c>
      <c r="AI182" s="189">
        <f t="shared" si="341"/>
        <v>0</v>
      </c>
      <c r="AJ182" s="189">
        <f t="shared" si="341"/>
        <v>0</v>
      </c>
      <c r="AK182" s="189">
        <f t="shared" si="341"/>
        <v>0</v>
      </c>
      <c r="AL182" s="189">
        <f t="shared" si="341"/>
        <v>0</v>
      </c>
      <c r="AM182" s="189">
        <f t="shared" si="341"/>
        <v>0</v>
      </c>
      <c r="AN182" s="189">
        <f t="shared" si="341"/>
        <v>0</v>
      </c>
      <c r="AO182" s="189">
        <f t="shared" ref="AO182:BG182" si="342">SUM(AO12:AO180)</f>
        <v>0</v>
      </c>
      <c r="AP182" s="189">
        <f t="shared" si="342"/>
        <v>0</v>
      </c>
      <c r="AQ182" s="189">
        <f t="shared" si="342"/>
        <v>0</v>
      </c>
      <c r="AR182" s="189">
        <f t="shared" si="342"/>
        <v>0</v>
      </c>
      <c r="AS182" s="189">
        <f t="shared" si="342"/>
        <v>0</v>
      </c>
      <c r="AT182" s="189">
        <f t="shared" si="342"/>
        <v>0</v>
      </c>
      <c r="AU182" s="189">
        <f t="shared" si="342"/>
        <v>0</v>
      </c>
      <c r="AV182" s="189">
        <f t="shared" si="342"/>
        <v>0</v>
      </c>
      <c r="AW182" s="189">
        <f t="shared" si="342"/>
        <v>0</v>
      </c>
      <c r="AX182" s="189">
        <f t="shared" si="342"/>
        <v>0</v>
      </c>
      <c r="AY182" s="189">
        <f t="shared" si="342"/>
        <v>0</v>
      </c>
      <c r="AZ182" s="189">
        <f t="shared" si="342"/>
        <v>0</v>
      </c>
      <c r="BA182" s="189">
        <f t="shared" si="342"/>
        <v>0</v>
      </c>
      <c r="BB182" s="189">
        <f t="shared" si="342"/>
        <v>0</v>
      </c>
      <c r="BC182" s="189">
        <f t="shared" si="342"/>
        <v>0</v>
      </c>
      <c r="BD182" s="189">
        <f t="shared" si="342"/>
        <v>0</v>
      </c>
      <c r="BE182" s="189">
        <f t="shared" si="342"/>
        <v>0</v>
      </c>
      <c r="BF182" s="189">
        <f t="shared" si="342"/>
        <v>0</v>
      </c>
      <c r="BG182" s="189">
        <f t="shared" si="342"/>
        <v>0</v>
      </c>
      <c r="BH182" s="126"/>
      <c r="BI182" s="199"/>
      <c r="BJ182" s="683" t="s">
        <v>710</v>
      </c>
      <c r="BK182" s="685"/>
      <c r="BL182" s="79"/>
      <c r="BM182" s="79"/>
    </row>
    <row r="183" spans="1:69" ht="14.25" customHeight="1" x14ac:dyDescent="0.25">
      <c r="D183" s="139" t="s">
        <v>713</v>
      </c>
      <c r="E183" s="151" t="s">
        <v>732</v>
      </c>
      <c r="F183" s="151"/>
      <c r="G183" s="151"/>
      <c r="H183" s="150"/>
      <c r="I183" s="189">
        <f t="shared" ref="I183:AO183" si="343">IF(I$8=AgileIteration_Warranty,0,(I182*5*Scenario2Utilisation))</f>
        <v>0</v>
      </c>
      <c r="J183" s="189">
        <f t="shared" si="343"/>
        <v>0</v>
      </c>
      <c r="K183" s="189">
        <f t="shared" si="343"/>
        <v>0</v>
      </c>
      <c r="L183" s="189">
        <f t="shared" si="343"/>
        <v>0</v>
      </c>
      <c r="M183" s="189">
        <f t="shared" si="343"/>
        <v>0</v>
      </c>
      <c r="N183" s="189">
        <f t="shared" si="343"/>
        <v>0</v>
      </c>
      <c r="O183" s="189">
        <f t="shared" si="343"/>
        <v>0</v>
      </c>
      <c r="P183" s="189">
        <f t="shared" ref="P183" si="344">IF(P$8=AgileIteration_Warranty,0,(P182*5*Scenario2Utilisation))</f>
        <v>0</v>
      </c>
      <c r="Q183" s="189">
        <f t="shared" si="343"/>
        <v>0</v>
      </c>
      <c r="R183" s="189">
        <f t="shared" si="343"/>
        <v>0</v>
      </c>
      <c r="S183" s="189">
        <f t="shared" si="343"/>
        <v>0</v>
      </c>
      <c r="T183" s="189">
        <f t="shared" si="343"/>
        <v>0</v>
      </c>
      <c r="U183" s="189">
        <f t="shared" si="343"/>
        <v>0</v>
      </c>
      <c r="V183" s="189">
        <f t="shared" si="343"/>
        <v>0</v>
      </c>
      <c r="W183" s="189">
        <f t="shared" si="343"/>
        <v>0</v>
      </c>
      <c r="X183" s="189">
        <f t="shared" si="343"/>
        <v>0</v>
      </c>
      <c r="Y183" s="189">
        <f t="shared" si="343"/>
        <v>0</v>
      </c>
      <c r="Z183" s="189">
        <f t="shared" si="343"/>
        <v>0</v>
      </c>
      <c r="AA183" s="189">
        <f t="shared" si="343"/>
        <v>0</v>
      </c>
      <c r="AB183" s="189">
        <f t="shared" si="343"/>
        <v>0</v>
      </c>
      <c r="AC183" s="189">
        <f t="shared" si="343"/>
        <v>0</v>
      </c>
      <c r="AD183" s="189">
        <f t="shared" si="343"/>
        <v>0</v>
      </c>
      <c r="AE183" s="189">
        <f t="shared" si="343"/>
        <v>0</v>
      </c>
      <c r="AF183" s="189">
        <f t="shared" si="343"/>
        <v>0</v>
      </c>
      <c r="AG183" s="189">
        <f t="shared" si="343"/>
        <v>0</v>
      </c>
      <c r="AH183" s="189">
        <f t="shared" si="343"/>
        <v>0</v>
      </c>
      <c r="AI183" s="189">
        <f t="shared" si="343"/>
        <v>0</v>
      </c>
      <c r="AJ183" s="189">
        <f t="shared" si="343"/>
        <v>0</v>
      </c>
      <c r="AK183" s="189">
        <f t="shared" si="343"/>
        <v>0</v>
      </c>
      <c r="AL183" s="189">
        <f t="shared" si="343"/>
        <v>0</v>
      </c>
      <c r="AM183" s="189">
        <f t="shared" si="343"/>
        <v>0</v>
      </c>
      <c r="AN183" s="189">
        <f t="shared" si="343"/>
        <v>0</v>
      </c>
      <c r="AO183" s="189">
        <f t="shared" si="343"/>
        <v>0</v>
      </c>
      <c r="AP183" s="189">
        <f t="shared" ref="AP183:BG183" si="345">IF(AP$8=AgileIteration_Warranty,0,(AP182*5*Scenario2Utilisation))</f>
        <v>0</v>
      </c>
      <c r="AQ183" s="189">
        <f t="shared" si="345"/>
        <v>0</v>
      </c>
      <c r="AR183" s="189">
        <f t="shared" si="345"/>
        <v>0</v>
      </c>
      <c r="AS183" s="189">
        <f t="shared" si="345"/>
        <v>0</v>
      </c>
      <c r="AT183" s="189">
        <f t="shared" si="345"/>
        <v>0</v>
      </c>
      <c r="AU183" s="189">
        <f t="shared" si="345"/>
        <v>0</v>
      </c>
      <c r="AV183" s="189">
        <f t="shared" si="345"/>
        <v>0</v>
      </c>
      <c r="AW183" s="189">
        <f t="shared" si="345"/>
        <v>0</v>
      </c>
      <c r="AX183" s="189">
        <f t="shared" si="345"/>
        <v>0</v>
      </c>
      <c r="AY183" s="189">
        <f t="shared" si="345"/>
        <v>0</v>
      </c>
      <c r="AZ183" s="189">
        <f t="shared" si="345"/>
        <v>0</v>
      </c>
      <c r="BA183" s="189">
        <f t="shared" si="345"/>
        <v>0</v>
      </c>
      <c r="BB183" s="189">
        <f t="shared" si="345"/>
        <v>0</v>
      </c>
      <c r="BC183" s="189">
        <f t="shared" si="345"/>
        <v>0</v>
      </c>
      <c r="BD183" s="189">
        <f t="shared" si="345"/>
        <v>0</v>
      </c>
      <c r="BE183" s="189">
        <f t="shared" si="345"/>
        <v>0</v>
      </c>
      <c r="BF183" s="189">
        <f t="shared" si="345"/>
        <v>0</v>
      </c>
      <c r="BG183" s="189">
        <f t="shared" si="345"/>
        <v>0</v>
      </c>
      <c r="BH183" s="126"/>
      <c r="BI183" s="199"/>
      <c r="BJ183" s="151" t="str">
        <f>E183</f>
        <v xml:space="preserve"> Person-Days</v>
      </c>
      <c r="BK183" s="191">
        <f>SUM(I183:BH183)</f>
        <v>0</v>
      </c>
    </row>
    <row r="184" spans="1:69" s="270" customFormat="1" ht="14.25" hidden="1" customHeight="1" x14ac:dyDescent="0.25">
      <c r="A184" s="120"/>
      <c r="B184" s="146"/>
      <c r="C184" s="282"/>
      <c r="D184" s="21"/>
      <c r="E184" s="266" t="s">
        <v>562</v>
      </c>
      <c r="F184" s="266"/>
      <c r="G184" s="266"/>
      <c r="H184" s="267"/>
      <c r="I184" s="268">
        <f t="shared" ref="I184:BG184" si="346">I183*Scenario2AgileContingency</f>
        <v>0</v>
      </c>
      <c r="J184" s="268">
        <f t="shared" si="346"/>
        <v>0</v>
      </c>
      <c r="K184" s="268">
        <f t="shared" si="346"/>
        <v>0</v>
      </c>
      <c r="L184" s="268">
        <f t="shared" si="346"/>
        <v>0</v>
      </c>
      <c r="M184" s="268">
        <f t="shared" si="346"/>
        <v>0</v>
      </c>
      <c r="N184" s="268">
        <f t="shared" si="346"/>
        <v>0</v>
      </c>
      <c r="O184" s="268">
        <f t="shared" si="346"/>
        <v>0</v>
      </c>
      <c r="P184" s="268">
        <f t="shared" ref="P184" si="347">P183*Scenario2AgileContingency</f>
        <v>0</v>
      </c>
      <c r="Q184" s="268">
        <f t="shared" si="346"/>
        <v>0</v>
      </c>
      <c r="R184" s="268">
        <f t="shared" si="346"/>
        <v>0</v>
      </c>
      <c r="S184" s="268">
        <f t="shared" si="346"/>
        <v>0</v>
      </c>
      <c r="T184" s="268">
        <f t="shared" si="346"/>
        <v>0</v>
      </c>
      <c r="U184" s="268">
        <f t="shared" si="346"/>
        <v>0</v>
      </c>
      <c r="V184" s="268">
        <f t="shared" si="346"/>
        <v>0</v>
      </c>
      <c r="W184" s="268">
        <f t="shared" si="346"/>
        <v>0</v>
      </c>
      <c r="X184" s="268">
        <f t="shared" si="346"/>
        <v>0</v>
      </c>
      <c r="Y184" s="268">
        <f t="shared" si="346"/>
        <v>0</v>
      </c>
      <c r="Z184" s="268">
        <f t="shared" si="346"/>
        <v>0</v>
      </c>
      <c r="AA184" s="268">
        <f t="shared" si="346"/>
        <v>0</v>
      </c>
      <c r="AB184" s="268">
        <f t="shared" si="346"/>
        <v>0</v>
      </c>
      <c r="AC184" s="268">
        <f t="shared" si="346"/>
        <v>0</v>
      </c>
      <c r="AD184" s="268">
        <f t="shared" si="346"/>
        <v>0</v>
      </c>
      <c r="AE184" s="268">
        <f t="shared" si="346"/>
        <v>0</v>
      </c>
      <c r="AF184" s="268">
        <f t="shared" si="346"/>
        <v>0</v>
      </c>
      <c r="AG184" s="268">
        <f t="shared" si="346"/>
        <v>0</v>
      </c>
      <c r="AH184" s="268">
        <f t="shared" si="346"/>
        <v>0</v>
      </c>
      <c r="AI184" s="268">
        <f t="shared" si="346"/>
        <v>0</v>
      </c>
      <c r="AJ184" s="268">
        <f t="shared" si="346"/>
        <v>0</v>
      </c>
      <c r="AK184" s="268">
        <f t="shared" si="346"/>
        <v>0</v>
      </c>
      <c r="AL184" s="268">
        <f t="shared" si="346"/>
        <v>0</v>
      </c>
      <c r="AM184" s="268">
        <f t="shared" si="346"/>
        <v>0</v>
      </c>
      <c r="AN184" s="268">
        <f t="shared" si="346"/>
        <v>0</v>
      </c>
      <c r="AO184" s="268">
        <f t="shared" si="346"/>
        <v>0</v>
      </c>
      <c r="AP184" s="268">
        <f t="shared" si="346"/>
        <v>0</v>
      </c>
      <c r="AQ184" s="268">
        <f t="shared" si="346"/>
        <v>0</v>
      </c>
      <c r="AR184" s="268">
        <f t="shared" si="346"/>
        <v>0</v>
      </c>
      <c r="AS184" s="268">
        <f t="shared" si="346"/>
        <v>0</v>
      </c>
      <c r="AT184" s="268">
        <f t="shared" si="346"/>
        <v>0</v>
      </c>
      <c r="AU184" s="268">
        <f t="shared" si="346"/>
        <v>0</v>
      </c>
      <c r="AV184" s="268">
        <f t="shared" si="346"/>
        <v>0</v>
      </c>
      <c r="AW184" s="268">
        <f t="shared" si="346"/>
        <v>0</v>
      </c>
      <c r="AX184" s="268">
        <f t="shared" si="346"/>
        <v>0</v>
      </c>
      <c r="AY184" s="268">
        <f t="shared" si="346"/>
        <v>0</v>
      </c>
      <c r="AZ184" s="268">
        <f t="shared" si="346"/>
        <v>0</v>
      </c>
      <c r="BA184" s="268">
        <f t="shared" si="346"/>
        <v>0</v>
      </c>
      <c r="BB184" s="268">
        <f t="shared" si="346"/>
        <v>0</v>
      </c>
      <c r="BC184" s="268">
        <f t="shared" si="346"/>
        <v>0</v>
      </c>
      <c r="BD184" s="268">
        <f t="shared" si="346"/>
        <v>0</v>
      </c>
      <c r="BE184" s="268">
        <f t="shared" si="346"/>
        <v>0</v>
      </c>
      <c r="BF184" s="268">
        <f t="shared" si="346"/>
        <v>0</v>
      </c>
      <c r="BG184" s="268">
        <f t="shared" si="346"/>
        <v>0</v>
      </c>
      <c r="BH184" s="126"/>
      <c r="BI184" s="126"/>
      <c r="BJ184" s="266"/>
      <c r="BK184" s="269"/>
      <c r="BN184" s="271"/>
      <c r="BO184" s="271"/>
      <c r="BP184" s="271"/>
      <c r="BQ184" s="271"/>
    </row>
    <row r="185" spans="1:69" s="270" customFormat="1" ht="14.25" hidden="1" customHeight="1" x14ac:dyDescent="0.25">
      <c r="A185" s="120"/>
      <c r="B185" s="146"/>
      <c r="C185" s="282"/>
      <c r="D185" s="21"/>
      <c r="E185" s="266" t="s">
        <v>563</v>
      </c>
      <c r="F185" s="266"/>
      <c r="G185" s="266"/>
      <c r="H185" s="267"/>
      <c r="I185" s="268">
        <f t="shared" ref="I185:AO185" si="348">IF(Scenario2Warranty=AgileWarrantyDefault,(IF(I$8=AgileIteration_Warranty,(I182*5*Scenario2Utilisation),0)),(IF(I$8=AgileIteration_Warranty,0,(I183*Scenario2Warranty))))</f>
        <v>0</v>
      </c>
      <c r="J185" s="268">
        <f t="shared" si="348"/>
        <v>0</v>
      </c>
      <c r="K185" s="268">
        <f t="shared" si="348"/>
        <v>0</v>
      </c>
      <c r="L185" s="268">
        <f t="shared" si="348"/>
        <v>0</v>
      </c>
      <c r="M185" s="268">
        <f t="shared" si="348"/>
        <v>0</v>
      </c>
      <c r="N185" s="268">
        <f t="shared" si="348"/>
        <v>0</v>
      </c>
      <c r="O185" s="268">
        <f t="shared" si="348"/>
        <v>0</v>
      </c>
      <c r="P185" s="268">
        <f t="shared" ref="P185" si="349">IF(Scenario2Warranty=AgileWarrantyDefault,(IF(P$8=AgileIteration_Warranty,(P182*5*Scenario2Utilisation),0)),(IF(P$8=AgileIteration_Warranty,0,(P183*Scenario2Warranty))))</f>
        <v>0</v>
      </c>
      <c r="Q185" s="268">
        <f t="shared" si="348"/>
        <v>0</v>
      </c>
      <c r="R185" s="268">
        <f t="shared" si="348"/>
        <v>0</v>
      </c>
      <c r="S185" s="268">
        <f t="shared" si="348"/>
        <v>0</v>
      </c>
      <c r="T185" s="268">
        <f t="shared" si="348"/>
        <v>0</v>
      </c>
      <c r="U185" s="268">
        <f t="shared" si="348"/>
        <v>0</v>
      </c>
      <c r="V185" s="268">
        <f t="shared" si="348"/>
        <v>0</v>
      </c>
      <c r="W185" s="268">
        <f t="shared" si="348"/>
        <v>0</v>
      </c>
      <c r="X185" s="268">
        <f t="shared" si="348"/>
        <v>0</v>
      </c>
      <c r="Y185" s="268">
        <f t="shared" si="348"/>
        <v>0</v>
      </c>
      <c r="Z185" s="268">
        <f t="shared" si="348"/>
        <v>0</v>
      </c>
      <c r="AA185" s="268">
        <f t="shared" si="348"/>
        <v>0</v>
      </c>
      <c r="AB185" s="268">
        <f t="shared" si="348"/>
        <v>0</v>
      </c>
      <c r="AC185" s="268">
        <f t="shared" si="348"/>
        <v>0</v>
      </c>
      <c r="AD185" s="268">
        <f t="shared" si="348"/>
        <v>0</v>
      </c>
      <c r="AE185" s="268">
        <f t="shared" si="348"/>
        <v>0</v>
      </c>
      <c r="AF185" s="268">
        <f t="shared" si="348"/>
        <v>0</v>
      </c>
      <c r="AG185" s="268">
        <f t="shared" si="348"/>
        <v>0</v>
      </c>
      <c r="AH185" s="268">
        <f t="shared" si="348"/>
        <v>0</v>
      </c>
      <c r="AI185" s="268">
        <f t="shared" si="348"/>
        <v>0</v>
      </c>
      <c r="AJ185" s="268">
        <f t="shared" si="348"/>
        <v>0</v>
      </c>
      <c r="AK185" s="268">
        <f t="shared" si="348"/>
        <v>0</v>
      </c>
      <c r="AL185" s="268">
        <f t="shared" si="348"/>
        <v>0</v>
      </c>
      <c r="AM185" s="268">
        <f t="shared" si="348"/>
        <v>0</v>
      </c>
      <c r="AN185" s="268">
        <f t="shared" si="348"/>
        <v>0</v>
      </c>
      <c r="AO185" s="268">
        <f t="shared" si="348"/>
        <v>0</v>
      </c>
      <c r="AP185" s="268">
        <f t="shared" ref="AP185:BG185" si="350">IF(Scenario2Warranty=AgileWarrantyDefault,(IF(AP$8=AgileIteration_Warranty,(AP182*5*Scenario2Utilisation),0)),(IF(AP$8=AgileIteration_Warranty,0,(AP183*Scenario2Warranty))))</f>
        <v>0</v>
      </c>
      <c r="AQ185" s="268">
        <f t="shared" si="350"/>
        <v>0</v>
      </c>
      <c r="AR185" s="268">
        <f t="shared" si="350"/>
        <v>0</v>
      </c>
      <c r="AS185" s="268">
        <f t="shared" si="350"/>
        <v>0</v>
      </c>
      <c r="AT185" s="268">
        <f t="shared" si="350"/>
        <v>0</v>
      </c>
      <c r="AU185" s="268">
        <f t="shared" si="350"/>
        <v>0</v>
      </c>
      <c r="AV185" s="268">
        <f t="shared" si="350"/>
        <v>0</v>
      </c>
      <c r="AW185" s="268">
        <f t="shared" si="350"/>
        <v>0</v>
      </c>
      <c r="AX185" s="268">
        <f t="shared" si="350"/>
        <v>0</v>
      </c>
      <c r="AY185" s="268">
        <f t="shared" si="350"/>
        <v>0</v>
      </c>
      <c r="AZ185" s="268">
        <f t="shared" si="350"/>
        <v>0</v>
      </c>
      <c r="BA185" s="268">
        <f t="shared" si="350"/>
        <v>0</v>
      </c>
      <c r="BB185" s="268">
        <f t="shared" si="350"/>
        <v>0</v>
      </c>
      <c r="BC185" s="268">
        <f t="shared" si="350"/>
        <v>0</v>
      </c>
      <c r="BD185" s="268">
        <f t="shared" si="350"/>
        <v>0</v>
      </c>
      <c r="BE185" s="268">
        <f t="shared" si="350"/>
        <v>0</v>
      </c>
      <c r="BF185" s="268">
        <f t="shared" si="350"/>
        <v>0</v>
      </c>
      <c r="BG185" s="268">
        <f t="shared" si="350"/>
        <v>0</v>
      </c>
      <c r="BH185" s="126"/>
      <c r="BI185" s="126"/>
      <c r="BJ185" s="266"/>
      <c r="BK185" s="269"/>
      <c r="BN185" s="271"/>
      <c r="BO185" s="271"/>
      <c r="BP185" s="271"/>
      <c r="BQ185" s="271"/>
    </row>
    <row r="186" spans="1:69" ht="14.25" customHeight="1" x14ac:dyDescent="0.25">
      <c r="D186" s="140"/>
      <c r="E186" s="151" t="s">
        <v>96</v>
      </c>
      <c r="F186" s="151"/>
      <c r="G186" s="151"/>
      <c r="H186" s="150"/>
      <c r="I186" s="189">
        <f t="shared" ref="I186:AN186" si="351">IF( I$8=AgileIteration_Dev, SUMIFS( I12:I180, $B12:$B180, "scrum", $D12:$D180, ScrumRoleScrumDeveloper ), 0 )*5*Scenario2AgileDeveloperCUTCapacity*Scenario2Utilisation</f>
        <v>0</v>
      </c>
      <c r="J186" s="189">
        <f t="shared" si="351"/>
        <v>0</v>
      </c>
      <c r="K186" s="189">
        <f t="shared" si="351"/>
        <v>0</v>
      </c>
      <c r="L186" s="189">
        <f t="shared" si="351"/>
        <v>0</v>
      </c>
      <c r="M186" s="189">
        <f t="shared" si="351"/>
        <v>0</v>
      </c>
      <c r="N186" s="189">
        <f t="shared" si="351"/>
        <v>0</v>
      </c>
      <c r="O186" s="189">
        <f t="shared" si="351"/>
        <v>0</v>
      </c>
      <c r="P186" s="189">
        <f t="shared" si="351"/>
        <v>0</v>
      </c>
      <c r="Q186" s="189">
        <f t="shared" si="351"/>
        <v>0</v>
      </c>
      <c r="R186" s="189">
        <f t="shared" si="351"/>
        <v>0</v>
      </c>
      <c r="S186" s="189">
        <f t="shared" si="351"/>
        <v>0</v>
      </c>
      <c r="T186" s="189">
        <f t="shared" si="351"/>
        <v>0</v>
      </c>
      <c r="U186" s="189">
        <f t="shared" si="351"/>
        <v>0</v>
      </c>
      <c r="V186" s="189">
        <f t="shared" si="351"/>
        <v>0</v>
      </c>
      <c r="W186" s="189">
        <f t="shared" si="351"/>
        <v>0</v>
      </c>
      <c r="X186" s="189">
        <f t="shared" si="351"/>
        <v>0</v>
      </c>
      <c r="Y186" s="189">
        <f t="shared" si="351"/>
        <v>0</v>
      </c>
      <c r="Z186" s="189">
        <f t="shared" si="351"/>
        <v>0</v>
      </c>
      <c r="AA186" s="189">
        <f t="shared" si="351"/>
        <v>0</v>
      </c>
      <c r="AB186" s="189">
        <f t="shared" si="351"/>
        <v>0</v>
      </c>
      <c r="AC186" s="189">
        <f t="shared" si="351"/>
        <v>0</v>
      </c>
      <c r="AD186" s="189">
        <f t="shared" si="351"/>
        <v>0</v>
      </c>
      <c r="AE186" s="189">
        <f t="shared" si="351"/>
        <v>0</v>
      </c>
      <c r="AF186" s="189">
        <f t="shared" si="351"/>
        <v>0</v>
      </c>
      <c r="AG186" s="189">
        <f t="shared" si="351"/>
        <v>0</v>
      </c>
      <c r="AH186" s="189">
        <f t="shared" si="351"/>
        <v>0</v>
      </c>
      <c r="AI186" s="189">
        <f t="shared" si="351"/>
        <v>0</v>
      </c>
      <c r="AJ186" s="189">
        <f t="shared" si="351"/>
        <v>0</v>
      </c>
      <c r="AK186" s="189">
        <f t="shared" si="351"/>
        <v>0</v>
      </c>
      <c r="AL186" s="189">
        <f t="shared" si="351"/>
        <v>0</v>
      </c>
      <c r="AM186" s="189">
        <f t="shared" si="351"/>
        <v>0</v>
      </c>
      <c r="AN186" s="189">
        <f t="shared" si="351"/>
        <v>0</v>
      </c>
      <c r="AO186" s="189">
        <f t="shared" ref="AO186:BG186" si="352">IF( AO$8=AgileIteration_Dev, SUMIFS( AO12:AO180, $B12:$B180, "scrum", $D12:$D180, ScrumRoleScrumDeveloper ), 0 )*5*Scenario2AgileDeveloperCUTCapacity*Scenario2Utilisation</f>
        <v>0</v>
      </c>
      <c r="AP186" s="189">
        <f t="shared" si="352"/>
        <v>0</v>
      </c>
      <c r="AQ186" s="189">
        <f t="shared" si="352"/>
        <v>0</v>
      </c>
      <c r="AR186" s="189">
        <f t="shared" si="352"/>
        <v>0</v>
      </c>
      <c r="AS186" s="189">
        <f t="shared" si="352"/>
        <v>0</v>
      </c>
      <c r="AT186" s="189">
        <f t="shared" si="352"/>
        <v>0</v>
      </c>
      <c r="AU186" s="189">
        <f t="shared" si="352"/>
        <v>0</v>
      </c>
      <c r="AV186" s="189">
        <f t="shared" si="352"/>
        <v>0</v>
      </c>
      <c r="AW186" s="189">
        <f t="shared" si="352"/>
        <v>0</v>
      </c>
      <c r="AX186" s="189">
        <f t="shared" si="352"/>
        <v>0</v>
      </c>
      <c r="AY186" s="189">
        <f t="shared" si="352"/>
        <v>0</v>
      </c>
      <c r="AZ186" s="189">
        <f t="shared" si="352"/>
        <v>0</v>
      </c>
      <c r="BA186" s="189">
        <f t="shared" si="352"/>
        <v>0</v>
      </c>
      <c r="BB186" s="189">
        <f t="shared" si="352"/>
        <v>0</v>
      </c>
      <c r="BC186" s="189">
        <f t="shared" si="352"/>
        <v>0</v>
      </c>
      <c r="BD186" s="189">
        <f t="shared" si="352"/>
        <v>0</v>
      </c>
      <c r="BE186" s="189">
        <f t="shared" si="352"/>
        <v>0</v>
      </c>
      <c r="BF186" s="189">
        <f t="shared" si="352"/>
        <v>0</v>
      </c>
      <c r="BG186" s="189">
        <f t="shared" si="352"/>
        <v>0</v>
      </c>
      <c r="BH186" s="126"/>
      <c r="BI186" s="199"/>
      <c r="BJ186" s="151" t="str">
        <f>E184</f>
        <v>Contingency</v>
      </c>
      <c r="BK186" s="191">
        <f>SUM(I184:BI184)</f>
        <v>0</v>
      </c>
    </row>
    <row r="187" spans="1:69" ht="11.25" customHeight="1" x14ac:dyDescent="0.25">
      <c r="D187" s="3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I187" s="187"/>
      <c r="BJ187" s="151" t="str">
        <f>E185</f>
        <v>Warranty</v>
      </c>
      <c r="BK187" s="191">
        <f>SUM(I185:BI185)</f>
        <v>0</v>
      </c>
    </row>
    <row r="188" spans="1:69" ht="11.25" customHeight="1" x14ac:dyDescent="0.25">
      <c r="D188" s="119" t="s">
        <v>715</v>
      </c>
      <c r="E188" s="119" t="str">
        <f>ScrumRoleProductOwner</f>
        <v>Product Owners</v>
      </c>
      <c r="F188" s="119"/>
      <c r="G188" s="119"/>
      <c r="H188" s="119"/>
      <c r="I188" s="190">
        <f t="shared" ref="I188:AN188" si="353">SUMIF($D12:$D181,ScrumRoleProductOwner,I12:I181)</f>
        <v>0</v>
      </c>
      <c r="J188" s="190">
        <f t="shared" si="353"/>
        <v>0</v>
      </c>
      <c r="K188" s="190">
        <f t="shared" si="353"/>
        <v>0</v>
      </c>
      <c r="L188" s="190">
        <f t="shared" si="353"/>
        <v>0</v>
      </c>
      <c r="M188" s="190">
        <f t="shared" si="353"/>
        <v>0</v>
      </c>
      <c r="N188" s="190">
        <f t="shared" si="353"/>
        <v>0</v>
      </c>
      <c r="O188" s="190">
        <f t="shared" si="353"/>
        <v>0</v>
      </c>
      <c r="P188" s="190">
        <f t="shared" si="353"/>
        <v>0</v>
      </c>
      <c r="Q188" s="190">
        <f t="shared" si="353"/>
        <v>0</v>
      </c>
      <c r="R188" s="190">
        <f t="shared" si="353"/>
        <v>0</v>
      </c>
      <c r="S188" s="190">
        <f t="shared" si="353"/>
        <v>0</v>
      </c>
      <c r="T188" s="190">
        <f t="shared" si="353"/>
        <v>0</v>
      </c>
      <c r="U188" s="190">
        <f t="shared" si="353"/>
        <v>0</v>
      </c>
      <c r="V188" s="190">
        <f t="shared" si="353"/>
        <v>0</v>
      </c>
      <c r="W188" s="190">
        <f t="shared" si="353"/>
        <v>0</v>
      </c>
      <c r="X188" s="190">
        <f t="shared" si="353"/>
        <v>0</v>
      </c>
      <c r="Y188" s="190">
        <f t="shared" si="353"/>
        <v>0</v>
      </c>
      <c r="Z188" s="190">
        <f t="shared" si="353"/>
        <v>0</v>
      </c>
      <c r="AA188" s="190">
        <f t="shared" si="353"/>
        <v>0</v>
      </c>
      <c r="AB188" s="190">
        <f t="shared" si="353"/>
        <v>0</v>
      </c>
      <c r="AC188" s="190">
        <f t="shared" si="353"/>
        <v>0</v>
      </c>
      <c r="AD188" s="190">
        <f t="shared" si="353"/>
        <v>0</v>
      </c>
      <c r="AE188" s="190">
        <f t="shared" si="353"/>
        <v>0</v>
      </c>
      <c r="AF188" s="190">
        <f t="shared" si="353"/>
        <v>0</v>
      </c>
      <c r="AG188" s="190">
        <f t="shared" si="353"/>
        <v>0</v>
      </c>
      <c r="AH188" s="190">
        <f t="shared" si="353"/>
        <v>0</v>
      </c>
      <c r="AI188" s="190">
        <f t="shared" si="353"/>
        <v>0</v>
      </c>
      <c r="AJ188" s="190">
        <f t="shared" si="353"/>
        <v>0</v>
      </c>
      <c r="AK188" s="190">
        <f t="shared" si="353"/>
        <v>0</v>
      </c>
      <c r="AL188" s="190">
        <f t="shared" si="353"/>
        <v>0</v>
      </c>
      <c r="AM188" s="190">
        <f t="shared" si="353"/>
        <v>0</v>
      </c>
      <c r="AN188" s="190">
        <f t="shared" si="353"/>
        <v>0</v>
      </c>
      <c r="AO188" s="190">
        <f t="shared" ref="AO188:BG188" si="354">SUMIF($D12:$D181,ScrumRoleProductOwner,AO12:AO181)</f>
        <v>0</v>
      </c>
      <c r="AP188" s="190">
        <f t="shared" si="354"/>
        <v>0</v>
      </c>
      <c r="AQ188" s="190">
        <f t="shared" si="354"/>
        <v>0</v>
      </c>
      <c r="AR188" s="190">
        <f t="shared" si="354"/>
        <v>0</v>
      </c>
      <c r="AS188" s="190">
        <f t="shared" si="354"/>
        <v>0</v>
      </c>
      <c r="AT188" s="190">
        <f t="shared" si="354"/>
        <v>0</v>
      </c>
      <c r="AU188" s="190">
        <f t="shared" si="354"/>
        <v>0</v>
      </c>
      <c r="AV188" s="190">
        <f t="shared" si="354"/>
        <v>0</v>
      </c>
      <c r="AW188" s="190">
        <f t="shared" si="354"/>
        <v>0</v>
      </c>
      <c r="AX188" s="190">
        <f t="shared" si="354"/>
        <v>0</v>
      </c>
      <c r="AY188" s="190">
        <f t="shared" si="354"/>
        <v>0</v>
      </c>
      <c r="AZ188" s="190">
        <f t="shared" si="354"/>
        <v>0</v>
      </c>
      <c r="BA188" s="190">
        <f t="shared" si="354"/>
        <v>0</v>
      </c>
      <c r="BB188" s="190">
        <f t="shared" si="354"/>
        <v>0</v>
      </c>
      <c r="BC188" s="190">
        <f t="shared" si="354"/>
        <v>0</v>
      </c>
      <c r="BD188" s="190">
        <f t="shared" si="354"/>
        <v>0</v>
      </c>
      <c r="BE188" s="190">
        <f t="shared" si="354"/>
        <v>0</v>
      </c>
      <c r="BF188" s="190">
        <f t="shared" si="354"/>
        <v>0</v>
      </c>
      <c r="BG188" s="190">
        <f t="shared" si="354"/>
        <v>0</v>
      </c>
      <c r="BH188" s="130"/>
      <c r="BI188" s="187"/>
      <c r="BJ188" s="151"/>
      <c r="BK188" s="131"/>
    </row>
    <row r="189" spans="1:69" ht="11.25" customHeight="1" x14ac:dyDescent="0.25">
      <c r="D189" s="119" t="s">
        <v>713</v>
      </c>
      <c r="E189" s="119" t="str">
        <f>ScrumRoleScrumMaster</f>
        <v>Scrum Masters</v>
      </c>
      <c r="F189" s="119"/>
      <c r="G189" s="119"/>
      <c r="H189" s="119"/>
      <c r="I189" s="190">
        <f t="shared" ref="I189:AN189" si="355">SUMIF($D12:$D181,ScrumRoleScrumMaster,I12:I181)</f>
        <v>0</v>
      </c>
      <c r="J189" s="190">
        <f t="shared" si="355"/>
        <v>0</v>
      </c>
      <c r="K189" s="190">
        <f t="shared" si="355"/>
        <v>0</v>
      </c>
      <c r="L189" s="190">
        <f t="shared" si="355"/>
        <v>0</v>
      </c>
      <c r="M189" s="190">
        <f t="shared" si="355"/>
        <v>0</v>
      </c>
      <c r="N189" s="190">
        <f t="shared" si="355"/>
        <v>0</v>
      </c>
      <c r="O189" s="190">
        <f t="shared" si="355"/>
        <v>0</v>
      </c>
      <c r="P189" s="190">
        <f t="shared" si="355"/>
        <v>0</v>
      </c>
      <c r="Q189" s="190">
        <f t="shared" si="355"/>
        <v>0</v>
      </c>
      <c r="R189" s="190">
        <f t="shared" si="355"/>
        <v>0</v>
      </c>
      <c r="S189" s="190">
        <f t="shared" si="355"/>
        <v>0</v>
      </c>
      <c r="T189" s="190">
        <f t="shared" si="355"/>
        <v>0</v>
      </c>
      <c r="U189" s="190">
        <f t="shared" si="355"/>
        <v>0</v>
      </c>
      <c r="V189" s="190">
        <f t="shared" si="355"/>
        <v>0</v>
      </c>
      <c r="W189" s="190">
        <f t="shared" si="355"/>
        <v>0</v>
      </c>
      <c r="X189" s="190">
        <f t="shared" si="355"/>
        <v>0</v>
      </c>
      <c r="Y189" s="190">
        <f t="shared" si="355"/>
        <v>0</v>
      </c>
      <c r="Z189" s="190">
        <f t="shared" si="355"/>
        <v>0</v>
      </c>
      <c r="AA189" s="190">
        <f t="shared" si="355"/>
        <v>0</v>
      </c>
      <c r="AB189" s="190">
        <f t="shared" si="355"/>
        <v>0</v>
      </c>
      <c r="AC189" s="190">
        <f t="shared" si="355"/>
        <v>0</v>
      </c>
      <c r="AD189" s="190">
        <f t="shared" si="355"/>
        <v>0</v>
      </c>
      <c r="AE189" s="190">
        <f t="shared" si="355"/>
        <v>0</v>
      </c>
      <c r="AF189" s="190">
        <f t="shared" si="355"/>
        <v>0</v>
      </c>
      <c r="AG189" s="190">
        <f t="shared" si="355"/>
        <v>0</v>
      </c>
      <c r="AH189" s="190">
        <f t="shared" si="355"/>
        <v>0</v>
      </c>
      <c r="AI189" s="190">
        <f t="shared" si="355"/>
        <v>0</v>
      </c>
      <c r="AJ189" s="190">
        <f t="shared" si="355"/>
        <v>0</v>
      </c>
      <c r="AK189" s="190">
        <f t="shared" si="355"/>
        <v>0</v>
      </c>
      <c r="AL189" s="190">
        <f t="shared" si="355"/>
        <v>0</v>
      </c>
      <c r="AM189" s="190">
        <f t="shared" si="355"/>
        <v>0</v>
      </c>
      <c r="AN189" s="190">
        <f t="shared" si="355"/>
        <v>0</v>
      </c>
      <c r="AO189" s="190">
        <f t="shared" ref="AO189:BG189" si="356">SUMIF($D12:$D181,ScrumRoleScrumMaster,AO12:AO181)</f>
        <v>0</v>
      </c>
      <c r="AP189" s="190">
        <f t="shared" si="356"/>
        <v>0</v>
      </c>
      <c r="AQ189" s="190">
        <f t="shared" si="356"/>
        <v>0</v>
      </c>
      <c r="AR189" s="190">
        <f t="shared" si="356"/>
        <v>0</v>
      </c>
      <c r="AS189" s="190">
        <f t="shared" si="356"/>
        <v>0</v>
      </c>
      <c r="AT189" s="190">
        <f t="shared" si="356"/>
        <v>0</v>
      </c>
      <c r="AU189" s="190">
        <f t="shared" si="356"/>
        <v>0</v>
      </c>
      <c r="AV189" s="190">
        <f t="shared" si="356"/>
        <v>0</v>
      </c>
      <c r="AW189" s="190">
        <f t="shared" si="356"/>
        <v>0</v>
      </c>
      <c r="AX189" s="190">
        <f t="shared" si="356"/>
        <v>0</v>
      </c>
      <c r="AY189" s="190">
        <f t="shared" si="356"/>
        <v>0</v>
      </c>
      <c r="AZ189" s="190">
        <f t="shared" si="356"/>
        <v>0</v>
      </c>
      <c r="BA189" s="190">
        <f t="shared" si="356"/>
        <v>0</v>
      </c>
      <c r="BB189" s="190">
        <f t="shared" si="356"/>
        <v>0</v>
      </c>
      <c r="BC189" s="190">
        <f t="shared" si="356"/>
        <v>0</v>
      </c>
      <c r="BD189" s="190">
        <f t="shared" si="356"/>
        <v>0</v>
      </c>
      <c r="BE189" s="190">
        <f t="shared" si="356"/>
        <v>0</v>
      </c>
      <c r="BF189" s="190">
        <f t="shared" si="356"/>
        <v>0</v>
      </c>
      <c r="BG189" s="190">
        <f t="shared" si="356"/>
        <v>0</v>
      </c>
      <c r="BH189" s="130"/>
      <c r="BJ189" s="681" t="s">
        <v>716</v>
      </c>
      <c r="BK189" s="682">
        <f>SUM(BK183:BK187)</f>
        <v>0</v>
      </c>
    </row>
    <row r="190" spans="1:69" ht="11.25" customHeight="1" x14ac:dyDescent="0.25">
      <c r="D190" s="141"/>
      <c r="E190" s="119" t="str">
        <f>ScrumRoleScrumDeveloper</f>
        <v>Scrum Developers</v>
      </c>
      <c r="F190" s="119"/>
      <c r="G190" s="119"/>
      <c r="H190" s="119"/>
      <c r="I190" s="190">
        <f t="shared" ref="I190:AN190" si="357">SUMIF($D12:$D181,ScrumRoleScrumDeveloper,I12:I181)+SUMIF($D12:$D181,ScrumRoleScrumDevTechLead,I12:I181)</f>
        <v>0</v>
      </c>
      <c r="J190" s="190">
        <f t="shared" si="357"/>
        <v>0</v>
      </c>
      <c r="K190" s="190">
        <f t="shared" si="357"/>
        <v>0</v>
      </c>
      <c r="L190" s="190">
        <f t="shared" si="357"/>
        <v>0</v>
      </c>
      <c r="M190" s="190">
        <f t="shared" si="357"/>
        <v>0</v>
      </c>
      <c r="N190" s="190">
        <f t="shared" si="357"/>
        <v>0</v>
      </c>
      <c r="O190" s="190">
        <f t="shared" si="357"/>
        <v>0</v>
      </c>
      <c r="P190" s="190">
        <f t="shared" si="357"/>
        <v>0</v>
      </c>
      <c r="Q190" s="190">
        <f t="shared" si="357"/>
        <v>0</v>
      </c>
      <c r="R190" s="190">
        <f t="shared" si="357"/>
        <v>0</v>
      </c>
      <c r="S190" s="190">
        <f t="shared" si="357"/>
        <v>0</v>
      </c>
      <c r="T190" s="190">
        <f t="shared" si="357"/>
        <v>0</v>
      </c>
      <c r="U190" s="190">
        <f t="shared" si="357"/>
        <v>0</v>
      </c>
      <c r="V190" s="190">
        <f t="shared" si="357"/>
        <v>0</v>
      </c>
      <c r="W190" s="190">
        <f t="shared" si="357"/>
        <v>0</v>
      </c>
      <c r="X190" s="190">
        <f t="shared" si="357"/>
        <v>0</v>
      </c>
      <c r="Y190" s="190">
        <f t="shared" si="357"/>
        <v>0</v>
      </c>
      <c r="Z190" s="190">
        <f t="shared" si="357"/>
        <v>0</v>
      </c>
      <c r="AA190" s="190">
        <f t="shared" si="357"/>
        <v>0</v>
      </c>
      <c r="AB190" s="190">
        <f t="shared" si="357"/>
        <v>0</v>
      </c>
      <c r="AC190" s="190">
        <f t="shared" si="357"/>
        <v>0</v>
      </c>
      <c r="AD190" s="190">
        <f t="shared" si="357"/>
        <v>0</v>
      </c>
      <c r="AE190" s="190">
        <f t="shared" si="357"/>
        <v>0</v>
      </c>
      <c r="AF190" s="190">
        <f t="shared" si="357"/>
        <v>0</v>
      </c>
      <c r="AG190" s="190">
        <f t="shared" si="357"/>
        <v>0</v>
      </c>
      <c r="AH190" s="190">
        <f t="shared" si="357"/>
        <v>0</v>
      </c>
      <c r="AI190" s="190">
        <f t="shared" si="357"/>
        <v>0</v>
      </c>
      <c r="AJ190" s="190">
        <f t="shared" si="357"/>
        <v>0</v>
      </c>
      <c r="AK190" s="190">
        <f t="shared" si="357"/>
        <v>0</v>
      </c>
      <c r="AL190" s="190">
        <f t="shared" si="357"/>
        <v>0</v>
      </c>
      <c r="AM190" s="190">
        <f t="shared" si="357"/>
        <v>0</v>
      </c>
      <c r="AN190" s="190">
        <f t="shared" si="357"/>
        <v>0</v>
      </c>
      <c r="AO190" s="190">
        <f t="shared" ref="AO190:BG190" si="358">SUMIF($D12:$D181,ScrumRoleScrumDeveloper,AO12:AO181)+SUMIF($D12:$D181,ScrumRoleScrumDevTechLead,AO12:AO181)</f>
        <v>0</v>
      </c>
      <c r="AP190" s="190">
        <f t="shared" si="358"/>
        <v>0</v>
      </c>
      <c r="AQ190" s="190">
        <f t="shared" si="358"/>
        <v>0</v>
      </c>
      <c r="AR190" s="190">
        <f t="shared" si="358"/>
        <v>0</v>
      </c>
      <c r="AS190" s="190">
        <f t="shared" si="358"/>
        <v>0</v>
      </c>
      <c r="AT190" s="190">
        <f t="shared" si="358"/>
        <v>0</v>
      </c>
      <c r="AU190" s="190">
        <f t="shared" si="358"/>
        <v>0</v>
      </c>
      <c r="AV190" s="190">
        <f t="shared" si="358"/>
        <v>0</v>
      </c>
      <c r="AW190" s="190">
        <f t="shared" si="358"/>
        <v>0</v>
      </c>
      <c r="AX190" s="190">
        <f t="shared" si="358"/>
        <v>0</v>
      </c>
      <c r="AY190" s="190">
        <f t="shared" si="358"/>
        <v>0</v>
      </c>
      <c r="AZ190" s="190">
        <f t="shared" si="358"/>
        <v>0</v>
      </c>
      <c r="BA190" s="190">
        <f t="shared" si="358"/>
        <v>0</v>
      </c>
      <c r="BB190" s="190">
        <f t="shared" si="358"/>
        <v>0</v>
      </c>
      <c r="BC190" s="190">
        <f t="shared" si="358"/>
        <v>0</v>
      </c>
      <c r="BD190" s="190">
        <f t="shared" si="358"/>
        <v>0</v>
      </c>
      <c r="BE190" s="190">
        <f t="shared" si="358"/>
        <v>0</v>
      </c>
      <c r="BF190" s="190">
        <f t="shared" si="358"/>
        <v>0</v>
      </c>
      <c r="BG190" s="190">
        <f t="shared" si="358"/>
        <v>0</v>
      </c>
      <c r="BH190" s="130"/>
      <c r="BJ190" s="681"/>
      <c r="BK190" s="682"/>
    </row>
    <row r="191" spans="1:69" ht="11.25" customHeight="1" x14ac:dyDescent="0.25">
      <c r="D191" s="141"/>
      <c r="E191" s="119" t="str">
        <f>ScrumRoleTester</f>
        <v>Scrum Testers</v>
      </c>
      <c r="F191" s="119"/>
      <c r="G191" s="119"/>
      <c r="H191" s="119"/>
      <c r="I191" s="190">
        <f t="shared" ref="I191:AN191" si="359">SUMIF($D12:$D181,ScrumRoleTester,I12:I181)</f>
        <v>0</v>
      </c>
      <c r="J191" s="190">
        <f t="shared" si="359"/>
        <v>0</v>
      </c>
      <c r="K191" s="190">
        <f t="shared" si="359"/>
        <v>0</v>
      </c>
      <c r="L191" s="190">
        <f t="shared" si="359"/>
        <v>0</v>
      </c>
      <c r="M191" s="190">
        <f t="shared" si="359"/>
        <v>0</v>
      </c>
      <c r="N191" s="190">
        <f t="shared" si="359"/>
        <v>0</v>
      </c>
      <c r="O191" s="190">
        <f t="shared" si="359"/>
        <v>0</v>
      </c>
      <c r="P191" s="190">
        <f t="shared" si="359"/>
        <v>0</v>
      </c>
      <c r="Q191" s="190">
        <f t="shared" si="359"/>
        <v>0</v>
      </c>
      <c r="R191" s="190">
        <f t="shared" si="359"/>
        <v>0</v>
      </c>
      <c r="S191" s="190">
        <f t="shared" si="359"/>
        <v>0</v>
      </c>
      <c r="T191" s="190">
        <f t="shared" si="359"/>
        <v>0</v>
      </c>
      <c r="U191" s="190">
        <f t="shared" si="359"/>
        <v>0</v>
      </c>
      <c r="V191" s="190">
        <f t="shared" si="359"/>
        <v>0</v>
      </c>
      <c r="W191" s="190">
        <f t="shared" si="359"/>
        <v>0</v>
      </c>
      <c r="X191" s="190">
        <f t="shared" si="359"/>
        <v>0</v>
      </c>
      <c r="Y191" s="190">
        <f t="shared" si="359"/>
        <v>0</v>
      </c>
      <c r="Z191" s="190">
        <f t="shared" si="359"/>
        <v>0</v>
      </c>
      <c r="AA191" s="190">
        <f t="shared" si="359"/>
        <v>0</v>
      </c>
      <c r="AB191" s="190">
        <f t="shared" si="359"/>
        <v>0</v>
      </c>
      <c r="AC191" s="190">
        <f t="shared" si="359"/>
        <v>0</v>
      </c>
      <c r="AD191" s="190">
        <f t="shared" si="359"/>
        <v>0</v>
      </c>
      <c r="AE191" s="190">
        <f t="shared" si="359"/>
        <v>0</v>
      </c>
      <c r="AF191" s="190">
        <f t="shared" si="359"/>
        <v>0</v>
      </c>
      <c r="AG191" s="190">
        <f t="shared" si="359"/>
        <v>0</v>
      </c>
      <c r="AH191" s="190">
        <f t="shared" si="359"/>
        <v>0</v>
      </c>
      <c r="AI191" s="190">
        <f t="shared" si="359"/>
        <v>0</v>
      </c>
      <c r="AJ191" s="190">
        <f t="shared" si="359"/>
        <v>0</v>
      </c>
      <c r="AK191" s="190">
        <f t="shared" si="359"/>
        <v>0</v>
      </c>
      <c r="AL191" s="190">
        <f t="shared" si="359"/>
        <v>0</v>
      </c>
      <c r="AM191" s="190">
        <f t="shared" si="359"/>
        <v>0</v>
      </c>
      <c r="AN191" s="190">
        <f t="shared" si="359"/>
        <v>0</v>
      </c>
      <c r="AO191" s="190">
        <f t="shared" ref="AO191:BG191" si="360">SUMIF($D12:$D181,ScrumRoleTester,AO12:AO181)</f>
        <v>0</v>
      </c>
      <c r="AP191" s="190">
        <f t="shared" si="360"/>
        <v>0</v>
      </c>
      <c r="AQ191" s="190">
        <f t="shared" si="360"/>
        <v>0</v>
      </c>
      <c r="AR191" s="190">
        <f t="shared" si="360"/>
        <v>0</v>
      </c>
      <c r="AS191" s="190">
        <f t="shared" si="360"/>
        <v>0</v>
      </c>
      <c r="AT191" s="190">
        <f t="shared" si="360"/>
        <v>0</v>
      </c>
      <c r="AU191" s="190">
        <f t="shared" si="360"/>
        <v>0</v>
      </c>
      <c r="AV191" s="190">
        <f t="shared" si="360"/>
        <v>0</v>
      </c>
      <c r="AW191" s="190">
        <f t="shared" si="360"/>
        <v>0</v>
      </c>
      <c r="AX191" s="190">
        <f t="shared" si="360"/>
        <v>0</v>
      </c>
      <c r="AY191" s="190">
        <f t="shared" si="360"/>
        <v>0</v>
      </c>
      <c r="AZ191" s="190">
        <f t="shared" si="360"/>
        <v>0</v>
      </c>
      <c r="BA191" s="190">
        <f t="shared" si="360"/>
        <v>0</v>
      </c>
      <c r="BB191" s="190">
        <f t="shared" si="360"/>
        <v>0</v>
      </c>
      <c r="BC191" s="190">
        <f t="shared" si="360"/>
        <v>0</v>
      </c>
      <c r="BD191" s="190">
        <f t="shared" si="360"/>
        <v>0</v>
      </c>
      <c r="BE191" s="190">
        <f t="shared" si="360"/>
        <v>0</v>
      </c>
      <c r="BF191" s="190">
        <f t="shared" si="360"/>
        <v>0</v>
      </c>
      <c r="BG191" s="190">
        <f t="shared" si="360"/>
        <v>0</v>
      </c>
      <c r="BH191" s="130"/>
      <c r="BJ191" s="136"/>
      <c r="BK191" s="137"/>
    </row>
    <row r="192" spans="1:69" ht="11.25" customHeight="1" x14ac:dyDescent="0.25">
      <c r="D192" s="31"/>
      <c r="E192" s="81"/>
      <c r="F192" s="81"/>
      <c r="G192" s="81"/>
      <c r="BJ192" s="136"/>
      <c r="BK192" s="137"/>
    </row>
    <row r="193" spans="62:63" ht="11.25" customHeight="1" x14ac:dyDescent="0.25">
      <c r="BJ193" s="136"/>
      <c r="BK193" s="137"/>
    </row>
    <row r="194" spans="62:63" ht="11.25" customHeight="1" x14ac:dyDescent="0.25">
      <c r="BJ194" s="136"/>
      <c r="BK194" s="137"/>
    </row>
    <row r="195" spans="62:63" ht="11.25" customHeight="1" x14ac:dyDescent="0.25"/>
    <row r="196" spans="62:63" ht="11.25" customHeight="1" x14ac:dyDescent="0.25">
      <c r="BK196" s="138"/>
    </row>
    <row r="197" spans="62:63" ht="11.25" customHeight="1" x14ac:dyDescent="0.25"/>
    <row r="198" spans="62:63" ht="11.25" customHeight="1" x14ac:dyDescent="0.25"/>
    <row r="199" spans="62:63" ht="11.25" customHeight="1" x14ac:dyDescent="0.25"/>
    <row r="200" spans="62:63" ht="11.25" customHeight="1" x14ac:dyDescent="0.25"/>
    <row r="201" spans="62:63" ht="11.25" customHeight="1" x14ac:dyDescent="0.25"/>
    <row r="202" spans="62:63" ht="11.25" customHeight="1" x14ac:dyDescent="0.25"/>
    <row r="203" spans="62:63" ht="11.25" customHeight="1" x14ac:dyDescent="0.25"/>
    <row r="204" spans="62:63" ht="11.25" customHeight="1" x14ac:dyDescent="0.25"/>
    <row r="205" spans="62:63" ht="11.25" customHeight="1" x14ac:dyDescent="0.25"/>
    <row r="206" spans="62:63" ht="11.25" customHeight="1" x14ac:dyDescent="0.25"/>
    <row r="207" spans="62:63" ht="11.25" customHeight="1" x14ac:dyDescent="0.25"/>
    <row r="208" spans="62:63"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row r="1275" ht="11.25" customHeight="1" x14ac:dyDescent="0.25"/>
  </sheetData>
  <sheetProtection sheet="1" objects="1" scenarios="1" formatCells="0" formatColumns="0" formatRows="0" insertHyperlinks="0" autoFilter="0"/>
  <protectedRanges>
    <protectedRange sqref="BN11:BN180" name="Range3"/>
    <protectedRange sqref="E2:H4" name="Range2"/>
    <protectedRange sqref="A11:BH180" name="Range1"/>
  </protectedRanges>
  <mergeCells count="7">
    <mergeCell ref="C1:C4"/>
    <mergeCell ref="BJ182:BK182"/>
    <mergeCell ref="BJ189:BJ190"/>
    <mergeCell ref="BK189:BK190"/>
    <mergeCell ref="BJ8:BM8"/>
    <mergeCell ref="D1:H1"/>
    <mergeCell ref="C5:C7"/>
  </mergeCells>
  <conditionalFormatting sqref="E2:G2">
    <cfRule type="cellIs" dxfId="66" priority="24" operator="notEqual">
      <formula>AgileDeveloperCUTCapacityDefault</formula>
    </cfRule>
  </conditionalFormatting>
  <conditionalFormatting sqref="E6:G7">
    <cfRule type="expression" dxfId="65" priority="12">
      <formula>$E$6&gt;$E$7</formula>
    </cfRule>
    <cfRule type="expression" dxfId="64" priority="13">
      <formula>$E$6&lt;=$E$7</formula>
    </cfRule>
  </conditionalFormatting>
  <conditionalFormatting sqref="I188:BH191">
    <cfRule type="expression" dxfId="63" priority="10">
      <formula>INT(I188)&lt;&gt;I188</formula>
    </cfRule>
  </conditionalFormatting>
  <conditionalFormatting sqref="E3:G3">
    <cfRule type="cellIs" dxfId="62" priority="8" operator="equal">
      <formula>AgileContingencyDefault</formula>
    </cfRule>
  </conditionalFormatting>
  <conditionalFormatting sqref="E4:G4">
    <cfRule type="cellIs" dxfId="61" priority="7" operator="equal">
      <formula>AgileWarrantyDefault</formula>
    </cfRule>
  </conditionalFormatting>
  <conditionalFormatting sqref="C1:C1048576">
    <cfRule type="containsText" dxfId="60" priority="6" operator="containsText" text="SET Agile Resource Role">
      <formula>NOT(ISERROR(SEARCH("SET Agile Resource Role",C1)))</formula>
    </cfRule>
  </conditionalFormatting>
  <conditionalFormatting sqref="I7:BH8">
    <cfRule type="cellIs" dxfId="59" priority="3" operator="equal">
      <formula>AgileIteration_PPT</formula>
    </cfRule>
    <cfRule type="cellIs" dxfId="58" priority="4" operator="equal">
      <formula>AgileIteration_ORT</formula>
    </cfRule>
    <cfRule type="cellIs" dxfId="57" priority="5" operator="equal">
      <formula>AgileIteration_E2E</formula>
    </cfRule>
  </conditionalFormatting>
  <conditionalFormatting sqref="F1:G1048576">
    <cfRule type="containsText" dxfId="56" priority="2" operator="containsText" text="SU Resource Role">
      <formula>NOT(ISERROR(SEARCH("SU Resource Role",F1)))</formula>
    </cfRule>
  </conditionalFormatting>
  <conditionalFormatting sqref="E42">
    <cfRule type="containsText" dxfId="55" priority="1" operator="containsText" text="SET Agile Resource Role">
      <formula>NOT(ISERROR(SEARCH("SET Agile Resource Role",E42)))</formula>
    </cfRule>
  </conditionalFormatting>
  <dataValidations count="8">
    <dataValidation type="list" allowBlank="1" showInputMessage="1" showErrorMessage="1" sqref="E103:E112 E157:E167 E60 E12:E28 E51:E53 E65:E66 E55:E58 E169:E180 E130:E131 F180:G180 E133:E143 E114:E123 E43:E44 E46:E49 E125:E128 E62:E63 E30:E33 E39:E41 E68:E69 E71:E77 E87:E93 E79:E85 E95:E101 E145:E155 E35:E37" xr:uid="{00000000-0002-0000-0600-000000000000}">
      <formula1>AgileResourceLocations</formula1>
    </dataValidation>
    <dataValidation type="list" allowBlank="1" showInputMessage="1" showErrorMessage="1" sqref="D130:D131 D60 D55:D58 D65:D66 D12:D28 D169:D180 D51:D53 D157:D167 D103:D112 D133:D143 D114:D123 D43:D44 D46:D49 D125:D128 D62:D63 D30:D33 D39:D41 D68:D69 D71:D77 D87:D93 D79:D85 D95:D101 D145:D155 D35:D37" xr:uid="{00000000-0002-0000-0600-000001000000}">
      <formula1>AgileRoles</formula1>
    </dataValidation>
    <dataValidation type="decimal" allowBlank="1" showInputMessage="1" showErrorMessage="1" sqref="E2:G4" xr:uid="{00000000-0002-0000-0600-000004000000}">
      <formula1>0</formula1>
      <formula2>1</formula2>
    </dataValidation>
    <dataValidation type="list" allowBlank="1" showInputMessage="1" showErrorMessage="1" sqref="C130:C131 C103:C112 C169:C179 C51:C53 C12:C28 C65:C66 C55:C58 C60 C157:C167 C133:C143 C114:C123 C43:C44 C46:C49 C125:C128 C62:C63 C30:C33 C39:C41 C68:C69 C71:C77 C87:C93 C79:C85 C95:C101 C145:C155 C35:C37" xr:uid="{1914465C-6A81-4EBC-B9CB-4B778BC68010}">
      <formula1>TTSRoles</formula1>
    </dataValidation>
    <dataValidation type="list" allowBlank="1" showInputMessage="1" showErrorMessage="1" sqref="F157:F167 F60 F55:F58 F65:F66 F12:F28 F51:F53 F130:F131 F103:F112 F133:F143 F114:F123 F43:F44 F169:F179 F46:F49 F125:F128 F62:F63 F30:F33 F39:F41 F68:F69 F71:F77 F87:F93 F79:F85 F95:F101 F145:F155 F35:F37" xr:uid="{E4ECDA92-FDCB-469B-AAE8-5F15CCA1A4D0}">
      <formula1>SolutionUnit</formula1>
    </dataValidation>
    <dataValidation type="list" allowBlank="1" showInputMessage="1" showErrorMessage="1" sqref="I7:BH7" xr:uid="{00000000-0002-0000-0600-000002000000}">
      <formula1>AgileIterationTypeSecondary</formula1>
    </dataValidation>
    <dataValidation type="list" showInputMessage="1" showErrorMessage="1" sqref="I8:BH8" xr:uid="{00000000-0002-0000-0600-000003000000}">
      <formula1>AgileIterationTypes</formula1>
    </dataValidation>
    <dataValidation type="custom" allowBlank="1" showInputMessage="1" showErrorMessage="1" errorTitle="Number of Resources" error="You must enter a number of resources._x000a__x000a_The value you entered is not a number._x000a_" sqref="I11:BG179" xr:uid="{00000000-0002-0000-06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78" operator="equal" id="{0981669A-3DF2-4372-9CCD-7B4FA29BB511}">
            <xm:f>Parameters!$A$168</xm:f>
            <x14:dxf>
              <fill>
                <patternFill>
                  <bgColor theme="9"/>
                </patternFill>
              </fill>
            </x14:dxf>
          </x14:cfRule>
          <x14:cfRule type="cellIs" priority="79" operator="equal" id="{D2BA025C-32C1-46AC-89EA-6E8D19ED290E}">
            <xm:f>Parameters!$A$152</xm:f>
            <x14:dxf>
              <fill>
                <patternFill>
                  <bgColor rgb="FFD07876"/>
                </patternFill>
              </fill>
            </x14:dxf>
          </x14:cfRule>
          <x14:cfRule type="cellIs" priority="80" operator="equal" id="{CDA56C39-1560-4183-82C7-02291966C02F}">
            <xm:f>Parameters!$A$158</xm:f>
            <x14:dxf>
              <fill>
                <patternFill>
                  <bgColor theme="9" tint="0.39994506668294322"/>
                </patternFill>
              </fill>
            </x14:dxf>
          </x14:cfRule>
          <x14:cfRule type="cellIs" priority="81" operator="equal" id="{5DAA24E2-0206-41B6-A619-3C6526A923D8}">
            <xm:f>Parameters!$A$150</xm:f>
            <x14:dxf>
              <fill>
                <patternFill>
                  <bgColor rgb="FFE6B8B7"/>
                </patternFill>
              </fill>
            </x14:dxf>
          </x14:cfRule>
          <x14:cfRule type="cellIs" priority="82" operator="equal" id="{5103D28C-39FC-4F38-AE84-CF7976FCAE4A}">
            <xm:f>Parameters!$A$151</xm:f>
            <x14:dxf>
              <fill>
                <patternFill>
                  <bgColor rgb="FFDA9694"/>
                </patternFill>
              </fill>
            </x14:dxf>
          </x14:cfRule>
          <x14:cfRule type="cellIs" priority="83" operator="equal" id="{77814B6C-A359-4EAB-9F2D-C787C637A739}">
            <xm:f>Parameters!$A$153</xm:f>
            <x14:dxf>
              <fill>
                <patternFill>
                  <bgColor rgb="FFE6B8B7"/>
                </patternFill>
              </fill>
            </x14:dxf>
          </x14:cfRule>
          <x14:cfRule type="cellIs" priority="84" operator="equal" id="{342E2ECB-072C-4B5F-AAC8-A1BAE04F6A86}">
            <xm:f>Parameters!$A$155</xm:f>
            <x14:dxf>
              <fill>
                <patternFill>
                  <bgColor rgb="FFCCC0DA"/>
                </patternFill>
              </fill>
            </x14:dxf>
          </x14:cfRule>
          <x14:cfRule type="cellIs" priority="85" operator="equal" id="{89B47BDE-905B-4550-A7D0-5F1DD5023F0B}">
            <xm:f>Parameters!$A$156</xm:f>
            <x14:dxf>
              <fill>
                <patternFill>
                  <bgColor rgb="FFB1A0C7"/>
                </patternFill>
              </fill>
            </x14:dxf>
          </x14:cfRule>
          <x14:cfRule type="cellIs" priority="86" operator="equal" id="{7DEDE851-2823-48C3-89DE-56A2071799B2}">
            <xm:f>Parameters!$A$159</xm:f>
            <x14:dxf>
              <fill>
                <patternFill>
                  <bgColor theme="9"/>
                </patternFill>
              </fill>
            </x14:dxf>
          </x14:cfRule>
          <x14:cfRule type="cellIs" priority="87" operator="equal" id="{4144D77E-551E-4A01-BB23-99C379E97AD8}">
            <xm:f>Parameters!$A$161</xm:f>
            <x14:dxf>
              <fill>
                <patternFill>
                  <bgColor theme="5" tint="0.59996337778862885"/>
                </patternFill>
              </fill>
            </x14:dxf>
          </x14:cfRule>
          <x14:cfRule type="cellIs" priority="88" operator="equal" id="{60ECB2D6-45B2-46B3-A486-11DDA3CEB46A}">
            <xm:f>Parameters!$A$163</xm:f>
            <x14:dxf>
              <fill>
                <patternFill>
                  <bgColor theme="4" tint="0.59996337778862885"/>
                </patternFill>
              </fill>
            </x14:dxf>
          </x14:cfRule>
          <xm:sqref>I7:BH8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gileTopDownSheet3">
    <tabColor theme="4" tint="0.59999389629810485"/>
  </sheetPr>
  <dimension ref="A1:BQ1274"/>
  <sheetViews>
    <sheetView showGridLines="0" zoomScaleNormal="100" workbookViewId="0">
      <pane xSplit="8" ySplit="10" topLeftCell="I52" activePane="bottomRight" state="frozen"/>
      <selection pane="topRight" activeCell="F2" sqref="F2:G2"/>
      <selection pane="bottomLeft" activeCell="F2" sqref="F2:G2"/>
      <selection pane="bottomRight" activeCell="C63" sqref="C63"/>
    </sheetView>
  </sheetViews>
  <sheetFormatPr defaultColWidth="9.28515625" defaultRowHeight="15" x14ac:dyDescent="0.25"/>
  <cols>
    <col min="1" max="1" width="10.5703125" style="120" hidden="1" customWidth="1"/>
    <col min="2" max="2" width="6.5703125" style="146" hidden="1" customWidth="1"/>
    <col min="3" max="3" width="22.5703125" style="282" customWidth="1"/>
    <col min="4" max="4" width="23.7109375" style="76" customWidth="1"/>
    <col min="5" max="5" width="11.42578125" style="77" customWidth="1"/>
    <col min="6" max="7" width="16.42578125" style="77" customWidth="1"/>
    <col min="8" max="8" width="18.7109375" style="77" bestFit="1" customWidth="1"/>
    <col min="9" max="59" width="8.5703125" style="77" customWidth="1"/>
    <col min="60" max="60" width="4.7109375" style="21" hidden="1" customWidth="1"/>
    <col min="61" max="61" width="5.5703125" style="188" customWidth="1"/>
    <col min="62" max="65" width="10.5703125" style="77" customWidth="1"/>
    <col min="66" max="69" width="9.28515625" style="78"/>
    <col min="70" max="16384" width="9.28515625" style="77"/>
  </cols>
  <sheetData>
    <row r="1" spans="1:69" ht="35.1" customHeight="1" x14ac:dyDescent="0.25">
      <c r="C1" s="286"/>
      <c r="D1" s="690" t="str">
        <f>Attributes!E4</f>
        <v>&lt;Scenario 3&gt;</v>
      </c>
      <c r="E1" s="690"/>
      <c r="F1" s="527"/>
      <c r="G1" s="527"/>
      <c r="H1" s="26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9"/>
      <c r="BI1" s="220"/>
      <c r="BJ1" s="218"/>
      <c r="BK1" s="218"/>
      <c r="BL1" s="218"/>
    </row>
    <row r="2" spans="1:69" s="81" customFormat="1" ht="12" customHeight="1" x14ac:dyDescent="0.25">
      <c r="A2" s="143"/>
      <c r="B2" s="144"/>
      <c r="C2" s="287"/>
      <c r="D2" s="221" t="s">
        <v>561</v>
      </c>
      <c r="E2" s="226">
        <v>0.58799999999999997</v>
      </c>
      <c r="F2" s="226"/>
      <c r="G2" s="226"/>
      <c r="H2" s="222"/>
      <c r="I2" s="171"/>
      <c r="J2" s="171"/>
      <c r="K2" s="171"/>
      <c r="L2" s="223"/>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24"/>
      <c r="BI2" s="225"/>
      <c r="BJ2" s="219"/>
      <c r="BK2" s="219"/>
      <c r="BL2" s="219"/>
    </row>
    <row r="3" spans="1:69" s="81" customFormat="1" ht="12" customHeight="1" x14ac:dyDescent="0.25">
      <c r="A3" s="145" t="str">
        <f>Customer &amp; CHAR(10) &amp; Project</f>
        <v>Optus
BoSS Proposal</v>
      </c>
      <c r="B3" s="144"/>
      <c r="C3" s="287"/>
      <c r="D3" s="221" t="s">
        <v>562</v>
      </c>
      <c r="E3" s="226">
        <v>0.1</v>
      </c>
      <c r="F3" s="226"/>
      <c r="G3" s="226"/>
      <c r="H3" s="227"/>
      <c r="I3" s="219">
        <f t="shared" ref="I3:AO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ref="AP3:BG3" ca="1" si="1">ROUNDUP(((RIGHT(OFFSET(AP4,0,-1,1,1),LEN(OFFSET(AP4,0,-1,1,1))-3)+1)*5/ProformaDefaultDaysPerMonth),0.1)</f>
        <v>8</v>
      </c>
      <c r="AQ3" s="219">
        <f t="shared" ca="1" si="1"/>
        <v>8</v>
      </c>
      <c r="AR3" s="219">
        <f t="shared" ca="1" si="1"/>
        <v>9</v>
      </c>
      <c r="AS3" s="219">
        <f t="shared" ca="1" si="1"/>
        <v>9</v>
      </c>
      <c r="AT3" s="219">
        <f t="shared" ca="1" si="1"/>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c r="BI3" s="219"/>
      <c r="BJ3" s="219"/>
      <c r="BK3" s="219"/>
      <c r="BL3" s="219"/>
    </row>
    <row r="4" spans="1:69" s="81" customFormat="1" ht="12" customHeight="1" thickBot="1" x14ac:dyDescent="0.3">
      <c r="A4" s="143"/>
      <c r="B4" s="144"/>
      <c r="C4" s="287"/>
      <c r="D4" s="221" t="s">
        <v>563</v>
      </c>
      <c r="E4" s="226">
        <v>0</v>
      </c>
      <c r="F4" s="226"/>
      <c r="G4" s="226"/>
      <c r="H4" s="265" t="s">
        <v>564</v>
      </c>
      <c r="I4" s="219" t="str">
        <f t="shared" ref="I4:BG4" ca="1" si="2">"wk " &amp; RIGHT(OFFSET(I4,0,-1,1,1),LEN(OFFSET(I4,0,-1,1,1))-3)+1</f>
        <v>wk 1</v>
      </c>
      <c r="J4" s="219" t="str">
        <f t="shared" ca="1" si="2"/>
        <v>wk 2</v>
      </c>
      <c r="K4" s="219" t="str">
        <f t="shared" ca="1" si="2"/>
        <v>wk 3</v>
      </c>
      <c r="L4" s="219" t="str">
        <f t="shared" ca="1" si="2"/>
        <v>wk 4</v>
      </c>
      <c r="M4" s="219" t="str">
        <f t="shared" ca="1" si="2"/>
        <v>wk 5</v>
      </c>
      <c r="N4" s="219" t="str">
        <f t="shared" ca="1" si="2"/>
        <v>wk 6</v>
      </c>
      <c r="O4" s="219" t="str">
        <f t="shared" ca="1" si="2"/>
        <v>wk 7</v>
      </c>
      <c r="P4" s="219" t="str">
        <f t="shared" ca="1" si="2"/>
        <v>wk 8</v>
      </c>
      <c r="Q4" s="219" t="str">
        <f t="shared" ca="1" si="2"/>
        <v>wk 9</v>
      </c>
      <c r="R4" s="219" t="str">
        <f t="shared" ca="1" si="2"/>
        <v>wk 10</v>
      </c>
      <c r="S4" s="219" t="str">
        <f t="shared" ca="1" si="2"/>
        <v>wk 11</v>
      </c>
      <c r="T4" s="219" t="str">
        <f t="shared" ca="1" si="2"/>
        <v>wk 12</v>
      </c>
      <c r="U4" s="219" t="str">
        <f t="shared" ca="1" si="2"/>
        <v>wk 13</v>
      </c>
      <c r="V4" s="219" t="str">
        <f t="shared" ca="1" si="2"/>
        <v>wk 14</v>
      </c>
      <c r="W4" s="219" t="str">
        <f t="shared" ca="1" si="2"/>
        <v>wk 15</v>
      </c>
      <c r="X4" s="219" t="str">
        <f t="shared" ca="1" si="2"/>
        <v>wk 16</v>
      </c>
      <c r="Y4" s="219" t="str">
        <f t="shared" ca="1" si="2"/>
        <v>wk 17</v>
      </c>
      <c r="Z4" s="219" t="str">
        <f t="shared" ca="1" si="2"/>
        <v>wk 18</v>
      </c>
      <c r="AA4" s="219" t="str">
        <f t="shared" ca="1" si="2"/>
        <v>wk 19</v>
      </c>
      <c r="AB4" s="219" t="str">
        <f t="shared" ca="1" si="2"/>
        <v>wk 20</v>
      </c>
      <c r="AC4" s="219" t="str">
        <f t="shared" ca="1" si="2"/>
        <v>wk 21</v>
      </c>
      <c r="AD4" s="219" t="str">
        <f t="shared" ca="1" si="2"/>
        <v>wk 22</v>
      </c>
      <c r="AE4" s="219" t="str">
        <f t="shared" ca="1" si="2"/>
        <v>wk 23</v>
      </c>
      <c r="AF4" s="219" t="str">
        <f t="shared" ca="1" si="2"/>
        <v>wk 24</v>
      </c>
      <c r="AG4" s="219" t="str">
        <f t="shared" ca="1" si="2"/>
        <v>wk 25</v>
      </c>
      <c r="AH4" s="219" t="str">
        <f t="shared" ca="1" si="2"/>
        <v>wk 26</v>
      </c>
      <c r="AI4" s="219" t="str">
        <f t="shared" ca="1" si="2"/>
        <v>wk 27</v>
      </c>
      <c r="AJ4" s="219" t="str">
        <f t="shared" ca="1" si="2"/>
        <v>wk 28</v>
      </c>
      <c r="AK4" s="219" t="str">
        <f t="shared" ca="1" si="2"/>
        <v>wk 29</v>
      </c>
      <c r="AL4" s="219" t="str">
        <f t="shared" ca="1" si="2"/>
        <v>wk 30</v>
      </c>
      <c r="AM4" s="219" t="str">
        <f t="shared" ca="1" si="2"/>
        <v>wk 31</v>
      </c>
      <c r="AN4" s="219" t="str">
        <f t="shared" ca="1" si="2"/>
        <v>wk 32</v>
      </c>
      <c r="AO4" s="219" t="str">
        <f t="shared" ca="1" si="2"/>
        <v>wk 33</v>
      </c>
      <c r="AP4" s="219" t="str">
        <f t="shared" ca="1" si="2"/>
        <v>wk 34</v>
      </c>
      <c r="AQ4" s="219" t="str">
        <f t="shared" ca="1" si="2"/>
        <v>wk 35</v>
      </c>
      <c r="AR4" s="219" t="str">
        <f t="shared" ca="1" si="2"/>
        <v>wk 36</v>
      </c>
      <c r="AS4" s="219" t="str">
        <f t="shared" ca="1" si="2"/>
        <v>wk 37</v>
      </c>
      <c r="AT4" s="219" t="str">
        <f t="shared" ca="1" si="2"/>
        <v>wk 38</v>
      </c>
      <c r="AU4" s="219" t="str">
        <f t="shared" ca="1" si="2"/>
        <v>wk 39</v>
      </c>
      <c r="AV4" s="219" t="str">
        <f t="shared" ca="1" si="2"/>
        <v>wk 40</v>
      </c>
      <c r="AW4" s="219" t="str">
        <f t="shared" ca="1" si="2"/>
        <v>wk 41</v>
      </c>
      <c r="AX4" s="219" t="str">
        <f t="shared" ca="1" si="2"/>
        <v>wk 42</v>
      </c>
      <c r="AY4" s="219" t="str">
        <f t="shared" ca="1" si="2"/>
        <v>wk 43</v>
      </c>
      <c r="AZ4" s="219" t="str">
        <f t="shared" ca="1" si="2"/>
        <v>wk 44</v>
      </c>
      <c r="BA4" s="219" t="str">
        <f t="shared" ca="1" si="2"/>
        <v>wk 45</v>
      </c>
      <c r="BB4" s="219" t="str">
        <f t="shared" ca="1" si="2"/>
        <v>wk 46</v>
      </c>
      <c r="BC4" s="219" t="str">
        <f t="shared" ca="1" si="2"/>
        <v>wk 47</v>
      </c>
      <c r="BD4" s="219" t="str">
        <f t="shared" ca="1" si="2"/>
        <v>wk 48</v>
      </c>
      <c r="BE4" s="219" t="str">
        <f t="shared" ca="1" si="2"/>
        <v>wk 49</v>
      </c>
      <c r="BF4" s="219" t="str">
        <f t="shared" ca="1" si="2"/>
        <v>wk 50</v>
      </c>
      <c r="BG4" s="219" t="str">
        <f t="shared" ca="1" si="2"/>
        <v>wk 51</v>
      </c>
      <c r="BH4" s="224"/>
      <c r="BI4" s="225"/>
      <c r="BJ4" s="219"/>
      <c r="BK4" s="219"/>
      <c r="BL4" s="219"/>
    </row>
    <row r="5" spans="1:69" s="81" customFormat="1" ht="4.1500000000000004" customHeight="1" x14ac:dyDescent="0.25">
      <c r="A5" s="120"/>
      <c r="B5" s="146"/>
      <c r="C5" s="676" t="s">
        <v>565</v>
      </c>
      <c r="D5" s="84"/>
      <c r="E5" s="27"/>
      <c r="F5" s="27"/>
      <c r="G5" s="27"/>
      <c r="H5" s="27"/>
      <c r="BH5" s="21"/>
      <c r="BI5" s="187"/>
      <c r="BN5"/>
      <c r="BO5"/>
      <c r="BP5"/>
      <c r="BQ5"/>
    </row>
    <row r="6" spans="1:69" ht="12" customHeight="1" x14ac:dyDescent="0.25">
      <c r="A6" s="147"/>
      <c r="C6" s="677"/>
      <c r="D6" s="84" t="s">
        <v>566</v>
      </c>
      <c r="E6" s="369">
        <f>'Detail CUT'!I4</f>
        <v>0</v>
      </c>
      <c r="F6" s="369"/>
      <c r="G6" s="369"/>
      <c r="H6" s="381" t="str">
        <f>CONCATENATE("Effort With Cont = ",ROUND(SUM(BK188),0))</f>
        <v>Effort With Cont = 0</v>
      </c>
      <c r="Q6" s="136" t="s">
        <v>717</v>
      </c>
      <c r="BI6" s="187"/>
      <c r="BJ6" s="81"/>
      <c r="BK6" s="81"/>
      <c r="BL6" s="81"/>
    </row>
    <row r="7" spans="1:69" ht="12" customHeight="1" thickBot="1" x14ac:dyDescent="0.3">
      <c r="A7" s="147"/>
      <c r="C7" s="678"/>
      <c r="D7" s="84" t="s">
        <v>188</v>
      </c>
      <c r="E7" s="369">
        <f>SUM(I185:BI185)</f>
        <v>0</v>
      </c>
      <c r="F7" s="369"/>
      <c r="G7" s="369"/>
      <c r="H7" s="381" t="str">
        <f>CONCATENATE("Effort W/out Cont = ",ROUND(SUM(BK182+BK186),0))</f>
        <v>Effort W/out Cont = 0</v>
      </c>
      <c r="AA7" s="77" t="s">
        <v>719</v>
      </c>
      <c r="AB7" s="77" t="s">
        <v>719</v>
      </c>
      <c r="AC7" s="77" t="s">
        <v>719</v>
      </c>
      <c r="AD7" s="77" t="s">
        <v>719</v>
      </c>
      <c r="AE7" s="77" t="s">
        <v>719</v>
      </c>
      <c r="BI7" s="187"/>
      <c r="BJ7" s="81"/>
      <c r="BK7" s="81"/>
      <c r="BL7" s="81"/>
    </row>
    <row r="8" spans="1:69" s="83" customFormat="1" ht="22.5" customHeight="1" x14ac:dyDescent="0.25">
      <c r="A8" s="148"/>
      <c r="B8" s="125"/>
      <c r="C8" s="284"/>
      <c r="D8" s="379"/>
      <c r="E8" s="378"/>
      <c r="F8" s="378"/>
      <c r="G8" s="378"/>
      <c r="H8" s="387"/>
      <c r="I8" s="83" t="s">
        <v>572</v>
      </c>
      <c r="J8" s="83" t="s">
        <v>573</v>
      </c>
      <c r="K8" s="83" t="s">
        <v>573</v>
      </c>
      <c r="L8" s="83" t="s">
        <v>573</v>
      </c>
      <c r="M8" s="83" t="s">
        <v>574</v>
      </c>
      <c r="N8" s="83" t="s">
        <v>574</v>
      </c>
      <c r="O8" s="558" t="s">
        <v>570</v>
      </c>
      <c r="P8" s="83" t="s">
        <v>575</v>
      </c>
      <c r="Q8" s="83" t="s">
        <v>576</v>
      </c>
      <c r="R8" s="83" t="s">
        <v>576</v>
      </c>
      <c r="S8" s="83" t="s">
        <v>576</v>
      </c>
      <c r="T8" s="83" t="s">
        <v>576</v>
      </c>
      <c r="U8" s="83" t="s">
        <v>576</v>
      </c>
      <c r="V8" s="83" t="s">
        <v>576</v>
      </c>
      <c r="W8" s="83" t="s">
        <v>577</v>
      </c>
      <c r="X8" s="83" t="s">
        <v>577</v>
      </c>
      <c r="Y8" s="83" t="s">
        <v>577</v>
      </c>
      <c r="Z8" s="83" t="s">
        <v>577</v>
      </c>
      <c r="AA8" s="83" t="s">
        <v>576</v>
      </c>
      <c r="AB8" s="83" t="s">
        <v>576</v>
      </c>
      <c r="AC8" s="83" t="s">
        <v>576</v>
      </c>
      <c r="AD8" s="83" t="s">
        <v>576</v>
      </c>
      <c r="AE8" s="83" t="s">
        <v>576</v>
      </c>
      <c r="AF8" s="83" t="s">
        <v>576</v>
      </c>
      <c r="AG8" s="83" t="s">
        <v>577</v>
      </c>
      <c r="AH8" s="83" t="s">
        <v>577</v>
      </c>
      <c r="AI8" s="83" t="s">
        <v>577</v>
      </c>
      <c r="AJ8" s="83" t="s">
        <v>577</v>
      </c>
      <c r="AK8" s="83" t="s">
        <v>571</v>
      </c>
      <c r="AL8" s="83" t="s">
        <v>571</v>
      </c>
      <c r="AM8" s="83" t="s">
        <v>571</v>
      </c>
      <c r="AN8" s="83" t="s">
        <v>571</v>
      </c>
      <c r="AO8" s="83" t="s">
        <v>578</v>
      </c>
      <c r="AP8" s="83" t="s">
        <v>578</v>
      </c>
      <c r="AQ8" s="83" t="s">
        <v>578</v>
      </c>
      <c r="AR8" s="83" t="s">
        <v>578</v>
      </c>
      <c r="AS8" s="83" t="s">
        <v>580</v>
      </c>
      <c r="AT8" s="83" t="s">
        <v>580</v>
      </c>
      <c r="AU8" s="83" t="s">
        <v>563</v>
      </c>
      <c r="AV8" s="83" t="s">
        <v>563</v>
      </c>
      <c r="AW8" s="83" t="s">
        <v>563</v>
      </c>
      <c r="AX8" s="83" t="s">
        <v>563</v>
      </c>
      <c r="AY8" s="83" t="s">
        <v>563</v>
      </c>
      <c r="AZ8" s="83" t="s">
        <v>563</v>
      </c>
      <c r="BA8" s="83" t="s">
        <v>563</v>
      </c>
      <c r="BB8" s="83" t="s">
        <v>563</v>
      </c>
      <c r="BC8" s="83" t="s">
        <v>563</v>
      </c>
      <c r="BD8" s="83" t="s">
        <v>563</v>
      </c>
      <c r="BE8" s="83" t="s">
        <v>563</v>
      </c>
      <c r="BF8" s="83" t="s">
        <v>563</v>
      </c>
      <c r="BG8" s="83" t="s">
        <v>563</v>
      </c>
      <c r="BH8" s="129"/>
      <c r="BI8" s="201"/>
      <c r="BJ8" s="679" t="s">
        <v>582</v>
      </c>
      <c r="BK8" s="679"/>
      <c r="BL8" s="679"/>
      <c r="BM8" s="679"/>
    </row>
    <row r="9" spans="1:69" hidden="1" x14ac:dyDescent="0.25">
      <c r="A9" s="143"/>
      <c r="B9" s="144"/>
      <c r="C9" s="283"/>
      <c r="D9" s="31" t="s">
        <v>585</v>
      </c>
      <c r="E9" s="81"/>
      <c r="F9" s="81"/>
      <c r="G9" s="81"/>
      <c r="H9" s="81"/>
      <c r="I9" s="77" t="str">
        <f t="shared" ref="I9:BI9" si="3">VLOOKUP( I8, AgileIterationTypeProjectPhase, 2, FALSE)</f>
        <v>Scope</v>
      </c>
      <c r="J9" s="77" t="str">
        <f t="shared" si="3"/>
        <v>Scope</v>
      </c>
      <c r="K9" s="77" t="str">
        <f t="shared" si="3"/>
        <v>Scope</v>
      </c>
      <c r="L9" s="77" t="str">
        <f t="shared" si="3"/>
        <v>Scope</v>
      </c>
      <c r="M9" s="77" t="str">
        <f t="shared" si="3"/>
        <v>Scope</v>
      </c>
      <c r="N9" s="77" t="str">
        <f t="shared" si="3"/>
        <v>Scope</v>
      </c>
      <c r="O9" s="77" t="str">
        <f t="shared" si="3"/>
        <v>Design</v>
      </c>
      <c r="Q9" s="77" t="str">
        <f t="shared" si="3"/>
        <v>Deploy</v>
      </c>
      <c r="R9" s="77" t="str">
        <f t="shared" si="3"/>
        <v>Deploy</v>
      </c>
      <c r="S9" s="77" t="str">
        <f t="shared" si="3"/>
        <v>Deploy</v>
      </c>
      <c r="T9" s="77" t="str">
        <f t="shared" si="3"/>
        <v>Deploy</v>
      </c>
      <c r="U9" s="77" t="str">
        <f t="shared" si="3"/>
        <v>Deploy</v>
      </c>
      <c r="V9" s="77" t="str">
        <f t="shared" si="3"/>
        <v>Deploy</v>
      </c>
      <c r="W9" s="77" t="str">
        <f t="shared" si="3"/>
        <v>Deploy</v>
      </c>
      <c r="X9" s="77" t="str">
        <f t="shared" si="3"/>
        <v>Deploy</v>
      </c>
      <c r="Y9" s="77" t="str">
        <f t="shared" si="3"/>
        <v>Deploy</v>
      </c>
      <c r="Z9" s="77" t="str">
        <f t="shared" si="3"/>
        <v>Deploy</v>
      </c>
      <c r="AA9" s="77" t="str">
        <f t="shared" si="3"/>
        <v>Deploy</v>
      </c>
      <c r="AE9" s="77" t="str">
        <f t="shared" si="3"/>
        <v>Deploy</v>
      </c>
      <c r="AF9" s="77" t="str">
        <f t="shared" si="3"/>
        <v>Deploy</v>
      </c>
      <c r="AG9" s="77" t="str">
        <f t="shared" si="3"/>
        <v>Deploy</v>
      </c>
      <c r="AH9" s="77" t="str">
        <f t="shared" si="3"/>
        <v>Deploy</v>
      </c>
      <c r="AI9" s="77" t="str">
        <f t="shared" si="3"/>
        <v>Deploy</v>
      </c>
      <c r="AJ9" s="77" t="str">
        <f t="shared" si="3"/>
        <v>Deploy</v>
      </c>
      <c r="AK9" s="77" t="str">
        <f t="shared" si="3"/>
        <v>Cust Test</v>
      </c>
      <c r="AL9" s="77" t="str">
        <f t="shared" si="3"/>
        <v>Cust Test</v>
      </c>
      <c r="AM9" s="77" t="str">
        <f t="shared" si="3"/>
        <v>Cust Test</v>
      </c>
      <c r="AN9" s="77" t="str">
        <f t="shared" si="3"/>
        <v>Cust Test</v>
      </c>
      <c r="AO9" s="77" t="str">
        <f t="shared" si="3"/>
        <v>Cust Test</v>
      </c>
      <c r="AP9" s="77" t="str">
        <f t="shared" si="3"/>
        <v>Cust Test</v>
      </c>
      <c r="AQ9" s="77" t="str">
        <f t="shared" si="3"/>
        <v>Cust Test</v>
      </c>
      <c r="AR9" s="77" t="str">
        <f t="shared" si="3"/>
        <v>Cust Test</v>
      </c>
      <c r="AS9" s="77" t="str">
        <f t="shared" si="3"/>
        <v>Cutover</v>
      </c>
      <c r="AT9" s="77" t="str">
        <f t="shared" si="3"/>
        <v>Cutover</v>
      </c>
      <c r="AU9" s="77" t="str">
        <f t="shared" si="3"/>
        <v>Warranty</v>
      </c>
      <c r="AV9" s="77" t="str">
        <f t="shared" si="3"/>
        <v>Warranty</v>
      </c>
      <c r="AW9" s="77" t="str">
        <f t="shared" si="3"/>
        <v>Warranty</v>
      </c>
      <c r="AX9" s="77" t="str">
        <f t="shared" si="3"/>
        <v>Warranty</v>
      </c>
      <c r="AY9" s="77" t="str">
        <f t="shared" si="3"/>
        <v>Warranty</v>
      </c>
      <c r="BI9" s="187" t="e">
        <f t="shared" si="3"/>
        <v>#N/A</v>
      </c>
      <c r="BJ9" s="81"/>
      <c r="BK9" s="81"/>
      <c r="BL9" s="81"/>
    </row>
    <row r="10" spans="1:69" s="142" customFormat="1" ht="11.25" x14ac:dyDescent="0.2">
      <c r="A10" s="143" t="s">
        <v>199</v>
      </c>
      <c r="B10" s="149" t="s">
        <v>586</v>
      </c>
      <c r="C10" s="194" t="s">
        <v>587</v>
      </c>
      <c r="D10" s="397" t="s">
        <v>588</v>
      </c>
      <c r="E10" s="411" t="s">
        <v>589</v>
      </c>
      <c r="F10" s="411" t="s">
        <v>590</v>
      </c>
      <c r="G10" s="411" t="s">
        <v>26</v>
      </c>
      <c r="H10" s="412" t="s">
        <v>591</v>
      </c>
      <c r="I10" s="195">
        <f>Attributes!E5</f>
        <v>43474</v>
      </c>
      <c r="J10" s="195">
        <f t="shared" ref="J10:BG10" ca="1" si="4">OFFSET(J10,0,-1,1,1)+7</f>
        <v>43481</v>
      </c>
      <c r="K10" s="195">
        <f t="shared" ca="1" si="4"/>
        <v>43488</v>
      </c>
      <c r="L10" s="195">
        <f t="shared" ca="1" si="4"/>
        <v>43495</v>
      </c>
      <c r="M10" s="195">
        <f t="shared" ca="1" si="4"/>
        <v>43502</v>
      </c>
      <c r="N10" s="195">
        <f t="shared" ca="1" si="4"/>
        <v>43509</v>
      </c>
      <c r="O10" s="195">
        <f t="shared" ca="1" si="4"/>
        <v>43516</v>
      </c>
      <c r="P10" s="195">
        <f t="shared" ca="1" si="4"/>
        <v>43523</v>
      </c>
      <c r="Q10" s="195">
        <f t="shared" ca="1" si="4"/>
        <v>43530</v>
      </c>
      <c r="R10" s="195">
        <f t="shared" ca="1" si="4"/>
        <v>43537</v>
      </c>
      <c r="S10" s="195">
        <f t="shared" ca="1" si="4"/>
        <v>43544</v>
      </c>
      <c r="T10" s="195">
        <f t="shared" ca="1" si="4"/>
        <v>43551</v>
      </c>
      <c r="U10" s="195">
        <f t="shared" ca="1" si="4"/>
        <v>43558</v>
      </c>
      <c r="V10" s="195">
        <f t="shared" ca="1" si="4"/>
        <v>43565</v>
      </c>
      <c r="W10" s="195">
        <f t="shared" ca="1" si="4"/>
        <v>43572</v>
      </c>
      <c r="X10" s="195">
        <f t="shared" ca="1" si="4"/>
        <v>43579</v>
      </c>
      <c r="Y10" s="195">
        <f t="shared" ca="1" si="4"/>
        <v>43586</v>
      </c>
      <c r="Z10" s="195">
        <f t="shared" ca="1" si="4"/>
        <v>43593</v>
      </c>
      <c r="AA10" s="195">
        <f t="shared" ca="1" si="4"/>
        <v>43600</v>
      </c>
      <c r="AB10" s="195">
        <f t="shared" ca="1" si="4"/>
        <v>43607</v>
      </c>
      <c r="AC10" s="195">
        <f t="shared" ca="1" si="4"/>
        <v>43614</v>
      </c>
      <c r="AD10" s="195">
        <f t="shared" ca="1" si="4"/>
        <v>43621</v>
      </c>
      <c r="AE10" s="195">
        <f t="shared" ca="1" si="4"/>
        <v>43628</v>
      </c>
      <c r="AF10" s="195">
        <f t="shared" ca="1" si="4"/>
        <v>43635</v>
      </c>
      <c r="AG10" s="195">
        <f t="shared" ca="1" si="4"/>
        <v>43642</v>
      </c>
      <c r="AH10" s="195">
        <f t="shared" ca="1" si="4"/>
        <v>43649</v>
      </c>
      <c r="AI10" s="195">
        <f t="shared" ca="1" si="4"/>
        <v>43656</v>
      </c>
      <c r="AJ10" s="195">
        <f t="shared" ca="1" si="4"/>
        <v>43663</v>
      </c>
      <c r="AK10" s="195">
        <f t="shared" ca="1" si="4"/>
        <v>43670</v>
      </c>
      <c r="AL10" s="195">
        <f t="shared" ca="1" si="4"/>
        <v>43677</v>
      </c>
      <c r="AM10" s="195">
        <f t="shared" ca="1" si="4"/>
        <v>43684</v>
      </c>
      <c r="AN10" s="195">
        <f t="shared" ca="1" si="4"/>
        <v>43691</v>
      </c>
      <c r="AO10" s="195">
        <f t="shared" ca="1" si="4"/>
        <v>43698</v>
      </c>
      <c r="AP10" s="195">
        <f t="shared" ca="1" si="4"/>
        <v>43705</v>
      </c>
      <c r="AQ10" s="195">
        <f t="shared" ca="1" si="4"/>
        <v>43712</v>
      </c>
      <c r="AR10" s="195">
        <f t="shared" ca="1" si="4"/>
        <v>43719</v>
      </c>
      <c r="AS10" s="195">
        <f t="shared" ca="1" si="4"/>
        <v>43726</v>
      </c>
      <c r="AT10" s="195">
        <f t="shared" ca="1" si="4"/>
        <v>43733</v>
      </c>
      <c r="AU10" s="195">
        <f t="shared" ca="1" si="4"/>
        <v>43740</v>
      </c>
      <c r="AV10" s="195">
        <f t="shared" ca="1" si="4"/>
        <v>43747</v>
      </c>
      <c r="AW10" s="195">
        <f t="shared" ca="1" si="4"/>
        <v>43754</v>
      </c>
      <c r="AX10" s="195">
        <f t="shared" ca="1" si="4"/>
        <v>43761</v>
      </c>
      <c r="AY10" s="195">
        <f t="shared" ca="1" si="4"/>
        <v>43768</v>
      </c>
      <c r="AZ10" s="195">
        <f t="shared" ca="1" si="4"/>
        <v>43775</v>
      </c>
      <c r="BA10" s="195">
        <f t="shared" ca="1" si="4"/>
        <v>43782</v>
      </c>
      <c r="BB10" s="195">
        <f t="shared" ca="1" si="4"/>
        <v>43789</v>
      </c>
      <c r="BC10" s="195">
        <f t="shared" ca="1" si="4"/>
        <v>43796</v>
      </c>
      <c r="BD10" s="195">
        <f t="shared" ca="1" si="4"/>
        <v>43803</v>
      </c>
      <c r="BE10" s="195">
        <f t="shared" ca="1" si="4"/>
        <v>43810</v>
      </c>
      <c r="BF10" s="195">
        <f t="shared" ca="1" si="4"/>
        <v>43817</v>
      </c>
      <c r="BG10" s="195">
        <f t="shared" ca="1" si="4"/>
        <v>43824</v>
      </c>
      <c r="BH10" s="196"/>
      <c r="BI10" s="202"/>
      <c r="BJ10" s="150" t="str">
        <f>E182</f>
        <v xml:space="preserve"> Person-Days</v>
      </c>
      <c r="BK10" s="150" t="str">
        <f>E183</f>
        <v>Contingency</v>
      </c>
      <c r="BL10" s="150" t="str">
        <f>E184</f>
        <v>Warranty</v>
      </c>
      <c r="BM10" s="150" t="s">
        <v>720</v>
      </c>
    </row>
    <row r="11" spans="1:69" s="142" customFormat="1" ht="11.25" x14ac:dyDescent="0.2">
      <c r="A11" s="208">
        <v>1</v>
      </c>
      <c r="B11" s="211" t="s">
        <v>593</v>
      </c>
      <c r="C11" s="205" t="s">
        <v>594</v>
      </c>
      <c r="D11" s="205" t="s">
        <v>594</v>
      </c>
      <c r="E11" s="413"/>
      <c r="F11" s="413"/>
      <c r="G11" s="413"/>
      <c r="H11" s="414"/>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193"/>
      <c r="BI11" s="202"/>
      <c r="BJ11" s="150"/>
      <c r="BK11" s="150"/>
      <c r="BL11" s="150"/>
      <c r="BM11" s="150"/>
    </row>
    <row r="12" spans="1:69" s="74" customFormat="1" ht="11.25" x14ac:dyDescent="0.2">
      <c r="A12" s="210">
        <v>2</v>
      </c>
      <c r="B12" s="211" t="s">
        <v>593</v>
      </c>
      <c r="C12" s="456" t="str">
        <f t="shared" ref="C12:C21" si="5">IFERROR(VLOOKUP(D12,MappingFromSetAgiletoTTSRole,2,FALSE),"SET Agile Resource Role")</f>
        <v>Management</v>
      </c>
      <c r="D12" s="398" t="s">
        <v>595</v>
      </c>
      <c r="E12" s="415"/>
      <c r="F12" s="529" t="s">
        <v>597</v>
      </c>
      <c r="G12" s="529"/>
      <c r="H12" s="535" t="str">
        <f>C11</f>
        <v>Program</v>
      </c>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80"/>
      <c r="BI12" s="187"/>
      <c r="BJ12" s="82">
        <f t="shared" ref="BJ12:BJ21" si="6">SUMIF(I$8:BH$8, "&lt;&gt;"&amp;AgileIteration_Warranty,I12:BH12)*5*Scenario3Utilisation</f>
        <v>0</v>
      </c>
      <c r="BK12" s="82">
        <f t="shared" ref="BK12:BK142" si="7">BJ12*Scenario3AgileContingency</f>
        <v>0</v>
      </c>
      <c r="BL12" s="82">
        <f t="shared" ref="BL12:BL21" si="8">IF(Scenario3Warranty=AgileWarrantyDefault, (SUMIF(I$8:BH$8,AgileIteration_Warranty,I12:BH12)*5*Scenario3Utilisation), (BJ12*Scenario3Warranty))</f>
        <v>0</v>
      </c>
      <c r="BM12" s="127">
        <f>SUM(BJ12:BL12)</f>
        <v>0</v>
      </c>
    </row>
    <row r="13" spans="1:69" s="74" customFormat="1" ht="11.25" x14ac:dyDescent="0.2">
      <c r="A13" s="210">
        <v>2</v>
      </c>
      <c r="B13" s="211" t="s">
        <v>593</v>
      </c>
      <c r="C13" s="456" t="str">
        <f t="shared" si="5"/>
        <v>Management</v>
      </c>
      <c r="D13" s="399" t="s">
        <v>598</v>
      </c>
      <c r="E13" s="416"/>
      <c r="F13" s="530" t="s">
        <v>597</v>
      </c>
      <c r="G13" s="530"/>
      <c r="H13" s="536" t="str">
        <f>H12</f>
        <v>Program</v>
      </c>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3"/>
      <c r="BI13" s="187"/>
      <c r="BJ13" s="82">
        <f t="shared" si="6"/>
        <v>0</v>
      </c>
      <c r="BK13" s="82">
        <f t="shared" si="7"/>
        <v>0</v>
      </c>
      <c r="BL13" s="82">
        <f t="shared" si="8"/>
        <v>0</v>
      </c>
      <c r="BM13" s="127">
        <f t="shared" ref="BM13:BM142" si="9">SUM(BJ13:BL13)</f>
        <v>0</v>
      </c>
    </row>
    <row r="14" spans="1:69" s="74" customFormat="1" ht="11.25" x14ac:dyDescent="0.2">
      <c r="A14" s="210">
        <v>2</v>
      </c>
      <c r="B14" s="211" t="s">
        <v>593</v>
      </c>
      <c r="C14" s="456" t="str">
        <f t="shared" si="5"/>
        <v>Project Manager</v>
      </c>
      <c r="D14" s="399" t="s">
        <v>599</v>
      </c>
      <c r="E14" s="416"/>
      <c r="F14" s="530" t="s">
        <v>597</v>
      </c>
      <c r="G14" s="530"/>
      <c r="H14" s="536" t="str">
        <f t="shared" ref="H14" si="10">H13</f>
        <v>Program</v>
      </c>
      <c r="I14" s="174"/>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3"/>
      <c r="BI14" s="187"/>
      <c r="BJ14" s="82">
        <f t="shared" si="6"/>
        <v>0</v>
      </c>
      <c r="BK14" s="82">
        <f t="shared" si="7"/>
        <v>0</v>
      </c>
      <c r="BL14" s="82">
        <f t="shared" si="8"/>
        <v>0</v>
      </c>
      <c r="BM14" s="127">
        <f t="shared" si="9"/>
        <v>0</v>
      </c>
    </row>
    <row r="15" spans="1:69" s="74" customFormat="1" ht="11.25" x14ac:dyDescent="0.2">
      <c r="A15" s="210">
        <v>2</v>
      </c>
      <c r="B15" s="211" t="s">
        <v>593</v>
      </c>
      <c r="C15" s="456" t="str">
        <f>IFERROR(VLOOKUP(D15,MappingFromSetAgiletoTTSRole,2,FALSE),"SET Agile Resource Role")</f>
        <v>Architect Sr</v>
      </c>
      <c r="D15" s="399" t="s">
        <v>603</v>
      </c>
      <c r="E15" s="416"/>
      <c r="F15" s="530" t="s">
        <v>597</v>
      </c>
      <c r="G15" s="530"/>
      <c r="H15" s="536" t="str">
        <f>H14</f>
        <v>Program</v>
      </c>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3"/>
      <c r="BI15" s="187"/>
      <c r="BJ15" s="82">
        <f t="shared" si="6"/>
        <v>0</v>
      </c>
      <c r="BK15" s="82">
        <f t="shared" ref="BK15" si="11">BJ15*Scenario3AgileContingency</f>
        <v>0</v>
      </c>
      <c r="BL15" s="82">
        <f t="shared" si="8"/>
        <v>0</v>
      </c>
      <c r="BM15" s="127">
        <f t="shared" ref="BM15" si="12">SUM(BJ15:BL15)</f>
        <v>0</v>
      </c>
    </row>
    <row r="16" spans="1:69" s="74" customFormat="1" ht="11.25" x14ac:dyDescent="0.2">
      <c r="A16" s="210">
        <v>2</v>
      </c>
      <c r="B16" s="211" t="s">
        <v>593</v>
      </c>
      <c r="C16" s="456" t="s">
        <v>604</v>
      </c>
      <c r="D16" s="399" t="s">
        <v>605</v>
      </c>
      <c r="E16" s="416"/>
      <c r="F16" s="530" t="s">
        <v>607</v>
      </c>
      <c r="G16" s="530"/>
      <c r="H16" s="536" t="str">
        <f>H15</f>
        <v>Program</v>
      </c>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5"/>
      <c r="BI16" s="187"/>
      <c r="BJ16" s="82">
        <f t="shared" si="6"/>
        <v>0</v>
      </c>
      <c r="BK16" s="82">
        <f t="shared" ref="BK16" si="13">BJ16*Scenario3AgileContingency</f>
        <v>0</v>
      </c>
      <c r="BL16" s="82">
        <f t="shared" si="8"/>
        <v>0</v>
      </c>
      <c r="BM16" s="127">
        <f t="shared" ref="BM16" si="14">SUM(BJ16:BL16)</f>
        <v>0</v>
      </c>
    </row>
    <row r="17" spans="1:65" s="74" customFormat="1" ht="11.25" x14ac:dyDescent="0.2">
      <c r="A17" s="210">
        <v>2</v>
      </c>
      <c r="B17" s="211" t="s">
        <v>593</v>
      </c>
      <c r="C17" s="456" t="str">
        <f t="shared" si="5"/>
        <v>Project Manager</v>
      </c>
      <c r="D17" s="399" t="s">
        <v>721</v>
      </c>
      <c r="E17" s="416"/>
      <c r="F17" s="530" t="s">
        <v>607</v>
      </c>
      <c r="G17" s="530"/>
      <c r="H17" s="536" t="str">
        <f>H16</f>
        <v>Program</v>
      </c>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3"/>
      <c r="BI17" s="187"/>
      <c r="BJ17" s="82">
        <f t="shared" si="6"/>
        <v>0</v>
      </c>
      <c r="BK17" s="82">
        <f t="shared" si="7"/>
        <v>0</v>
      </c>
      <c r="BL17" s="82">
        <f t="shared" si="8"/>
        <v>0</v>
      </c>
      <c r="BM17" s="127">
        <f t="shared" si="9"/>
        <v>0</v>
      </c>
    </row>
    <row r="18" spans="1:65" s="74" customFormat="1" ht="11.25" x14ac:dyDescent="0.2">
      <c r="A18" s="210">
        <v>2</v>
      </c>
      <c r="B18" s="211" t="s">
        <v>593</v>
      </c>
      <c r="C18" s="456" t="str">
        <f>IFERROR(VLOOKUP(D18,MappingFromSetAgiletoTTSRole,2,FALSE),"SET Agile Resource Role")</f>
        <v>Architect Sr</v>
      </c>
      <c r="D18" s="399" t="s">
        <v>608</v>
      </c>
      <c r="E18" s="416"/>
      <c r="F18" s="530" t="s">
        <v>609</v>
      </c>
      <c r="G18" s="530"/>
      <c r="H18" s="536" t="str">
        <f>H17</f>
        <v>Program</v>
      </c>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3"/>
      <c r="BI18" s="187"/>
      <c r="BJ18" s="82">
        <f t="shared" ref="BJ18" si="15">SUMIF(I$8:BH$8, "&lt;&gt;"&amp;AgileIteration_Warranty,I18:BH18)*5*Scenario3Utilisation</f>
        <v>0</v>
      </c>
      <c r="BK18" s="82">
        <f t="shared" ref="BK18" si="16">BJ18*Scenario3AgileContingency</f>
        <v>0</v>
      </c>
      <c r="BL18" s="82">
        <f t="shared" ref="BL18" si="17">IF(Scenario3Warranty=AgileWarrantyDefault, (SUMIF(I$8:BH$8,AgileIteration_Warranty,I18:BH18)*5*Scenario3Utilisation), (BJ18*Scenario3Warranty))</f>
        <v>0</v>
      </c>
      <c r="BM18" s="127">
        <f t="shared" ref="BM18" si="18">SUM(BJ18:BL18)</f>
        <v>0</v>
      </c>
    </row>
    <row r="19" spans="1:65" s="74" customFormat="1" ht="11.25" x14ac:dyDescent="0.2">
      <c r="A19" s="210">
        <v>2</v>
      </c>
      <c r="B19" s="211" t="s">
        <v>593</v>
      </c>
      <c r="C19" s="456" t="str">
        <f>IFERROR(VLOOKUP(D19,MappingFromSetAgiletoTTSRole,2,FALSE),"SET Agile Resource Role")</f>
        <v>Architect Sr</v>
      </c>
      <c r="D19" s="399" t="s">
        <v>679</v>
      </c>
      <c r="E19" s="416"/>
      <c r="F19" s="530" t="str">
        <f>IFERROR(VLOOKUP(C19,MappingFromTTStoSU,2,FALSE),"SU Resource Role")</f>
        <v>DWMS</v>
      </c>
      <c r="G19" s="530"/>
      <c r="H19" s="536" t="str">
        <f>H17</f>
        <v>Program</v>
      </c>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3"/>
      <c r="BI19" s="187"/>
      <c r="BJ19" s="82">
        <f t="shared" si="6"/>
        <v>0</v>
      </c>
      <c r="BK19" s="82">
        <f t="shared" ref="BK19" si="19">BJ19*Scenario3AgileContingency</f>
        <v>0</v>
      </c>
      <c r="BL19" s="82">
        <f t="shared" si="8"/>
        <v>0</v>
      </c>
      <c r="BM19" s="127">
        <f t="shared" ref="BM19" si="20">SUM(BJ19:BL19)</f>
        <v>0</v>
      </c>
    </row>
    <row r="20" spans="1:65" s="74" customFormat="1" ht="11.25" x14ac:dyDescent="0.2">
      <c r="A20" s="210">
        <v>2</v>
      </c>
      <c r="B20" s="211" t="s">
        <v>593</v>
      </c>
      <c r="C20" s="456" t="s">
        <v>604</v>
      </c>
      <c r="D20" s="399" t="s">
        <v>722</v>
      </c>
      <c r="E20" s="416"/>
      <c r="F20" s="530" t="str">
        <f>IFERROR(VLOOKUP(C20,MappingFromTTStoSU,2,FALSE),"SU Resource Role")</f>
        <v>DWMS</v>
      </c>
      <c r="G20" s="530"/>
      <c r="H20" s="536" t="str">
        <f>H19</f>
        <v>Program</v>
      </c>
      <c r="I20" s="174"/>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3"/>
      <c r="BI20" s="187"/>
      <c r="BJ20" s="82">
        <f t="shared" ref="BJ20" si="21">SUMIF(I$8:BH$8, "&lt;&gt;"&amp;AgileIteration_Warranty,I20:BH20)*5*Scenario3Utilisation</f>
        <v>0</v>
      </c>
      <c r="BK20" s="82">
        <f t="shared" ref="BK20" si="22">BJ20*Scenario3AgileContingency</f>
        <v>0</v>
      </c>
      <c r="BL20" s="82">
        <f t="shared" ref="BL20" si="23">IF(Scenario3Warranty=AgileWarrantyDefault, (SUMIF(I$8:BH$8,AgileIteration_Warranty,I20:BH20)*5*Scenario3Utilisation), (BJ20*Scenario3Warranty))</f>
        <v>0</v>
      </c>
      <c r="BM20" s="127">
        <f t="shared" ref="BM20" si="24">SUM(BJ20:BL20)</f>
        <v>0</v>
      </c>
    </row>
    <row r="21" spans="1:65" s="74" customFormat="1" ht="11.25" x14ac:dyDescent="0.2">
      <c r="A21" s="210">
        <v>2</v>
      </c>
      <c r="B21" s="211" t="s">
        <v>593</v>
      </c>
      <c r="C21" s="456" t="str">
        <f t="shared" si="5"/>
        <v>Project Manager</v>
      </c>
      <c r="D21" s="399" t="s">
        <v>723</v>
      </c>
      <c r="E21" s="416"/>
      <c r="F21" s="530" t="s">
        <v>607</v>
      </c>
      <c r="G21" s="530"/>
      <c r="H21" s="536" t="str">
        <f>H19</f>
        <v>Program</v>
      </c>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5"/>
      <c r="BI21" s="187"/>
      <c r="BJ21" s="82">
        <f t="shared" si="6"/>
        <v>0</v>
      </c>
      <c r="BK21" s="82">
        <f t="shared" si="7"/>
        <v>0</v>
      </c>
      <c r="BL21" s="82">
        <f t="shared" si="8"/>
        <v>0</v>
      </c>
      <c r="BM21" s="127">
        <f t="shared" si="9"/>
        <v>0</v>
      </c>
    </row>
    <row r="22" spans="1:65" s="74" customFormat="1" ht="11.25" x14ac:dyDescent="0.2">
      <c r="A22" s="210">
        <v>2</v>
      </c>
      <c r="B22" s="211" t="s">
        <v>593</v>
      </c>
      <c r="C22" s="456" t="str">
        <f t="shared" ref="C22:C26" si="25">IFERROR(VLOOKUP(D22,MappingFromSetAgiletoTTSRole,2,FALSE),"SET Agile Resource Role")</f>
        <v>Project Manager</v>
      </c>
      <c r="D22" s="399" t="s">
        <v>620</v>
      </c>
      <c r="E22" s="416"/>
      <c r="F22" s="530" t="str">
        <f t="shared" ref="F22:F26" si="26">IFERROR(VLOOKUP(C22,MappingFromTTStoSU,2,FALSE),"SU Resource Role")</f>
        <v>DWMS</v>
      </c>
      <c r="G22" s="530"/>
      <c r="H22" s="536" t="str">
        <f t="shared" ref="H22:H26" si="27">H21</f>
        <v>Program</v>
      </c>
      <c r="I22" s="174"/>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5"/>
      <c r="BI22" s="187"/>
      <c r="BJ22" s="82">
        <f t="shared" ref="BJ22" si="28">SUMIF(I$8:BH$8, "&lt;&gt;"&amp;AgileIteration_Warranty,I22:BH22)*5*Scenario3Utilisation</f>
        <v>0</v>
      </c>
      <c r="BK22" s="82">
        <f t="shared" ref="BK22" si="29">BJ22*Scenario3AgileContingency</f>
        <v>0</v>
      </c>
      <c r="BL22" s="82">
        <f t="shared" ref="BL22" si="30">IF(Scenario3Warranty=AgileWarrantyDefault, (SUMIF(I$8:BH$8,AgileIteration_Warranty,I22:BH22)*5*Scenario3Utilisation), (BJ22*Scenario3Warranty))</f>
        <v>0</v>
      </c>
      <c r="BM22" s="127">
        <f t="shared" ref="BM22" si="31">SUM(BJ22:BL22)</f>
        <v>0</v>
      </c>
    </row>
    <row r="23" spans="1:65" s="74" customFormat="1" ht="11.25" x14ac:dyDescent="0.2">
      <c r="A23" s="210">
        <v>2</v>
      </c>
      <c r="B23" s="211" t="s">
        <v>593</v>
      </c>
      <c r="C23" s="456" t="str">
        <f t="shared" si="25"/>
        <v>Project Manager</v>
      </c>
      <c r="D23" s="399" t="s">
        <v>610</v>
      </c>
      <c r="E23" s="416"/>
      <c r="F23" s="530" t="str">
        <f t="shared" si="26"/>
        <v>DWMS</v>
      </c>
      <c r="G23" s="530"/>
      <c r="H23" s="536" t="str">
        <f t="shared" si="27"/>
        <v>Program</v>
      </c>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5"/>
      <c r="BI23" s="187"/>
      <c r="BJ23" s="82">
        <f t="shared" ref="BJ23" si="32">SUMIF(I$8:BH$8, "&lt;&gt;"&amp;AgileIteration_Warranty,I23:BH23)*5*Scenario3Utilisation</f>
        <v>0</v>
      </c>
      <c r="BK23" s="82">
        <f t="shared" ref="BK23" si="33">BJ23*Scenario3AgileContingency</f>
        <v>0</v>
      </c>
      <c r="BL23" s="82">
        <f t="shared" ref="BL23" si="34">IF(Scenario3Warranty=AgileWarrantyDefault, (SUMIF(I$8:BH$8,AgileIteration_Warranty,I23:BH23)*5*Scenario3Utilisation), (BJ23*Scenario3Warranty))</f>
        <v>0</v>
      </c>
      <c r="BM23" s="127">
        <f t="shared" ref="BM23" si="35">SUM(BJ23:BL23)</f>
        <v>0</v>
      </c>
    </row>
    <row r="24" spans="1:65" s="74" customFormat="1" ht="11.25" x14ac:dyDescent="0.2">
      <c r="A24" s="210">
        <v>2</v>
      </c>
      <c r="B24" s="211" t="s">
        <v>593</v>
      </c>
      <c r="C24" s="456" t="str">
        <f t="shared" si="25"/>
        <v>Support Analyst</v>
      </c>
      <c r="D24" s="399" t="s">
        <v>611</v>
      </c>
      <c r="E24" s="416"/>
      <c r="F24" s="530" t="str">
        <f t="shared" si="26"/>
        <v>DE</v>
      </c>
      <c r="G24" s="530"/>
      <c r="H24" s="536" t="str">
        <f t="shared" si="27"/>
        <v>Program</v>
      </c>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5"/>
      <c r="BI24" s="187"/>
      <c r="BJ24" s="82">
        <f t="shared" ref="BJ24" si="36">SUMIF(I$8:BH$8, "&lt;&gt;"&amp;AgileIteration_Warranty,I24:BH24)*5*Scenario3Utilisation</f>
        <v>0</v>
      </c>
      <c r="BK24" s="82">
        <f t="shared" ref="BK24" si="37">BJ24*Scenario3AgileContingency</f>
        <v>0</v>
      </c>
      <c r="BL24" s="82">
        <f t="shared" ref="BL24" si="38">IF(Scenario3Warranty=AgileWarrantyDefault, (SUMIF(I$8:BH$8,AgileIteration_Warranty,I24:BH24)*5*Scenario3Utilisation), (BJ24*Scenario3Warranty))</f>
        <v>0</v>
      </c>
      <c r="BM24" s="127">
        <f t="shared" ref="BM24" si="39">SUM(BJ24:BL24)</f>
        <v>0</v>
      </c>
    </row>
    <row r="25" spans="1:65" s="74" customFormat="1" ht="11.25" x14ac:dyDescent="0.2">
      <c r="A25" s="210">
        <v>2</v>
      </c>
      <c r="B25" s="211" t="s">
        <v>733</v>
      </c>
      <c r="C25" s="456" t="str">
        <f t="shared" si="25"/>
        <v>Project Manager</v>
      </c>
      <c r="D25" s="400" t="s">
        <v>724</v>
      </c>
      <c r="E25" s="417"/>
      <c r="F25" s="531" t="str">
        <f t="shared" si="26"/>
        <v>DWMS</v>
      </c>
      <c r="G25" s="531"/>
      <c r="H25" s="536" t="str">
        <f t="shared" si="27"/>
        <v>Program</v>
      </c>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7"/>
      <c r="AO25" s="177"/>
      <c r="AP25" s="177"/>
      <c r="AQ25" s="177"/>
      <c r="AR25" s="177"/>
      <c r="AS25" s="177"/>
      <c r="AT25" s="177"/>
      <c r="AU25" s="177"/>
      <c r="AV25" s="177"/>
      <c r="AW25" s="177"/>
      <c r="AX25" s="177"/>
      <c r="AY25" s="177"/>
      <c r="AZ25" s="177"/>
      <c r="BA25" s="177"/>
      <c r="BB25" s="177"/>
      <c r="BC25" s="177"/>
      <c r="BD25" s="177"/>
      <c r="BE25" s="177"/>
      <c r="BF25" s="177"/>
      <c r="BG25" s="177"/>
      <c r="BH25" s="178"/>
      <c r="BI25" s="187"/>
      <c r="BJ25" s="82">
        <f t="shared" ref="BJ25" si="40">SUMIF(I$8:BH$8, "&lt;&gt;"&amp;AgileIteration_Warranty,I25:BH25)*5*Scenario3Utilisation</f>
        <v>0</v>
      </c>
      <c r="BK25" s="82">
        <f t="shared" ref="BK25" si="41">BJ25*Scenario3AgileContingency</f>
        <v>0</v>
      </c>
      <c r="BL25" s="82">
        <f t="shared" ref="BL25" si="42">IF(Scenario3Warranty=AgileWarrantyDefault, (SUMIF(I$8:BH$8,AgileIteration_Warranty,I25:BH25)*5*Scenario3Utilisation), (BJ25*Scenario3Warranty))</f>
        <v>0</v>
      </c>
      <c r="BM25" s="127">
        <f t="shared" ref="BM25" si="43">SUM(BJ25:BL25)</f>
        <v>0</v>
      </c>
    </row>
    <row r="26" spans="1:65" s="74" customFormat="1" ht="11.25" x14ac:dyDescent="0.2">
      <c r="A26" s="210">
        <v>2</v>
      </c>
      <c r="B26" s="211" t="s">
        <v>733</v>
      </c>
      <c r="C26" s="456" t="str">
        <f t="shared" si="25"/>
        <v>Project Manager</v>
      </c>
      <c r="D26" s="400" t="s">
        <v>725</v>
      </c>
      <c r="E26" s="417"/>
      <c r="F26" s="531" t="str">
        <f t="shared" si="26"/>
        <v>DWMS</v>
      </c>
      <c r="G26" s="531"/>
      <c r="H26" s="536" t="str">
        <f t="shared" si="27"/>
        <v>Program</v>
      </c>
      <c r="I26" s="177"/>
      <c r="J26" s="177"/>
      <c r="K26" s="177"/>
      <c r="L26" s="177"/>
      <c r="M26" s="177"/>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7"/>
      <c r="BH26" s="178"/>
      <c r="BI26" s="187"/>
      <c r="BJ26" s="82">
        <f t="shared" ref="BJ26" si="44">SUMIF(I$8:BH$8, "&lt;&gt;"&amp;AgileIteration_Warranty,I26:BH26)*5*Scenario3Utilisation</f>
        <v>0</v>
      </c>
      <c r="BK26" s="82">
        <f t="shared" ref="BK26" si="45">BJ26*Scenario3AgileContingency</f>
        <v>0</v>
      </c>
      <c r="BL26" s="82">
        <f t="shared" ref="BL26" si="46">IF(Scenario3Warranty=AgileWarrantyDefault, (SUMIF(I$8:BH$8,AgileIteration_Warranty,I26:BH26)*5*Scenario3Utilisation), (BJ26*Scenario3Warranty))</f>
        <v>0</v>
      </c>
      <c r="BM26" s="127">
        <f t="shared" ref="BM26" si="47">SUM(BJ26:BL26)</f>
        <v>0</v>
      </c>
    </row>
    <row r="27" spans="1:65" s="74" customFormat="1" ht="11.25" x14ac:dyDescent="0.2">
      <c r="A27" s="210">
        <v>2</v>
      </c>
      <c r="B27" s="211" t="s">
        <v>733</v>
      </c>
      <c r="C27" s="456" t="str">
        <f>IFERROR(VLOOKUP(D27,MappingFromSetAgiletoTTSRole,2,FALSE),"SET Agile Resource Role")</f>
        <v>Business Consultant Sr</v>
      </c>
      <c r="D27" s="400" t="s">
        <v>668</v>
      </c>
      <c r="E27" s="417"/>
      <c r="F27" s="531" t="str">
        <f>IFERROR(VLOOKUP(C27,MappingFromTTStoSU,2,FALSE),"SU Resource Role")</f>
        <v>DWMS</v>
      </c>
      <c r="G27" s="531"/>
      <c r="H27" s="536" t="str">
        <f>H26</f>
        <v>Program</v>
      </c>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7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8"/>
      <c r="BI27" s="187"/>
      <c r="BJ27" s="82">
        <f t="shared" ref="BJ27" si="48">SUMIF(I$8:BH$8, "&lt;&gt;"&amp;AgileIteration_Warranty,I27:BH27)*5*Scenario3Utilisation</f>
        <v>0</v>
      </c>
      <c r="BK27" s="82">
        <f t="shared" ref="BK27" si="49">BJ27*Scenario3AgileContingency</f>
        <v>0</v>
      </c>
      <c r="BL27" s="82">
        <f t="shared" ref="BL27" si="50">IF(Scenario3Warranty=AgileWarrantyDefault, (SUMIF(I$8:BH$8,AgileIteration_Warranty,I27:BH27)*5*Scenario3Utilisation), (BJ27*Scenario3Warranty))</f>
        <v>0</v>
      </c>
      <c r="BM27" s="127">
        <f t="shared" ref="BM27" si="51">SUM(BJ27:BL27)</f>
        <v>0</v>
      </c>
    </row>
    <row r="28" spans="1:65" s="142" customFormat="1" ht="11.25" x14ac:dyDescent="0.2">
      <c r="A28" s="208">
        <v>1</v>
      </c>
      <c r="B28" s="211" t="s">
        <v>593</v>
      </c>
      <c r="C28" s="205" t="s">
        <v>612</v>
      </c>
      <c r="D28" s="205" t="s">
        <v>612</v>
      </c>
      <c r="E28" s="413"/>
      <c r="F28" s="413"/>
      <c r="G28" s="413"/>
      <c r="H28" s="414"/>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193"/>
      <c r="BI28" s="202"/>
      <c r="BJ28" s="150"/>
      <c r="BK28" s="150"/>
      <c r="BL28" s="150"/>
      <c r="BM28" s="150"/>
    </row>
    <row r="29" spans="1:65" s="74" customFormat="1" ht="11.25" x14ac:dyDescent="0.2">
      <c r="A29" s="210">
        <v>2</v>
      </c>
      <c r="B29" s="211" t="s">
        <v>593</v>
      </c>
      <c r="C29" s="456" t="str">
        <f>IFERROR(VLOOKUP(D29,MappingFromSetAgiletoTTSRole,2,FALSE),"SET Agile Resource Role")</f>
        <v>Architect</v>
      </c>
      <c r="D29" s="398" t="s">
        <v>614</v>
      </c>
      <c r="E29" s="415"/>
      <c r="F29" s="529" t="str">
        <f>IFERROR(VLOOKUP(C29,MappingFromTTStoSU,2,FALSE),"SU Resource Role")</f>
        <v>DWMS</v>
      </c>
      <c r="G29" s="529"/>
      <c r="H29" s="535" t="str">
        <f>C28</f>
        <v>Project</v>
      </c>
      <c r="I29" s="179"/>
      <c r="J29" s="179"/>
      <c r="K29" s="179"/>
      <c r="L29" s="179"/>
      <c r="M29" s="179"/>
      <c r="N29" s="179"/>
      <c r="O29" s="179"/>
      <c r="P29" s="179"/>
      <c r="Q29" s="179"/>
      <c r="R29" s="179"/>
      <c r="S29" s="179"/>
      <c r="T29" s="179"/>
      <c r="U29" s="179"/>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80"/>
      <c r="BI29" s="187"/>
      <c r="BJ29" s="82">
        <f t="shared" ref="BJ29" si="52">SUMIF(I$8:BH$8, "&lt;&gt;"&amp;AgileIteration_Warranty,I29:BH29)*5*Scenario3Utilisation</f>
        <v>0</v>
      </c>
      <c r="BK29" s="82">
        <f t="shared" ref="BK29" si="53">BJ29*Scenario3AgileContingency</f>
        <v>0</v>
      </c>
      <c r="BL29" s="82">
        <f t="shared" ref="BL29" si="54">IF(Scenario3Warranty=AgileWarrantyDefault, (SUMIF(I$8:BH$8,AgileIteration_Warranty,I29:BH29)*5*Scenario3Utilisation), (BJ29*Scenario3Warranty))</f>
        <v>0</v>
      </c>
      <c r="BM29" s="127">
        <f>SUM(BJ29:BL29)</f>
        <v>0</v>
      </c>
    </row>
    <row r="30" spans="1:65" s="74" customFormat="1" ht="11.25" x14ac:dyDescent="0.2">
      <c r="A30" s="210">
        <v>2</v>
      </c>
      <c r="B30" s="211" t="s">
        <v>593</v>
      </c>
      <c r="C30" s="456" t="str">
        <f>IFERROR(VLOOKUP(D30,MappingFromSetAgiletoTTSRole,2,FALSE),"SET Agile Resource Role")</f>
        <v>Business Consultant Sr</v>
      </c>
      <c r="D30" s="398" t="s">
        <v>615</v>
      </c>
      <c r="E30" s="415"/>
      <c r="F30" s="529" t="str">
        <f>IFERROR(VLOOKUP(C30,MappingFromTTStoSU,2,FALSE),"SU Resource Role")</f>
        <v>DWMS</v>
      </c>
      <c r="G30" s="529"/>
      <c r="H30" s="535" t="str">
        <f>H29</f>
        <v>Project</v>
      </c>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80"/>
      <c r="BI30" s="187"/>
      <c r="BJ30" s="82">
        <f t="shared" ref="BJ30" si="55">SUMIF(I$8:BH$8, "&lt;&gt;"&amp;AgileIteration_Warranty,I30:BH30)*5*Scenario3Utilisation</f>
        <v>0</v>
      </c>
      <c r="BK30" s="82">
        <f t="shared" ref="BK30" si="56">BJ30*Scenario3AgileContingency</f>
        <v>0</v>
      </c>
      <c r="BL30" s="82">
        <f t="shared" ref="BL30" si="57">IF(Scenario3Warranty=AgileWarrantyDefault, (SUMIF(I$8:BH$8,AgileIteration_Warranty,I30:BH30)*5*Scenario3Utilisation), (BJ30*Scenario3Warranty))</f>
        <v>0</v>
      </c>
      <c r="BM30" s="127">
        <f>SUM(BJ30:BL30)</f>
        <v>0</v>
      </c>
    </row>
    <row r="31" spans="1:65" s="74" customFormat="1" ht="11.25" x14ac:dyDescent="0.2">
      <c r="A31" s="210">
        <v>2</v>
      </c>
      <c r="B31" s="211" t="s">
        <v>593</v>
      </c>
      <c r="C31" s="456" t="str">
        <f>IFERROR(VLOOKUP(D31,MappingFromSetAgiletoTTSRole,2,FALSE),"SET Agile Resource Role")</f>
        <v>Project Manager</v>
      </c>
      <c r="D31" s="398" t="s">
        <v>616</v>
      </c>
      <c r="E31" s="415"/>
      <c r="F31" s="529" t="str">
        <f>IFERROR(VLOOKUP(C31,MappingFromTTStoSU,2,FALSE),"SU Resource Role")</f>
        <v>DWMS</v>
      </c>
      <c r="G31" s="529"/>
      <c r="H31" s="535" t="str">
        <f>H30</f>
        <v>Project</v>
      </c>
      <c r="I31" s="179"/>
      <c r="J31" s="179"/>
      <c r="K31" s="179"/>
      <c r="L31" s="179"/>
      <c r="M31" s="179"/>
      <c r="N31" s="179"/>
      <c r="O31" s="179"/>
      <c r="P31" s="179"/>
      <c r="Q31" s="179"/>
      <c r="R31" s="179"/>
      <c r="S31" s="179"/>
      <c r="T31" s="179"/>
      <c r="U31" s="179"/>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80"/>
      <c r="BI31" s="187"/>
      <c r="BJ31" s="82">
        <f t="shared" ref="BJ31" si="58">SUMIF(I$8:BH$8, "&lt;&gt;"&amp;AgileIteration_Warranty,I31:BH31)*5*Scenario3Utilisation</f>
        <v>0</v>
      </c>
      <c r="BK31" s="82">
        <f t="shared" ref="BK31" si="59">BJ31*Scenario3AgileContingency</f>
        <v>0</v>
      </c>
      <c r="BL31" s="82">
        <f t="shared" ref="BL31" si="60">IF(Scenario3Warranty=AgileWarrantyDefault, (SUMIF(I$8:BH$8,AgileIteration_Warranty,I31:BH31)*5*Scenario3Utilisation), (BJ31*Scenario3Warranty))</f>
        <v>0</v>
      </c>
      <c r="BM31" s="127">
        <f>SUM(BJ31:BL31)</f>
        <v>0</v>
      </c>
    </row>
    <row r="32" spans="1:65" s="74" customFormat="1" ht="11.25" x14ac:dyDescent="0.2">
      <c r="A32" s="210">
        <v>2</v>
      </c>
      <c r="B32" s="211" t="s">
        <v>593</v>
      </c>
      <c r="C32" s="456" t="str">
        <f>IFERROR(VLOOKUP(D32,MappingFromSetAgiletoTTSRole,2,FALSE),"SET Agile Resource Role")</f>
        <v>Project Manager</v>
      </c>
      <c r="D32" s="398" t="s">
        <v>622</v>
      </c>
      <c r="E32" s="415"/>
      <c r="F32" s="529" t="str">
        <f>IFERROR(VLOOKUP(C32,MappingFromTTStoSU,2,FALSE),"SU Resource Role")</f>
        <v>DWMS</v>
      </c>
      <c r="G32" s="529"/>
      <c r="H32" s="535" t="str">
        <f>H29</f>
        <v>Project</v>
      </c>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80"/>
      <c r="BI32" s="187"/>
      <c r="BJ32" s="82">
        <f t="shared" ref="BJ32" si="61">SUMIF(I$8:BH$8, "&lt;&gt;"&amp;AgileIteration_Warranty,I32:BH32)*5*Scenario3Utilisation</f>
        <v>0</v>
      </c>
      <c r="BK32" s="82">
        <f t="shared" ref="BK32" si="62">BJ32*Scenario3AgileContingency</f>
        <v>0</v>
      </c>
      <c r="BL32" s="82">
        <f t="shared" ref="BL32" si="63">IF(Scenario3Warranty=AgileWarrantyDefault, (SUMIF(I$8:BH$8,AgileIteration_Warranty,I32:BH32)*5*Scenario3Utilisation), (BJ32*Scenario3Warranty))</f>
        <v>0</v>
      </c>
      <c r="BM32" s="127">
        <f>SUM(BJ32:BL32)</f>
        <v>0</v>
      </c>
    </row>
    <row r="33" spans="1:65" s="142" customFormat="1" ht="11.25" x14ac:dyDescent="0.2">
      <c r="A33" s="208">
        <v>1</v>
      </c>
      <c r="B33" s="211" t="s">
        <v>593</v>
      </c>
      <c r="C33" s="205" t="s">
        <v>627</v>
      </c>
      <c r="D33" s="205" t="s">
        <v>627</v>
      </c>
      <c r="E33" s="413"/>
      <c r="F33" s="413"/>
      <c r="G33" s="413"/>
      <c r="H33" s="414"/>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193"/>
      <c r="BI33" s="202"/>
      <c r="BJ33" s="150"/>
      <c r="BK33" s="150"/>
      <c r="BL33" s="150"/>
      <c r="BM33" s="150"/>
    </row>
    <row r="34" spans="1:65" s="74" customFormat="1" ht="11.25" x14ac:dyDescent="0.2">
      <c r="A34" s="210">
        <v>2</v>
      </c>
      <c r="B34" s="211" t="s">
        <v>593</v>
      </c>
      <c r="C34" s="456" t="s">
        <v>628</v>
      </c>
      <c r="D34" s="398" t="s">
        <v>629</v>
      </c>
      <c r="E34" s="415"/>
      <c r="F34" s="529" t="s">
        <v>627</v>
      </c>
      <c r="G34" s="529"/>
      <c r="H34" s="535" t="str">
        <f>C33</f>
        <v>Platform Engineering</v>
      </c>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80"/>
      <c r="BI34" s="187"/>
      <c r="BJ34" s="82">
        <f t="shared" ref="BJ34" si="64">SUMIF(I$8:BH$8, "&lt;&gt;"&amp;AgileIteration_Warranty,I34:BH34)*5*Scenario3Utilisation</f>
        <v>0</v>
      </c>
      <c r="BK34" s="82">
        <f t="shared" ref="BK34" si="65">BJ34*Scenario3AgileContingency</f>
        <v>0</v>
      </c>
      <c r="BL34" s="82">
        <f t="shared" ref="BL34" si="66">IF(Scenario3Warranty=AgileWarrantyDefault, (SUMIF(I$8:BH$8,AgileIteration_Warranty,I34:BH34)*5*Scenario3Utilisation), (BJ34*Scenario3Warranty))</f>
        <v>0</v>
      </c>
      <c r="BM34" s="127">
        <f>SUM(BJ34:BL34)</f>
        <v>0</v>
      </c>
    </row>
    <row r="35" spans="1:65" s="74" customFormat="1" ht="11.25" x14ac:dyDescent="0.2">
      <c r="A35" s="210">
        <v>2</v>
      </c>
      <c r="B35" s="211" t="s">
        <v>593</v>
      </c>
      <c r="C35" s="456" t="str">
        <f>IFERROR(VLOOKUP(D35,MappingFromSetAgiletoTTSRole,2,FALSE),"SET Agile Resource Role")</f>
        <v>Technical Consultant</v>
      </c>
      <c r="D35" s="398" t="s">
        <v>629</v>
      </c>
      <c r="E35" s="415"/>
      <c r="F35" s="529" t="s">
        <v>627</v>
      </c>
      <c r="G35" s="529"/>
      <c r="H35" s="535" t="str">
        <f>H34</f>
        <v>Platform Engineering</v>
      </c>
      <c r="I35" s="179"/>
      <c r="J35" s="179"/>
      <c r="K35" s="179"/>
      <c r="L35" s="179"/>
      <c r="M35" s="179"/>
      <c r="N35" s="179"/>
      <c r="O35" s="179"/>
      <c r="P35" s="179"/>
      <c r="Q35" s="179"/>
      <c r="R35" s="179"/>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80"/>
      <c r="BI35" s="187"/>
      <c r="BJ35" s="82">
        <f t="shared" ref="BJ35" si="67">SUMIF(I$8:BH$8, "&lt;&gt;"&amp;AgileIteration_Warranty,I35:BH35)*5*Scenario3Utilisation</f>
        <v>0</v>
      </c>
      <c r="BK35" s="82">
        <f t="shared" ref="BK35" si="68">BJ35*Scenario3AgileContingency</f>
        <v>0</v>
      </c>
      <c r="BL35" s="82">
        <f t="shared" ref="BL35" si="69">IF(Scenario3Warranty=AgileWarrantyDefault, (SUMIF(I$8:BH$8,AgileIteration_Warranty,I35:BH35)*5*Scenario3Utilisation), (BJ35*Scenario3Warranty))</f>
        <v>0</v>
      </c>
      <c r="BM35" s="127">
        <f>SUM(BJ35:BL35)</f>
        <v>0</v>
      </c>
    </row>
    <row r="36" spans="1:65" s="74" customFormat="1" ht="11.25" x14ac:dyDescent="0.2">
      <c r="A36" s="210">
        <v>2</v>
      </c>
      <c r="B36" s="211" t="s">
        <v>593</v>
      </c>
      <c r="C36" s="456" t="str">
        <f>IFERROR(VLOOKUP(D36,MappingFromSetAgiletoTTSRole,2,FALSE),"SET Agile Resource Role")</f>
        <v>Technical Consultant</v>
      </c>
      <c r="D36" s="398" t="s">
        <v>631</v>
      </c>
      <c r="E36" s="415"/>
      <c r="F36" s="529" t="s">
        <v>627</v>
      </c>
      <c r="G36" s="529"/>
      <c r="H36" s="535" t="str">
        <f>H34</f>
        <v>Platform Engineering</v>
      </c>
      <c r="I36" s="179"/>
      <c r="J36" s="179"/>
      <c r="K36" s="179"/>
      <c r="L36" s="179"/>
      <c r="M36" s="179"/>
      <c r="N36" s="179"/>
      <c r="O36" s="179"/>
      <c r="P36" s="179"/>
      <c r="Q36" s="179"/>
      <c r="R36" s="179"/>
      <c r="S36" s="179"/>
      <c r="T36" s="179"/>
      <c r="U36" s="179"/>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80"/>
      <c r="BI36" s="187"/>
      <c r="BJ36" s="82">
        <f t="shared" ref="BJ36" si="70">SUMIF(I$8:BH$8, "&lt;&gt;"&amp;AgileIteration_Warranty,I36:BH36)*5*Scenario3Utilisation</f>
        <v>0</v>
      </c>
      <c r="BK36" s="82">
        <f t="shared" ref="BK36" si="71">BJ36*Scenario3AgileContingency</f>
        <v>0</v>
      </c>
      <c r="BL36" s="82">
        <f t="shared" ref="BL36" si="72">IF(Scenario3Warranty=AgileWarrantyDefault, (SUMIF(I$8:BH$8,AgileIteration_Warranty,I36:BH36)*5*Scenario3Utilisation), (BJ36*Scenario3Warranty))</f>
        <v>0</v>
      </c>
      <c r="BM36" s="127">
        <f>SUM(BJ36:BL36)</f>
        <v>0</v>
      </c>
    </row>
    <row r="37" spans="1:65" s="142" customFormat="1" ht="11.25" x14ac:dyDescent="0.2">
      <c r="A37" s="208">
        <v>1</v>
      </c>
      <c r="B37" s="211" t="s">
        <v>593</v>
      </c>
      <c r="C37" s="205" t="s">
        <v>632</v>
      </c>
      <c r="D37" s="205" t="s">
        <v>632</v>
      </c>
      <c r="E37" s="413"/>
      <c r="F37" s="413"/>
      <c r="G37" s="413"/>
      <c r="H37" s="414"/>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193"/>
      <c r="BI37" s="202"/>
      <c r="BJ37" s="150"/>
      <c r="BK37" s="150"/>
      <c r="BL37" s="150"/>
      <c r="BM37" s="150"/>
    </row>
    <row r="38" spans="1:65" s="74" customFormat="1" ht="11.25" x14ac:dyDescent="0.2">
      <c r="A38" s="210">
        <v>2</v>
      </c>
      <c r="B38" s="211" t="s">
        <v>593</v>
      </c>
      <c r="C38" s="456" t="str">
        <f>IFERROR(VLOOKUP(D38,MappingFromSetAgiletoTTSRole,2,FALSE),"SET Agile Resource Role")</f>
        <v>Test Consultant</v>
      </c>
      <c r="D38" s="398" t="s">
        <v>633</v>
      </c>
      <c r="E38" s="415"/>
      <c r="F38" s="529" t="str">
        <f>IFERROR(VLOOKUP(C38,MappingFromTTStoSU,2,FALSE),"SU Resource Role")</f>
        <v>DWMS</v>
      </c>
      <c r="G38" s="529"/>
      <c r="H38" s="535" t="str">
        <f>C37</f>
        <v>PI0</v>
      </c>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80"/>
      <c r="BI38" s="187"/>
      <c r="BJ38" s="82">
        <f t="shared" ref="BJ38" si="73">SUMIF(I$8:BH$8, "&lt;&gt;"&amp;AgileIteration_Warranty,I38:BH38)*5*Scenario3Utilisation</f>
        <v>0</v>
      </c>
      <c r="BK38" s="82">
        <f t="shared" ref="BK38" si="74">BJ38*Scenario3AgileContingency</f>
        <v>0</v>
      </c>
      <c r="BL38" s="82">
        <f t="shared" ref="BL38" si="75">IF(Scenario3Warranty=AgileWarrantyDefault, (SUMIF(I$8:BH$8,AgileIteration_Warranty,I38:BH38)*5*Scenario3Utilisation), (BJ38*Scenario3Warranty))</f>
        <v>0</v>
      </c>
      <c r="BM38" s="127">
        <f>SUM(BJ38:BL38)</f>
        <v>0</v>
      </c>
    </row>
    <row r="39" spans="1:65" s="74" customFormat="1" ht="11.25" x14ac:dyDescent="0.2">
      <c r="A39" s="210">
        <v>2</v>
      </c>
      <c r="B39" s="211" t="s">
        <v>593</v>
      </c>
      <c r="C39" s="456" t="str">
        <f>IFERROR(VLOOKUP(D39,MappingFromSetAgiletoTTSRole,2,FALSE),"SET Agile Resource Role")</f>
        <v>Test Consultant Sr</v>
      </c>
      <c r="D39" s="398" t="s">
        <v>634</v>
      </c>
      <c r="E39" s="415"/>
      <c r="F39" s="529" t="str">
        <f>IFERROR(VLOOKUP(C39,MappingFromTTStoSU,2,FALSE),"SU Resource Role")</f>
        <v>DWMS</v>
      </c>
      <c r="G39" s="529"/>
      <c r="H39" s="535" t="str">
        <f>H38</f>
        <v>PI0</v>
      </c>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80"/>
      <c r="BI39" s="187"/>
      <c r="BJ39" s="82">
        <f t="shared" ref="BJ39" si="76">SUMIF(I$8:BH$8, "&lt;&gt;"&amp;AgileIteration_Warranty,I39:BH39)*5*Scenario3Utilisation</f>
        <v>0</v>
      </c>
      <c r="BK39" s="82">
        <f t="shared" ref="BK39" si="77">BJ39*Scenario3AgileContingency</f>
        <v>0</v>
      </c>
      <c r="BL39" s="82">
        <f t="shared" ref="BL39" si="78">IF(Scenario3Warranty=AgileWarrantyDefault, (SUMIF(I$8:BH$8,AgileIteration_Warranty,I39:BH39)*5*Scenario3Utilisation), (BJ39*Scenario3Warranty))</f>
        <v>0</v>
      </c>
      <c r="BM39" s="127">
        <f>SUM(BJ39:BL39)</f>
        <v>0</v>
      </c>
    </row>
    <row r="40" spans="1:65" s="74" customFormat="1" ht="11.25" x14ac:dyDescent="0.2">
      <c r="A40" s="210">
        <v>2</v>
      </c>
      <c r="B40" s="211" t="s">
        <v>593</v>
      </c>
      <c r="C40" s="456" t="s">
        <v>635</v>
      </c>
      <c r="D40" s="398" t="s">
        <v>636</v>
      </c>
      <c r="E40" s="415"/>
      <c r="F40" s="529" t="str">
        <f>IFERROR(VLOOKUP(C40,MappingFromTTStoSU,2,FALSE),"SU Resource Role")</f>
        <v>DWMS</v>
      </c>
      <c r="G40" s="529"/>
      <c r="H40" s="535" t="str">
        <f>H39</f>
        <v>PI0</v>
      </c>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80"/>
      <c r="BI40" s="187"/>
      <c r="BJ40" s="82">
        <f t="shared" ref="BJ40" si="79">SUMIF(I$8:BH$8, "&lt;&gt;"&amp;AgileIteration_Warranty,I40:BH40)*5*Scenario3Utilisation</f>
        <v>0</v>
      </c>
      <c r="BK40" s="82">
        <f t="shared" ref="BK40" si="80">BJ40*Scenario3AgileContingency</f>
        <v>0</v>
      </c>
      <c r="BL40" s="82">
        <f t="shared" ref="BL40" si="81">IF(Scenario3Warranty=AgileWarrantyDefault, (SUMIF(I$8:BH$8,AgileIteration_Warranty,I40:BH40)*5*Scenario3Utilisation), (BJ40*Scenario3Warranty))</f>
        <v>0</v>
      </c>
      <c r="BM40" s="127">
        <f>SUM(BJ40:BL40)</f>
        <v>0</v>
      </c>
    </row>
    <row r="41" spans="1:65" s="142" customFormat="1" ht="13.5" customHeight="1" x14ac:dyDescent="0.2">
      <c r="A41" s="208">
        <v>1</v>
      </c>
      <c r="B41" s="211" t="s">
        <v>593</v>
      </c>
      <c r="C41" s="549" t="s">
        <v>637</v>
      </c>
      <c r="D41" s="549" t="s">
        <v>637</v>
      </c>
      <c r="E41" s="549"/>
      <c r="F41" s="551"/>
      <c r="G41" s="551"/>
      <c r="H41" s="552"/>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193"/>
      <c r="BI41" s="202"/>
      <c r="BJ41" s="150"/>
      <c r="BK41" s="150"/>
      <c r="BL41" s="150"/>
      <c r="BM41" s="150"/>
    </row>
    <row r="42" spans="1:65" s="74" customFormat="1" ht="11.25" x14ac:dyDescent="0.2">
      <c r="A42" s="210">
        <v>2</v>
      </c>
      <c r="B42" s="211" t="s">
        <v>593</v>
      </c>
      <c r="C42" s="456" t="str">
        <f>IFERROR(VLOOKUP(D42,MappingFromSetAgiletoTTSRole,2,FALSE),"SET Agile Resource Role")</f>
        <v>Test Consultant</v>
      </c>
      <c r="D42" s="398" t="s">
        <v>633</v>
      </c>
      <c r="E42" s="415"/>
      <c r="F42" s="529" t="str">
        <f>IFERROR(VLOOKUP(C42,MappingFromTTStoSU,2,FALSE),"SU Resource Role")</f>
        <v>DWMS</v>
      </c>
      <c r="G42" s="529"/>
      <c r="H42" s="535" t="str">
        <f>C41</f>
        <v>Automation</v>
      </c>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80"/>
      <c r="BI42" s="187"/>
      <c r="BJ42" s="82">
        <f t="shared" ref="BJ42" si="82">SUMIF(I$8:BH$8, "&lt;&gt;"&amp;AgileIteration_Warranty,I42:BH42)*5*Scenario3Utilisation</f>
        <v>0</v>
      </c>
      <c r="BK42" s="82">
        <f t="shared" ref="BK42" si="83">BJ42*Scenario3AgileContingency</f>
        <v>0</v>
      </c>
      <c r="BL42" s="82">
        <f t="shared" ref="BL42" si="84">IF(Scenario3Warranty=AgileWarrantyDefault, (SUMIF(I$8:BH$8,AgileIteration_Warranty,I42:BH42)*5*Scenario3Utilisation), (BJ42*Scenario3Warranty))</f>
        <v>0</v>
      </c>
      <c r="BM42" s="127">
        <f>SUM(BJ42:BL42)</f>
        <v>0</v>
      </c>
    </row>
    <row r="43" spans="1:65" s="74" customFormat="1" ht="11.25" x14ac:dyDescent="0.2">
      <c r="A43" s="210">
        <v>2</v>
      </c>
      <c r="B43" s="211" t="s">
        <v>593</v>
      </c>
      <c r="C43" s="456" t="str">
        <f>IFERROR(VLOOKUP(D43,MappingFromSetAgiletoTTSRole,2,FALSE),"SET Agile Resource Role")</f>
        <v>Test Consultant Sr</v>
      </c>
      <c r="D43" s="398" t="s">
        <v>634</v>
      </c>
      <c r="E43" s="415"/>
      <c r="F43" s="529" t="str">
        <f>IFERROR(VLOOKUP(C43,MappingFromTTStoSU,2,FALSE),"SU Resource Role")</f>
        <v>DWMS</v>
      </c>
      <c r="G43" s="529"/>
      <c r="H43" s="535" t="str">
        <f>H42</f>
        <v>Automation</v>
      </c>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80"/>
      <c r="BI43" s="187"/>
      <c r="BJ43" s="82">
        <f t="shared" ref="BJ43" si="85">SUMIF(I$8:BH$8, "&lt;&gt;"&amp;AgileIteration_Warranty,I43:BH43)*5*Scenario3Utilisation</f>
        <v>0</v>
      </c>
      <c r="BK43" s="82">
        <f t="shared" ref="BK43" si="86">BJ43*Scenario3AgileContingency</f>
        <v>0</v>
      </c>
      <c r="BL43" s="82">
        <f t="shared" ref="BL43" si="87">IF(Scenario3Warranty=AgileWarrantyDefault, (SUMIF(I$8:BH$8,AgileIteration_Warranty,I43:BH43)*5*Scenario3Utilisation), (BJ43*Scenario3Warranty))</f>
        <v>0</v>
      </c>
      <c r="BM43" s="127">
        <f>SUM(BJ43:BL43)</f>
        <v>0</v>
      </c>
    </row>
    <row r="44" spans="1:65" s="74" customFormat="1" ht="11.25" x14ac:dyDescent="0.2">
      <c r="A44" s="210">
        <v>1</v>
      </c>
      <c r="B44" s="211" t="s">
        <v>734</v>
      </c>
      <c r="C44" s="206" t="s">
        <v>640</v>
      </c>
      <c r="D44" s="206" t="s">
        <v>640</v>
      </c>
      <c r="E44" s="418"/>
      <c r="F44" s="418"/>
      <c r="G44" s="418"/>
      <c r="H44" s="419"/>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185"/>
      <c r="BI44" s="187"/>
      <c r="BJ44" s="127"/>
      <c r="BK44" s="127"/>
      <c r="BL44" s="127"/>
      <c r="BM44" s="127"/>
    </row>
    <row r="45" spans="1:65" s="74" customFormat="1" ht="11.25" x14ac:dyDescent="0.2">
      <c r="A45" s="581">
        <v>2</v>
      </c>
      <c r="B45" s="584" t="s">
        <v>734</v>
      </c>
      <c r="C45" s="456" t="str">
        <f>IFERROR(VLOOKUP(D45,MappingFromSetAgiletoTTSRole,2,FALSE),"SET Agile Resource Role")</f>
        <v>Project Manager</v>
      </c>
      <c r="D45" s="398" t="s">
        <v>650</v>
      </c>
      <c r="E45" s="415"/>
      <c r="F45" s="529" t="s">
        <v>607</v>
      </c>
      <c r="G45" s="529"/>
      <c r="H45" s="537" t="str">
        <f>C44</f>
        <v>Data Migration</v>
      </c>
      <c r="I45" s="179"/>
      <c r="J45" s="179"/>
      <c r="K45" s="179"/>
      <c r="L45" s="179"/>
      <c r="M45" s="179"/>
      <c r="N45" s="179"/>
      <c r="O45" s="179"/>
      <c r="P45" s="179"/>
      <c r="Q45" s="181"/>
      <c r="R45" s="181"/>
      <c r="S45" s="181"/>
      <c r="T45" s="181"/>
      <c r="U45" s="181"/>
      <c r="V45" s="181"/>
      <c r="W45" s="181"/>
      <c r="X45" s="181"/>
      <c r="Y45" s="181"/>
      <c r="Z45" s="181"/>
      <c r="AA45" s="181"/>
      <c r="AB45" s="181"/>
      <c r="AC45" s="181"/>
      <c r="AD45" s="181"/>
      <c r="AE45" s="181"/>
      <c r="AF45" s="181"/>
      <c r="AG45" s="181"/>
      <c r="AH45" s="181"/>
      <c r="AI45" s="181"/>
      <c r="AJ45" s="181"/>
      <c r="AK45" s="181"/>
      <c r="AL45" s="181"/>
      <c r="AM45" s="181"/>
      <c r="AN45" s="181"/>
      <c r="AO45" s="179"/>
      <c r="AP45" s="179"/>
      <c r="AQ45" s="179"/>
      <c r="AR45" s="179"/>
      <c r="AS45" s="179"/>
      <c r="AT45" s="179"/>
      <c r="AU45" s="179"/>
      <c r="AV45" s="179"/>
      <c r="AW45" s="179"/>
      <c r="AX45" s="179"/>
      <c r="AY45" s="179"/>
      <c r="AZ45" s="179"/>
      <c r="BA45" s="179"/>
      <c r="BB45" s="179"/>
      <c r="BC45" s="179"/>
      <c r="BD45" s="179"/>
      <c r="BE45" s="179"/>
      <c r="BF45" s="179"/>
      <c r="BG45" s="179"/>
      <c r="BH45" s="583"/>
      <c r="BI45" s="187"/>
      <c r="BJ45" s="82">
        <f>SUMIF(I$8:BH$8, "&lt;&gt;"&amp;AgileIteration_Warranty,I45:BH45)*5*Scenario3Utilisation</f>
        <v>0</v>
      </c>
      <c r="BK45" s="82">
        <f t="shared" si="7"/>
        <v>0</v>
      </c>
      <c r="BL45" s="82">
        <f>IF(Scenario3Warranty=AgileWarrantyDefault, (SUMIF(I$8:BH$8,AgileIteration_Warranty,I45:BH45)*5*Scenario3Utilisation), (BJ45*Scenario3Warranty))</f>
        <v>0</v>
      </c>
      <c r="BM45" s="127">
        <f t="shared" si="9"/>
        <v>0</v>
      </c>
    </row>
    <row r="46" spans="1:65" s="74" customFormat="1" ht="11.25" x14ac:dyDescent="0.2">
      <c r="A46" s="210">
        <v>2</v>
      </c>
      <c r="B46" s="211" t="s">
        <v>734</v>
      </c>
      <c r="C46" s="456" t="str">
        <f>IFERROR(VLOOKUP(D46,MappingFromSetAgiletoTTSRole,2,FALSE),"SET Agile Resource Role")</f>
        <v>Architect</v>
      </c>
      <c r="D46" s="398" t="s">
        <v>726</v>
      </c>
      <c r="E46" s="415"/>
      <c r="F46" s="529" t="str">
        <f>IFERROR(VLOOKUP(C46,MappingFromTTStoSU,2,FALSE),"SU Resource Role")</f>
        <v>DWMS</v>
      </c>
      <c r="G46" s="529"/>
      <c r="H46" s="537" t="str">
        <f>H45</f>
        <v>Data Migration</v>
      </c>
      <c r="I46" s="179"/>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81"/>
      <c r="AL46" s="181"/>
      <c r="AM46" s="181"/>
      <c r="AN46" s="181"/>
      <c r="AO46" s="179"/>
      <c r="AP46" s="179"/>
      <c r="AQ46" s="179"/>
      <c r="AR46" s="179"/>
      <c r="AS46" s="179"/>
      <c r="AT46" s="179"/>
      <c r="AU46" s="179"/>
      <c r="AV46" s="179"/>
      <c r="AW46" s="179"/>
      <c r="AX46" s="179"/>
      <c r="AY46" s="179"/>
      <c r="AZ46" s="179"/>
      <c r="BA46" s="179"/>
      <c r="BB46" s="179"/>
      <c r="BC46" s="179"/>
      <c r="BD46" s="179"/>
      <c r="BE46" s="179"/>
      <c r="BF46" s="179"/>
      <c r="BG46" s="179"/>
      <c r="BH46" s="180"/>
      <c r="BI46" s="187"/>
      <c r="BJ46" s="82">
        <f>SUMIF(I$8:BH$8, "&lt;&gt;"&amp;AgileIteration_Warranty,I46:BH46)*5*Scenario3Utilisation</f>
        <v>0</v>
      </c>
      <c r="BK46" s="82">
        <f t="shared" ref="BK46" si="88">BJ46*Scenario3AgileContingency</f>
        <v>0</v>
      </c>
      <c r="BL46" s="82">
        <f>IF(Scenario3Warranty=AgileWarrantyDefault, (SUMIF(I$8:BH$8,AgileIteration_Warranty,I46:BH46)*5*Scenario3Utilisation), (BJ46*Scenario3Warranty))</f>
        <v>0</v>
      </c>
      <c r="BM46" s="127">
        <f t="shared" ref="BM46" si="89">SUM(BJ46:BL46)</f>
        <v>0</v>
      </c>
    </row>
    <row r="47" spans="1:65" s="74" customFormat="1" ht="11.25" x14ac:dyDescent="0.2">
      <c r="A47" s="210">
        <v>2</v>
      </c>
      <c r="B47" s="211" t="s">
        <v>734</v>
      </c>
      <c r="C47" s="456" t="s">
        <v>635</v>
      </c>
      <c r="D47" s="398" t="s">
        <v>727</v>
      </c>
      <c r="E47" s="415"/>
      <c r="F47" s="529" t="str">
        <f>IFERROR(VLOOKUP(C47,MappingFromTTStoSU,2,FALSE),"SU Resource Role")</f>
        <v>DWMS</v>
      </c>
      <c r="G47" s="529"/>
      <c r="H47" s="537" t="str">
        <f>H45</f>
        <v>Data Migration</v>
      </c>
      <c r="I47" s="179"/>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81"/>
      <c r="AL47" s="181"/>
      <c r="AM47" s="181"/>
      <c r="AN47" s="181"/>
      <c r="AO47" s="179"/>
      <c r="AP47" s="179"/>
      <c r="AQ47" s="179"/>
      <c r="AR47" s="179"/>
      <c r="AS47" s="179"/>
      <c r="AT47" s="179"/>
      <c r="AU47" s="179"/>
      <c r="AV47" s="179"/>
      <c r="AW47" s="179"/>
      <c r="AX47" s="179"/>
      <c r="AY47" s="179"/>
      <c r="AZ47" s="179"/>
      <c r="BA47" s="179"/>
      <c r="BB47" s="179"/>
      <c r="BC47" s="179"/>
      <c r="BD47" s="179"/>
      <c r="BE47" s="179"/>
      <c r="BF47" s="179"/>
      <c r="BG47" s="179"/>
      <c r="BH47" s="180"/>
      <c r="BI47" s="187"/>
      <c r="BJ47" s="82">
        <f>SUMIF(I$8:BH$8, "&lt;&gt;"&amp;AgileIteration_Warranty,I47:BH47)*5*Scenario3Utilisation</f>
        <v>0</v>
      </c>
      <c r="BK47" s="82">
        <f t="shared" ref="BK47" si="90">BJ47*Scenario3AgileContingency</f>
        <v>0</v>
      </c>
      <c r="BL47" s="82">
        <f>IF(Scenario3Warranty=AgileWarrantyDefault, (SUMIF(I$8:BH$8,AgileIteration_Warranty,I47:BH47)*5*Scenario3Utilisation), (BJ47*Scenario3Warranty))</f>
        <v>0</v>
      </c>
      <c r="BM47" s="127">
        <f t="shared" ref="BM47" si="91">SUM(BJ47:BL47)</f>
        <v>0</v>
      </c>
    </row>
    <row r="48" spans="1:65" s="74" customFormat="1" ht="11.25" x14ac:dyDescent="0.2">
      <c r="A48" s="210">
        <v>2</v>
      </c>
      <c r="B48" s="211" t="s">
        <v>734</v>
      </c>
      <c r="C48" s="456" t="str">
        <f>IFERROR(VLOOKUP(D48,MappingFromSetAgiletoTTSRole,2,FALSE),"SET Agile Resource Role")</f>
        <v>Software Developer</v>
      </c>
      <c r="D48" s="400" t="s">
        <v>728</v>
      </c>
      <c r="E48" s="417"/>
      <c r="F48" s="531" t="s">
        <v>607</v>
      </c>
      <c r="G48" s="531"/>
      <c r="H48" s="538" t="str">
        <f>H45</f>
        <v>Data Migration</v>
      </c>
      <c r="I48" s="176"/>
      <c r="J48" s="176"/>
      <c r="K48" s="176"/>
      <c r="L48" s="176"/>
      <c r="M48" s="176"/>
      <c r="N48" s="176"/>
      <c r="O48" s="176"/>
      <c r="P48" s="176"/>
      <c r="Q48" s="176"/>
      <c r="R48" s="177"/>
      <c r="S48" s="177"/>
      <c r="T48" s="177"/>
      <c r="U48" s="177"/>
      <c r="V48" s="177"/>
      <c r="W48" s="177"/>
      <c r="X48" s="177"/>
      <c r="Y48" s="177"/>
      <c r="Z48" s="177"/>
      <c r="AA48" s="177"/>
      <c r="AB48" s="177"/>
      <c r="AC48" s="177"/>
      <c r="AD48" s="177"/>
      <c r="AE48" s="177"/>
      <c r="AF48" s="177"/>
      <c r="AG48" s="177"/>
      <c r="AH48" s="177"/>
      <c r="AI48" s="177"/>
      <c r="AJ48" s="177"/>
      <c r="AK48" s="177"/>
      <c r="AL48" s="177"/>
      <c r="AM48" s="177"/>
      <c r="AN48" s="177"/>
      <c r="AO48" s="176"/>
      <c r="AP48" s="176"/>
      <c r="AQ48" s="176"/>
      <c r="AR48" s="176"/>
      <c r="AS48" s="176"/>
      <c r="AT48" s="176"/>
      <c r="AU48" s="176"/>
      <c r="AV48" s="176"/>
      <c r="AW48" s="176"/>
      <c r="AX48" s="176"/>
      <c r="AY48" s="176"/>
      <c r="AZ48" s="176"/>
      <c r="BA48" s="176"/>
      <c r="BB48" s="176"/>
      <c r="BC48" s="176"/>
      <c r="BD48" s="176"/>
      <c r="BE48" s="176"/>
      <c r="BF48" s="176"/>
      <c r="BG48" s="176"/>
      <c r="BH48" s="178"/>
      <c r="BI48" s="187"/>
      <c r="BJ48" s="82">
        <f>SUMIF(I$8:BH$8, "&lt;&gt;"&amp;AgileIteration_Warranty,I48:BH48)*5*Scenario3Utilisation</f>
        <v>0</v>
      </c>
      <c r="BK48" s="82">
        <f t="shared" si="7"/>
        <v>0</v>
      </c>
      <c r="BL48" s="82">
        <f>IF(Scenario3Warranty=AgileWarrantyDefault, (SUMIF(I$8:BH$8,AgileIteration_Warranty,I48:BH48)*5*Scenario3Utilisation), (BJ48*Scenario3Warranty))</f>
        <v>0</v>
      </c>
      <c r="BM48" s="127">
        <f t="shared" si="9"/>
        <v>0</v>
      </c>
    </row>
    <row r="49" spans="1:65" s="74" customFormat="1" ht="11.25" x14ac:dyDescent="0.2">
      <c r="A49" s="210">
        <v>1</v>
      </c>
      <c r="B49" s="211" t="s">
        <v>734</v>
      </c>
      <c r="C49" s="206" t="s">
        <v>652</v>
      </c>
      <c r="D49" s="206" t="s">
        <v>652</v>
      </c>
      <c r="E49" s="418"/>
      <c r="F49" s="418"/>
      <c r="G49" s="418"/>
      <c r="H49" s="419"/>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185"/>
      <c r="BI49" s="187"/>
      <c r="BJ49" s="127"/>
      <c r="BK49" s="127"/>
      <c r="BL49" s="127"/>
      <c r="BM49" s="127"/>
    </row>
    <row r="50" spans="1:65" s="74" customFormat="1" ht="11.25" x14ac:dyDescent="0.2">
      <c r="A50" s="210">
        <v>2</v>
      </c>
      <c r="B50" s="211" t="s">
        <v>734</v>
      </c>
      <c r="C50" s="456" t="str">
        <f>IFERROR(VLOOKUP(D50,MappingFromSetAgiletoTTSRole,2,FALSE),"SET Agile Resource Role")</f>
        <v>Architect Sr</v>
      </c>
      <c r="D50" s="398" t="s">
        <v>606</v>
      </c>
      <c r="E50" s="415"/>
      <c r="F50" s="529" t="str">
        <f>IFERROR(VLOOKUP(C50,MappingFromTTStoSU,2,FALSE),"SU Resource Role")</f>
        <v>DWMS</v>
      </c>
      <c r="G50" s="529"/>
      <c r="H50" s="537" t="str">
        <f>C49</f>
        <v>Integration</v>
      </c>
      <c r="I50" s="179"/>
      <c r="J50" s="179"/>
      <c r="K50" s="179"/>
      <c r="L50" s="179"/>
      <c r="M50" s="179"/>
      <c r="N50" s="179"/>
      <c r="O50" s="179"/>
      <c r="P50" s="179"/>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79"/>
      <c r="AP50" s="179"/>
      <c r="AQ50" s="179"/>
      <c r="AR50" s="179"/>
      <c r="AS50" s="179"/>
      <c r="AT50" s="179"/>
      <c r="AU50" s="179"/>
      <c r="AV50" s="179"/>
      <c r="AW50" s="179"/>
      <c r="AX50" s="179"/>
      <c r="AY50" s="179"/>
      <c r="AZ50" s="179"/>
      <c r="BA50" s="179"/>
      <c r="BB50" s="179"/>
      <c r="BC50" s="179"/>
      <c r="BD50" s="179"/>
      <c r="BE50" s="179"/>
      <c r="BF50" s="179"/>
      <c r="BG50" s="179"/>
      <c r="BH50" s="180"/>
      <c r="BI50" s="187"/>
      <c r="BJ50" s="82">
        <f>SUMIF(I$8:BH$8, "&lt;&gt;"&amp;AgileIteration_Warranty,I50:BH50)*5*Scenario3Utilisation</f>
        <v>0</v>
      </c>
      <c r="BK50" s="82">
        <f t="shared" ref="BK50" si="92">BJ50*Scenario3AgileContingency</f>
        <v>0</v>
      </c>
      <c r="BL50" s="82">
        <f>IF(Scenario3Warranty=AgileWarrantyDefault, (SUMIF(I$8:BH$8,AgileIteration_Warranty,I50:BH50)*5*Scenario3Utilisation), (BJ50*Scenario3Warranty))</f>
        <v>0</v>
      </c>
      <c r="BM50" s="127">
        <f t="shared" ref="BM50" si="93">SUM(BJ50:BL50)</f>
        <v>0</v>
      </c>
    </row>
    <row r="51" spans="1:65" s="74" customFormat="1" ht="11.25" x14ac:dyDescent="0.2">
      <c r="A51" s="210">
        <v>2</v>
      </c>
      <c r="B51" s="211" t="s">
        <v>734</v>
      </c>
      <c r="C51" s="456" t="str">
        <f>IFERROR(VLOOKUP(D51,MappingFromSetAgiletoTTSRole,2,FALSE),"SET Agile Resource Role")</f>
        <v>Project Manager</v>
      </c>
      <c r="D51" s="398" t="s">
        <v>599</v>
      </c>
      <c r="E51" s="415"/>
      <c r="F51" s="529" t="str">
        <f>IFERROR(VLOOKUP(C51,MappingFromTTStoSU,2,FALSE),"SU Resource Role")</f>
        <v>DWMS</v>
      </c>
      <c r="G51" s="529"/>
      <c r="H51" s="537" t="str">
        <f>H50</f>
        <v>Integration</v>
      </c>
      <c r="I51" s="179"/>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79"/>
      <c r="AP51" s="179"/>
      <c r="AQ51" s="179"/>
      <c r="AR51" s="179"/>
      <c r="AS51" s="179"/>
      <c r="AT51" s="179"/>
      <c r="AU51" s="179"/>
      <c r="AV51" s="179"/>
      <c r="AW51" s="179"/>
      <c r="AX51" s="179"/>
      <c r="AY51" s="179"/>
      <c r="AZ51" s="179"/>
      <c r="BA51" s="179"/>
      <c r="BB51" s="179"/>
      <c r="BC51" s="179"/>
      <c r="BD51" s="179"/>
      <c r="BE51" s="179"/>
      <c r="BF51" s="179"/>
      <c r="BG51" s="179"/>
      <c r="BH51" s="180"/>
      <c r="BI51" s="187"/>
      <c r="BJ51" s="82">
        <f>SUMIF(I$8:BH$8, "&lt;&gt;"&amp;AgileIteration_Warranty,I51:BH51)*5*Scenario3Utilisation</f>
        <v>0</v>
      </c>
      <c r="BK51" s="82">
        <f t="shared" ref="BK51" si="94">BJ51*Scenario3AgileContingency</f>
        <v>0</v>
      </c>
      <c r="BL51" s="82">
        <f>IF(Scenario3Warranty=AgileWarrantyDefault, (SUMIF(I$8:BH$8,AgileIteration_Warranty,I51:BH51)*5*Scenario3Utilisation), (BJ51*Scenario3Warranty))</f>
        <v>0</v>
      </c>
      <c r="BM51" s="127">
        <f t="shared" ref="BM51" si="95">SUM(BJ51:BL51)</f>
        <v>0</v>
      </c>
    </row>
    <row r="52" spans="1:65" s="74" customFormat="1" ht="11.25" x14ac:dyDescent="0.2">
      <c r="A52" s="210">
        <v>2</v>
      </c>
      <c r="B52" s="211" t="s">
        <v>734</v>
      </c>
      <c r="C52" s="456" t="str">
        <f>IFERROR(VLOOKUP(D52,MappingFromSetAgiletoTTSRole,2,FALSE),"SET Agile Resource Role")</f>
        <v>Business Consultant</v>
      </c>
      <c r="D52" s="398" t="s">
        <v>584</v>
      </c>
      <c r="E52" s="415"/>
      <c r="F52" s="529" t="str">
        <f>IFERROR(VLOOKUP(C52,MappingFromTTStoSU,2,FALSE),"SU Resource Role")</f>
        <v>DWMS</v>
      </c>
      <c r="G52" s="529"/>
      <c r="H52" s="537" t="str">
        <f>H51</f>
        <v>Integration</v>
      </c>
      <c r="I52" s="179"/>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81"/>
      <c r="AO52" s="179"/>
      <c r="AP52" s="179"/>
      <c r="AQ52" s="179"/>
      <c r="AR52" s="179"/>
      <c r="AS52" s="179"/>
      <c r="AT52" s="179"/>
      <c r="AU52" s="179"/>
      <c r="AV52" s="179"/>
      <c r="AW52" s="179"/>
      <c r="AX52" s="179"/>
      <c r="AY52" s="179"/>
      <c r="AZ52" s="179"/>
      <c r="BA52" s="179"/>
      <c r="BB52" s="179"/>
      <c r="BC52" s="179"/>
      <c r="BD52" s="179"/>
      <c r="BE52" s="179"/>
      <c r="BF52" s="179"/>
      <c r="BG52" s="179"/>
      <c r="BH52" s="180"/>
      <c r="BI52" s="187"/>
      <c r="BJ52" s="82">
        <f>SUMIF(I$8:BH$8, "&lt;&gt;"&amp;AgileIteration_Warranty,I52:BH52)*5*Scenario3Utilisation</f>
        <v>0</v>
      </c>
      <c r="BK52" s="82">
        <f t="shared" ref="BK52" si="96">BJ52*Scenario3AgileContingency</f>
        <v>0</v>
      </c>
      <c r="BL52" s="82">
        <f>IF(Scenario3Warranty=AgileWarrantyDefault, (SUMIF(I$8:BH$8,AgileIteration_Warranty,I52:BH52)*5*Scenario3Utilisation), (BJ52*Scenario3Warranty))</f>
        <v>0</v>
      </c>
      <c r="BM52" s="127">
        <f t="shared" ref="BM52" si="97">SUM(BJ52:BL52)</f>
        <v>0</v>
      </c>
    </row>
    <row r="53" spans="1:65" s="74" customFormat="1" ht="11.25" x14ac:dyDescent="0.2">
      <c r="A53" s="210">
        <v>1</v>
      </c>
      <c r="B53" s="211" t="s">
        <v>734</v>
      </c>
      <c r="C53" s="206" t="s">
        <v>518</v>
      </c>
      <c r="D53" s="206" t="s">
        <v>518</v>
      </c>
      <c r="E53" s="418"/>
      <c r="F53" s="418"/>
      <c r="G53" s="418"/>
      <c r="H53" s="419"/>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185"/>
      <c r="BI53" s="187"/>
      <c r="BJ53" s="127"/>
      <c r="BK53" s="127"/>
      <c r="BL53" s="127"/>
      <c r="BM53" s="127"/>
    </row>
    <row r="54" spans="1:65" s="74" customFormat="1" ht="11.25" x14ac:dyDescent="0.2">
      <c r="A54" s="210">
        <v>2</v>
      </c>
      <c r="B54" s="211" t="s">
        <v>734</v>
      </c>
      <c r="C54" s="456" t="s">
        <v>658</v>
      </c>
      <c r="D54" s="398" t="s">
        <v>636</v>
      </c>
      <c r="E54" s="415" t="s">
        <v>600</v>
      </c>
      <c r="F54" s="529" t="s">
        <v>607</v>
      </c>
      <c r="G54" s="529"/>
      <c r="H54" s="537" t="str">
        <f>C53</f>
        <v>Non-CUT</v>
      </c>
      <c r="I54" s="179"/>
      <c r="J54" s="179"/>
      <c r="K54" s="179"/>
      <c r="L54" s="179"/>
      <c r="M54" s="179"/>
      <c r="N54" s="179"/>
      <c r="O54" s="179"/>
      <c r="P54" s="179"/>
      <c r="Q54" s="181"/>
      <c r="R54" s="181"/>
      <c r="S54" s="181"/>
      <c r="T54" s="181"/>
      <c r="U54" s="181"/>
      <c r="V54" s="181"/>
      <c r="W54" s="181"/>
      <c r="X54" s="181"/>
      <c r="Y54" s="181"/>
      <c r="Z54" s="181"/>
      <c r="AA54" s="181"/>
      <c r="AB54" s="181"/>
      <c r="AC54" s="181"/>
      <c r="AD54" s="181"/>
      <c r="AE54" s="181"/>
      <c r="AF54" s="181"/>
      <c r="AG54" s="181"/>
      <c r="AH54" s="181"/>
      <c r="AI54" s="181"/>
      <c r="AJ54" s="181"/>
      <c r="AK54" s="181"/>
      <c r="AL54" s="181"/>
      <c r="AM54" s="181"/>
      <c r="AN54" s="181"/>
      <c r="AO54" s="179"/>
      <c r="AP54" s="179"/>
      <c r="AQ54" s="179"/>
      <c r="AR54" s="179"/>
      <c r="AS54" s="179"/>
      <c r="AT54" s="179"/>
      <c r="AU54" s="179"/>
      <c r="AV54" s="179"/>
      <c r="AW54" s="179"/>
      <c r="AX54" s="179"/>
      <c r="AY54" s="179"/>
      <c r="AZ54" s="179"/>
      <c r="BA54" s="179"/>
      <c r="BB54" s="179"/>
      <c r="BC54" s="179"/>
      <c r="BD54" s="179"/>
      <c r="BE54" s="179"/>
      <c r="BF54" s="179"/>
      <c r="BG54" s="179"/>
      <c r="BH54" s="180"/>
      <c r="BI54" s="187"/>
      <c r="BJ54" s="82">
        <f>SUMIF(I$8:BH$8, "&lt;&gt;"&amp;AgileIteration_Warranty,I54:BH54)*5*Scenario3Utilisation</f>
        <v>0</v>
      </c>
      <c r="BK54" s="82">
        <f t="shared" ref="BK54" si="98">BJ54*Scenario3AgileContingency</f>
        <v>0</v>
      </c>
      <c r="BL54" s="82">
        <f>IF(Scenario3Warranty=AgileWarrantyDefault, (SUMIF(I$8:BH$8,AgileIteration_Warranty,I54:BH54)*5*Scenario3Utilisation), (BJ54*Scenario3Warranty))</f>
        <v>0</v>
      </c>
      <c r="BM54" s="127">
        <f t="shared" ref="BM54" si="99">SUM(BJ54:BL54)</f>
        <v>0</v>
      </c>
    </row>
    <row r="55" spans="1:65" s="74" customFormat="1" ht="11.25" x14ac:dyDescent="0.2">
      <c r="A55" s="210">
        <v>2</v>
      </c>
      <c r="B55" s="211" t="s">
        <v>734</v>
      </c>
      <c r="C55" s="456" t="s">
        <v>635</v>
      </c>
      <c r="D55" s="398" t="s">
        <v>636</v>
      </c>
      <c r="E55" s="415" t="s">
        <v>600</v>
      </c>
      <c r="F55" s="529" t="str">
        <f>IFERROR(VLOOKUP(C55,MappingFromTTStoSU,2,FALSE),"SU Resource Role")</f>
        <v>DWMS</v>
      </c>
      <c r="G55" s="529"/>
      <c r="H55" s="537" t="str">
        <f>H54</f>
        <v>Non-CUT</v>
      </c>
      <c r="I55" s="179"/>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79"/>
      <c r="AP55" s="179"/>
      <c r="AQ55" s="179"/>
      <c r="AR55" s="179"/>
      <c r="AS55" s="179"/>
      <c r="AT55" s="179"/>
      <c r="AU55" s="179"/>
      <c r="AV55" s="179"/>
      <c r="AW55" s="179"/>
      <c r="AX55" s="179"/>
      <c r="AY55" s="179"/>
      <c r="AZ55" s="179"/>
      <c r="BA55" s="179"/>
      <c r="BB55" s="179"/>
      <c r="BC55" s="179"/>
      <c r="BD55" s="179"/>
      <c r="BE55" s="179"/>
      <c r="BF55" s="179"/>
      <c r="BG55" s="179"/>
      <c r="BH55" s="180"/>
      <c r="BI55" s="187"/>
      <c r="BJ55" s="82">
        <f>SUMIF(I$8:BH$8, "&lt;&gt;"&amp;AgileIteration_Warranty,I55:BH55)*5*Scenario3Utilisation</f>
        <v>0</v>
      </c>
      <c r="BK55" s="82">
        <f t="shared" ref="BK55" si="100">BJ55*Scenario3AgileContingency</f>
        <v>0</v>
      </c>
      <c r="BL55" s="82">
        <f>IF(Scenario3Warranty=AgileWarrantyDefault, (SUMIF(I$8:BH$8,AgileIteration_Warranty,I55:BH55)*5*Scenario3Utilisation), (BJ55*Scenario3Warranty))</f>
        <v>0</v>
      </c>
      <c r="BM55" s="127">
        <f t="shared" ref="BM55" si="101">SUM(BJ55:BL55)</f>
        <v>0</v>
      </c>
    </row>
    <row r="56" spans="1:65" s="74" customFormat="1" ht="11.25" x14ac:dyDescent="0.2">
      <c r="A56" s="210">
        <v>2</v>
      </c>
      <c r="B56" s="211" t="s">
        <v>734</v>
      </c>
      <c r="C56" s="456" t="str">
        <f>IFERROR(VLOOKUP(D56,MappingFromSetAgiletoTTSRole,2,FALSE),"SET Agile Resource Role")</f>
        <v>Software Developer</v>
      </c>
      <c r="D56" s="398" t="s">
        <v>636</v>
      </c>
      <c r="E56" s="415" t="s">
        <v>600</v>
      </c>
      <c r="F56" s="529" t="str">
        <f>IFERROR(VLOOKUP(C56,MappingFromTTStoSU,2,FALSE),"SU Resource Role")</f>
        <v>DWMS</v>
      </c>
      <c r="G56" s="529"/>
      <c r="H56" s="537" t="str">
        <f>H55</f>
        <v>Non-CUT</v>
      </c>
      <c r="I56" s="179"/>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81"/>
      <c r="AL56" s="181"/>
      <c r="AM56" s="181"/>
      <c r="AN56" s="181"/>
      <c r="AO56" s="179"/>
      <c r="AP56" s="179"/>
      <c r="AQ56" s="179"/>
      <c r="AR56" s="179"/>
      <c r="AS56" s="179"/>
      <c r="AT56" s="179"/>
      <c r="AU56" s="179"/>
      <c r="AV56" s="179"/>
      <c r="AW56" s="179"/>
      <c r="AX56" s="179"/>
      <c r="AY56" s="179"/>
      <c r="AZ56" s="179"/>
      <c r="BA56" s="179"/>
      <c r="BB56" s="179"/>
      <c r="BC56" s="179"/>
      <c r="BD56" s="179"/>
      <c r="BE56" s="179"/>
      <c r="BF56" s="179"/>
      <c r="BG56" s="179"/>
      <c r="BH56" s="180"/>
      <c r="BI56" s="187"/>
      <c r="BJ56" s="82">
        <f>SUMIF(I$8:BH$8, "&lt;&gt;"&amp;AgileIteration_Warranty,I56:BH56)*5*Scenario3Utilisation</f>
        <v>0</v>
      </c>
      <c r="BK56" s="82">
        <f t="shared" ref="BK56" si="102">BJ56*Scenario3AgileContingency</f>
        <v>0</v>
      </c>
      <c r="BL56" s="82">
        <f>IF(Scenario3Warranty=AgileWarrantyDefault, (SUMIF(I$8:BH$8,AgileIteration_Warranty,I56:BH56)*5*Scenario3Utilisation), (BJ56*Scenario3Warranty))</f>
        <v>0</v>
      </c>
      <c r="BM56" s="127">
        <f t="shared" ref="BM56" si="103">SUM(BJ56:BL56)</f>
        <v>0</v>
      </c>
    </row>
    <row r="57" spans="1:65" s="74" customFormat="1" ht="11.25" x14ac:dyDescent="0.2">
      <c r="A57" s="210">
        <v>2</v>
      </c>
      <c r="B57" s="211" t="s">
        <v>734</v>
      </c>
      <c r="C57" s="456" t="str">
        <f>IFERROR(VLOOKUP(D57,MappingFromSetAgiletoTTSRole,2,FALSE),"SET Agile Resource Role")</f>
        <v>Test Consultant</v>
      </c>
      <c r="D57" s="398" t="s">
        <v>633</v>
      </c>
      <c r="E57" s="415" t="s">
        <v>600</v>
      </c>
      <c r="F57" s="529" t="str">
        <f>IFERROR(VLOOKUP(C57,MappingFromTTStoSU,2,FALSE),"SU Resource Role")</f>
        <v>DWMS</v>
      </c>
      <c r="G57" s="529"/>
      <c r="H57" s="537" t="str">
        <f>H55</f>
        <v>Non-CUT</v>
      </c>
      <c r="I57" s="179"/>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81"/>
      <c r="AL57" s="181"/>
      <c r="AM57" s="181"/>
      <c r="AN57" s="181"/>
      <c r="AO57" s="179"/>
      <c r="AP57" s="179"/>
      <c r="AQ57" s="179"/>
      <c r="AR57" s="179"/>
      <c r="AS57" s="179"/>
      <c r="AT57" s="179"/>
      <c r="AU57" s="179"/>
      <c r="AV57" s="179"/>
      <c r="AW57" s="179"/>
      <c r="AX57" s="179"/>
      <c r="AY57" s="179"/>
      <c r="AZ57" s="179"/>
      <c r="BA57" s="179"/>
      <c r="BB57" s="179"/>
      <c r="BC57" s="179"/>
      <c r="BD57" s="179"/>
      <c r="BE57" s="179"/>
      <c r="BF57" s="179"/>
      <c r="BG57" s="179"/>
      <c r="BH57" s="180"/>
      <c r="BI57" s="187"/>
      <c r="BJ57" s="82">
        <f>SUMIF(I$8:BH$8, "&lt;&gt;"&amp;AgileIteration_Warranty,I57:BH57)*5*Scenario3Utilisation</f>
        <v>0</v>
      </c>
      <c r="BK57" s="82">
        <f t="shared" ref="BK57" si="104">BJ57*Scenario3AgileContingency</f>
        <v>0</v>
      </c>
      <c r="BL57" s="82">
        <f>IF(Scenario3Warranty=AgileWarrantyDefault, (SUMIF(I$8:BH$8,AgileIteration_Warranty,I57:BH57)*5*Scenario3Utilisation), (BJ57*Scenario3Warranty))</f>
        <v>0</v>
      </c>
      <c r="BM57" s="127">
        <f t="shared" ref="BM57" si="105">SUM(BJ57:BL57)</f>
        <v>0</v>
      </c>
    </row>
    <row r="58" spans="1:65" s="74" customFormat="1" ht="11.25" x14ac:dyDescent="0.2">
      <c r="A58" s="210">
        <v>1</v>
      </c>
      <c r="B58" s="211" t="s">
        <v>663</v>
      </c>
      <c r="C58" s="206" t="s">
        <v>663</v>
      </c>
      <c r="D58" s="206" t="s">
        <v>663</v>
      </c>
      <c r="E58" s="418"/>
      <c r="F58" s="418"/>
      <c r="G58" s="418"/>
      <c r="H58" s="419"/>
      <c r="I58" s="216"/>
      <c r="J58" s="216"/>
      <c r="K58" s="216"/>
      <c r="L58" s="216"/>
      <c r="M58" s="216"/>
      <c r="N58" s="216"/>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185"/>
      <c r="BI58" s="187"/>
      <c r="BJ58" s="127"/>
      <c r="BK58" s="127"/>
      <c r="BL58" s="127"/>
      <c r="BM58" s="127"/>
    </row>
    <row r="59" spans="1:65" s="74" customFormat="1" ht="11.25" x14ac:dyDescent="0.2">
      <c r="A59" s="210">
        <v>2</v>
      </c>
      <c r="B59" s="211" t="s">
        <v>663</v>
      </c>
      <c r="C59" s="456" t="str">
        <f>IFERROR(VLOOKUP(D59,MappingFromSetAgiletoTTSRole,2,FALSE),"SET Agile Resource Role")</f>
        <v>Business Consultant</v>
      </c>
      <c r="D59" s="401" t="s">
        <v>664</v>
      </c>
      <c r="E59" s="420"/>
      <c r="F59" s="532" t="s">
        <v>607</v>
      </c>
      <c r="G59" s="532"/>
      <c r="H59" s="539" t="str">
        <f>C58</f>
        <v>Documentation</v>
      </c>
      <c r="I59" s="182"/>
      <c r="J59" s="182"/>
      <c r="K59" s="182"/>
      <c r="L59" s="182"/>
      <c r="M59" s="182"/>
      <c r="N59" s="182"/>
      <c r="O59" s="182"/>
      <c r="P59" s="182"/>
      <c r="Q59" s="182"/>
      <c r="R59" s="183"/>
      <c r="S59" s="183"/>
      <c r="T59" s="183"/>
      <c r="U59" s="183"/>
      <c r="V59" s="183"/>
      <c r="W59" s="183"/>
      <c r="X59" s="183"/>
      <c r="Y59" s="183"/>
      <c r="Z59" s="183"/>
      <c r="AA59" s="183"/>
      <c r="AB59" s="183"/>
      <c r="AC59" s="183"/>
      <c r="AD59" s="183"/>
      <c r="AE59" s="183"/>
      <c r="AF59" s="183"/>
      <c r="AG59" s="183"/>
      <c r="AH59" s="183"/>
      <c r="AI59" s="183"/>
      <c r="AJ59" s="183"/>
      <c r="AK59" s="183"/>
      <c r="AL59" s="183"/>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4"/>
      <c r="BI59" s="187"/>
      <c r="BJ59" s="82">
        <f>SUMIF(I$8:BH$8, "&lt;&gt;"&amp;AgileIteration_Warranty,I59:BH59)*5*Scenario3Utilisation</f>
        <v>0</v>
      </c>
      <c r="BK59" s="82">
        <f t="shared" si="7"/>
        <v>0</v>
      </c>
      <c r="BL59" s="82">
        <f>IF(Scenario3Warranty=AgileWarrantyDefault, (SUMIF(I$8:BH$8,AgileIteration_Warranty,I59:BH59)*5*Scenario3Utilisation), (BJ59*Scenario3Warranty))</f>
        <v>0</v>
      </c>
      <c r="BM59" s="127">
        <f t="shared" si="9"/>
        <v>0</v>
      </c>
    </row>
    <row r="60" spans="1:65" s="74" customFormat="1" ht="11.25" x14ac:dyDescent="0.2">
      <c r="A60" s="210">
        <v>1</v>
      </c>
      <c r="B60" s="211" t="s">
        <v>729</v>
      </c>
      <c r="C60" s="206" t="s">
        <v>665</v>
      </c>
      <c r="D60" s="206" t="s">
        <v>665</v>
      </c>
      <c r="E60" s="418"/>
      <c r="F60" s="418"/>
      <c r="G60" s="418"/>
      <c r="H60" s="419"/>
      <c r="I60" s="216"/>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185"/>
      <c r="BI60" s="187"/>
      <c r="BJ60" s="127"/>
      <c r="BK60" s="127"/>
      <c r="BL60" s="127"/>
      <c r="BM60" s="127"/>
    </row>
    <row r="61" spans="1:65" s="74" customFormat="1" ht="11.25" x14ac:dyDescent="0.2">
      <c r="A61" s="210">
        <v>2</v>
      </c>
      <c r="B61" s="211" t="s">
        <v>729</v>
      </c>
      <c r="C61" s="456" t="s">
        <v>658</v>
      </c>
      <c r="D61" s="398" t="s">
        <v>669</v>
      </c>
      <c r="E61" s="415"/>
      <c r="F61" s="529" t="s">
        <v>607</v>
      </c>
      <c r="G61" s="529"/>
      <c r="H61" s="537" t="str">
        <f>C60</f>
        <v>Ref Data Configuration</v>
      </c>
      <c r="I61" s="179"/>
      <c r="J61" s="179"/>
      <c r="K61" s="179"/>
      <c r="L61" s="179"/>
      <c r="M61" s="179"/>
      <c r="N61" s="179"/>
      <c r="O61" s="179"/>
      <c r="P61" s="179"/>
      <c r="Q61" s="181"/>
      <c r="R61" s="181"/>
      <c r="S61" s="181"/>
      <c r="T61" s="181"/>
      <c r="U61" s="181"/>
      <c r="V61" s="181"/>
      <c r="W61" s="181"/>
      <c r="X61" s="181"/>
      <c r="Y61" s="181"/>
      <c r="Z61" s="181"/>
      <c r="AA61" s="181"/>
      <c r="AB61" s="181"/>
      <c r="AC61" s="181"/>
      <c r="AD61" s="181"/>
      <c r="AE61" s="181"/>
      <c r="AF61" s="181"/>
      <c r="AG61" s="181"/>
      <c r="AH61" s="181"/>
      <c r="AI61" s="181"/>
      <c r="AJ61" s="181"/>
      <c r="AK61" s="181"/>
      <c r="AL61" s="181"/>
      <c r="AM61" s="181"/>
      <c r="AN61" s="181"/>
      <c r="AO61" s="181"/>
      <c r="AP61" s="181"/>
      <c r="AQ61" s="181"/>
      <c r="AR61" s="181"/>
      <c r="AS61" s="179"/>
      <c r="AT61" s="179"/>
      <c r="AU61" s="179"/>
      <c r="AV61" s="179"/>
      <c r="AW61" s="179"/>
      <c r="AX61" s="179"/>
      <c r="AY61" s="179"/>
      <c r="AZ61" s="179"/>
      <c r="BA61" s="179"/>
      <c r="BB61" s="179"/>
      <c r="BC61" s="179"/>
      <c r="BD61" s="179"/>
      <c r="BE61" s="179"/>
      <c r="BF61" s="179"/>
      <c r="BG61" s="179"/>
      <c r="BH61" s="180"/>
      <c r="BI61" s="187"/>
      <c r="BJ61" s="82">
        <f>SUMIF(I$8:BH$8, "&lt;&gt;"&amp;AgileIteration_Warranty,I61:BH61)*5*Scenario3Utilisation</f>
        <v>0</v>
      </c>
      <c r="BK61" s="82">
        <f t="shared" si="7"/>
        <v>0</v>
      </c>
      <c r="BL61" s="82">
        <f>IF(Scenario3Warranty=AgileWarrantyDefault, (SUMIF(I$8:BH$8,AgileIteration_Warranty,I61:BH61)*5*Scenario3Utilisation), (BJ61*Scenario3Warranty))</f>
        <v>0</v>
      </c>
      <c r="BM61" s="127">
        <f t="shared" si="9"/>
        <v>0</v>
      </c>
    </row>
    <row r="62" spans="1:65" s="74" customFormat="1" ht="11.25" x14ac:dyDescent="0.2">
      <c r="A62" s="210">
        <v>2</v>
      </c>
      <c r="B62" s="211" t="s">
        <v>729</v>
      </c>
      <c r="C62" s="456" t="str">
        <f>IFERROR(VLOOKUP(D62,MappingFromSetAgiletoTTSRole,2,FALSE),"SET Agile Resource Role")</f>
        <v>Software Developer</v>
      </c>
      <c r="D62" s="398" t="s">
        <v>669</v>
      </c>
      <c r="E62" s="415"/>
      <c r="F62" s="529" t="str">
        <f>IFERROR(VLOOKUP(C62,MappingFromTTStoSU,2,FALSE),"SU Resource Role")</f>
        <v>DWMS</v>
      </c>
      <c r="G62" s="529"/>
      <c r="H62" s="537" t="str">
        <f>H61</f>
        <v>Ref Data Configuration</v>
      </c>
      <c r="I62" s="179"/>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81"/>
      <c r="AL62" s="181"/>
      <c r="AM62" s="181"/>
      <c r="AN62" s="181"/>
      <c r="AO62" s="181"/>
      <c r="AP62" s="181"/>
      <c r="AQ62" s="181"/>
      <c r="AR62" s="181"/>
      <c r="AS62" s="179"/>
      <c r="AT62" s="179"/>
      <c r="AU62" s="179"/>
      <c r="AV62" s="179"/>
      <c r="AW62" s="179"/>
      <c r="AX62" s="179"/>
      <c r="AY62" s="179"/>
      <c r="AZ62" s="179"/>
      <c r="BA62" s="179"/>
      <c r="BB62" s="179"/>
      <c r="BC62" s="179"/>
      <c r="BD62" s="179"/>
      <c r="BE62" s="179"/>
      <c r="BF62" s="179"/>
      <c r="BG62" s="179"/>
      <c r="BH62" s="180"/>
      <c r="BI62" s="187"/>
      <c r="BJ62" s="82">
        <f>SUMIF(I$8:BH$8, "&lt;&gt;"&amp;AgileIteration_Warranty,I62:BH62)*5*Scenario3Utilisation</f>
        <v>0</v>
      </c>
      <c r="BK62" s="82">
        <f t="shared" ref="BK62" si="106">BJ62*Scenario3AgileContingency</f>
        <v>0</v>
      </c>
      <c r="BL62" s="82">
        <f>IF(Scenario3Warranty=AgileWarrantyDefault, (SUMIF(I$8:BH$8,AgileIteration_Warranty,I62:BH62)*5*Scenario3Utilisation), (BJ62*Scenario3Warranty))</f>
        <v>0</v>
      </c>
      <c r="BM62" s="127">
        <f t="shared" ref="BM62" si="107">SUM(BJ62:BL62)</f>
        <v>0</v>
      </c>
    </row>
    <row r="63" spans="1:65" s="74" customFormat="1" ht="11.25" x14ac:dyDescent="0.2">
      <c r="A63" s="210">
        <v>1</v>
      </c>
      <c r="B63" s="211" t="s">
        <v>670</v>
      </c>
      <c r="C63" s="206" t="s">
        <v>670</v>
      </c>
      <c r="D63" s="206" t="s">
        <v>670</v>
      </c>
      <c r="E63" s="418"/>
      <c r="F63" s="418"/>
      <c r="G63" s="418"/>
      <c r="H63" s="419"/>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185"/>
      <c r="BI63" s="187"/>
      <c r="BJ63" s="127"/>
      <c r="BK63" s="127"/>
      <c r="BL63" s="127"/>
      <c r="BM63" s="127"/>
    </row>
    <row r="64" spans="1:65" s="74" customFormat="1" ht="11.25" x14ac:dyDescent="0.2">
      <c r="A64" s="210">
        <v>2</v>
      </c>
      <c r="B64" s="211" t="s">
        <v>670</v>
      </c>
      <c r="C64" s="456" t="str">
        <f>IFERROR(VLOOKUP(D64,MappingFromSetAgiletoTTSRole,2,FALSE),"SET Agile Resource Role")</f>
        <v>Business Analyst</v>
      </c>
      <c r="D64" s="398" t="s">
        <v>671</v>
      </c>
      <c r="E64" s="415"/>
      <c r="F64" s="529" t="s">
        <v>607</v>
      </c>
      <c r="G64" s="529"/>
      <c r="H64" s="537" t="str">
        <f>C63</f>
        <v>Training</v>
      </c>
      <c r="I64" s="179"/>
      <c r="J64" s="179"/>
      <c r="K64" s="179"/>
      <c r="L64" s="179"/>
      <c r="M64" s="179"/>
      <c r="N64" s="179"/>
      <c r="O64" s="179"/>
      <c r="P64" s="179"/>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79"/>
      <c r="AT64" s="179"/>
      <c r="AU64" s="179"/>
      <c r="AV64" s="179"/>
      <c r="AW64" s="179"/>
      <c r="AX64" s="179"/>
      <c r="AY64" s="179"/>
      <c r="AZ64" s="179"/>
      <c r="BA64" s="179"/>
      <c r="BB64" s="179"/>
      <c r="BC64" s="179"/>
      <c r="BD64" s="179"/>
      <c r="BE64" s="179"/>
      <c r="BF64" s="179"/>
      <c r="BG64" s="179"/>
      <c r="BH64" s="180"/>
      <c r="BI64" s="187"/>
      <c r="BJ64" s="82">
        <f>SUMIF(I$8:BH$8, "&lt;&gt;"&amp;AgileIteration_Warranty,I64:BH64)*5*Scenario3Utilisation</f>
        <v>0</v>
      </c>
      <c r="BK64" s="82">
        <f t="shared" si="7"/>
        <v>0</v>
      </c>
      <c r="BL64" s="82">
        <f>IF(Scenario3Warranty=AgileWarrantyDefault, (SUMIF(I$8:BH$8,AgileIteration_Warranty,I64:BH64)*5*Scenario3Utilisation), (BJ64*Scenario3Warranty))</f>
        <v>0</v>
      </c>
      <c r="BM64" s="127">
        <f t="shared" si="9"/>
        <v>0</v>
      </c>
    </row>
    <row r="65" spans="1:65" s="74" customFormat="1" ht="11.25" x14ac:dyDescent="0.2">
      <c r="A65" s="210">
        <v>2</v>
      </c>
      <c r="B65" s="211" t="s">
        <v>670</v>
      </c>
      <c r="C65" s="456" t="str">
        <f>IFERROR(VLOOKUP(D65,MappingFromSetAgiletoTTSRole,2,FALSE),"SET Agile Resource Role")</f>
        <v>Business Consultant</v>
      </c>
      <c r="D65" s="400" t="s">
        <v>672</v>
      </c>
      <c r="E65" s="417"/>
      <c r="F65" s="531" t="s">
        <v>607</v>
      </c>
      <c r="G65" s="531"/>
      <c r="H65" s="538" t="str">
        <f>H64</f>
        <v>Training</v>
      </c>
      <c r="I65" s="176"/>
      <c r="J65" s="176"/>
      <c r="K65" s="176"/>
      <c r="L65" s="176"/>
      <c r="M65" s="176"/>
      <c r="N65" s="176"/>
      <c r="O65" s="176"/>
      <c r="P65" s="176"/>
      <c r="Q65" s="176"/>
      <c r="R65" s="177"/>
      <c r="S65" s="177"/>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6"/>
      <c r="AT65" s="176"/>
      <c r="AU65" s="176"/>
      <c r="AV65" s="176"/>
      <c r="AW65" s="176"/>
      <c r="AX65" s="176"/>
      <c r="AY65" s="176"/>
      <c r="AZ65" s="176"/>
      <c r="BA65" s="176"/>
      <c r="BB65" s="176"/>
      <c r="BC65" s="176"/>
      <c r="BD65" s="176"/>
      <c r="BE65" s="176"/>
      <c r="BF65" s="176"/>
      <c r="BG65" s="176"/>
      <c r="BH65" s="178"/>
      <c r="BI65" s="187"/>
      <c r="BJ65" s="82">
        <f>SUMIF(I$8:BH$8, "&lt;&gt;"&amp;AgileIteration_Warranty,I65:BH65)*5*Scenario3Utilisation</f>
        <v>0</v>
      </c>
      <c r="BK65" s="82">
        <f t="shared" si="7"/>
        <v>0</v>
      </c>
      <c r="BL65" s="82">
        <f>IF(Scenario3Warranty=AgileWarrantyDefault, (SUMIF(I$8:BH$8,AgileIteration_Warranty,I65:BH65)*5*Scenario3Utilisation), (BJ65*Scenario3Warranty))</f>
        <v>0</v>
      </c>
      <c r="BM65" s="127">
        <f t="shared" si="9"/>
        <v>0</v>
      </c>
    </row>
    <row r="66" spans="1:65" s="74" customFormat="1" ht="11.25" x14ac:dyDescent="0.2">
      <c r="A66" s="210">
        <v>1</v>
      </c>
      <c r="B66" s="211" t="s">
        <v>730</v>
      </c>
      <c r="C66" s="206" t="s">
        <v>674</v>
      </c>
      <c r="D66" s="206" t="s">
        <v>674</v>
      </c>
      <c r="E66" s="418"/>
      <c r="F66" s="418"/>
      <c r="G66" s="418"/>
      <c r="H66" s="419"/>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185"/>
      <c r="BI66" s="187"/>
      <c r="BJ66" s="127"/>
      <c r="BK66" s="127"/>
      <c r="BL66" s="127"/>
      <c r="BM66" s="127"/>
    </row>
    <row r="67" spans="1:65" s="74" customFormat="1" ht="11.25" x14ac:dyDescent="0.2">
      <c r="A67" s="210">
        <v>2</v>
      </c>
      <c r="B67" s="211" t="s">
        <v>730</v>
      </c>
      <c r="C67" s="456" t="s">
        <v>613</v>
      </c>
      <c r="D67" s="398" t="s">
        <v>675</v>
      </c>
      <c r="E67" s="415"/>
      <c r="F67" s="529" t="s">
        <v>607</v>
      </c>
      <c r="G67" s="529"/>
      <c r="H67" s="537" t="str">
        <f>C66</f>
        <v>EC Performance Testing</v>
      </c>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79"/>
      <c r="AR67" s="179"/>
      <c r="AS67" s="179"/>
      <c r="AT67" s="179"/>
      <c r="AU67" s="179"/>
      <c r="AV67" s="179"/>
      <c r="AW67" s="179"/>
      <c r="AX67" s="179"/>
      <c r="AY67" s="179"/>
      <c r="AZ67" s="179"/>
      <c r="BA67" s="179"/>
      <c r="BB67" s="179"/>
      <c r="BC67" s="179"/>
      <c r="BD67" s="179"/>
      <c r="BE67" s="179"/>
      <c r="BF67" s="179"/>
      <c r="BG67" s="179"/>
      <c r="BH67" s="180"/>
      <c r="BI67" s="187"/>
      <c r="BJ67" s="82">
        <f>SUMIF(I$8:BH$8, "&lt;&gt;"&amp;AgileIteration_Warranty,I67:BH67)*5*Scenario3Utilisation</f>
        <v>0</v>
      </c>
      <c r="BK67" s="82">
        <f t="shared" si="7"/>
        <v>0</v>
      </c>
      <c r="BL67" s="82">
        <f>IF(Scenario3Warranty=AgileWarrantyDefault, (SUMIF(I$8:BH$8,AgileIteration_Warranty,I67:BH67)*5*Scenario3Utilisation), (BJ67*Scenario3Warranty))</f>
        <v>0</v>
      </c>
      <c r="BM67" s="127">
        <f t="shared" si="9"/>
        <v>0</v>
      </c>
    </row>
    <row r="68" spans="1:65" s="74" customFormat="1" ht="11.25" x14ac:dyDescent="0.2">
      <c r="A68" s="210">
        <v>2</v>
      </c>
      <c r="B68" s="211" t="s">
        <v>730</v>
      </c>
      <c r="C68" s="456" t="s">
        <v>651</v>
      </c>
      <c r="D68" s="400" t="s">
        <v>677</v>
      </c>
      <c r="E68" s="417"/>
      <c r="F68" s="531" t="s">
        <v>607</v>
      </c>
      <c r="G68" s="531"/>
      <c r="H68" s="538" t="str">
        <f>H67</f>
        <v>EC Performance Testing</v>
      </c>
      <c r="I68" s="177"/>
      <c r="J68" s="177"/>
      <c r="K68" s="177"/>
      <c r="L68" s="177"/>
      <c r="M68" s="177"/>
      <c r="N68" s="177"/>
      <c r="O68" s="177"/>
      <c r="P68" s="177"/>
      <c r="Q68" s="177"/>
      <c r="R68" s="177"/>
      <c r="S68" s="177"/>
      <c r="T68" s="177"/>
      <c r="U68" s="177"/>
      <c r="V68" s="177"/>
      <c r="W68" s="177"/>
      <c r="X68" s="177"/>
      <c r="Y68" s="177"/>
      <c r="Z68" s="177"/>
      <c r="AA68" s="177"/>
      <c r="AB68" s="177"/>
      <c r="AC68" s="177"/>
      <c r="AD68" s="177"/>
      <c r="AE68" s="177"/>
      <c r="AF68" s="177"/>
      <c r="AG68" s="177"/>
      <c r="AH68" s="177"/>
      <c r="AI68" s="177"/>
      <c r="AJ68" s="177"/>
      <c r="AK68" s="177"/>
      <c r="AL68" s="177"/>
      <c r="AM68" s="177"/>
      <c r="AN68" s="177"/>
      <c r="AO68" s="177"/>
      <c r="AP68" s="177"/>
      <c r="AQ68" s="176"/>
      <c r="AR68" s="176"/>
      <c r="AS68" s="176"/>
      <c r="AT68" s="176"/>
      <c r="AU68" s="176"/>
      <c r="AV68" s="176"/>
      <c r="AW68" s="176"/>
      <c r="AX68" s="176"/>
      <c r="AY68" s="176"/>
      <c r="AZ68" s="176"/>
      <c r="BA68" s="176"/>
      <c r="BB68" s="176"/>
      <c r="BC68" s="176"/>
      <c r="BD68" s="176"/>
      <c r="BE68" s="176"/>
      <c r="BF68" s="176"/>
      <c r="BG68" s="176"/>
      <c r="BH68" s="178"/>
      <c r="BI68" s="187"/>
      <c r="BJ68" s="82">
        <f>SUMIF(I$8:BH$8, "&lt;&gt;"&amp;AgileIteration_Warranty,I68:BH68)*5*Scenario3Utilisation</f>
        <v>0</v>
      </c>
      <c r="BK68" s="82">
        <f t="shared" si="7"/>
        <v>0</v>
      </c>
      <c r="BL68" s="82">
        <f>IF(Scenario3Warranty=AgileWarrantyDefault, (SUMIF(I$8:BH$8,AgileIteration_Warranty,I68:BH68)*5*Scenario3Utilisation), (BJ68*Scenario3Warranty))</f>
        <v>0</v>
      </c>
      <c r="BM68" s="127">
        <f t="shared" si="9"/>
        <v>0</v>
      </c>
    </row>
    <row r="69" spans="1:65" s="74" customFormat="1" ht="11.25" x14ac:dyDescent="0.2">
      <c r="A69" s="210">
        <v>1</v>
      </c>
      <c r="B69" s="211" t="s">
        <v>730</v>
      </c>
      <c r="C69" s="206" t="s">
        <v>678</v>
      </c>
      <c r="D69" s="206" t="s">
        <v>678</v>
      </c>
      <c r="E69" s="418"/>
      <c r="F69" s="418"/>
      <c r="G69" s="418"/>
      <c r="H69" s="419"/>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185"/>
      <c r="BI69" s="187"/>
      <c r="BJ69" s="127"/>
      <c r="BK69" s="127"/>
      <c r="BL69" s="127"/>
      <c r="BM69" s="127"/>
    </row>
    <row r="70" spans="1:65" s="74" customFormat="1" ht="11.25" x14ac:dyDescent="0.2">
      <c r="A70" s="210">
        <v>2</v>
      </c>
      <c r="B70" s="211" t="s">
        <v>730</v>
      </c>
      <c r="C70" s="456" t="str">
        <f>IFERROR(VLOOKUP(D70,MappingFromSetAgiletoTTSRole,2,FALSE),"SET Agile Resource Role")</f>
        <v>Architect Sr</v>
      </c>
      <c r="D70" s="398" t="s">
        <v>679</v>
      </c>
      <c r="E70" s="415"/>
      <c r="F70" s="529" t="str">
        <f t="shared" ref="F70:F76" si="108">IFERROR(VLOOKUP(C70,MappingFromTTStoSU,2,FALSE),"SU Resource Role")</f>
        <v>DWMS</v>
      </c>
      <c r="G70" s="529"/>
      <c r="H70" s="537" t="str">
        <f>C69</f>
        <v>Digital Mediation - IME</v>
      </c>
      <c r="I70" s="181"/>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c r="AG70" s="181"/>
      <c r="AH70" s="181"/>
      <c r="AI70" s="181"/>
      <c r="AJ70" s="181"/>
      <c r="AK70" s="181"/>
      <c r="AL70" s="181"/>
      <c r="AM70" s="181"/>
      <c r="AN70" s="181"/>
      <c r="AO70" s="181"/>
      <c r="AP70" s="181"/>
      <c r="AQ70" s="179"/>
      <c r="AR70" s="179"/>
      <c r="AS70" s="179"/>
      <c r="AT70" s="179"/>
      <c r="AU70" s="179"/>
      <c r="AV70" s="179"/>
      <c r="AW70" s="179"/>
      <c r="AX70" s="179"/>
      <c r="AY70" s="179"/>
      <c r="AZ70" s="179"/>
      <c r="BA70" s="179"/>
      <c r="BB70" s="179"/>
      <c r="BC70" s="179"/>
      <c r="BD70" s="179"/>
      <c r="BE70" s="179"/>
      <c r="BF70" s="179"/>
      <c r="BG70" s="179"/>
      <c r="BH70" s="180"/>
      <c r="BI70" s="187"/>
      <c r="BJ70" s="82">
        <f t="shared" ref="BJ70:BJ76" si="109">SUMIF(I$8:BH$8, "&lt;&gt;"&amp;AgileIteration_Warranty,I70:BH70)*5*Scenario3Utilisation</f>
        <v>0</v>
      </c>
      <c r="BK70" s="82">
        <f t="shared" ref="BK70" si="110">BJ70*Scenario3AgileContingency</f>
        <v>0</v>
      </c>
      <c r="BL70" s="82">
        <f t="shared" ref="BL70:BL76" si="111">IF(Scenario3Warranty=AgileWarrantyDefault, (SUMIF(I$8:BH$8,AgileIteration_Warranty,I70:BH70)*5*Scenario3Utilisation), (BJ70*Scenario3Warranty))</f>
        <v>0</v>
      </c>
      <c r="BM70" s="127">
        <f t="shared" ref="BM70" si="112">SUM(BJ70:BL70)</f>
        <v>0</v>
      </c>
    </row>
    <row r="71" spans="1:65" s="74" customFormat="1" ht="11.25" x14ac:dyDescent="0.2">
      <c r="A71" s="210">
        <v>2</v>
      </c>
      <c r="B71" s="211" t="s">
        <v>730</v>
      </c>
      <c r="C71" s="456" t="str">
        <f>IFERROR(VLOOKUP(D71,MappingFromSetAgiletoTTSRole,2,FALSE),"SET Agile Resource Role")</f>
        <v>Architect Sr</v>
      </c>
      <c r="D71" s="398" t="s">
        <v>679</v>
      </c>
      <c r="E71" s="415"/>
      <c r="F71" s="529" t="str">
        <f t="shared" si="108"/>
        <v>DWMS</v>
      </c>
      <c r="G71" s="529"/>
      <c r="H71" s="537" t="str">
        <f t="shared" ref="H71:H76" si="113">H70</f>
        <v>Digital Mediation - IME</v>
      </c>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79"/>
      <c r="AR71" s="179"/>
      <c r="AS71" s="179"/>
      <c r="AT71" s="179"/>
      <c r="AU71" s="179"/>
      <c r="AV71" s="179"/>
      <c r="AW71" s="179"/>
      <c r="AX71" s="179"/>
      <c r="AY71" s="179"/>
      <c r="AZ71" s="179"/>
      <c r="BA71" s="179"/>
      <c r="BB71" s="179"/>
      <c r="BC71" s="179"/>
      <c r="BD71" s="179"/>
      <c r="BE71" s="179"/>
      <c r="BF71" s="179"/>
      <c r="BG71" s="179"/>
      <c r="BH71" s="180"/>
      <c r="BI71" s="187"/>
      <c r="BJ71" s="82">
        <f t="shared" si="109"/>
        <v>0</v>
      </c>
      <c r="BK71" s="82">
        <f t="shared" ref="BK71" si="114">BJ71*Scenario3AgileContingency</f>
        <v>0</v>
      </c>
      <c r="BL71" s="82">
        <f t="shared" si="111"/>
        <v>0</v>
      </c>
      <c r="BM71" s="127">
        <f t="shared" ref="BM71" si="115">SUM(BJ71:BL71)</f>
        <v>0</v>
      </c>
    </row>
    <row r="72" spans="1:65" s="74" customFormat="1" ht="11.25" x14ac:dyDescent="0.2">
      <c r="A72" s="210">
        <v>2</v>
      </c>
      <c r="B72" s="211" t="s">
        <v>730</v>
      </c>
      <c r="C72" s="456" t="str">
        <f>IFERROR(VLOOKUP(D72,MappingFromSetAgiletoTTSRole,2,FALSE),"SET Agile Resource Role")</f>
        <v>Software Developer</v>
      </c>
      <c r="D72" s="398" t="s">
        <v>636</v>
      </c>
      <c r="E72" s="415"/>
      <c r="F72" s="529" t="str">
        <f t="shared" si="108"/>
        <v>DWMS</v>
      </c>
      <c r="G72" s="529"/>
      <c r="H72" s="537" t="str">
        <f t="shared" si="113"/>
        <v>Digital Mediation - IME</v>
      </c>
      <c r="I72" s="181"/>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81"/>
      <c r="AP72" s="181"/>
      <c r="AQ72" s="179"/>
      <c r="AR72" s="179"/>
      <c r="AS72" s="179"/>
      <c r="AT72" s="179"/>
      <c r="AU72" s="179"/>
      <c r="AV72" s="179"/>
      <c r="AW72" s="179"/>
      <c r="AX72" s="179"/>
      <c r="AY72" s="179"/>
      <c r="AZ72" s="179"/>
      <c r="BA72" s="179"/>
      <c r="BB72" s="179"/>
      <c r="BC72" s="179"/>
      <c r="BD72" s="179"/>
      <c r="BE72" s="179"/>
      <c r="BF72" s="179"/>
      <c r="BG72" s="179"/>
      <c r="BH72" s="180"/>
      <c r="BI72" s="187"/>
      <c r="BJ72" s="82">
        <f t="shared" si="109"/>
        <v>0</v>
      </c>
      <c r="BK72" s="82">
        <f t="shared" ref="BK72" si="116">BJ72*Scenario3AgileContingency</f>
        <v>0</v>
      </c>
      <c r="BL72" s="82">
        <f t="shared" si="111"/>
        <v>0</v>
      </c>
      <c r="BM72" s="127">
        <f t="shared" ref="BM72" si="117">SUM(BJ72:BL72)</f>
        <v>0</v>
      </c>
    </row>
    <row r="73" spans="1:65" s="74" customFormat="1" ht="11.25" x14ac:dyDescent="0.2">
      <c r="A73" s="210">
        <v>2</v>
      </c>
      <c r="B73" s="211" t="s">
        <v>730</v>
      </c>
      <c r="C73" s="456" t="str">
        <f>IFERROR(VLOOKUP(D73,MappingFromSetAgiletoTTSRole,2,FALSE),"SET Agile Resource Role")</f>
        <v>Test Consultant</v>
      </c>
      <c r="D73" s="398" t="s">
        <v>633</v>
      </c>
      <c r="E73" s="415"/>
      <c r="F73" s="529" t="str">
        <f t="shared" si="108"/>
        <v>DWMS</v>
      </c>
      <c r="G73" s="529"/>
      <c r="H73" s="537" t="str">
        <f t="shared" si="113"/>
        <v>Digital Mediation - IME</v>
      </c>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79"/>
      <c r="AR73" s="179"/>
      <c r="AS73" s="179"/>
      <c r="AT73" s="179"/>
      <c r="AU73" s="179"/>
      <c r="AV73" s="179"/>
      <c r="AW73" s="179"/>
      <c r="AX73" s="179"/>
      <c r="AY73" s="179"/>
      <c r="AZ73" s="179"/>
      <c r="BA73" s="179"/>
      <c r="BB73" s="179"/>
      <c r="BC73" s="179"/>
      <c r="BD73" s="179"/>
      <c r="BE73" s="179"/>
      <c r="BF73" s="179"/>
      <c r="BG73" s="179"/>
      <c r="BH73" s="180"/>
      <c r="BI73" s="187"/>
      <c r="BJ73" s="82">
        <f t="shared" si="109"/>
        <v>0</v>
      </c>
      <c r="BK73" s="82">
        <f t="shared" ref="BK73" si="118">BJ73*Scenario3AgileContingency</f>
        <v>0</v>
      </c>
      <c r="BL73" s="82">
        <f t="shared" si="111"/>
        <v>0</v>
      </c>
      <c r="BM73" s="127">
        <f t="shared" ref="BM73" si="119">SUM(BJ73:BL73)</f>
        <v>0</v>
      </c>
    </row>
    <row r="74" spans="1:65" s="74" customFormat="1" ht="11.25" x14ac:dyDescent="0.2">
      <c r="A74" s="210">
        <v>2</v>
      </c>
      <c r="B74" s="211" t="s">
        <v>730</v>
      </c>
      <c r="C74" s="456" t="str">
        <f>IFERROR(VLOOKUP(D74,MappingFromSetAgiletoTTSRole,2,FALSE),"SET Agile Resource Role")</f>
        <v>Project Manager</v>
      </c>
      <c r="D74" s="398" t="s">
        <v>599</v>
      </c>
      <c r="E74" s="415"/>
      <c r="F74" s="529" t="str">
        <f t="shared" si="108"/>
        <v>DWMS</v>
      </c>
      <c r="G74" s="529"/>
      <c r="H74" s="537" t="str">
        <f t="shared" si="113"/>
        <v>Digital Mediation - IME</v>
      </c>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79"/>
      <c r="AR74" s="179"/>
      <c r="AS74" s="179"/>
      <c r="AT74" s="179"/>
      <c r="AU74" s="179"/>
      <c r="AV74" s="179"/>
      <c r="AW74" s="179"/>
      <c r="AX74" s="179"/>
      <c r="AY74" s="179"/>
      <c r="AZ74" s="179"/>
      <c r="BA74" s="179"/>
      <c r="BB74" s="179"/>
      <c r="BC74" s="179"/>
      <c r="BD74" s="179"/>
      <c r="BE74" s="179"/>
      <c r="BF74" s="179"/>
      <c r="BG74" s="179"/>
      <c r="BH74" s="180"/>
      <c r="BI74" s="187"/>
      <c r="BJ74" s="82">
        <f t="shared" si="109"/>
        <v>0</v>
      </c>
      <c r="BK74" s="82">
        <f t="shared" ref="BK74" si="120">BJ74*Scenario3AgileContingency</f>
        <v>0</v>
      </c>
      <c r="BL74" s="82">
        <f t="shared" si="111"/>
        <v>0</v>
      </c>
      <c r="BM74" s="127">
        <f t="shared" ref="BM74" si="121">SUM(BJ74:BL74)</f>
        <v>0</v>
      </c>
    </row>
    <row r="75" spans="1:65" s="74" customFormat="1" ht="11.25" x14ac:dyDescent="0.2">
      <c r="A75" s="210">
        <v>2</v>
      </c>
      <c r="B75" s="211" t="s">
        <v>730</v>
      </c>
      <c r="C75" s="456" t="s">
        <v>630</v>
      </c>
      <c r="D75" s="398" t="s">
        <v>679</v>
      </c>
      <c r="E75" s="415"/>
      <c r="F75" s="529" t="str">
        <f t="shared" si="108"/>
        <v>DWMS</v>
      </c>
      <c r="G75" s="529"/>
      <c r="H75" s="537" t="str">
        <f t="shared" si="113"/>
        <v>Digital Mediation - IME</v>
      </c>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81"/>
      <c r="AP75" s="181"/>
      <c r="AQ75" s="179"/>
      <c r="AR75" s="179"/>
      <c r="AS75" s="179"/>
      <c r="AT75" s="179"/>
      <c r="AU75" s="179"/>
      <c r="AV75" s="179"/>
      <c r="AW75" s="179"/>
      <c r="AX75" s="179"/>
      <c r="AY75" s="179"/>
      <c r="AZ75" s="179"/>
      <c r="BA75" s="179"/>
      <c r="BB75" s="179"/>
      <c r="BC75" s="179"/>
      <c r="BD75" s="179"/>
      <c r="BE75" s="179"/>
      <c r="BF75" s="179"/>
      <c r="BG75" s="179"/>
      <c r="BH75" s="180"/>
      <c r="BI75" s="187"/>
      <c r="BJ75" s="82">
        <f t="shared" si="109"/>
        <v>0</v>
      </c>
      <c r="BK75" s="82">
        <f t="shared" ref="BK75" si="122">BJ75*Scenario3AgileContingency</f>
        <v>0</v>
      </c>
      <c r="BL75" s="82">
        <f t="shared" si="111"/>
        <v>0</v>
      </c>
      <c r="BM75" s="127">
        <f t="shared" ref="BM75" si="123">SUM(BJ75:BL75)</f>
        <v>0</v>
      </c>
    </row>
    <row r="76" spans="1:65" s="74" customFormat="1" ht="11.25" x14ac:dyDescent="0.2">
      <c r="A76" s="210">
        <v>2</v>
      </c>
      <c r="B76" s="211" t="s">
        <v>730</v>
      </c>
      <c r="C76" s="456" t="s">
        <v>625</v>
      </c>
      <c r="D76" s="398" t="s">
        <v>672</v>
      </c>
      <c r="E76" s="415"/>
      <c r="F76" s="529" t="str">
        <f t="shared" si="108"/>
        <v>DE</v>
      </c>
      <c r="G76" s="529"/>
      <c r="H76" s="537" t="str">
        <f t="shared" si="113"/>
        <v>Digital Mediation - IME</v>
      </c>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79"/>
      <c r="AR76" s="179"/>
      <c r="AS76" s="179"/>
      <c r="AT76" s="179"/>
      <c r="AU76" s="179"/>
      <c r="AV76" s="179"/>
      <c r="AW76" s="179"/>
      <c r="AX76" s="179"/>
      <c r="AY76" s="179"/>
      <c r="AZ76" s="179"/>
      <c r="BA76" s="179"/>
      <c r="BB76" s="179"/>
      <c r="BC76" s="179"/>
      <c r="BD76" s="179"/>
      <c r="BE76" s="179"/>
      <c r="BF76" s="179"/>
      <c r="BG76" s="179"/>
      <c r="BH76" s="180"/>
      <c r="BI76" s="187"/>
      <c r="BJ76" s="82">
        <f t="shared" si="109"/>
        <v>0</v>
      </c>
      <c r="BK76" s="82">
        <f t="shared" ref="BK76" si="124">BJ76*Scenario3AgileContingency</f>
        <v>0</v>
      </c>
      <c r="BL76" s="82">
        <f t="shared" si="111"/>
        <v>0</v>
      </c>
      <c r="BM76" s="127">
        <f t="shared" ref="BM76" si="125">SUM(BJ76:BL76)</f>
        <v>0</v>
      </c>
    </row>
    <row r="77" spans="1:65" s="74" customFormat="1" ht="11.25" x14ac:dyDescent="0.2">
      <c r="A77" s="210">
        <v>1</v>
      </c>
      <c r="B77" s="211" t="s">
        <v>730</v>
      </c>
      <c r="C77" s="206" t="s">
        <v>680</v>
      </c>
      <c r="D77" s="206" t="s">
        <v>680</v>
      </c>
      <c r="E77" s="418"/>
      <c r="F77" s="418"/>
      <c r="G77" s="418"/>
      <c r="H77" s="419"/>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185"/>
      <c r="BI77" s="187"/>
      <c r="BJ77" s="127"/>
      <c r="BK77" s="127"/>
      <c r="BL77" s="127"/>
      <c r="BM77" s="127"/>
    </row>
    <row r="78" spans="1:65" s="74" customFormat="1" ht="11.25" x14ac:dyDescent="0.2">
      <c r="A78" s="210">
        <v>2</v>
      </c>
      <c r="B78" s="211" t="s">
        <v>730</v>
      </c>
      <c r="C78" s="456" t="str">
        <f>IFERROR(VLOOKUP(D78,MappingFromSetAgiletoTTSRole,2,FALSE),"SET Agile Resource Role")</f>
        <v>Architect Sr</v>
      </c>
      <c r="D78" s="398" t="s">
        <v>679</v>
      </c>
      <c r="E78" s="415"/>
      <c r="F78" s="529" t="str">
        <f t="shared" ref="F78:F84" si="126">IFERROR(VLOOKUP(C78,MappingFromTTStoSU,2,FALSE),"SU Resource Role")</f>
        <v>DWMS</v>
      </c>
      <c r="G78" s="529"/>
      <c r="H78" s="537" t="str">
        <f>C77</f>
        <v>Digital Mediation - IAT</v>
      </c>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181"/>
      <c r="AP78" s="181"/>
      <c r="AQ78" s="179"/>
      <c r="AR78" s="179"/>
      <c r="AS78" s="179"/>
      <c r="AT78" s="179"/>
      <c r="AU78" s="179"/>
      <c r="AV78" s="179"/>
      <c r="AW78" s="179"/>
      <c r="AX78" s="179"/>
      <c r="AY78" s="179"/>
      <c r="AZ78" s="179"/>
      <c r="BA78" s="179"/>
      <c r="BB78" s="179"/>
      <c r="BC78" s="179"/>
      <c r="BD78" s="179"/>
      <c r="BE78" s="179"/>
      <c r="BF78" s="179"/>
      <c r="BG78" s="179"/>
      <c r="BH78" s="180"/>
      <c r="BI78" s="187"/>
      <c r="BJ78" s="82">
        <f t="shared" ref="BJ78:BJ84" si="127">SUMIF(I$8:BH$8, "&lt;&gt;"&amp;AgileIteration_Warranty,I78:BH78)*5*Scenario3Utilisation</f>
        <v>0</v>
      </c>
      <c r="BK78" s="82">
        <f t="shared" ref="BK78" si="128">BJ78*Scenario3AgileContingency</f>
        <v>0</v>
      </c>
      <c r="BL78" s="82">
        <f t="shared" ref="BL78:BL84" si="129">IF(Scenario3Warranty=AgileWarrantyDefault, (SUMIF(I$8:BH$8,AgileIteration_Warranty,I78:BH78)*5*Scenario3Utilisation), (BJ78*Scenario3Warranty))</f>
        <v>0</v>
      </c>
      <c r="BM78" s="127">
        <f t="shared" ref="BM78" si="130">SUM(BJ78:BL78)</f>
        <v>0</v>
      </c>
    </row>
    <row r="79" spans="1:65" s="74" customFormat="1" ht="11.25" x14ac:dyDescent="0.2">
      <c r="A79" s="210">
        <v>2</v>
      </c>
      <c r="B79" s="211" t="s">
        <v>730</v>
      </c>
      <c r="C79" s="456" t="str">
        <f>IFERROR(VLOOKUP(D79,MappingFromSetAgiletoTTSRole,2,FALSE),"SET Agile Resource Role")</f>
        <v>Architect Sr</v>
      </c>
      <c r="D79" s="398" t="s">
        <v>679</v>
      </c>
      <c r="E79" s="415"/>
      <c r="F79" s="529" t="str">
        <f t="shared" si="126"/>
        <v>DWMS</v>
      </c>
      <c r="G79" s="529"/>
      <c r="H79" s="537" t="str">
        <f t="shared" ref="H79:H84" si="131">H78</f>
        <v>Digital Mediation - IAT</v>
      </c>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79"/>
      <c r="AR79" s="179"/>
      <c r="AS79" s="179"/>
      <c r="AT79" s="179"/>
      <c r="AU79" s="179"/>
      <c r="AV79" s="179"/>
      <c r="AW79" s="179"/>
      <c r="AX79" s="179"/>
      <c r="AY79" s="179"/>
      <c r="AZ79" s="179"/>
      <c r="BA79" s="179"/>
      <c r="BB79" s="179"/>
      <c r="BC79" s="179"/>
      <c r="BD79" s="179"/>
      <c r="BE79" s="179"/>
      <c r="BF79" s="179"/>
      <c r="BG79" s="179"/>
      <c r="BH79" s="180"/>
      <c r="BI79" s="187"/>
      <c r="BJ79" s="82">
        <f t="shared" si="127"/>
        <v>0</v>
      </c>
      <c r="BK79" s="82">
        <f t="shared" ref="BK79" si="132">BJ79*Scenario3AgileContingency</f>
        <v>0</v>
      </c>
      <c r="BL79" s="82">
        <f t="shared" si="129"/>
        <v>0</v>
      </c>
      <c r="BM79" s="127">
        <f t="shared" ref="BM79" si="133">SUM(BJ79:BL79)</f>
        <v>0</v>
      </c>
    </row>
    <row r="80" spans="1:65" s="74" customFormat="1" ht="11.25" x14ac:dyDescent="0.2">
      <c r="A80" s="210">
        <v>2</v>
      </c>
      <c r="B80" s="211" t="s">
        <v>730</v>
      </c>
      <c r="C80" s="456" t="str">
        <f>IFERROR(VLOOKUP(D80,MappingFromSetAgiletoTTSRole,2,FALSE),"SET Agile Resource Role")</f>
        <v>Software Developer</v>
      </c>
      <c r="D80" s="398" t="s">
        <v>636</v>
      </c>
      <c r="E80" s="415"/>
      <c r="F80" s="529" t="str">
        <f t="shared" si="126"/>
        <v>DWMS</v>
      </c>
      <c r="G80" s="529"/>
      <c r="H80" s="537" t="str">
        <f t="shared" si="131"/>
        <v>Digital Mediation - IAT</v>
      </c>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79"/>
      <c r="AR80" s="179"/>
      <c r="AS80" s="179"/>
      <c r="AT80" s="179"/>
      <c r="AU80" s="179"/>
      <c r="AV80" s="179"/>
      <c r="AW80" s="179"/>
      <c r="AX80" s="179"/>
      <c r="AY80" s="179"/>
      <c r="AZ80" s="179"/>
      <c r="BA80" s="179"/>
      <c r="BB80" s="179"/>
      <c r="BC80" s="179"/>
      <c r="BD80" s="179"/>
      <c r="BE80" s="179"/>
      <c r="BF80" s="179"/>
      <c r="BG80" s="179"/>
      <c r="BH80" s="180"/>
      <c r="BI80" s="187"/>
      <c r="BJ80" s="82">
        <f t="shared" si="127"/>
        <v>0</v>
      </c>
      <c r="BK80" s="82">
        <f t="shared" ref="BK80" si="134">BJ80*Scenario3AgileContingency</f>
        <v>0</v>
      </c>
      <c r="BL80" s="82">
        <f t="shared" si="129"/>
        <v>0</v>
      </c>
      <c r="BM80" s="127">
        <f t="shared" ref="BM80" si="135">SUM(BJ80:BL80)</f>
        <v>0</v>
      </c>
    </row>
    <row r="81" spans="1:65" s="74" customFormat="1" ht="11.25" x14ac:dyDescent="0.2">
      <c r="A81" s="210">
        <v>2</v>
      </c>
      <c r="B81" s="211" t="s">
        <v>730</v>
      </c>
      <c r="C81" s="456" t="str">
        <f>IFERROR(VLOOKUP(D81,MappingFromSetAgiletoTTSRole,2,FALSE),"SET Agile Resource Role")</f>
        <v>Test Consultant</v>
      </c>
      <c r="D81" s="398" t="s">
        <v>633</v>
      </c>
      <c r="E81" s="415"/>
      <c r="F81" s="529" t="str">
        <f t="shared" si="126"/>
        <v>DWMS</v>
      </c>
      <c r="G81" s="529"/>
      <c r="H81" s="537" t="str">
        <f t="shared" si="131"/>
        <v>Digital Mediation - IAT</v>
      </c>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79"/>
      <c r="AR81" s="179"/>
      <c r="AS81" s="179"/>
      <c r="AT81" s="179"/>
      <c r="AU81" s="179"/>
      <c r="AV81" s="179"/>
      <c r="AW81" s="179"/>
      <c r="AX81" s="179"/>
      <c r="AY81" s="179"/>
      <c r="AZ81" s="179"/>
      <c r="BA81" s="179"/>
      <c r="BB81" s="179"/>
      <c r="BC81" s="179"/>
      <c r="BD81" s="179"/>
      <c r="BE81" s="179"/>
      <c r="BF81" s="179"/>
      <c r="BG81" s="179"/>
      <c r="BH81" s="180"/>
      <c r="BI81" s="187"/>
      <c r="BJ81" s="82">
        <f t="shared" si="127"/>
        <v>0</v>
      </c>
      <c r="BK81" s="82">
        <f t="shared" ref="BK81" si="136">BJ81*Scenario3AgileContingency</f>
        <v>0</v>
      </c>
      <c r="BL81" s="82">
        <f t="shared" si="129"/>
        <v>0</v>
      </c>
      <c r="BM81" s="127">
        <f t="shared" ref="BM81" si="137">SUM(BJ81:BL81)</f>
        <v>0</v>
      </c>
    </row>
    <row r="82" spans="1:65" s="74" customFormat="1" ht="11.25" x14ac:dyDescent="0.2">
      <c r="A82" s="210">
        <v>2</v>
      </c>
      <c r="B82" s="211" t="s">
        <v>730</v>
      </c>
      <c r="C82" s="456" t="str">
        <f>IFERROR(VLOOKUP(D82,MappingFromSetAgiletoTTSRole,2,FALSE),"SET Agile Resource Role")</f>
        <v>Project Manager</v>
      </c>
      <c r="D82" s="398" t="s">
        <v>599</v>
      </c>
      <c r="E82" s="415"/>
      <c r="F82" s="529" t="str">
        <f t="shared" si="126"/>
        <v>DWMS</v>
      </c>
      <c r="G82" s="529"/>
      <c r="H82" s="537" t="str">
        <f t="shared" si="131"/>
        <v>Digital Mediation - IAT</v>
      </c>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79"/>
      <c r="AR82" s="179"/>
      <c r="AS82" s="179"/>
      <c r="AT82" s="179"/>
      <c r="AU82" s="179"/>
      <c r="AV82" s="179"/>
      <c r="AW82" s="179"/>
      <c r="AX82" s="179"/>
      <c r="AY82" s="179"/>
      <c r="AZ82" s="179"/>
      <c r="BA82" s="179"/>
      <c r="BB82" s="179"/>
      <c r="BC82" s="179"/>
      <c r="BD82" s="179"/>
      <c r="BE82" s="179"/>
      <c r="BF82" s="179"/>
      <c r="BG82" s="179"/>
      <c r="BH82" s="180"/>
      <c r="BI82" s="187"/>
      <c r="BJ82" s="82">
        <f t="shared" si="127"/>
        <v>0</v>
      </c>
      <c r="BK82" s="82">
        <f t="shared" ref="BK82" si="138">BJ82*Scenario3AgileContingency</f>
        <v>0</v>
      </c>
      <c r="BL82" s="82">
        <f t="shared" si="129"/>
        <v>0</v>
      </c>
      <c r="BM82" s="127">
        <f t="shared" ref="BM82" si="139">SUM(BJ82:BL82)</f>
        <v>0</v>
      </c>
    </row>
    <row r="83" spans="1:65" s="74" customFormat="1" ht="11.25" x14ac:dyDescent="0.2">
      <c r="A83" s="210">
        <v>2</v>
      </c>
      <c r="B83" s="211" t="s">
        <v>730</v>
      </c>
      <c r="C83" s="456" t="s">
        <v>630</v>
      </c>
      <c r="D83" s="398" t="s">
        <v>679</v>
      </c>
      <c r="E83" s="415"/>
      <c r="F83" s="529" t="str">
        <f t="shared" si="126"/>
        <v>DWMS</v>
      </c>
      <c r="G83" s="529"/>
      <c r="H83" s="537" t="str">
        <f t="shared" si="131"/>
        <v>Digital Mediation - IAT</v>
      </c>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79"/>
      <c r="AR83" s="179"/>
      <c r="AS83" s="179"/>
      <c r="AT83" s="179"/>
      <c r="AU83" s="179"/>
      <c r="AV83" s="179"/>
      <c r="AW83" s="179"/>
      <c r="AX83" s="179"/>
      <c r="AY83" s="179"/>
      <c r="AZ83" s="179"/>
      <c r="BA83" s="179"/>
      <c r="BB83" s="179"/>
      <c r="BC83" s="179"/>
      <c r="BD83" s="179"/>
      <c r="BE83" s="179"/>
      <c r="BF83" s="179"/>
      <c r="BG83" s="179"/>
      <c r="BH83" s="180"/>
      <c r="BI83" s="187"/>
      <c r="BJ83" s="82">
        <f t="shared" si="127"/>
        <v>0</v>
      </c>
      <c r="BK83" s="82">
        <f t="shared" ref="BK83" si="140">BJ83*Scenario3AgileContingency</f>
        <v>0</v>
      </c>
      <c r="BL83" s="82">
        <f t="shared" si="129"/>
        <v>0</v>
      </c>
      <c r="BM83" s="127">
        <f t="shared" ref="BM83" si="141">SUM(BJ83:BL83)</f>
        <v>0</v>
      </c>
    </row>
    <row r="84" spans="1:65" s="74" customFormat="1" ht="11.25" x14ac:dyDescent="0.2">
      <c r="A84" s="210">
        <v>2</v>
      </c>
      <c r="B84" s="211" t="s">
        <v>730</v>
      </c>
      <c r="C84" s="456" t="s">
        <v>625</v>
      </c>
      <c r="D84" s="398" t="s">
        <v>672</v>
      </c>
      <c r="E84" s="415"/>
      <c r="F84" s="529" t="str">
        <f t="shared" si="126"/>
        <v>DE</v>
      </c>
      <c r="G84" s="529"/>
      <c r="H84" s="537" t="str">
        <f t="shared" si="131"/>
        <v>Digital Mediation - IAT</v>
      </c>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79"/>
      <c r="AR84" s="179"/>
      <c r="AS84" s="179"/>
      <c r="AT84" s="179"/>
      <c r="AU84" s="179"/>
      <c r="AV84" s="179"/>
      <c r="AW84" s="179"/>
      <c r="AX84" s="179"/>
      <c r="AY84" s="179"/>
      <c r="AZ84" s="179"/>
      <c r="BA84" s="179"/>
      <c r="BB84" s="179"/>
      <c r="BC84" s="179"/>
      <c r="BD84" s="179"/>
      <c r="BE84" s="179"/>
      <c r="BF84" s="179"/>
      <c r="BG84" s="179"/>
      <c r="BH84" s="180"/>
      <c r="BI84" s="187"/>
      <c r="BJ84" s="82">
        <f t="shared" si="127"/>
        <v>0</v>
      </c>
      <c r="BK84" s="82">
        <f t="shared" ref="BK84" si="142">BJ84*Scenario3AgileContingency</f>
        <v>0</v>
      </c>
      <c r="BL84" s="82">
        <f t="shared" si="129"/>
        <v>0</v>
      </c>
      <c r="BM84" s="127">
        <f t="shared" ref="BM84" si="143">SUM(BJ84:BL84)</f>
        <v>0</v>
      </c>
    </row>
    <row r="85" spans="1:65" s="74" customFormat="1" ht="11.25" x14ac:dyDescent="0.2">
      <c r="A85" s="210">
        <v>1</v>
      </c>
      <c r="B85" s="211" t="s">
        <v>730</v>
      </c>
      <c r="C85" s="206" t="s">
        <v>681</v>
      </c>
      <c r="D85" s="206" t="s">
        <v>681</v>
      </c>
      <c r="E85" s="418"/>
      <c r="F85" s="418"/>
      <c r="G85" s="418"/>
      <c r="H85" s="419"/>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c r="AM85" s="216"/>
      <c r="AN85" s="216"/>
      <c r="AO85" s="216"/>
      <c r="AP85" s="216"/>
      <c r="AQ85" s="216"/>
      <c r="AR85" s="216"/>
      <c r="AS85" s="216"/>
      <c r="AT85" s="216"/>
      <c r="AU85" s="216"/>
      <c r="AV85" s="216"/>
      <c r="AW85" s="216"/>
      <c r="AX85" s="216"/>
      <c r="AY85" s="216"/>
      <c r="AZ85" s="216"/>
      <c r="BA85" s="216"/>
      <c r="BB85" s="216"/>
      <c r="BC85" s="216"/>
      <c r="BD85" s="216"/>
      <c r="BE85" s="216"/>
      <c r="BF85" s="216"/>
      <c r="BG85" s="216"/>
      <c r="BH85" s="185"/>
      <c r="BI85" s="187"/>
      <c r="BJ85" s="127"/>
      <c r="BK85" s="127"/>
      <c r="BL85" s="127"/>
      <c r="BM85" s="127"/>
    </row>
    <row r="86" spans="1:65" s="74" customFormat="1" ht="11.25" x14ac:dyDescent="0.2">
      <c r="A86" s="210">
        <v>2</v>
      </c>
      <c r="B86" s="211" t="s">
        <v>730</v>
      </c>
      <c r="C86" s="456" t="str">
        <f>IFERROR(VLOOKUP(D86,MappingFromSetAgiletoTTSRole,2,FALSE),"SET Agile Resource Role")</f>
        <v>Architect Sr</v>
      </c>
      <c r="D86" s="398" t="s">
        <v>679</v>
      </c>
      <c r="E86" s="415"/>
      <c r="F86" s="529" t="str">
        <f t="shared" ref="F86:F92" si="144">IFERROR(VLOOKUP(C86,MappingFromTTStoSU,2,FALSE),"SU Resource Role")</f>
        <v>DWMS</v>
      </c>
      <c r="G86" s="529"/>
      <c r="H86" s="537" t="str">
        <f>C85</f>
        <v>Digital Mediation - AMM</v>
      </c>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79"/>
      <c r="AR86" s="179"/>
      <c r="AS86" s="179"/>
      <c r="AT86" s="179"/>
      <c r="AU86" s="179"/>
      <c r="AV86" s="179"/>
      <c r="AW86" s="179"/>
      <c r="AX86" s="179"/>
      <c r="AY86" s="179"/>
      <c r="AZ86" s="179"/>
      <c r="BA86" s="179"/>
      <c r="BB86" s="179"/>
      <c r="BC86" s="179"/>
      <c r="BD86" s="179"/>
      <c r="BE86" s="179"/>
      <c r="BF86" s="179"/>
      <c r="BG86" s="179"/>
      <c r="BH86" s="180"/>
      <c r="BI86" s="187"/>
      <c r="BJ86" s="82">
        <f t="shared" ref="BJ86:BJ92" si="145">SUMIF(I$8:BH$8, "&lt;&gt;"&amp;AgileIteration_Warranty,I86:BH86)*5*Scenario3Utilisation</f>
        <v>0</v>
      </c>
      <c r="BK86" s="82">
        <f t="shared" ref="BK86" si="146">BJ86*Scenario3AgileContingency</f>
        <v>0</v>
      </c>
      <c r="BL86" s="82">
        <f t="shared" ref="BL86:BL92" si="147">IF(Scenario3Warranty=AgileWarrantyDefault, (SUMIF(I$8:BH$8,AgileIteration_Warranty,I86:BH86)*5*Scenario3Utilisation), (BJ86*Scenario3Warranty))</f>
        <v>0</v>
      </c>
      <c r="BM86" s="127">
        <f t="shared" ref="BM86" si="148">SUM(BJ86:BL86)</f>
        <v>0</v>
      </c>
    </row>
    <row r="87" spans="1:65" s="74" customFormat="1" ht="11.25" x14ac:dyDescent="0.2">
      <c r="A87" s="210">
        <v>2</v>
      </c>
      <c r="B87" s="211" t="s">
        <v>730</v>
      </c>
      <c r="C87" s="456" t="str">
        <f>IFERROR(VLOOKUP(D87,MappingFromSetAgiletoTTSRole,2,FALSE),"SET Agile Resource Role")</f>
        <v>Architect Sr</v>
      </c>
      <c r="D87" s="398" t="s">
        <v>679</v>
      </c>
      <c r="E87" s="415"/>
      <c r="F87" s="529" t="str">
        <f t="shared" si="144"/>
        <v>DWMS</v>
      </c>
      <c r="G87" s="529"/>
      <c r="H87" s="537" t="str">
        <f t="shared" ref="H87:H92" si="149">H86</f>
        <v>Digital Mediation - AMM</v>
      </c>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81"/>
      <c r="AP87" s="181"/>
      <c r="AQ87" s="179"/>
      <c r="AR87" s="179"/>
      <c r="AS87" s="179"/>
      <c r="AT87" s="179"/>
      <c r="AU87" s="179"/>
      <c r="AV87" s="179"/>
      <c r="AW87" s="179"/>
      <c r="AX87" s="179"/>
      <c r="AY87" s="179"/>
      <c r="AZ87" s="179"/>
      <c r="BA87" s="179"/>
      <c r="BB87" s="179"/>
      <c r="BC87" s="179"/>
      <c r="BD87" s="179"/>
      <c r="BE87" s="179"/>
      <c r="BF87" s="179"/>
      <c r="BG87" s="179"/>
      <c r="BH87" s="180"/>
      <c r="BI87" s="187"/>
      <c r="BJ87" s="82">
        <f t="shared" si="145"/>
        <v>0</v>
      </c>
      <c r="BK87" s="82">
        <f t="shared" ref="BK87" si="150">BJ87*Scenario3AgileContingency</f>
        <v>0</v>
      </c>
      <c r="BL87" s="82">
        <f t="shared" si="147"/>
        <v>0</v>
      </c>
      <c r="BM87" s="127">
        <f t="shared" ref="BM87" si="151">SUM(BJ87:BL87)</f>
        <v>0</v>
      </c>
    </row>
    <row r="88" spans="1:65" s="74" customFormat="1" ht="11.25" x14ac:dyDescent="0.2">
      <c r="A88" s="210">
        <v>2</v>
      </c>
      <c r="B88" s="211" t="s">
        <v>730</v>
      </c>
      <c r="C88" s="456" t="str">
        <f>IFERROR(VLOOKUP(D88,MappingFromSetAgiletoTTSRole,2,FALSE),"SET Agile Resource Role")</f>
        <v>Software Developer</v>
      </c>
      <c r="D88" s="398" t="s">
        <v>636</v>
      </c>
      <c r="E88" s="415"/>
      <c r="F88" s="529" t="str">
        <f t="shared" si="144"/>
        <v>DWMS</v>
      </c>
      <c r="G88" s="529"/>
      <c r="H88" s="537" t="str">
        <f t="shared" si="149"/>
        <v>Digital Mediation - AMM</v>
      </c>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79"/>
      <c r="AR88" s="179"/>
      <c r="AS88" s="179"/>
      <c r="AT88" s="179"/>
      <c r="AU88" s="179"/>
      <c r="AV88" s="179"/>
      <c r="AW88" s="179"/>
      <c r="AX88" s="179"/>
      <c r="AY88" s="179"/>
      <c r="AZ88" s="179"/>
      <c r="BA88" s="179"/>
      <c r="BB88" s="179"/>
      <c r="BC88" s="179"/>
      <c r="BD88" s="179"/>
      <c r="BE88" s="179"/>
      <c r="BF88" s="179"/>
      <c r="BG88" s="179"/>
      <c r="BH88" s="180"/>
      <c r="BI88" s="187"/>
      <c r="BJ88" s="82">
        <f t="shared" si="145"/>
        <v>0</v>
      </c>
      <c r="BK88" s="82">
        <f t="shared" ref="BK88" si="152">BJ88*Scenario3AgileContingency</f>
        <v>0</v>
      </c>
      <c r="BL88" s="82">
        <f t="shared" si="147"/>
        <v>0</v>
      </c>
      <c r="BM88" s="127">
        <f t="shared" ref="BM88" si="153">SUM(BJ88:BL88)</f>
        <v>0</v>
      </c>
    </row>
    <row r="89" spans="1:65" s="74" customFormat="1" ht="11.25" x14ac:dyDescent="0.2">
      <c r="A89" s="210">
        <v>2</v>
      </c>
      <c r="B89" s="211" t="s">
        <v>730</v>
      </c>
      <c r="C89" s="456" t="str">
        <f>IFERROR(VLOOKUP(D89,MappingFromSetAgiletoTTSRole,2,FALSE),"SET Agile Resource Role")</f>
        <v>Test Consultant</v>
      </c>
      <c r="D89" s="398" t="s">
        <v>633</v>
      </c>
      <c r="E89" s="415"/>
      <c r="F89" s="529" t="str">
        <f t="shared" si="144"/>
        <v>DWMS</v>
      </c>
      <c r="G89" s="529"/>
      <c r="H89" s="537" t="str">
        <f t="shared" si="149"/>
        <v>Digital Mediation - AMM</v>
      </c>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79"/>
      <c r="AR89" s="179"/>
      <c r="AS89" s="179"/>
      <c r="AT89" s="179"/>
      <c r="AU89" s="179"/>
      <c r="AV89" s="179"/>
      <c r="AW89" s="179"/>
      <c r="AX89" s="179"/>
      <c r="AY89" s="179"/>
      <c r="AZ89" s="179"/>
      <c r="BA89" s="179"/>
      <c r="BB89" s="179"/>
      <c r="BC89" s="179"/>
      <c r="BD89" s="179"/>
      <c r="BE89" s="179"/>
      <c r="BF89" s="179"/>
      <c r="BG89" s="179"/>
      <c r="BH89" s="180"/>
      <c r="BI89" s="187"/>
      <c r="BJ89" s="82">
        <f t="shared" si="145"/>
        <v>0</v>
      </c>
      <c r="BK89" s="82">
        <f t="shared" ref="BK89" si="154">BJ89*Scenario3AgileContingency</f>
        <v>0</v>
      </c>
      <c r="BL89" s="82">
        <f t="shared" si="147"/>
        <v>0</v>
      </c>
      <c r="BM89" s="127">
        <f t="shared" ref="BM89" si="155">SUM(BJ89:BL89)</f>
        <v>0</v>
      </c>
    </row>
    <row r="90" spans="1:65" s="74" customFormat="1" ht="11.25" x14ac:dyDescent="0.2">
      <c r="A90" s="210">
        <v>2</v>
      </c>
      <c r="B90" s="211" t="s">
        <v>730</v>
      </c>
      <c r="C90" s="456" t="str">
        <f>IFERROR(VLOOKUP(D90,MappingFromSetAgiletoTTSRole,2,FALSE),"SET Agile Resource Role")</f>
        <v>Project Manager</v>
      </c>
      <c r="D90" s="398" t="s">
        <v>599</v>
      </c>
      <c r="E90" s="415"/>
      <c r="F90" s="529" t="str">
        <f t="shared" si="144"/>
        <v>DWMS</v>
      </c>
      <c r="G90" s="529"/>
      <c r="H90" s="537" t="str">
        <f t="shared" si="149"/>
        <v>Digital Mediation - AMM</v>
      </c>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79"/>
      <c r="AR90" s="179"/>
      <c r="AS90" s="179"/>
      <c r="AT90" s="179"/>
      <c r="AU90" s="179"/>
      <c r="AV90" s="179"/>
      <c r="AW90" s="179"/>
      <c r="AX90" s="179"/>
      <c r="AY90" s="179"/>
      <c r="AZ90" s="179"/>
      <c r="BA90" s="179"/>
      <c r="BB90" s="179"/>
      <c r="BC90" s="179"/>
      <c r="BD90" s="179"/>
      <c r="BE90" s="179"/>
      <c r="BF90" s="179"/>
      <c r="BG90" s="179"/>
      <c r="BH90" s="180"/>
      <c r="BI90" s="187"/>
      <c r="BJ90" s="82">
        <f t="shared" si="145"/>
        <v>0</v>
      </c>
      <c r="BK90" s="82">
        <f t="shared" ref="BK90" si="156">BJ90*Scenario3AgileContingency</f>
        <v>0</v>
      </c>
      <c r="BL90" s="82">
        <f t="shared" si="147"/>
        <v>0</v>
      </c>
      <c r="BM90" s="127">
        <f t="shared" ref="BM90" si="157">SUM(BJ90:BL90)</f>
        <v>0</v>
      </c>
    </row>
    <row r="91" spans="1:65" s="74" customFormat="1" ht="11.25" x14ac:dyDescent="0.2">
      <c r="A91" s="210">
        <v>2</v>
      </c>
      <c r="B91" s="211" t="s">
        <v>730</v>
      </c>
      <c r="C91" s="456" t="s">
        <v>630</v>
      </c>
      <c r="D91" s="398" t="s">
        <v>679</v>
      </c>
      <c r="E91" s="415"/>
      <c r="F91" s="529" t="str">
        <f t="shared" si="144"/>
        <v>DWMS</v>
      </c>
      <c r="G91" s="529"/>
      <c r="H91" s="537" t="str">
        <f t="shared" si="149"/>
        <v>Digital Mediation - AMM</v>
      </c>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79"/>
      <c r="AR91" s="179"/>
      <c r="AS91" s="179"/>
      <c r="AT91" s="179"/>
      <c r="AU91" s="179"/>
      <c r="AV91" s="179"/>
      <c r="AW91" s="179"/>
      <c r="AX91" s="179"/>
      <c r="AY91" s="179"/>
      <c r="AZ91" s="179"/>
      <c r="BA91" s="179"/>
      <c r="BB91" s="179"/>
      <c r="BC91" s="179"/>
      <c r="BD91" s="179"/>
      <c r="BE91" s="179"/>
      <c r="BF91" s="179"/>
      <c r="BG91" s="179"/>
      <c r="BH91" s="180"/>
      <c r="BI91" s="187"/>
      <c r="BJ91" s="82">
        <f t="shared" si="145"/>
        <v>0</v>
      </c>
      <c r="BK91" s="82">
        <f t="shared" ref="BK91" si="158">BJ91*Scenario3AgileContingency</f>
        <v>0</v>
      </c>
      <c r="BL91" s="82">
        <f t="shared" si="147"/>
        <v>0</v>
      </c>
      <c r="BM91" s="127">
        <f t="shared" ref="BM91" si="159">SUM(BJ91:BL91)</f>
        <v>0</v>
      </c>
    </row>
    <row r="92" spans="1:65" s="74" customFormat="1" ht="11.25" x14ac:dyDescent="0.2">
      <c r="A92" s="210">
        <v>2</v>
      </c>
      <c r="B92" s="211" t="s">
        <v>730</v>
      </c>
      <c r="C92" s="456" t="s">
        <v>625</v>
      </c>
      <c r="D92" s="398" t="s">
        <v>672</v>
      </c>
      <c r="E92" s="415"/>
      <c r="F92" s="529" t="str">
        <f t="shared" si="144"/>
        <v>DE</v>
      </c>
      <c r="G92" s="529"/>
      <c r="H92" s="537" t="str">
        <f t="shared" si="149"/>
        <v>Digital Mediation - AMM</v>
      </c>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79"/>
      <c r="AR92" s="179"/>
      <c r="AS92" s="179"/>
      <c r="AT92" s="179"/>
      <c r="AU92" s="179"/>
      <c r="AV92" s="179"/>
      <c r="AW92" s="179"/>
      <c r="AX92" s="179"/>
      <c r="AY92" s="179"/>
      <c r="AZ92" s="179"/>
      <c r="BA92" s="179"/>
      <c r="BB92" s="179"/>
      <c r="BC92" s="179"/>
      <c r="BD92" s="179"/>
      <c r="BE92" s="179"/>
      <c r="BF92" s="179"/>
      <c r="BG92" s="179"/>
      <c r="BH92" s="180"/>
      <c r="BI92" s="187"/>
      <c r="BJ92" s="82">
        <f t="shared" si="145"/>
        <v>0</v>
      </c>
      <c r="BK92" s="82">
        <f t="shared" ref="BK92" si="160">BJ92*Scenario3AgileContingency</f>
        <v>0</v>
      </c>
      <c r="BL92" s="82">
        <f t="shared" si="147"/>
        <v>0</v>
      </c>
      <c r="BM92" s="127">
        <f t="shared" ref="BM92" si="161">SUM(BJ92:BL92)</f>
        <v>0</v>
      </c>
    </row>
    <row r="93" spans="1:65" s="74" customFormat="1" ht="11.25" x14ac:dyDescent="0.2">
      <c r="A93" s="210">
        <v>1</v>
      </c>
      <c r="B93" s="211" t="s">
        <v>730</v>
      </c>
      <c r="C93" s="206" t="s">
        <v>682</v>
      </c>
      <c r="D93" s="206" t="s">
        <v>682</v>
      </c>
      <c r="E93" s="418"/>
      <c r="F93" s="418"/>
      <c r="G93" s="418"/>
      <c r="H93" s="419"/>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c r="AY93" s="216"/>
      <c r="AZ93" s="216"/>
      <c r="BA93" s="216"/>
      <c r="BB93" s="216"/>
      <c r="BC93" s="216"/>
      <c r="BD93" s="216"/>
      <c r="BE93" s="216"/>
      <c r="BF93" s="216"/>
      <c r="BG93" s="216"/>
      <c r="BH93" s="185"/>
      <c r="BI93" s="187"/>
      <c r="BJ93" s="127"/>
      <c r="BK93" s="127"/>
      <c r="BL93" s="127"/>
      <c r="BM93" s="127"/>
    </row>
    <row r="94" spans="1:65" s="74" customFormat="1" ht="11.25" x14ac:dyDescent="0.2">
      <c r="A94" s="210">
        <v>2</v>
      </c>
      <c r="B94" s="211" t="s">
        <v>730</v>
      </c>
      <c r="C94" s="456" t="str">
        <f>IFERROR(VLOOKUP(D94,MappingFromSetAgiletoTTSRole,2,FALSE),"SET Agile Resource Role")</f>
        <v>Architect Sr</v>
      </c>
      <c r="D94" s="398" t="s">
        <v>679</v>
      </c>
      <c r="E94" s="415"/>
      <c r="F94" s="529" t="str">
        <f t="shared" ref="F94:F100" si="162">IFERROR(VLOOKUP(C94,MappingFromTTStoSU,2,FALSE),"SU Resource Role")</f>
        <v>DWMS</v>
      </c>
      <c r="G94" s="529"/>
      <c r="H94" s="537" t="str">
        <f>C93</f>
        <v>Charging &amp; Billing 5G CHF</v>
      </c>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79"/>
      <c r="AR94" s="179"/>
      <c r="AS94" s="179"/>
      <c r="AT94" s="179"/>
      <c r="AU94" s="179"/>
      <c r="AV94" s="179"/>
      <c r="AW94" s="179"/>
      <c r="AX94" s="179"/>
      <c r="AY94" s="179"/>
      <c r="AZ94" s="179"/>
      <c r="BA94" s="179"/>
      <c r="BB94" s="179"/>
      <c r="BC94" s="179"/>
      <c r="BD94" s="179"/>
      <c r="BE94" s="179"/>
      <c r="BF94" s="179"/>
      <c r="BG94" s="179"/>
      <c r="BH94" s="180"/>
      <c r="BI94" s="187"/>
      <c r="BJ94" s="82">
        <f t="shared" ref="BJ94:BJ100" si="163">SUMIF(I$8:BH$8, "&lt;&gt;"&amp;AgileIteration_Warranty,I94:BH94)*5*Scenario3Utilisation</f>
        <v>0</v>
      </c>
      <c r="BK94" s="82">
        <f t="shared" ref="BK94" si="164">BJ94*Scenario3AgileContingency</f>
        <v>0</v>
      </c>
      <c r="BL94" s="82">
        <f t="shared" ref="BL94:BL100" si="165">IF(Scenario3Warranty=AgileWarrantyDefault, (SUMIF(I$8:BH$8,AgileIteration_Warranty,I94:BH94)*5*Scenario3Utilisation), (BJ94*Scenario3Warranty))</f>
        <v>0</v>
      </c>
      <c r="BM94" s="127">
        <f t="shared" ref="BM94" si="166">SUM(BJ94:BL94)</f>
        <v>0</v>
      </c>
    </row>
    <row r="95" spans="1:65" s="74" customFormat="1" ht="11.25" x14ac:dyDescent="0.2">
      <c r="A95" s="210">
        <v>2</v>
      </c>
      <c r="B95" s="211" t="s">
        <v>730</v>
      </c>
      <c r="C95" s="456" t="str">
        <f>IFERROR(VLOOKUP(D95,MappingFromSetAgiletoTTSRole,2,FALSE),"SET Agile Resource Role")</f>
        <v>Architect Sr</v>
      </c>
      <c r="D95" s="398" t="s">
        <v>679</v>
      </c>
      <c r="E95" s="415"/>
      <c r="F95" s="529" t="str">
        <f t="shared" si="162"/>
        <v>DWMS</v>
      </c>
      <c r="G95" s="529"/>
      <c r="H95" s="537" t="str">
        <f t="shared" ref="H95:H100" si="167">H94</f>
        <v>Charging &amp; Billing 5G CHF</v>
      </c>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79"/>
      <c r="AR95" s="179"/>
      <c r="AS95" s="179"/>
      <c r="AT95" s="179"/>
      <c r="AU95" s="179"/>
      <c r="AV95" s="179"/>
      <c r="AW95" s="179"/>
      <c r="AX95" s="179"/>
      <c r="AY95" s="179"/>
      <c r="AZ95" s="179"/>
      <c r="BA95" s="179"/>
      <c r="BB95" s="179"/>
      <c r="BC95" s="179"/>
      <c r="BD95" s="179"/>
      <c r="BE95" s="179"/>
      <c r="BF95" s="179"/>
      <c r="BG95" s="179"/>
      <c r="BH95" s="180"/>
      <c r="BI95" s="187"/>
      <c r="BJ95" s="82">
        <f t="shared" si="163"/>
        <v>0</v>
      </c>
      <c r="BK95" s="82">
        <f t="shared" ref="BK95" si="168">BJ95*Scenario3AgileContingency</f>
        <v>0</v>
      </c>
      <c r="BL95" s="82">
        <f t="shared" si="165"/>
        <v>0</v>
      </c>
      <c r="BM95" s="127">
        <f t="shared" ref="BM95" si="169">SUM(BJ95:BL95)</f>
        <v>0</v>
      </c>
    </row>
    <row r="96" spans="1:65" s="74" customFormat="1" ht="11.25" x14ac:dyDescent="0.2">
      <c r="A96" s="210">
        <v>2</v>
      </c>
      <c r="B96" s="211" t="s">
        <v>730</v>
      </c>
      <c r="C96" s="456" t="str">
        <f>IFERROR(VLOOKUP(D96,MappingFromSetAgiletoTTSRole,2,FALSE),"SET Agile Resource Role")</f>
        <v>Software Developer</v>
      </c>
      <c r="D96" s="398" t="s">
        <v>636</v>
      </c>
      <c r="E96" s="415"/>
      <c r="F96" s="529" t="str">
        <f t="shared" si="162"/>
        <v>DWMS</v>
      </c>
      <c r="G96" s="529"/>
      <c r="H96" s="537" t="str">
        <f t="shared" si="167"/>
        <v>Charging &amp; Billing 5G CHF</v>
      </c>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79"/>
      <c r="AR96" s="179"/>
      <c r="AS96" s="179"/>
      <c r="AT96" s="179"/>
      <c r="AU96" s="179"/>
      <c r="AV96" s="179"/>
      <c r="AW96" s="179"/>
      <c r="AX96" s="179"/>
      <c r="AY96" s="179"/>
      <c r="AZ96" s="179"/>
      <c r="BA96" s="179"/>
      <c r="BB96" s="179"/>
      <c r="BC96" s="179"/>
      <c r="BD96" s="179"/>
      <c r="BE96" s="179"/>
      <c r="BF96" s="179"/>
      <c r="BG96" s="179"/>
      <c r="BH96" s="180"/>
      <c r="BI96" s="187"/>
      <c r="BJ96" s="82">
        <f t="shared" si="163"/>
        <v>0</v>
      </c>
      <c r="BK96" s="82">
        <f t="shared" ref="BK96" si="170">BJ96*Scenario3AgileContingency</f>
        <v>0</v>
      </c>
      <c r="BL96" s="82">
        <f t="shared" si="165"/>
        <v>0</v>
      </c>
      <c r="BM96" s="127">
        <f t="shared" ref="BM96" si="171">SUM(BJ96:BL96)</f>
        <v>0</v>
      </c>
    </row>
    <row r="97" spans="1:65" s="74" customFormat="1" ht="11.25" x14ac:dyDescent="0.2">
      <c r="A97" s="210">
        <v>2</v>
      </c>
      <c r="B97" s="211" t="s">
        <v>730</v>
      </c>
      <c r="C97" s="456" t="str">
        <f>IFERROR(VLOOKUP(D97,MappingFromSetAgiletoTTSRole,2,FALSE),"SET Agile Resource Role")</f>
        <v>Test Consultant</v>
      </c>
      <c r="D97" s="398" t="s">
        <v>633</v>
      </c>
      <c r="E97" s="415"/>
      <c r="F97" s="529" t="str">
        <f t="shared" si="162"/>
        <v>DWMS</v>
      </c>
      <c r="G97" s="529"/>
      <c r="H97" s="537" t="str">
        <f t="shared" si="167"/>
        <v>Charging &amp; Billing 5G CHF</v>
      </c>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79"/>
      <c r="AR97" s="179"/>
      <c r="AS97" s="179"/>
      <c r="AT97" s="179"/>
      <c r="AU97" s="179"/>
      <c r="AV97" s="179"/>
      <c r="AW97" s="179"/>
      <c r="AX97" s="179"/>
      <c r="AY97" s="179"/>
      <c r="AZ97" s="179"/>
      <c r="BA97" s="179"/>
      <c r="BB97" s="179"/>
      <c r="BC97" s="179"/>
      <c r="BD97" s="179"/>
      <c r="BE97" s="179"/>
      <c r="BF97" s="179"/>
      <c r="BG97" s="179"/>
      <c r="BH97" s="180"/>
      <c r="BI97" s="187"/>
      <c r="BJ97" s="82">
        <f t="shared" si="163"/>
        <v>0</v>
      </c>
      <c r="BK97" s="82">
        <f t="shared" ref="BK97" si="172">BJ97*Scenario3AgileContingency</f>
        <v>0</v>
      </c>
      <c r="BL97" s="82">
        <f t="shared" si="165"/>
        <v>0</v>
      </c>
      <c r="BM97" s="127">
        <f t="shared" ref="BM97" si="173">SUM(BJ97:BL97)</f>
        <v>0</v>
      </c>
    </row>
    <row r="98" spans="1:65" s="74" customFormat="1" ht="11.25" x14ac:dyDescent="0.2">
      <c r="A98" s="210">
        <v>2</v>
      </c>
      <c r="B98" s="211" t="s">
        <v>730</v>
      </c>
      <c r="C98" s="456" t="str">
        <f>IFERROR(VLOOKUP(D98,MappingFromSetAgiletoTTSRole,2,FALSE),"SET Agile Resource Role")</f>
        <v>Project Manager</v>
      </c>
      <c r="D98" s="398" t="s">
        <v>599</v>
      </c>
      <c r="E98" s="415"/>
      <c r="F98" s="529" t="str">
        <f t="shared" si="162"/>
        <v>DWMS</v>
      </c>
      <c r="G98" s="529"/>
      <c r="H98" s="537" t="str">
        <f t="shared" si="167"/>
        <v>Charging &amp; Billing 5G CHF</v>
      </c>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79"/>
      <c r="AR98" s="179"/>
      <c r="AS98" s="179"/>
      <c r="AT98" s="179"/>
      <c r="AU98" s="179"/>
      <c r="AV98" s="179"/>
      <c r="AW98" s="179"/>
      <c r="AX98" s="179"/>
      <c r="AY98" s="179"/>
      <c r="AZ98" s="179"/>
      <c r="BA98" s="179"/>
      <c r="BB98" s="179"/>
      <c r="BC98" s="179"/>
      <c r="BD98" s="179"/>
      <c r="BE98" s="179"/>
      <c r="BF98" s="179"/>
      <c r="BG98" s="179"/>
      <c r="BH98" s="180"/>
      <c r="BI98" s="187"/>
      <c r="BJ98" s="82">
        <f t="shared" si="163"/>
        <v>0</v>
      </c>
      <c r="BK98" s="82">
        <f t="shared" ref="BK98" si="174">BJ98*Scenario3AgileContingency</f>
        <v>0</v>
      </c>
      <c r="BL98" s="82">
        <f t="shared" si="165"/>
        <v>0</v>
      </c>
      <c r="BM98" s="127">
        <f t="shared" ref="BM98" si="175">SUM(BJ98:BL98)</f>
        <v>0</v>
      </c>
    </row>
    <row r="99" spans="1:65" s="74" customFormat="1" ht="11.25" x14ac:dyDescent="0.2">
      <c r="A99" s="210">
        <v>2</v>
      </c>
      <c r="B99" s="211" t="s">
        <v>730</v>
      </c>
      <c r="C99" s="456" t="s">
        <v>630</v>
      </c>
      <c r="D99" s="398" t="s">
        <v>679</v>
      </c>
      <c r="E99" s="415"/>
      <c r="F99" s="529" t="str">
        <f t="shared" si="162"/>
        <v>DWMS</v>
      </c>
      <c r="G99" s="529"/>
      <c r="H99" s="537" t="str">
        <f t="shared" si="167"/>
        <v>Charging &amp; Billing 5G CHF</v>
      </c>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79"/>
      <c r="AR99" s="179"/>
      <c r="AS99" s="179"/>
      <c r="AT99" s="179"/>
      <c r="AU99" s="179"/>
      <c r="AV99" s="179"/>
      <c r="AW99" s="179"/>
      <c r="AX99" s="179"/>
      <c r="AY99" s="179"/>
      <c r="AZ99" s="179"/>
      <c r="BA99" s="179"/>
      <c r="BB99" s="179"/>
      <c r="BC99" s="179"/>
      <c r="BD99" s="179"/>
      <c r="BE99" s="179"/>
      <c r="BF99" s="179"/>
      <c r="BG99" s="179"/>
      <c r="BH99" s="180"/>
      <c r="BI99" s="187"/>
      <c r="BJ99" s="82">
        <f t="shared" si="163"/>
        <v>0</v>
      </c>
      <c r="BK99" s="82">
        <f t="shared" ref="BK99" si="176">BJ99*Scenario3AgileContingency</f>
        <v>0</v>
      </c>
      <c r="BL99" s="82">
        <f t="shared" si="165"/>
        <v>0</v>
      </c>
      <c r="BM99" s="127">
        <f t="shared" ref="BM99" si="177">SUM(BJ99:BL99)</f>
        <v>0</v>
      </c>
    </row>
    <row r="100" spans="1:65" s="74" customFormat="1" ht="11.25" x14ac:dyDescent="0.2">
      <c r="A100" s="210">
        <v>2</v>
      </c>
      <c r="B100" s="211" t="s">
        <v>730</v>
      </c>
      <c r="C100" s="456" t="s">
        <v>625</v>
      </c>
      <c r="D100" s="398" t="s">
        <v>672</v>
      </c>
      <c r="E100" s="415"/>
      <c r="F100" s="529" t="str">
        <f t="shared" si="162"/>
        <v>DE</v>
      </c>
      <c r="G100" s="529"/>
      <c r="H100" s="537" t="str">
        <f t="shared" si="167"/>
        <v>Charging &amp; Billing 5G CHF</v>
      </c>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79"/>
      <c r="AR100" s="179"/>
      <c r="AS100" s="179"/>
      <c r="AT100" s="179"/>
      <c r="AU100" s="179"/>
      <c r="AV100" s="179"/>
      <c r="AW100" s="179"/>
      <c r="AX100" s="179"/>
      <c r="AY100" s="179"/>
      <c r="AZ100" s="179"/>
      <c r="BA100" s="179"/>
      <c r="BB100" s="179"/>
      <c r="BC100" s="179"/>
      <c r="BD100" s="179"/>
      <c r="BE100" s="179"/>
      <c r="BF100" s="179"/>
      <c r="BG100" s="179"/>
      <c r="BH100" s="180"/>
      <c r="BI100" s="187"/>
      <c r="BJ100" s="82">
        <f t="shared" si="163"/>
        <v>0</v>
      </c>
      <c r="BK100" s="82">
        <f t="shared" ref="BK100" si="178">BJ100*Scenario3AgileContingency</f>
        <v>0</v>
      </c>
      <c r="BL100" s="82">
        <f t="shared" si="165"/>
        <v>0</v>
      </c>
      <c r="BM100" s="127">
        <f t="shared" ref="BM100" si="179">SUM(BJ100:BL100)</f>
        <v>0</v>
      </c>
    </row>
    <row r="101" spans="1:65" s="74" customFormat="1" ht="11.25" x14ac:dyDescent="0.2">
      <c r="A101" s="210">
        <v>1</v>
      </c>
      <c r="B101" s="211" t="s">
        <v>571</v>
      </c>
      <c r="C101" s="206" t="s">
        <v>683</v>
      </c>
      <c r="D101" s="206" t="s">
        <v>683</v>
      </c>
      <c r="E101" s="418"/>
      <c r="F101" s="418"/>
      <c r="G101" s="418"/>
      <c r="H101" s="419"/>
      <c r="I101" s="217"/>
      <c r="J101" s="217"/>
      <c r="K101" s="217"/>
      <c r="L101" s="217"/>
      <c r="M101" s="217"/>
      <c r="N101" s="217"/>
      <c r="O101" s="217"/>
      <c r="P101" s="217"/>
      <c r="Q101" s="217"/>
      <c r="R101" s="217"/>
      <c r="S101" s="217"/>
      <c r="T101" s="217"/>
      <c r="U101" s="217"/>
      <c r="V101" s="217"/>
      <c r="W101" s="217"/>
      <c r="X101" s="217"/>
      <c r="Y101" s="217"/>
      <c r="Z101" s="217"/>
      <c r="AA101" s="217"/>
      <c r="AB101" s="217"/>
      <c r="AC101" s="217"/>
      <c r="AD101" s="217"/>
      <c r="AE101" s="217"/>
      <c r="AF101" s="217"/>
      <c r="AG101" s="217"/>
      <c r="AH101" s="217"/>
      <c r="AI101" s="217"/>
      <c r="AJ101" s="217"/>
      <c r="AK101" s="217"/>
      <c r="AL101" s="217"/>
      <c r="AM101" s="217"/>
      <c r="AN101" s="217"/>
      <c r="AO101" s="217"/>
      <c r="AP101" s="217"/>
      <c r="AQ101" s="217"/>
      <c r="AR101" s="217"/>
      <c r="AS101" s="217"/>
      <c r="AT101" s="217"/>
      <c r="AU101" s="217"/>
      <c r="AV101" s="217"/>
      <c r="AW101" s="217"/>
      <c r="AX101" s="217"/>
      <c r="AY101" s="217"/>
      <c r="AZ101" s="217"/>
      <c r="BA101" s="217"/>
      <c r="BB101" s="217"/>
      <c r="BC101" s="217"/>
      <c r="BD101" s="217"/>
      <c r="BE101" s="217"/>
      <c r="BF101" s="217"/>
      <c r="BG101" s="217"/>
      <c r="BH101" s="186"/>
      <c r="BI101" s="187"/>
      <c r="BJ101" s="127"/>
      <c r="BK101" s="127"/>
      <c r="BL101" s="127"/>
      <c r="BM101" s="127"/>
    </row>
    <row r="102" spans="1:65" s="74" customFormat="1" ht="11.25" x14ac:dyDescent="0.2">
      <c r="A102" s="210">
        <v>2</v>
      </c>
      <c r="B102" s="211" t="s">
        <v>571</v>
      </c>
      <c r="C102" s="456" t="str">
        <f>IFERROR(VLOOKUP(D102,MappingFromSetAgiletoTTSRole,2,FALSE),"SET Agile Resource Role")</f>
        <v>Business Consultant</v>
      </c>
      <c r="D102" s="398" t="s">
        <v>684</v>
      </c>
      <c r="E102" s="415"/>
      <c r="F102" s="529" t="s">
        <v>607</v>
      </c>
      <c r="G102" s="529"/>
      <c r="H102" s="537" t="str">
        <f>C101</f>
        <v>SIT Support</v>
      </c>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79"/>
      <c r="AR102" s="179"/>
      <c r="AS102" s="179"/>
      <c r="AT102" s="179"/>
      <c r="AU102" s="179"/>
      <c r="AV102" s="179"/>
      <c r="AW102" s="179"/>
      <c r="AX102" s="179"/>
      <c r="AY102" s="179"/>
      <c r="AZ102" s="179"/>
      <c r="BA102" s="179"/>
      <c r="BB102" s="179"/>
      <c r="BC102" s="179"/>
      <c r="BD102" s="179"/>
      <c r="BE102" s="179"/>
      <c r="BF102" s="179"/>
      <c r="BG102" s="179"/>
      <c r="BH102" s="180"/>
      <c r="BI102" s="187"/>
      <c r="BJ102" s="82">
        <f t="shared" ref="BJ102:BJ111" si="180">SUMIF(I$8:BH$8, "&lt;&gt;"&amp;AgileIteration_Warranty,I102:BH102)*5*Scenario3Utilisation</f>
        <v>0</v>
      </c>
      <c r="BK102" s="82">
        <f t="shared" si="7"/>
        <v>0</v>
      </c>
      <c r="BL102" s="82">
        <f t="shared" ref="BL102:BL111" si="181">IF(Scenario3Warranty=AgileWarrantyDefault, (SUMIF(I$8:BH$8,AgileIteration_Warranty,I102:BH102)*5*Scenario3Utilisation), (BJ102*Scenario3Warranty))</f>
        <v>0</v>
      </c>
      <c r="BM102" s="127">
        <f t="shared" si="9"/>
        <v>0</v>
      </c>
    </row>
    <row r="103" spans="1:65" s="74" customFormat="1" ht="11.25" x14ac:dyDescent="0.2">
      <c r="A103" s="210">
        <v>2</v>
      </c>
      <c r="B103" s="211" t="s">
        <v>571</v>
      </c>
      <c r="C103" s="456" t="s">
        <v>685</v>
      </c>
      <c r="D103" s="399" t="s">
        <v>686</v>
      </c>
      <c r="E103" s="416"/>
      <c r="F103" s="530" t="s">
        <v>607</v>
      </c>
      <c r="G103" s="530"/>
      <c r="H103" s="540" t="str">
        <f t="shared" ref="H103:H110" si="182">H102</f>
        <v>SIT Support</v>
      </c>
      <c r="I103" s="174"/>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2"/>
      <c r="AR103" s="172"/>
      <c r="AS103" s="172"/>
      <c r="AT103" s="172"/>
      <c r="AU103" s="172"/>
      <c r="AV103" s="172"/>
      <c r="AW103" s="172"/>
      <c r="AX103" s="172"/>
      <c r="AY103" s="172"/>
      <c r="AZ103" s="172"/>
      <c r="BA103" s="172"/>
      <c r="BB103" s="172"/>
      <c r="BC103" s="172"/>
      <c r="BD103" s="172"/>
      <c r="BE103" s="172"/>
      <c r="BF103" s="172"/>
      <c r="BG103" s="172"/>
      <c r="BH103" s="173"/>
      <c r="BI103" s="187"/>
      <c r="BJ103" s="82">
        <f t="shared" si="180"/>
        <v>0</v>
      </c>
      <c r="BK103" s="82">
        <f t="shared" si="7"/>
        <v>0</v>
      </c>
      <c r="BL103" s="82">
        <f t="shared" si="181"/>
        <v>0</v>
      </c>
      <c r="BM103" s="127">
        <f t="shared" si="9"/>
        <v>0</v>
      </c>
    </row>
    <row r="104" spans="1:65" s="74" customFormat="1" ht="11.25" x14ac:dyDescent="0.2">
      <c r="A104" s="210">
        <v>2</v>
      </c>
      <c r="B104" s="211" t="s">
        <v>571</v>
      </c>
      <c r="C104" s="456" t="s">
        <v>658</v>
      </c>
      <c r="D104" s="399" t="s">
        <v>687</v>
      </c>
      <c r="E104" s="416"/>
      <c r="F104" s="530" t="str">
        <f>IFERROR(VLOOKUP(C104,MappingFromTTStoSU,2,FALSE),"SU Resource Role")</f>
        <v>DWMS</v>
      </c>
      <c r="G104" s="530"/>
      <c r="H104" s="540" t="str">
        <f>H103</f>
        <v>SIT Support</v>
      </c>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2"/>
      <c r="AR104" s="172"/>
      <c r="AS104" s="172"/>
      <c r="AT104" s="172"/>
      <c r="AU104" s="172"/>
      <c r="AV104" s="172"/>
      <c r="AW104" s="172"/>
      <c r="AX104" s="172"/>
      <c r="AY104" s="172"/>
      <c r="AZ104" s="172"/>
      <c r="BA104" s="172"/>
      <c r="BB104" s="172"/>
      <c r="BC104" s="172"/>
      <c r="BD104" s="172"/>
      <c r="BE104" s="172"/>
      <c r="BF104" s="172"/>
      <c r="BG104" s="172"/>
      <c r="BH104" s="173"/>
      <c r="BI104" s="187"/>
      <c r="BJ104" s="82">
        <f t="shared" ref="BJ104" si="183">SUMIF(I$8:BH$8, "&lt;&gt;"&amp;AgileIteration_Warranty,I104:BH104)*5*Scenario3Utilisation</f>
        <v>0</v>
      </c>
      <c r="BK104" s="82">
        <f t="shared" ref="BK104" si="184">BJ104*Scenario3AgileContingency</f>
        <v>0</v>
      </c>
      <c r="BL104" s="82">
        <f t="shared" ref="BL104" si="185">IF(Scenario3Warranty=AgileWarrantyDefault, (SUMIF(I$8:BH$8,AgileIteration_Warranty,I104:BH104)*5*Scenario3Utilisation), (BJ104*Scenario3Warranty))</f>
        <v>0</v>
      </c>
      <c r="BM104" s="127">
        <f t="shared" ref="BM104" si="186">SUM(BJ104:BL104)</f>
        <v>0</v>
      </c>
    </row>
    <row r="105" spans="1:65" s="74" customFormat="1" ht="11.25" x14ac:dyDescent="0.2">
      <c r="A105" s="210">
        <v>2</v>
      </c>
      <c r="B105" s="211" t="s">
        <v>571</v>
      </c>
      <c r="C105" s="456" t="s">
        <v>635</v>
      </c>
      <c r="D105" s="400" t="s">
        <v>687</v>
      </c>
      <c r="E105" s="417"/>
      <c r="F105" s="531" t="str">
        <f t="shared" ref="F105:F111" si="187">IFERROR(VLOOKUP(C105,MappingFromTTStoSU,2,FALSE),"SU Resource Role")</f>
        <v>DWMS</v>
      </c>
      <c r="G105" s="531"/>
      <c r="H105" s="540" t="str">
        <f>H103</f>
        <v>SIT Support</v>
      </c>
      <c r="I105" s="177"/>
      <c r="J105" s="177"/>
      <c r="K105" s="177"/>
      <c r="L105" s="177"/>
      <c r="M105" s="177"/>
      <c r="N105" s="177"/>
      <c r="O105" s="177"/>
      <c r="P105" s="177"/>
      <c r="Q105" s="177"/>
      <c r="R105" s="177"/>
      <c r="S105" s="177"/>
      <c r="T105" s="177"/>
      <c r="U105" s="177"/>
      <c r="V105" s="177"/>
      <c r="W105" s="177"/>
      <c r="X105" s="177"/>
      <c r="Y105" s="177"/>
      <c r="Z105" s="177"/>
      <c r="AA105" s="177"/>
      <c r="AB105" s="177"/>
      <c r="AC105" s="177"/>
      <c r="AD105" s="177"/>
      <c r="AE105" s="177"/>
      <c r="AF105" s="177"/>
      <c r="AG105" s="177"/>
      <c r="AH105" s="177"/>
      <c r="AI105" s="177"/>
      <c r="AJ105" s="177"/>
      <c r="AK105" s="177"/>
      <c r="AL105" s="177"/>
      <c r="AM105" s="177"/>
      <c r="AN105" s="177"/>
      <c r="AO105" s="177"/>
      <c r="AP105" s="177"/>
      <c r="AQ105" s="176"/>
      <c r="AR105" s="176"/>
      <c r="AS105" s="176"/>
      <c r="AT105" s="176"/>
      <c r="AU105" s="176"/>
      <c r="AV105" s="176"/>
      <c r="AW105" s="176"/>
      <c r="AX105" s="176"/>
      <c r="AY105" s="176"/>
      <c r="AZ105" s="176"/>
      <c r="BA105" s="176"/>
      <c r="BB105" s="176"/>
      <c r="BC105" s="176"/>
      <c r="BD105" s="176"/>
      <c r="BE105" s="176"/>
      <c r="BF105" s="176"/>
      <c r="BG105" s="176"/>
      <c r="BH105" s="178"/>
      <c r="BI105" s="187"/>
      <c r="BJ105" s="82">
        <f t="shared" si="180"/>
        <v>0</v>
      </c>
      <c r="BK105" s="82">
        <f t="shared" ref="BK105" si="188">BJ105*Scenario3AgileContingency</f>
        <v>0</v>
      </c>
      <c r="BL105" s="82">
        <f t="shared" si="181"/>
        <v>0</v>
      </c>
      <c r="BM105" s="127">
        <f t="shared" ref="BM105" si="189">SUM(BJ105:BL105)</f>
        <v>0</v>
      </c>
    </row>
    <row r="106" spans="1:65" s="74" customFormat="1" ht="11.25" x14ac:dyDescent="0.2">
      <c r="A106" s="210">
        <v>2</v>
      </c>
      <c r="B106" s="211" t="s">
        <v>571</v>
      </c>
      <c r="C106" s="456" t="str">
        <f t="shared" ref="C106:C111" si="190">IFERROR(VLOOKUP(D106,MappingFromSetAgiletoTTSRole,2,FALSE),"SET Agile Resource Role")</f>
        <v>Software Developer</v>
      </c>
      <c r="D106" s="400" t="s">
        <v>687</v>
      </c>
      <c r="E106" s="417"/>
      <c r="F106" s="531" t="str">
        <f t="shared" si="187"/>
        <v>DWMS</v>
      </c>
      <c r="G106" s="531"/>
      <c r="H106" s="540" t="str">
        <f t="shared" si="182"/>
        <v>SIT Support</v>
      </c>
      <c r="I106" s="177"/>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6"/>
      <c r="AR106" s="176"/>
      <c r="AS106" s="176"/>
      <c r="AT106" s="176"/>
      <c r="AU106" s="176"/>
      <c r="AV106" s="176"/>
      <c r="AW106" s="176"/>
      <c r="AX106" s="176"/>
      <c r="AY106" s="176"/>
      <c r="AZ106" s="176"/>
      <c r="BA106" s="176"/>
      <c r="BB106" s="176"/>
      <c r="BC106" s="176"/>
      <c r="BD106" s="176"/>
      <c r="BE106" s="176"/>
      <c r="BF106" s="176"/>
      <c r="BG106" s="176"/>
      <c r="BH106" s="178"/>
      <c r="BI106" s="187"/>
      <c r="BJ106" s="82">
        <f t="shared" si="180"/>
        <v>0</v>
      </c>
      <c r="BK106" s="82">
        <f t="shared" ref="BK106" si="191">BJ106*Scenario3AgileContingency</f>
        <v>0</v>
      </c>
      <c r="BL106" s="82">
        <f t="shared" si="181"/>
        <v>0</v>
      </c>
      <c r="BM106" s="127">
        <f t="shared" ref="BM106" si="192">SUM(BJ106:BL106)</f>
        <v>0</v>
      </c>
    </row>
    <row r="107" spans="1:65" s="74" customFormat="1" ht="11.25" x14ac:dyDescent="0.2">
      <c r="A107" s="210">
        <v>2</v>
      </c>
      <c r="B107" s="211" t="s">
        <v>571</v>
      </c>
      <c r="C107" s="456" t="str">
        <f t="shared" si="190"/>
        <v>Software Developer</v>
      </c>
      <c r="D107" s="400" t="s">
        <v>687</v>
      </c>
      <c r="E107" s="417"/>
      <c r="F107" s="531" t="str">
        <f t="shared" si="187"/>
        <v>DWMS</v>
      </c>
      <c r="G107" s="531"/>
      <c r="H107" s="540" t="str">
        <f t="shared" si="182"/>
        <v>SIT Support</v>
      </c>
      <c r="I107" s="177"/>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6"/>
      <c r="AR107" s="176"/>
      <c r="AS107" s="176"/>
      <c r="AT107" s="176"/>
      <c r="AU107" s="176"/>
      <c r="AV107" s="176"/>
      <c r="AW107" s="176"/>
      <c r="AX107" s="176"/>
      <c r="AY107" s="176"/>
      <c r="AZ107" s="176"/>
      <c r="BA107" s="176"/>
      <c r="BB107" s="176"/>
      <c r="BC107" s="176"/>
      <c r="BD107" s="176"/>
      <c r="BE107" s="176"/>
      <c r="BF107" s="176"/>
      <c r="BG107" s="176"/>
      <c r="BH107" s="178"/>
      <c r="BI107" s="187"/>
      <c r="BJ107" s="82">
        <f t="shared" si="180"/>
        <v>0</v>
      </c>
      <c r="BK107" s="82">
        <f t="shared" ref="BK107" si="193">BJ107*Scenario3AgileContingency</f>
        <v>0</v>
      </c>
      <c r="BL107" s="82">
        <f t="shared" si="181"/>
        <v>0</v>
      </c>
      <c r="BM107" s="127">
        <f t="shared" ref="BM107" si="194">SUM(BJ107:BL107)</f>
        <v>0</v>
      </c>
    </row>
    <row r="108" spans="1:65" s="74" customFormat="1" ht="11.25" x14ac:dyDescent="0.2">
      <c r="A108" s="210">
        <v>2</v>
      </c>
      <c r="B108" s="211" t="s">
        <v>571</v>
      </c>
      <c r="C108" s="456" t="str">
        <f t="shared" si="190"/>
        <v>Software Developer</v>
      </c>
      <c r="D108" s="400" t="s">
        <v>687</v>
      </c>
      <c r="E108" s="417"/>
      <c r="F108" s="531" t="str">
        <f t="shared" si="187"/>
        <v>DWMS</v>
      </c>
      <c r="G108" s="531"/>
      <c r="H108" s="540" t="str">
        <f t="shared" si="182"/>
        <v>SIT Support</v>
      </c>
      <c r="I108" s="177"/>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6"/>
      <c r="AR108" s="176"/>
      <c r="AS108" s="176"/>
      <c r="AT108" s="176"/>
      <c r="AU108" s="176"/>
      <c r="AV108" s="176"/>
      <c r="AW108" s="176"/>
      <c r="AX108" s="176"/>
      <c r="AY108" s="176"/>
      <c r="AZ108" s="176"/>
      <c r="BA108" s="176"/>
      <c r="BB108" s="176"/>
      <c r="BC108" s="176"/>
      <c r="BD108" s="176"/>
      <c r="BE108" s="176"/>
      <c r="BF108" s="176"/>
      <c r="BG108" s="176"/>
      <c r="BH108" s="178"/>
      <c r="BI108" s="187"/>
      <c r="BJ108" s="82">
        <f t="shared" si="180"/>
        <v>0</v>
      </c>
      <c r="BK108" s="82">
        <f t="shared" ref="BK108" si="195">BJ108*Scenario3AgileContingency</f>
        <v>0</v>
      </c>
      <c r="BL108" s="82">
        <f t="shared" si="181"/>
        <v>0</v>
      </c>
      <c r="BM108" s="127">
        <f t="shared" ref="BM108" si="196">SUM(BJ108:BL108)</f>
        <v>0</v>
      </c>
    </row>
    <row r="109" spans="1:65" s="74" customFormat="1" ht="11.25" x14ac:dyDescent="0.2">
      <c r="A109" s="210">
        <v>2</v>
      </c>
      <c r="B109" s="211" t="s">
        <v>571</v>
      </c>
      <c r="C109" s="456" t="s">
        <v>651</v>
      </c>
      <c r="D109" s="400" t="s">
        <v>688</v>
      </c>
      <c r="E109" s="417"/>
      <c r="F109" s="531" t="str">
        <f t="shared" si="187"/>
        <v>DWMS</v>
      </c>
      <c r="G109" s="531"/>
      <c r="H109" s="540" t="str">
        <f t="shared" si="182"/>
        <v>SIT Support</v>
      </c>
      <c r="I109" s="177"/>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7"/>
      <c r="AP109" s="177"/>
      <c r="AQ109" s="176"/>
      <c r="AR109" s="176"/>
      <c r="AS109" s="176"/>
      <c r="AT109" s="176"/>
      <c r="AU109" s="176"/>
      <c r="AV109" s="176"/>
      <c r="AW109" s="176"/>
      <c r="AX109" s="176"/>
      <c r="AY109" s="176"/>
      <c r="AZ109" s="176"/>
      <c r="BA109" s="176"/>
      <c r="BB109" s="176"/>
      <c r="BC109" s="176"/>
      <c r="BD109" s="176"/>
      <c r="BE109" s="176"/>
      <c r="BF109" s="176"/>
      <c r="BG109" s="176"/>
      <c r="BH109" s="178"/>
      <c r="BI109" s="187"/>
      <c r="BJ109" s="82">
        <f t="shared" si="180"/>
        <v>0</v>
      </c>
      <c r="BK109" s="82">
        <f t="shared" ref="BK109" si="197">BJ109*Scenario3AgileContingency</f>
        <v>0</v>
      </c>
      <c r="BL109" s="82">
        <f t="shared" si="181"/>
        <v>0</v>
      </c>
      <c r="BM109" s="127">
        <f t="shared" ref="BM109" si="198">SUM(BJ109:BL109)</f>
        <v>0</v>
      </c>
    </row>
    <row r="110" spans="1:65" s="74" customFormat="1" ht="11.25" x14ac:dyDescent="0.2">
      <c r="A110" s="210">
        <v>2</v>
      </c>
      <c r="B110" s="211" t="s">
        <v>571</v>
      </c>
      <c r="C110" s="456" t="str">
        <f t="shared" si="190"/>
        <v>Test Consultant</v>
      </c>
      <c r="D110" s="400" t="s">
        <v>688</v>
      </c>
      <c r="E110" s="417"/>
      <c r="F110" s="531" t="str">
        <f t="shared" si="187"/>
        <v>DWMS</v>
      </c>
      <c r="G110" s="531"/>
      <c r="H110" s="540" t="str">
        <f t="shared" si="182"/>
        <v>SIT Support</v>
      </c>
      <c r="I110" s="177"/>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7"/>
      <c r="AP110" s="177"/>
      <c r="AQ110" s="176"/>
      <c r="AR110" s="176"/>
      <c r="AS110" s="176"/>
      <c r="AT110" s="176"/>
      <c r="AU110" s="176"/>
      <c r="AV110" s="176"/>
      <c r="AW110" s="176"/>
      <c r="AX110" s="176"/>
      <c r="AY110" s="176"/>
      <c r="AZ110" s="176"/>
      <c r="BA110" s="176"/>
      <c r="BB110" s="176"/>
      <c r="BC110" s="176"/>
      <c r="BD110" s="176"/>
      <c r="BE110" s="176"/>
      <c r="BF110" s="176"/>
      <c r="BG110" s="176"/>
      <c r="BH110" s="178"/>
      <c r="BI110" s="187"/>
      <c r="BJ110" s="82">
        <f t="shared" si="180"/>
        <v>0</v>
      </c>
      <c r="BK110" s="82">
        <f t="shared" ref="BK110" si="199">BJ110*Scenario3AgileContingency</f>
        <v>0</v>
      </c>
      <c r="BL110" s="82">
        <f t="shared" si="181"/>
        <v>0</v>
      </c>
      <c r="BM110" s="127">
        <f t="shared" ref="BM110" si="200">SUM(BJ110:BL110)</f>
        <v>0</v>
      </c>
    </row>
    <row r="111" spans="1:65" s="74" customFormat="1" ht="11.25" x14ac:dyDescent="0.2">
      <c r="A111" s="210">
        <v>2</v>
      </c>
      <c r="B111" s="211" t="s">
        <v>571</v>
      </c>
      <c r="C111" s="456" t="str">
        <f t="shared" si="190"/>
        <v>Test Consultant</v>
      </c>
      <c r="D111" s="400" t="s">
        <v>688</v>
      </c>
      <c r="E111" s="417"/>
      <c r="F111" s="531" t="str">
        <f t="shared" si="187"/>
        <v>DWMS</v>
      </c>
      <c r="G111" s="531"/>
      <c r="H111" s="540" t="str">
        <f>H109</f>
        <v>SIT Support</v>
      </c>
      <c r="I111" s="177"/>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7"/>
      <c r="AP111" s="177"/>
      <c r="AQ111" s="176"/>
      <c r="AR111" s="176"/>
      <c r="AS111" s="176"/>
      <c r="AT111" s="176"/>
      <c r="AU111" s="176"/>
      <c r="AV111" s="176"/>
      <c r="AW111" s="176"/>
      <c r="AX111" s="176"/>
      <c r="AY111" s="176"/>
      <c r="AZ111" s="176"/>
      <c r="BA111" s="176"/>
      <c r="BB111" s="176"/>
      <c r="BC111" s="176"/>
      <c r="BD111" s="176"/>
      <c r="BE111" s="176"/>
      <c r="BF111" s="176"/>
      <c r="BG111" s="176"/>
      <c r="BH111" s="178"/>
      <c r="BI111" s="187"/>
      <c r="BJ111" s="82">
        <f t="shared" si="180"/>
        <v>0</v>
      </c>
      <c r="BK111" s="82">
        <f t="shared" ref="BK111" si="201">BJ111*Scenario3AgileContingency</f>
        <v>0</v>
      </c>
      <c r="BL111" s="82">
        <f t="shared" si="181"/>
        <v>0</v>
      </c>
      <c r="BM111" s="127">
        <f t="shared" ref="BM111" si="202">SUM(BJ111:BL111)</f>
        <v>0</v>
      </c>
    </row>
    <row r="112" spans="1:65" s="74" customFormat="1" ht="11.25" x14ac:dyDescent="0.2">
      <c r="A112" s="210">
        <v>1</v>
      </c>
      <c r="B112" s="211" t="s">
        <v>578</v>
      </c>
      <c r="C112" s="206" t="s">
        <v>689</v>
      </c>
      <c r="D112" s="206" t="s">
        <v>689</v>
      </c>
      <c r="E112" s="418"/>
      <c r="F112" s="418"/>
      <c r="G112" s="418"/>
      <c r="H112" s="419"/>
      <c r="I112" s="217"/>
      <c r="J112" s="217"/>
      <c r="K112" s="217"/>
      <c r="L112" s="217"/>
      <c r="M112" s="217"/>
      <c r="N112" s="217"/>
      <c r="O112" s="217"/>
      <c r="P112" s="217"/>
      <c r="Q112" s="217"/>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c r="AQ112" s="217"/>
      <c r="AR112" s="217"/>
      <c r="AS112" s="217"/>
      <c r="AT112" s="217"/>
      <c r="AU112" s="217"/>
      <c r="AV112" s="217"/>
      <c r="AW112" s="217"/>
      <c r="AX112" s="217"/>
      <c r="AY112" s="217"/>
      <c r="AZ112" s="217"/>
      <c r="BA112" s="217"/>
      <c r="BB112" s="217"/>
      <c r="BC112" s="217"/>
      <c r="BD112" s="217"/>
      <c r="BE112" s="217"/>
      <c r="BF112" s="217"/>
      <c r="BG112" s="217"/>
      <c r="BH112" s="186"/>
      <c r="BI112" s="187"/>
      <c r="BJ112" s="127"/>
      <c r="BK112" s="127"/>
      <c r="BL112" s="127"/>
      <c r="BM112" s="127"/>
    </row>
    <row r="113" spans="1:65" s="74" customFormat="1" ht="11.25" x14ac:dyDescent="0.2">
      <c r="A113" s="210">
        <v>2</v>
      </c>
      <c r="B113" s="211" t="s">
        <v>578</v>
      </c>
      <c r="C113" s="456" t="str">
        <f>IFERROR(VLOOKUP(D113,MappingFromSetAgiletoTTSRole,2,FALSE),"SET Agile Resource Role")</f>
        <v>Business Consultant</v>
      </c>
      <c r="D113" s="398" t="s">
        <v>684</v>
      </c>
      <c r="E113" s="415"/>
      <c r="F113" s="529" t="s">
        <v>607</v>
      </c>
      <c r="G113" s="529"/>
      <c r="H113" s="537" t="str">
        <f>C112</f>
        <v>UAT Support</v>
      </c>
      <c r="I113" s="181"/>
      <c r="J113" s="181"/>
      <c r="K113" s="181"/>
      <c r="L113" s="181"/>
      <c r="M113" s="181"/>
      <c r="N113" s="181"/>
      <c r="O113" s="181"/>
      <c r="P113" s="181"/>
      <c r="Q113" s="181"/>
      <c r="R113" s="181"/>
      <c r="S113" s="181"/>
      <c r="T113" s="181"/>
      <c r="U113" s="181"/>
      <c r="V113" s="181"/>
      <c r="W113" s="181"/>
      <c r="X113" s="181"/>
      <c r="Y113" s="181"/>
      <c r="Z113" s="181"/>
      <c r="AA113" s="179"/>
      <c r="AB113" s="179"/>
      <c r="AC113" s="179"/>
      <c r="AD113" s="179"/>
      <c r="AE113" s="179"/>
      <c r="AF113" s="181"/>
      <c r="AG113" s="181"/>
      <c r="AH113" s="181"/>
      <c r="AI113" s="181"/>
      <c r="AJ113" s="181"/>
      <c r="AK113" s="181"/>
      <c r="AL113" s="181"/>
      <c r="AM113" s="181"/>
      <c r="AN113" s="181"/>
      <c r="AO113" s="181"/>
      <c r="AP113" s="181"/>
      <c r="AQ113" s="181"/>
      <c r="AR113" s="181"/>
      <c r="AS113" s="181"/>
      <c r="AT113" s="181"/>
      <c r="AU113" s="181"/>
      <c r="AV113" s="181"/>
      <c r="AW113" s="179"/>
      <c r="AX113" s="179"/>
      <c r="AY113" s="179"/>
      <c r="AZ113" s="179"/>
      <c r="BA113" s="179"/>
      <c r="BB113" s="179"/>
      <c r="BC113" s="179"/>
      <c r="BD113" s="179"/>
      <c r="BE113" s="179"/>
      <c r="BF113" s="179"/>
      <c r="BG113" s="179"/>
      <c r="BH113" s="180"/>
      <c r="BI113" s="187"/>
      <c r="BJ113" s="82">
        <f t="shared" ref="BJ113:BJ122" si="203">SUMIF(I$8:BH$8, "&lt;&gt;"&amp;AgileIteration_Warranty,I113:BH113)*5*Scenario3Utilisation</f>
        <v>0</v>
      </c>
      <c r="BK113" s="82">
        <f t="shared" si="7"/>
        <v>0</v>
      </c>
      <c r="BL113" s="82">
        <f t="shared" ref="BL113:BL122" si="204">IF(Scenario3Warranty=AgileWarrantyDefault, (SUMIF(I$8:BH$8,AgileIteration_Warranty,I113:BH113)*5*Scenario3Utilisation), (BJ113*Scenario3Warranty))</f>
        <v>0</v>
      </c>
      <c r="BM113" s="127">
        <f t="shared" si="9"/>
        <v>0</v>
      </c>
    </row>
    <row r="114" spans="1:65" s="74" customFormat="1" ht="11.25" x14ac:dyDescent="0.2">
      <c r="A114" s="210">
        <v>2</v>
      </c>
      <c r="B114" s="211" t="s">
        <v>578</v>
      </c>
      <c r="C114" s="456" t="s">
        <v>685</v>
      </c>
      <c r="D114" s="399" t="s">
        <v>686</v>
      </c>
      <c r="E114" s="416"/>
      <c r="F114" s="530" t="s">
        <v>607</v>
      </c>
      <c r="G114" s="530"/>
      <c r="H114" s="540" t="str">
        <f>H113</f>
        <v>UAT Support</v>
      </c>
      <c r="I114" s="174"/>
      <c r="J114" s="174"/>
      <c r="K114" s="174"/>
      <c r="L114" s="174"/>
      <c r="M114" s="174"/>
      <c r="N114" s="174"/>
      <c r="O114" s="174"/>
      <c r="P114" s="174"/>
      <c r="Q114" s="174"/>
      <c r="R114" s="174"/>
      <c r="S114" s="174"/>
      <c r="T114" s="174"/>
      <c r="U114" s="174"/>
      <c r="V114" s="174"/>
      <c r="W114" s="174"/>
      <c r="X114" s="174"/>
      <c r="Y114" s="174"/>
      <c r="Z114" s="174"/>
      <c r="AA114" s="172"/>
      <c r="AB114" s="172"/>
      <c r="AC114" s="172"/>
      <c r="AD114" s="172"/>
      <c r="AE114" s="172"/>
      <c r="AF114" s="174"/>
      <c r="AG114" s="174"/>
      <c r="AH114" s="174"/>
      <c r="AI114" s="174"/>
      <c r="AJ114" s="174"/>
      <c r="AK114" s="174"/>
      <c r="AL114" s="174"/>
      <c r="AM114" s="174"/>
      <c r="AN114" s="174"/>
      <c r="AO114" s="174"/>
      <c r="AP114" s="174"/>
      <c r="AQ114" s="174"/>
      <c r="AR114" s="174"/>
      <c r="AS114" s="174"/>
      <c r="AT114" s="174"/>
      <c r="AU114" s="174"/>
      <c r="AV114" s="174"/>
      <c r="AW114" s="172"/>
      <c r="AX114" s="172"/>
      <c r="AY114" s="172"/>
      <c r="AZ114" s="172"/>
      <c r="BA114" s="172"/>
      <c r="BB114" s="172"/>
      <c r="BC114" s="172"/>
      <c r="BD114" s="172"/>
      <c r="BE114" s="172"/>
      <c r="BF114" s="172"/>
      <c r="BG114" s="172"/>
      <c r="BH114" s="173"/>
      <c r="BI114" s="187"/>
      <c r="BJ114" s="82">
        <f t="shared" si="203"/>
        <v>0</v>
      </c>
      <c r="BK114" s="82">
        <f t="shared" si="7"/>
        <v>0</v>
      </c>
      <c r="BL114" s="82">
        <f t="shared" si="204"/>
        <v>0</v>
      </c>
      <c r="BM114" s="127">
        <f t="shared" si="9"/>
        <v>0</v>
      </c>
    </row>
    <row r="115" spans="1:65" s="74" customFormat="1" ht="11.25" x14ac:dyDescent="0.2">
      <c r="A115" s="210">
        <v>2</v>
      </c>
      <c r="B115" s="211" t="s">
        <v>578</v>
      </c>
      <c r="C115" s="456" t="s">
        <v>658</v>
      </c>
      <c r="D115" s="399" t="s">
        <v>687</v>
      </c>
      <c r="E115" s="416"/>
      <c r="F115" s="530" t="str">
        <f>IFERROR(VLOOKUP(C115,MappingFromTTStoSU,2,FALSE),"SU Resource Role")</f>
        <v>DWMS</v>
      </c>
      <c r="G115" s="530"/>
      <c r="H115" s="540" t="str">
        <f>H114</f>
        <v>UAT Support</v>
      </c>
      <c r="I115" s="174"/>
      <c r="J115" s="174"/>
      <c r="K115" s="174"/>
      <c r="L115" s="174"/>
      <c r="M115" s="174"/>
      <c r="N115" s="174"/>
      <c r="O115" s="174"/>
      <c r="P115" s="174"/>
      <c r="Q115" s="174"/>
      <c r="R115" s="174"/>
      <c r="S115" s="174"/>
      <c r="T115" s="174"/>
      <c r="U115" s="174"/>
      <c r="V115" s="174"/>
      <c r="W115" s="174"/>
      <c r="X115" s="174"/>
      <c r="Y115" s="174"/>
      <c r="Z115" s="174"/>
      <c r="AA115" s="172"/>
      <c r="AB115" s="172"/>
      <c r="AC115" s="172"/>
      <c r="AD115" s="172"/>
      <c r="AE115" s="172"/>
      <c r="AF115" s="174"/>
      <c r="AG115" s="174"/>
      <c r="AH115" s="174"/>
      <c r="AI115" s="174"/>
      <c r="AJ115" s="174"/>
      <c r="AK115" s="174"/>
      <c r="AL115" s="174"/>
      <c r="AM115" s="174"/>
      <c r="AN115" s="174"/>
      <c r="AO115" s="174"/>
      <c r="AP115" s="174"/>
      <c r="AQ115" s="174"/>
      <c r="AR115" s="174"/>
      <c r="AS115" s="174"/>
      <c r="AT115" s="174"/>
      <c r="AU115" s="174"/>
      <c r="AV115" s="174"/>
      <c r="AW115" s="172"/>
      <c r="AX115" s="172"/>
      <c r="AY115" s="172"/>
      <c r="AZ115" s="172"/>
      <c r="BA115" s="172"/>
      <c r="BB115" s="172"/>
      <c r="BC115" s="172"/>
      <c r="BD115" s="172"/>
      <c r="BE115" s="172"/>
      <c r="BF115" s="172"/>
      <c r="BG115" s="172"/>
      <c r="BH115" s="173"/>
      <c r="BI115" s="187"/>
      <c r="BJ115" s="82">
        <f t="shared" ref="BJ115" si="205">SUMIF(I$8:BH$8, "&lt;&gt;"&amp;AgileIteration_Warranty,I115:BH115)*5*Scenario3Utilisation</f>
        <v>0</v>
      </c>
      <c r="BK115" s="82">
        <f t="shared" ref="BK115" si="206">BJ115*Scenario3AgileContingency</f>
        <v>0</v>
      </c>
      <c r="BL115" s="82">
        <f t="shared" ref="BL115" si="207">IF(Scenario3Warranty=AgileWarrantyDefault, (SUMIF(I$8:BH$8,AgileIteration_Warranty,I115:BH115)*5*Scenario3Utilisation), (BJ115*Scenario3Warranty))</f>
        <v>0</v>
      </c>
      <c r="BM115" s="127">
        <f t="shared" ref="BM115" si="208">SUM(BJ115:BL115)</f>
        <v>0</v>
      </c>
    </row>
    <row r="116" spans="1:65" s="74" customFormat="1" ht="11.25" x14ac:dyDescent="0.2">
      <c r="A116" s="210">
        <v>2</v>
      </c>
      <c r="B116" s="211" t="s">
        <v>578</v>
      </c>
      <c r="C116" s="456" t="s">
        <v>635</v>
      </c>
      <c r="D116" s="399" t="s">
        <v>687</v>
      </c>
      <c r="E116" s="416"/>
      <c r="F116" s="530" t="str">
        <f>IFERROR(VLOOKUP(C116,MappingFromTTStoSU,2,FALSE),"SU Resource Role")</f>
        <v>DWMS</v>
      </c>
      <c r="G116" s="530"/>
      <c r="H116" s="540" t="str">
        <f>H114</f>
        <v>UAT Support</v>
      </c>
      <c r="I116" s="174"/>
      <c r="J116" s="174"/>
      <c r="K116" s="174"/>
      <c r="L116" s="174"/>
      <c r="M116" s="174"/>
      <c r="N116" s="174"/>
      <c r="O116" s="174"/>
      <c r="P116" s="174"/>
      <c r="Q116" s="174"/>
      <c r="R116" s="174"/>
      <c r="S116" s="174"/>
      <c r="T116" s="174"/>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2"/>
      <c r="AX116" s="172"/>
      <c r="AY116" s="172"/>
      <c r="AZ116" s="172"/>
      <c r="BA116" s="172"/>
      <c r="BB116" s="172"/>
      <c r="BC116" s="172"/>
      <c r="BD116" s="172"/>
      <c r="BE116" s="172"/>
      <c r="BF116" s="172"/>
      <c r="BG116" s="172"/>
      <c r="BH116" s="173"/>
      <c r="BI116" s="187"/>
      <c r="BJ116" s="82">
        <f t="shared" si="203"/>
        <v>0</v>
      </c>
      <c r="BK116" s="82">
        <f t="shared" ref="BK116" si="209">BJ116*Scenario3AgileContingency</f>
        <v>0</v>
      </c>
      <c r="BL116" s="82">
        <f t="shared" si="204"/>
        <v>0</v>
      </c>
      <c r="BM116" s="127">
        <f t="shared" ref="BM116" si="210">SUM(BJ116:BL116)</f>
        <v>0</v>
      </c>
    </row>
    <row r="117" spans="1:65" s="74" customFormat="1" ht="11.25" x14ac:dyDescent="0.2">
      <c r="A117" s="210">
        <v>2</v>
      </c>
      <c r="B117" s="211" t="s">
        <v>578</v>
      </c>
      <c r="C117" s="456" t="str">
        <f t="shared" ref="C117:C122" si="211">IFERROR(VLOOKUP(D117,MappingFromSetAgiletoTTSRole,2,FALSE),"SET Agile Resource Role")</f>
        <v>Software Developer</v>
      </c>
      <c r="D117" s="399" t="s">
        <v>687</v>
      </c>
      <c r="E117" s="416"/>
      <c r="F117" s="530" t="str">
        <f>IFERROR(VLOOKUP(C117,MappingFromTTStoSU,2,FALSE),"SU Resource Role")</f>
        <v>DWMS</v>
      </c>
      <c r="G117" s="530"/>
      <c r="H117" s="540" t="str">
        <f>H116</f>
        <v>UAT Support</v>
      </c>
      <c r="I117" s="174"/>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2"/>
      <c r="AX117" s="172"/>
      <c r="AY117" s="172"/>
      <c r="AZ117" s="172"/>
      <c r="BA117" s="172"/>
      <c r="BB117" s="172"/>
      <c r="BC117" s="172"/>
      <c r="BD117" s="172"/>
      <c r="BE117" s="172"/>
      <c r="BF117" s="172"/>
      <c r="BG117" s="172"/>
      <c r="BH117" s="173"/>
      <c r="BI117" s="187"/>
      <c r="BJ117" s="82">
        <f t="shared" si="203"/>
        <v>0</v>
      </c>
      <c r="BK117" s="82">
        <f t="shared" ref="BK117" si="212">BJ117*Scenario3AgileContingency</f>
        <v>0</v>
      </c>
      <c r="BL117" s="82">
        <f t="shared" si="204"/>
        <v>0</v>
      </c>
      <c r="BM117" s="127">
        <f t="shared" ref="BM117" si="213">SUM(BJ117:BL117)</f>
        <v>0</v>
      </c>
    </row>
    <row r="118" spans="1:65" s="74" customFormat="1" ht="11.25" x14ac:dyDescent="0.2">
      <c r="A118" s="210">
        <v>2</v>
      </c>
      <c r="B118" s="211" t="s">
        <v>578</v>
      </c>
      <c r="C118" s="456" t="str">
        <f t="shared" si="211"/>
        <v>Software Developer</v>
      </c>
      <c r="D118" s="399" t="s">
        <v>687</v>
      </c>
      <c r="E118" s="416"/>
      <c r="F118" s="530" t="str">
        <f>IFERROR(VLOOKUP(C118,MappingFromTTStoSU,2,FALSE),"SU Resource Role")</f>
        <v>DWMS</v>
      </c>
      <c r="G118" s="530"/>
      <c r="H118" s="540" t="str">
        <f>H117</f>
        <v>UAT Support</v>
      </c>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2"/>
      <c r="AX118" s="172"/>
      <c r="AY118" s="172"/>
      <c r="AZ118" s="172"/>
      <c r="BA118" s="172"/>
      <c r="BB118" s="172"/>
      <c r="BC118" s="172"/>
      <c r="BD118" s="172"/>
      <c r="BE118" s="172"/>
      <c r="BF118" s="172"/>
      <c r="BG118" s="172"/>
      <c r="BH118" s="173"/>
      <c r="BI118" s="187"/>
      <c r="BJ118" s="82">
        <f t="shared" si="203"/>
        <v>0</v>
      </c>
      <c r="BK118" s="82">
        <f t="shared" ref="BK118" si="214">BJ118*Scenario3AgileContingency</f>
        <v>0</v>
      </c>
      <c r="BL118" s="82">
        <f t="shared" si="204"/>
        <v>0</v>
      </c>
      <c r="BM118" s="127">
        <f t="shared" ref="BM118" si="215">SUM(BJ118:BL118)</f>
        <v>0</v>
      </c>
    </row>
    <row r="119" spans="1:65" s="74" customFormat="1" ht="11.25" x14ac:dyDescent="0.2">
      <c r="A119" s="210">
        <v>2</v>
      </c>
      <c r="B119" s="211" t="s">
        <v>578</v>
      </c>
      <c r="C119" s="456" t="str">
        <f t="shared" si="211"/>
        <v>Software Developer</v>
      </c>
      <c r="D119" s="399" t="s">
        <v>687</v>
      </c>
      <c r="E119" s="416"/>
      <c r="F119" s="530" t="str">
        <f>IFERROR(VLOOKUP(C119,MappingFromTTStoSU,2,FALSE),"SU Resource Role")</f>
        <v>DWMS</v>
      </c>
      <c r="G119" s="530"/>
      <c r="H119" s="540" t="str">
        <f>H118</f>
        <v>UAT Support</v>
      </c>
      <c r="I119" s="174"/>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2"/>
      <c r="AX119" s="172"/>
      <c r="AY119" s="172"/>
      <c r="AZ119" s="172"/>
      <c r="BA119" s="172"/>
      <c r="BB119" s="172"/>
      <c r="BC119" s="172"/>
      <c r="BD119" s="172"/>
      <c r="BE119" s="172"/>
      <c r="BF119" s="172"/>
      <c r="BG119" s="172"/>
      <c r="BH119" s="173"/>
      <c r="BI119" s="187"/>
      <c r="BJ119" s="82">
        <f t="shared" si="203"/>
        <v>0</v>
      </c>
      <c r="BK119" s="82">
        <f t="shared" ref="BK119" si="216">BJ119*Scenario3AgileContingency</f>
        <v>0</v>
      </c>
      <c r="BL119" s="82">
        <f t="shared" si="204"/>
        <v>0</v>
      </c>
      <c r="BM119" s="127">
        <f t="shared" ref="BM119" si="217">SUM(BJ119:BL119)</f>
        <v>0</v>
      </c>
    </row>
    <row r="120" spans="1:65" s="74" customFormat="1" ht="11.25" x14ac:dyDescent="0.2">
      <c r="A120" s="210">
        <v>2</v>
      </c>
      <c r="B120" s="211" t="s">
        <v>578</v>
      </c>
      <c r="C120" s="456" t="s">
        <v>651</v>
      </c>
      <c r="D120" s="399" t="s">
        <v>688</v>
      </c>
      <c r="E120" s="416"/>
      <c r="F120" s="530" t="s">
        <v>607</v>
      </c>
      <c r="G120" s="530"/>
      <c r="H120" s="540" t="str">
        <f t="shared" ref="H120:H122" si="218">H119</f>
        <v>UAT Support</v>
      </c>
      <c r="I120" s="174"/>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2"/>
      <c r="AX120" s="172"/>
      <c r="AY120" s="172"/>
      <c r="AZ120" s="172"/>
      <c r="BA120" s="172"/>
      <c r="BB120" s="172"/>
      <c r="BC120" s="172"/>
      <c r="BD120" s="172"/>
      <c r="BE120" s="172"/>
      <c r="BF120" s="172"/>
      <c r="BG120" s="172"/>
      <c r="BH120" s="173"/>
      <c r="BI120" s="187"/>
      <c r="BJ120" s="82">
        <f t="shared" si="203"/>
        <v>0</v>
      </c>
      <c r="BK120" s="82">
        <f t="shared" si="7"/>
        <v>0</v>
      </c>
      <c r="BL120" s="82">
        <f t="shared" si="204"/>
        <v>0</v>
      </c>
      <c r="BM120" s="127">
        <f t="shared" si="9"/>
        <v>0</v>
      </c>
    </row>
    <row r="121" spans="1:65" s="74" customFormat="1" ht="11.25" x14ac:dyDescent="0.2">
      <c r="A121" s="210">
        <v>2</v>
      </c>
      <c r="B121" s="211" t="s">
        <v>578</v>
      </c>
      <c r="C121" s="456" t="str">
        <f t="shared" si="211"/>
        <v>Test Consultant</v>
      </c>
      <c r="D121" s="400" t="s">
        <v>688</v>
      </c>
      <c r="E121" s="417"/>
      <c r="F121" s="531" t="s">
        <v>607</v>
      </c>
      <c r="G121" s="531"/>
      <c r="H121" s="540" t="str">
        <f t="shared" si="218"/>
        <v>UAT Support</v>
      </c>
      <c r="I121" s="177"/>
      <c r="J121" s="177"/>
      <c r="K121" s="177"/>
      <c r="L121" s="177"/>
      <c r="M121" s="177"/>
      <c r="N121" s="177"/>
      <c r="O121" s="177"/>
      <c r="P121" s="177"/>
      <c r="Q121" s="177"/>
      <c r="R121" s="177"/>
      <c r="S121" s="177"/>
      <c r="T121" s="177"/>
      <c r="U121" s="177"/>
      <c r="V121" s="177"/>
      <c r="W121" s="177"/>
      <c r="X121" s="177"/>
      <c r="Y121" s="177"/>
      <c r="Z121" s="177"/>
      <c r="AA121" s="177"/>
      <c r="AB121" s="177"/>
      <c r="AC121" s="177"/>
      <c r="AD121" s="177"/>
      <c r="AE121" s="177"/>
      <c r="AF121" s="177"/>
      <c r="AG121" s="177"/>
      <c r="AH121" s="177"/>
      <c r="AI121" s="177"/>
      <c r="AJ121" s="177"/>
      <c r="AK121" s="177"/>
      <c r="AL121" s="177"/>
      <c r="AM121" s="177"/>
      <c r="AN121" s="177"/>
      <c r="AO121" s="177"/>
      <c r="AP121" s="177"/>
      <c r="AQ121" s="177"/>
      <c r="AR121" s="177"/>
      <c r="AS121" s="177"/>
      <c r="AT121" s="177"/>
      <c r="AU121" s="177"/>
      <c r="AV121" s="177"/>
      <c r="AW121" s="176"/>
      <c r="AX121" s="176"/>
      <c r="AY121" s="176"/>
      <c r="AZ121" s="176"/>
      <c r="BA121" s="176"/>
      <c r="BB121" s="176"/>
      <c r="BC121" s="176"/>
      <c r="BD121" s="176"/>
      <c r="BE121" s="176"/>
      <c r="BF121" s="176"/>
      <c r="BG121" s="176"/>
      <c r="BH121" s="178"/>
      <c r="BI121" s="187"/>
      <c r="BJ121" s="82">
        <f t="shared" si="203"/>
        <v>0</v>
      </c>
      <c r="BK121" s="82">
        <f t="shared" si="7"/>
        <v>0</v>
      </c>
      <c r="BL121" s="82">
        <f t="shared" si="204"/>
        <v>0</v>
      </c>
      <c r="BM121" s="127">
        <f t="shared" si="9"/>
        <v>0</v>
      </c>
    </row>
    <row r="122" spans="1:65" s="74" customFormat="1" ht="11.25" x14ac:dyDescent="0.2">
      <c r="A122" s="210">
        <v>2</v>
      </c>
      <c r="B122" s="211" t="s">
        <v>578</v>
      </c>
      <c r="C122" s="456" t="str">
        <f t="shared" si="211"/>
        <v>Test Consultant</v>
      </c>
      <c r="D122" s="400" t="s">
        <v>688</v>
      </c>
      <c r="E122" s="417"/>
      <c r="F122" s="531" t="str">
        <f>IFERROR(VLOOKUP(C122,MappingFromTTStoSU,2,FALSE),"SU Resource Role")</f>
        <v>DWMS</v>
      </c>
      <c r="G122" s="531"/>
      <c r="H122" s="540" t="str">
        <f t="shared" si="218"/>
        <v>UAT Support</v>
      </c>
      <c r="I122" s="177"/>
      <c r="J122" s="177"/>
      <c r="K122" s="177"/>
      <c r="L122" s="177"/>
      <c r="M122" s="177"/>
      <c r="N122" s="177"/>
      <c r="O122" s="177"/>
      <c r="P122" s="177"/>
      <c r="Q122" s="177"/>
      <c r="R122" s="177"/>
      <c r="S122" s="177"/>
      <c r="T122" s="177"/>
      <c r="U122" s="177"/>
      <c r="V122" s="177"/>
      <c r="W122" s="177"/>
      <c r="X122" s="177"/>
      <c r="Y122" s="177"/>
      <c r="Z122" s="177"/>
      <c r="AA122" s="177"/>
      <c r="AB122" s="177"/>
      <c r="AC122" s="177"/>
      <c r="AD122" s="177"/>
      <c r="AE122" s="177"/>
      <c r="AF122" s="177"/>
      <c r="AG122" s="177"/>
      <c r="AH122" s="177"/>
      <c r="AI122" s="177"/>
      <c r="AJ122" s="177"/>
      <c r="AK122" s="177"/>
      <c r="AL122" s="177"/>
      <c r="AM122" s="177"/>
      <c r="AN122" s="177"/>
      <c r="AO122" s="177"/>
      <c r="AP122" s="177"/>
      <c r="AQ122" s="177"/>
      <c r="AR122" s="177"/>
      <c r="AS122" s="177"/>
      <c r="AT122" s="177"/>
      <c r="AU122" s="177"/>
      <c r="AV122" s="177"/>
      <c r="AW122" s="176"/>
      <c r="AX122" s="176"/>
      <c r="AY122" s="176"/>
      <c r="AZ122" s="176"/>
      <c r="BA122" s="176"/>
      <c r="BB122" s="176"/>
      <c r="BC122" s="176"/>
      <c r="BD122" s="176"/>
      <c r="BE122" s="176"/>
      <c r="BF122" s="176"/>
      <c r="BG122" s="176"/>
      <c r="BH122" s="178"/>
      <c r="BI122" s="187"/>
      <c r="BJ122" s="82">
        <f t="shared" si="203"/>
        <v>0</v>
      </c>
      <c r="BK122" s="82">
        <f t="shared" ref="BK122" si="219">BJ122*Scenario3AgileContingency</f>
        <v>0</v>
      </c>
      <c r="BL122" s="82">
        <f t="shared" si="204"/>
        <v>0</v>
      </c>
      <c r="BM122" s="127">
        <f t="shared" ref="BM122" si="220">SUM(BJ122:BL122)</f>
        <v>0</v>
      </c>
    </row>
    <row r="123" spans="1:65" s="74" customFormat="1" ht="11.25" x14ac:dyDescent="0.2">
      <c r="A123" s="210">
        <v>1</v>
      </c>
      <c r="B123" s="211" t="s">
        <v>578</v>
      </c>
      <c r="C123" s="206" t="s">
        <v>691</v>
      </c>
      <c r="D123" s="206" t="s">
        <v>691</v>
      </c>
      <c r="E123" s="418"/>
      <c r="F123" s="418"/>
      <c r="G123" s="418"/>
      <c r="H123" s="419"/>
      <c r="I123" s="217"/>
      <c r="J123" s="217"/>
      <c r="K123" s="217"/>
      <c r="L123" s="217"/>
      <c r="M123" s="217"/>
      <c r="N123" s="217"/>
      <c r="O123" s="217"/>
      <c r="P123" s="217"/>
      <c r="Q123" s="217"/>
      <c r="R123" s="217"/>
      <c r="S123" s="217"/>
      <c r="T123" s="217"/>
      <c r="U123" s="217"/>
      <c r="V123" s="217"/>
      <c r="W123" s="217"/>
      <c r="X123" s="217"/>
      <c r="Y123" s="217"/>
      <c r="Z123" s="217"/>
      <c r="AA123" s="217"/>
      <c r="AB123" s="217"/>
      <c r="AC123" s="217"/>
      <c r="AD123" s="217"/>
      <c r="AE123" s="217"/>
      <c r="AF123" s="217"/>
      <c r="AG123" s="217"/>
      <c r="AH123" s="217"/>
      <c r="AI123" s="217"/>
      <c r="AJ123" s="217"/>
      <c r="AK123" s="217"/>
      <c r="AL123" s="217"/>
      <c r="AM123" s="217"/>
      <c r="AN123" s="217"/>
      <c r="AO123" s="217"/>
      <c r="AP123" s="217"/>
      <c r="AQ123" s="217"/>
      <c r="AR123" s="217"/>
      <c r="AS123" s="217"/>
      <c r="AT123" s="217"/>
      <c r="AU123" s="217"/>
      <c r="AV123" s="217"/>
      <c r="AW123" s="217"/>
      <c r="AX123" s="217"/>
      <c r="AY123" s="217"/>
      <c r="AZ123" s="217"/>
      <c r="BA123" s="217"/>
      <c r="BB123" s="217"/>
      <c r="BC123" s="217"/>
      <c r="BD123" s="217"/>
      <c r="BE123" s="217"/>
      <c r="BF123" s="217"/>
      <c r="BG123" s="217"/>
      <c r="BH123" s="186"/>
      <c r="BI123" s="187"/>
      <c r="BJ123" s="127"/>
      <c r="BK123" s="127"/>
      <c r="BL123" s="127"/>
      <c r="BM123" s="127"/>
    </row>
    <row r="124" spans="1:65" s="74" customFormat="1" ht="11.25" x14ac:dyDescent="0.2">
      <c r="A124" s="210">
        <v>2</v>
      </c>
      <c r="B124" s="211" t="s">
        <v>578</v>
      </c>
      <c r="C124" s="456" t="s">
        <v>618</v>
      </c>
      <c r="D124" s="398" t="s">
        <v>622</v>
      </c>
      <c r="E124" s="415"/>
      <c r="F124" s="529" t="str">
        <f>IFERROR(VLOOKUP(C124,MappingFromTTStoSU,2,FALSE),"SU Resource Role")</f>
        <v>DWMS</v>
      </c>
      <c r="G124" s="529" t="s">
        <v>692</v>
      </c>
      <c r="H124" s="537" t="str">
        <f>C123</f>
        <v>Customer SIT &amp; UAT</v>
      </c>
      <c r="I124" s="181"/>
      <c r="J124" s="181"/>
      <c r="K124" s="181"/>
      <c r="L124" s="181"/>
      <c r="M124" s="181"/>
      <c r="N124" s="181"/>
      <c r="O124" s="181"/>
      <c r="P124" s="181"/>
      <c r="Q124" s="181"/>
      <c r="R124" s="181"/>
      <c r="S124" s="181"/>
      <c r="T124" s="181"/>
      <c r="U124" s="181"/>
      <c r="V124" s="181"/>
      <c r="W124" s="181"/>
      <c r="X124" s="181"/>
      <c r="Y124" s="181"/>
      <c r="Z124" s="181"/>
      <c r="AA124" s="179"/>
      <c r="AB124" s="179"/>
      <c r="AC124" s="179"/>
      <c r="AD124" s="179"/>
      <c r="AE124" s="179"/>
      <c r="AF124" s="181"/>
      <c r="AG124" s="181"/>
      <c r="AH124" s="181"/>
      <c r="AI124" s="181"/>
      <c r="AJ124" s="181"/>
      <c r="AK124" s="181"/>
      <c r="AL124" s="181"/>
      <c r="AM124" s="181"/>
      <c r="AN124" s="181"/>
      <c r="AO124" s="181"/>
      <c r="AP124" s="181"/>
      <c r="AQ124" s="181"/>
      <c r="AR124" s="181"/>
      <c r="AS124" s="181"/>
      <c r="AT124" s="181"/>
      <c r="AU124" s="181"/>
      <c r="AV124" s="181"/>
      <c r="AW124" s="179"/>
      <c r="AX124" s="179"/>
      <c r="AY124" s="179"/>
      <c r="AZ124" s="179"/>
      <c r="BA124" s="179"/>
      <c r="BB124" s="179"/>
      <c r="BC124" s="179"/>
      <c r="BD124" s="179"/>
      <c r="BE124" s="179"/>
      <c r="BF124" s="179"/>
      <c r="BG124" s="179"/>
      <c r="BH124" s="180"/>
      <c r="BI124" s="187"/>
      <c r="BJ124" s="82">
        <f>SUMIF(I$8:BH$8, "&lt;&gt;"&amp;AgileIteration_Warranty,I124:BH124)*5*Scenario3Utilisation</f>
        <v>0</v>
      </c>
      <c r="BK124" s="82">
        <f t="shared" ref="BK124" si="221">BJ124*Scenario3AgileContingency</f>
        <v>0</v>
      </c>
      <c r="BL124" s="82">
        <f>IF(Scenario3Warranty=AgileWarrantyDefault, (SUMIF(I$8:BH$8,AgileIteration_Warranty,I124:BH124)*5*Scenario3Utilisation), (BJ124*Scenario3Warranty))</f>
        <v>0</v>
      </c>
      <c r="BM124" s="127">
        <f t="shared" ref="BM124" si="222">SUM(BJ124:BL124)</f>
        <v>0</v>
      </c>
    </row>
    <row r="125" spans="1:65" s="74" customFormat="1" ht="11.25" x14ac:dyDescent="0.2">
      <c r="A125" s="210">
        <v>2</v>
      </c>
      <c r="B125" s="211" t="s">
        <v>578</v>
      </c>
      <c r="C125" s="456" t="str">
        <f>IFERROR(VLOOKUP(D125,MappingFromSetAgiletoTTSRole,2,FALSE),"SET Agile Resource Role")</f>
        <v>Test Consultant</v>
      </c>
      <c r="D125" s="398" t="s">
        <v>633</v>
      </c>
      <c r="E125" s="415"/>
      <c r="F125" s="529" t="str">
        <f>IFERROR(VLOOKUP(C125,MappingFromTTStoSU,2,FALSE),"SU Resource Role")</f>
        <v>DWMS</v>
      </c>
      <c r="G125" s="529" t="s">
        <v>693</v>
      </c>
      <c r="H125" s="537" t="str">
        <f>H124</f>
        <v>Customer SIT &amp; UAT</v>
      </c>
      <c r="I125" s="181"/>
      <c r="J125" s="181"/>
      <c r="K125" s="181"/>
      <c r="L125" s="181"/>
      <c r="M125" s="181"/>
      <c r="N125" s="181"/>
      <c r="O125" s="181"/>
      <c r="P125" s="181"/>
      <c r="Q125" s="181"/>
      <c r="R125" s="181"/>
      <c r="S125" s="181"/>
      <c r="T125" s="181"/>
      <c r="U125" s="181"/>
      <c r="V125" s="181"/>
      <c r="W125" s="181"/>
      <c r="X125" s="181"/>
      <c r="Y125" s="181"/>
      <c r="Z125" s="181"/>
      <c r="AA125" s="179"/>
      <c r="AB125" s="179"/>
      <c r="AC125" s="179"/>
      <c r="AD125" s="179"/>
      <c r="AE125" s="179"/>
      <c r="AF125" s="181"/>
      <c r="AG125" s="181"/>
      <c r="AH125" s="181"/>
      <c r="AI125" s="181"/>
      <c r="AJ125" s="181"/>
      <c r="AK125" s="181"/>
      <c r="AL125" s="181"/>
      <c r="AM125" s="181"/>
      <c r="AN125" s="181"/>
      <c r="AO125" s="181"/>
      <c r="AP125" s="181"/>
      <c r="AQ125" s="181"/>
      <c r="AR125" s="181"/>
      <c r="AS125" s="181"/>
      <c r="AT125" s="181"/>
      <c r="AU125" s="181"/>
      <c r="AV125" s="181"/>
      <c r="AW125" s="179"/>
      <c r="AX125" s="179"/>
      <c r="AY125" s="179"/>
      <c r="AZ125" s="179"/>
      <c r="BA125" s="179"/>
      <c r="BB125" s="179"/>
      <c r="BC125" s="179"/>
      <c r="BD125" s="179"/>
      <c r="BE125" s="179"/>
      <c r="BF125" s="179"/>
      <c r="BG125" s="179"/>
      <c r="BH125" s="180"/>
      <c r="BI125" s="187"/>
      <c r="BJ125" s="82">
        <f>SUMIF(I$8:BH$8, "&lt;&gt;"&amp;AgileIteration_Warranty,I125:BH125)*5*Scenario3Utilisation</f>
        <v>0</v>
      </c>
      <c r="BK125" s="82">
        <f t="shared" ref="BK125" si="223">BJ125*Scenario3AgileContingency</f>
        <v>0</v>
      </c>
      <c r="BL125" s="82">
        <f>IF(Scenario3Warranty=AgileWarrantyDefault, (SUMIF(I$8:BH$8,AgileIteration_Warranty,I125:BH125)*5*Scenario3Utilisation), (BJ125*Scenario3Warranty))</f>
        <v>0</v>
      </c>
      <c r="BM125" s="127">
        <f t="shared" ref="BM125" si="224">SUM(BJ125:BL125)</f>
        <v>0</v>
      </c>
    </row>
    <row r="126" spans="1:65" s="74" customFormat="1" ht="11.25" x14ac:dyDescent="0.2">
      <c r="A126" s="210">
        <v>2</v>
      </c>
      <c r="B126" s="211" t="s">
        <v>578</v>
      </c>
      <c r="C126" s="456" t="s">
        <v>685</v>
      </c>
      <c r="D126" s="398" t="s">
        <v>622</v>
      </c>
      <c r="E126" s="415"/>
      <c r="F126" s="529" t="str">
        <f>IFERROR(VLOOKUP(C126,MappingFromTTStoSU,2,FALSE),"SU Resource Role")</f>
        <v>DWMS</v>
      </c>
      <c r="G126" s="529" t="s">
        <v>694</v>
      </c>
      <c r="H126" s="537" t="str">
        <f>H125</f>
        <v>Customer SIT &amp; UAT</v>
      </c>
      <c r="I126" s="181"/>
      <c r="J126" s="181"/>
      <c r="K126" s="181"/>
      <c r="L126" s="181"/>
      <c r="M126" s="181"/>
      <c r="N126" s="181"/>
      <c r="O126" s="181"/>
      <c r="P126" s="181"/>
      <c r="Q126" s="181"/>
      <c r="R126" s="181"/>
      <c r="S126" s="181"/>
      <c r="T126" s="181"/>
      <c r="U126" s="181"/>
      <c r="V126" s="181"/>
      <c r="W126" s="181"/>
      <c r="X126" s="181"/>
      <c r="Y126" s="181"/>
      <c r="Z126" s="181"/>
      <c r="AA126" s="179"/>
      <c r="AB126" s="179"/>
      <c r="AC126" s="179"/>
      <c r="AD126" s="179"/>
      <c r="AE126" s="179"/>
      <c r="AF126" s="181"/>
      <c r="AG126" s="181"/>
      <c r="AH126" s="181"/>
      <c r="AI126" s="181"/>
      <c r="AJ126" s="181"/>
      <c r="AK126" s="181"/>
      <c r="AL126" s="181"/>
      <c r="AM126" s="181"/>
      <c r="AN126" s="181"/>
      <c r="AO126" s="181"/>
      <c r="AP126" s="181"/>
      <c r="AQ126" s="181"/>
      <c r="AR126" s="181"/>
      <c r="AS126" s="181"/>
      <c r="AT126" s="181"/>
      <c r="AU126" s="181"/>
      <c r="AV126" s="181"/>
      <c r="AW126" s="179"/>
      <c r="AX126" s="179"/>
      <c r="AY126" s="179"/>
      <c r="AZ126" s="179"/>
      <c r="BA126" s="179"/>
      <c r="BB126" s="179"/>
      <c r="BC126" s="179"/>
      <c r="BD126" s="179"/>
      <c r="BE126" s="179"/>
      <c r="BF126" s="179"/>
      <c r="BG126" s="179"/>
      <c r="BH126" s="180"/>
      <c r="BI126" s="187"/>
      <c r="BJ126" s="82">
        <f>SUMIF(I$8:BH$8, "&lt;&gt;"&amp;AgileIteration_Warranty,I126:BH126)*5*Scenario3Utilisation</f>
        <v>0</v>
      </c>
      <c r="BK126" s="82">
        <f t="shared" ref="BK126" si="225">BJ126*Scenario3AgileContingency</f>
        <v>0</v>
      </c>
      <c r="BL126" s="82">
        <f>IF(Scenario3Warranty=AgileWarrantyDefault, (SUMIF(I$8:BH$8,AgileIteration_Warranty,I126:BH126)*5*Scenario3Utilisation), (BJ126*Scenario3Warranty))</f>
        <v>0</v>
      </c>
      <c r="BM126" s="127">
        <f t="shared" ref="BM126" si="226">SUM(BJ126:BL126)</f>
        <v>0</v>
      </c>
    </row>
    <row r="127" spans="1:65" s="74" customFormat="1" ht="11.25" x14ac:dyDescent="0.2">
      <c r="A127" s="210">
        <v>2</v>
      </c>
      <c r="B127" s="211" t="s">
        <v>578</v>
      </c>
      <c r="C127" s="456" t="str">
        <f>IFERROR(VLOOKUP(D127,MappingFromSetAgiletoTTSRole,2,FALSE),"SET Agile Resource Role")</f>
        <v>Test Consultant</v>
      </c>
      <c r="D127" s="398" t="s">
        <v>633</v>
      </c>
      <c r="E127" s="415"/>
      <c r="F127" s="529" t="str">
        <f>IFERROR(VLOOKUP(C127,MappingFromTTStoSU,2,FALSE),"SU Resource Role")</f>
        <v>DWMS</v>
      </c>
      <c r="G127" s="529" t="s">
        <v>695</v>
      </c>
      <c r="H127" s="537" t="str">
        <f>H126</f>
        <v>Customer SIT &amp; UAT</v>
      </c>
      <c r="I127" s="181"/>
      <c r="J127" s="181"/>
      <c r="K127" s="181"/>
      <c r="L127" s="181"/>
      <c r="M127" s="181"/>
      <c r="N127" s="181"/>
      <c r="O127" s="181"/>
      <c r="P127" s="181"/>
      <c r="Q127" s="181"/>
      <c r="R127" s="181"/>
      <c r="S127" s="181"/>
      <c r="T127" s="181"/>
      <c r="U127" s="181"/>
      <c r="V127" s="181"/>
      <c r="W127" s="181"/>
      <c r="X127" s="181"/>
      <c r="Y127" s="181"/>
      <c r="Z127" s="181"/>
      <c r="AA127" s="179"/>
      <c r="AB127" s="179"/>
      <c r="AC127" s="179"/>
      <c r="AD127" s="179"/>
      <c r="AE127" s="179"/>
      <c r="AF127" s="181"/>
      <c r="AG127" s="181"/>
      <c r="AH127" s="181"/>
      <c r="AI127" s="181"/>
      <c r="AJ127" s="181"/>
      <c r="AK127" s="181"/>
      <c r="AL127" s="181"/>
      <c r="AM127" s="181"/>
      <c r="AN127" s="181"/>
      <c r="AO127" s="181"/>
      <c r="AP127" s="181"/>
      <c r="AQ127" s="181"/>
      <c r="AR127" s="181"/>
      <c r="AS127" s="181"/>
      <c r="AT127" s="181"/>
      <c r="AU127" s="181"/>
      <c r="AV127" s="181"/>
      <c r="AW127" s="179"/>
      <c r="AX127" s="179"/>
      <c r="AY127" s="179"/>
      <c r="AZ127" s="179"/>
      <c r="BA127" s="179"/>
      <c r="BB127" s="179"/>
      <c r="BC127" s="179"/>
      <c r="BD127" s="179"/>
      <c r="BE127" s="179"/>
      <c r="BF127" s="179"/>
      <c r="BG127" s="179"/>
      <c r="BH127" s="180"/>
      <c r="BI127" s="187"/>
      <c r="BJ127" s="82">
        <f>SUMIF(I$8:BH$8, "&lt;&gt;"&amp;AgileIteration_Warranty,I127:BH127)*5*Scenario3Utilisation</f>
        <v>0</v>
      </c>
      <c r="BK127" s="82">
        <f t="shared" ref="BK127" si="227">BJ127*Scenario3AgileContingency</f>
        <v>0</v>
      </c>
      <c r="BL127" s="82">
        <f>IF(Scenario3Warranty=AgileWarrantyDefault, (SUMIF(I$8:BH$8,AgileIteration_Warranty,I127:BH127)*5*Scenario3Utilisation), (BJ127*Scenario3Warranty))</f>
        <v>0</v>
      </c>
      <c r="BM127" s="127">
        <f t="shared" ref="BM127" si="228">SUM(BJ127:BL127)</f>
        <v>0</v>
      </c>
    </row>
    <row r="128" spans="1:65" s="74" customFormat="1" ht="11.25" x14ac:dyDescent="0.2">
      <c r="A128" s="210">
        <v>1</v>
      </c>
      <c r="B128" s="211" t="s">
        <v>578</v>
      </c>
      <c r="C128" s="206" t="s">
        <v>696</v>
      </c>
      <c r="D128" s="206" t="s">
        <v>696</v>
      </c>
      <c r="E128" s="418"/>
      <c r="F128" s="418"/>
      <c r="G128" s="418"/>
      <c r="H128" s="419"/>
      <c r="I128" s="217"/>
      <c r="J128" s="217"/>
      <c r="K128" s="217"/>
      <c r="L128" s="217"/>
      <c r="M128" s="217"/>
      <c r="N128" s="217"/>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186"/>
      <c r="BI128" s="187"/>
      <c r="BJ128" s="127"/>
      <c r="BK128" s="127"/>
      <c r="BL128" s="127"/>
      <c r="BM128" s="127"/>
    </row>
    <row r="129" spans="1:66" s="74" customFormat="1" ht="11.25" x14ac:dyDescent="0.2">
      <c r="A129" s="210">
        <v>2</v>
      </c>
      <c r="B129" s="211" t="s">
        <v>578</v>
      </c>
      <c r="C129" s="456" t="str">
        <f>IFERROR(VLOOKUP(D129,MappingFromSetAgiletoTTSRole,2,FALSE),"SET Agile Resource Role")</f>
        <v>Test Consultant Sr</v>
      </c>
      <c r="D129" s="398" t="s">
        <v>634</v>
      </c>
      <c r="E129" s="415"/>
      <c r="F129" s="529" t="str">
        <f>IFERROR(VLOOKUP(C129,MappingFromTTStoSU,2,FALSE),"SU Resource Role")</f>
        <v>DWMS</v>
      </c>
      <c r="G129" s="529"/>
      <c r="H129" s="537" t="str">
        <f>C128</f>
        <v>Internal SIT Support</v>
      </c>
      <c r="I129" s="181"/>
      <c r="J129" s="181"/>
      <c r="K129" s="181"/>
      <c r="L129" s="181"/>
      <c r="M129" s="181"/>
      <c r="N129" s="181"/>
      <c r="O129" s="181"/>
      <c r="P129" s="181"/>
      <c r="Q129" s="181"/>
      <c r="R129" s="181"/>
      <c r="S129" s="181"/>
      <c r="T129" s="181"/>
      <c r="U129" s="181"/>
      <c r="V129" s="181"/>
      <c r="W129" s="181"/>
      <c r="X129" s="181"/>
      <c r="Y129" s="181"/>
      <c r="Z129" s="181"/>
      <c r="AA129" s="179"/>
      <c r="AB129" s="179"/>
      <c r="AC129" s="179"/>
      <c r="AD129" s="179"/>
      <c r="AE129" s="179"/>
      <c r="AF129" s="181"/>
      <c r="AG129" s="181"/>
      <c r="AH129" s="181"/>
      <c r="AI129" s="181"/>
      <c r="AJ129" s="181"/>
      <c r="AK129" s="181"/>
      <c r="AL129" s="181"/>
      <c r="AM129" s="181"/>
      <c r="AN129" s="181"/>
      <c r="AO129" s="181"/>
      <c r="AP129" s="181"/>
      <c r="AQ129" s="181"/>
      <c r="AR129" s="181"/>
      <c r="AS129" s="181"/>
      <c r="AT129" s="181"/>
      <c r="AU129" s="181"/>
      <c r="AV129" s="181"/>
      <c r="AW129" s="179"/>
      <c r="AX129" s="179"/>
      <c r="AY129" s="179"/>
      <c r="AZ129" s="179"/>
      <c r="BA129" s="179"/>
      <c r="BB129" s="179"/>
      <c r="BC129" s="179"/>
      <c r="BD129" s="179"/>
      <c r="BE129" s="179"/>
      <c r="BF129" s="179"/>
      <c r="BG129" s="179"/>
      <c r="BH129" s="180"/>
      <c r="BI129" s="187"/>
      <c r="BJ129" s="82">
        <f>SUMIF(I$8:BH$8, "&lt;&gt;"&amp;AgileIteration_Warranty,I129:BH129)*5*Scenario3Utilisation</f>
        <v>0</v>
      </c>
      <c r="BK129" s="82">
        <f t="shared" ref="BK129" si="229">BJ129*Scenario3AgileContingency</f>
        <v>0</v>
      </c>
      <c r="BL129" s="82">
        <f>IF(Scenario3Warranty=AgileWarrantyDefault, (SUMIF(I$8:BH$8,AgileIteration_Warranty,I129:BH129)*5*Scenario3Utilisation), (BJ129*Scenario3Warranty))</f>
        <v>0</v>
      </c>
      <c r="BM129" s="127">
        <f t="shared" ref="BM129" si="230">SUM(BJ129:BL129)</f>
        <v>0</v>
      </c>
    </row>
    <row r="130" spans="1:66" s="74" customFormat="1" ht="11.25" x14ac:dyDescent="0.2">
      <c r="A130" s="210">
        <v>2</v>
      </c>
      <c r="B130" s="211" t="s">
        <v>578</v>
      </c>
      <c r="C130" s="456" t="str">
        <f>IFERROR(VLOOKUP(D130,MappingFromSetAgiletoTTSRole,2,FALSE),"SET Agile Resource Role")</f>
        <v>Test Consultant</v>
      </c>
      <c r="D130" s="398" t="s">
        <v>633</v>
      </c>
      <c r="E130" s="415"/>
      <c r="F130" s="529" t="str">
        <f>IFERROR(VLOOKUP(C130,MappingFromTTStoSU,2,FALSE),"SU Resource Role")</f>
        <v>DWMS</v>
      </c>
      <c r="G130" s="529"/>
      <c r="H130" s="537" t="str">
        <f>H129</f>
        <v>Internal SIT Support</v>
      </c>
      <c r="I130" s="181"/>
      <c r="J130" s="181"/>
      <c r="K130" s="181"/>
      <c r="L130" s="181"/>
      <c r="M130" s="181"/>
      <c r="N130" s="181"/>
      <c r="O130" s="181"/>
      <c r="P130" s="181"/>
      <c r="Q130" s="181"/>
      <c r="R130" s="181"/>
      <c r="S130" s="181"/>
      <c r="T130" s="181"/>
      <c r="U130" s="181"/>
      <c r="V130" s="181"/>
      <c r="W130" s="181"/>
      <c r="X130" s="181"/>
      <c r="Y130" s="181"/>
      <c r="Z130" s="181"/>
      <c r="AA130" s="179"/>
      <c r="AB130" s="179"/>
      <c r="AC130" s="179"/>
      <c r="AD130" s="179"/>
      <c r="AE130" s="179"/>
      <c r="AF130" s="181"/>
      <c r="AG130" s="181"/>
      <c r="AH130" s="181"/>
      <c r="AI130" s="181"/>
      <c r="AJ130" s="181"/>
      <c r="AK130" s="181"/>
      <c r="AL130" s="181"/>
      <c r="AM130" s="181"/>
      <c r="AN130" s="181"/>
      <c r="AO130" s="181"/>
      <c r="AP130" s="181"/>
      <c r="AQ130" s="181"/>
      <c r="AR130" s="181"/>
      <c r="AS130" s="181"/>
      <c r="AT130" s="181"/>
      <c r="AU130" s="181"/>
      <c r="AV130" s="181"/>
      <c r="AW130" s="179"/>
      <c r="AX130" s="179"/>
      <c r="AY130" s="179"/>
      <c r="AZ130" s="179"/>
      <c r="BA130" s="179"/>
      <c r="BB130" s="179"/>
      <c r="BC130" s="179"/>
      <c r="BD130" s="179"/>
      <c r="BE130" s="179"/>
      <c r="BF130" s="179"/>
      <c r="BG130" s="179"/>
      <c r="BH130" s="180"/>
      <c r="BI130" s="187"/>
      <c r="BJ130" s="82">
        <f>SUMIF(I$8:BH$8, "&lt;&gt;"&amp;AgileIteration_Warranty,I130:BH130)*5*Scenario3Utilisation</f>
        <v>0</v>
      </c>
      <c r="BK130" s="82">
        <f t="shared" ref="BK130" si="231">BJ130*Scenario3AgileContingency</f>
        <v>0</v>
      </c>
      <c r="BL130" s="82">
        <f>IF(Scenario3Warranty=AgileWarrantyDefault, (SUMIF(I$8:BH$8,AgileIteration_Warranty,I130:BH130)*5*Scenario3Utilisation), (BJ130*Scenario3Warranty))</f>
        <v>0</v>
      </c>
      <c r="BM130" s="127">
        <f t="shared" ref="BM130" si="232">SUM(BJ130:BL130)</f>
        <v>0</v>
      </c>
    </row>
    <row r="131" spans="1:66" s="74" customFormat="1" ht="11.25" x14ac:dyDescent="0.2">
      <c r="A131" s="210">
        <v>1</v>
      </c>
      <c r="B131" s="211" t="s">
        <v>697</v>
      </c>
      <c r="C131" s="207" t="s">
        <v>698</v>
      </c>
      <c r="D131" s="207" t="s">
        <v>698</v>
      </c>
      <c r="E131" s="421"/>
      <c r="F131" s="421"/>
      <c r="G131" s="421"/>
      <c r="H131" s="422"/>
      <c r="I131" s="214"/>
      <c r="J131" s="214"/>
      <c r="K131" s="214"/>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4"/>
      <c r="BC131" s="214"/>
      <c r="BD131" s="214"/>
      <c r="BE131" s="214"/>
      <c r="BF131" s="214"/>
      <c r="BG131" s="214"/>
      <c r="BH131" s="186"/>
      <c r="BI131" s="187"/>
      <c r="BJ131" s="127"/>
      <c r="BK131" s="127"/>
      <c r="BL131" s="127"/>
      <c r="BM131" s="127"/>
    </row>
    <row r="132" spans="1:66" s="75" customFormat="1" ht="11.25" x14ac:dyDescent="0.2">
      <c r="A132" s="212">
        <v>2</v>
      </c>
      <c r="B132" s="213" t="s">
        <v>697</v>
      </c>
      <c r="C132" s="456" t="str">
        <f t="shared" ref="C132:C142" si="233">IFERROR(VLOOKUP(D132,MappingFromSetAgiletoTTSRole,2,FALSE),"SET Agile Resource Role")</f>
        <v>Business Consultant</v>
      </c>
      <c r="D132" s="402" t="s">
        <v>684</v>
      </c>
      <c r="E132" s="423"/>
      <c r="F132" s="424" t="s">
        <v>607</v>
      </c>
      <c r="G132" s="424"/>
      <c r="H132" s="424" t="s">
        <v>702</v>
      </c>
      <c r="I132" s="179"/>
      <c r="J132" s="179"/>
      <c r="K132" s="179"/>
      <c r="L132" s="179"/>
      <c r="M132" s="179"/>
      <c r="N132" s="179"/>
      <c r="O132" s="179"/>
      <c r="P132" s="179"/>
      <c r="Q132" s="179"/>
      <c r="R132" s="179"/>
      <c r="S132" s="179"/>
      <c r="T132" s="179"/>
      <c r="U132" s="179"/>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80"/>
      <c r="BI132" s="203"/>
      <c r="BJ132" s="82">
        <f t="shared" ref="BJ132:BJ142" si="234">SUMIF(I$8:BH$8, "&lt;&gt;"&amp;AgileIteration_Warranty,I132:BH132)*5*Scenario3Utilisation</f>
        <v>0</v>
      </c>
      <c r="BK132" s="82">
        <f t="shared" si="7"/>
        <v>0</v>
      </c>
      <c r="BL132" s="82">
        <f t="shared" ref="BL132:BL142" si="235">IF(Scenario3Warranty=AgileWarrantyDefault, (SUMIF(I$8:BH$8,AgileIteration_Warranty,I132:BH132)*5*Scenario3Utilisation), (BJ132*Scenario3Warranty))</f>
        <v>0</v>
      </c>
      <c r="BM132" s="127">
        <f t="shared" si="9"/>
        <v>0</v>
      </c>
    </row>
    <row r="133" spans="1:66" s="75" customFormat="1" ht="11.25" x14ac:dyDescent="0.2">
      <c r="A133" s="212">
        <v>2</v>
      </c>
      <c r="B133" s="213" t="s">
        <v>697</v>
      </c>
      <c r="C133" s="456" t="s">
        <v>685</v>
      </c>
      <c r="D133" s="403" t="s">
        <v>686</v>
      </c>
      <c r="E133" s="425"/>
      <c r="F133" s="426" t="s">
        <v>607</v>
      </c>
      <c r="G133" s="426"/>
      <c r="H133" s="426" t="str">
        <f>H132</f>
        <v>Development</v>
      </c>
      <c r="I133" s="17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9"/>
      <c r="AI133" s="179"/>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3"/>
      <c r="BI133" s="203"/>
      <c r="BJ133" s="82">
        <f t="shared" si="234"/>
        <v>0</v>
      </c>
      <c r="BK133" s="82">
        <f t="shared" si="7"/>
        <v>0</v>
      </c>
      <c r="BL133" s="82">
        <f t="shared" si="235"/>
        <v>0</v>
      </c>
      <c r="BM133" s="127">
        <f t="shared" si="9"/>
        <v>0</v>
      </c>
    </row>
    <row r="134" spans="1:66" s="75" customFormat="1" ht="11.25" x14ac:dyDescent="0.2">
      <c r="A134" s="212">
        <v>2</v>
      </c>
      <c r="B134" s="213" t="s">
        <v>697</v>
      </c>
      <c r="C134" s="456" t="s">
        <v>613</v>
      </c>
      <c r="D134" s="403" t="s">
        <v>704</v>
      </c>
      <c r="E134" s="425"/>
      <c r="F134" s="426" t="s">
        <v>607</v>
      </c>
      <c r="G134" s="426"/>
      <c r="H134" s="426" t="str">
        <f t="shared" ref="H134:H142" si="236">H133</f>
        <v>Development</v>
      </c>
      <c r="I134" s="17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9"/>
      <c r="AI134" s="179"/>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73"/>
      <c r="BI134" s="203"/>
      <c r="BJ134" s="82">
        <f t="shared" si="234"/>
        <v>0</v>
      </c>
      <c r="BK134" s="82">
        <f t="shared" si="7"/>
        <v>0</v>
      </c>
      <c r="BL134" s="82">
        <f t="shared" si="235"/>
        <v>0</v>
      </c>
      <c r="BM134" s="127">
        <f t="shared" si="9"/>
        <v>0</v>
      </c>
    </row>
    <row r="135" spans="1:66" s="75" customFormat="1" ht="11.25" x14ac:dyDescent="0.2">
      <c r="A135" s="212">
        <v>2</v>
      </c>
      <c r="B135" s="213" t="s">
        <v>697</v>
      </c>
      <c r="C135" s="456" t="s">
        <v>658</v>
      </c>
      <c r="D135" s="403" t="s">
        <v>687</v>
      </c>
      <c r="E135" s="425"/>
      <c r="F135" s="426" t="str">
        <f>IFERROR(VLOOKUP(C135,MappingFromTTStoSU,2,FALSE),"SU Resource Role")</f>
        <v>DWMS</v>
      </c>
      <c r="G135" s="426"/>
      <c r="H135" s="426" t="str">
        <f>H134</f>
        <v>Development</v>
      </c>
      <c r="I135" s="17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9"/>
      <c r="AI135" s="179"/>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3"/>
      <c r="BI135" s="203"/>
      <c r="BJ135" s="82">
        <f t="shared" ref="BJ135" si="237">SUMIF(I$8:BH$8, "&lt;&gt;"&amp;AgileIteration_Warranty,I135:BH135)*5*Scenario3Utilisation</f>
        <v>0</v>
      </c>
      <c r="BK135" s="82">
        <f t="shared" ref="BK135" si="238">BJ135*Scenario3AgileContingency</f>
        <v>0</v>
      </c>
      <c r="BL135" s="82">
        <f t="shared" ref="BL135" si="239">IF(Scenario3Warranty=AgileWarrantyDefault, (SUMIF(I$8:BH$8,AgileIteration_Warranty,I135:BH135)*5*Scenario3Utilisation), (BJ135*Scenario3Warranty))</f>
        <v>0</v>
      </c>
      <c r="BM135" s="127">
        <f t="shared" ref="BM135" si="240">SUM(BJ135:BL135)</f>
        <v>0</v>
      </c>
    </row>
    <row r="136" spans="1:66" s="75" customFormat="1" ht="11.25" x14ac:dyDescent="0.2">
      <c r="A136" s="212">
        <v>2</v>
      </c>
      <c r="B136" s="213" t="s">
        <v>697</v>
      </c>
      <c r="C136" s="456" t="s">
        <v>635</v>
      </c>
      <c r="D136" s="403" t="s">
        <v>687</v>
      </c>
      <c r="E136" s="425"/>
      <c r="F136" s="426" t="s">
        <v>607</v>
      </c>
      <c r="G136" s="426"/>
      <c r="H136" s="426" t="str">
        <f>H134</f>
        <v>Development</v>
      </c>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9"/>
      <c r="AI136" s="179"/>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3"/>
      <c r="BI136" s="203"/>
      <c r="BJ136" s="82">
        <f t="shared" si="234"/>
        <v>0</v>
      </c>
      <c r="BK136" s="82">
        <f t="shared" ref="BK136" si="241">BJ136*Scenario3AgileContingency</f>
        <v>0</v>
      </c>
      <c r="BL136" s="82">
        <f t="shared" si="235"/>
        <v>0</v>
      </c>
      <c r="BM136" s="127">
        <f t="shared" ref="BM136" si="242">SUM(BJ136:BL136)</f>
        <v>0</v>
      </c>
    </row>
    <row r="137" spans="1:66" s="75" customFormat="1" ht="11.25" x14ac:dyDescent="0.2">
      <c r="A137" s="212">
        <v>2</v>
      </c>
      <c r="B137" s="213" t="s">
        <v>697</v>
      </c>
      <c r="C137" s="456" t="str">
        <f t="shared" si="233"/>
        <v>Software Developer</v>
      </c>
      <c r="D137" s="403" t="s">
        <v>687</v>
      </c>
      <c r="E137" s="425"/>
      <c r="F137" s="426" t="s">
        <v>607</v>
      </c>
      <c r="G137" s="426"/>
      <c r="H137" s="426" t="str">
        <f t="shared" si="236"/>
        <v>Development</v>
      </c>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9"/>
      <c r="AI137" s="179"/>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3"/>
      <c r="BI137" s="203"/>
      <c r="BJ137" s="82">
        <f t="shared" si="234"/>
        <v>0</v>
      </c>
      <c r="BK137" s="82">
        <f t="shared" ref="BK137" si="243">BJ137*Scenario3AgileContingency</f>
        <v>0</v>
      </c>
      <c r="BL137" s="82">
        <f t="shared" si="235"/>
        <v>0</v>
      </c>
      <c r="BM137" s="127">
        <f t="shared" ref="BM137" si="244">SUM(BJ137:BL137)</f>
        <v>0</v>
      </c>
    </row>
    <row r="138" spans="1:66" s="75" customFormat="1" ht="11.25" x14ac:dyDescent="0.2">
      <c r="A138" s="212">
        <v>2</v>
      </c>
      <c r="B138" s="213" t="s">
        <v>697</v>
      </c>
      <c r="C138" s="456" t="str">
        <f t="shared" si="233"/>
        <v>Software Developer</v>
      </c>
      <c r="D138" s="403" t="s">
        <v>687</v>
      </c>
      <c r="E138" s="425"/>
      <c r="F138" s="426" t="s">
        <v>607</v>
      </c>
      <c r="G138" s="426"/>
      <c r="H138" s="426" t="str">
        <f t="shared" si="236"/>
        <v>Development</v>
      </c>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9"/>
      <c r="AI138" s="179"/>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3"/>
      <c r="BI138" s="203"/>
      <c r="BJ138" s="82">
        <f t="shared" si="234"/>
        <v>0</v>
      </c>
      <c r="BK138" s="82">
        <f t="shared" ref="BK138" si="245">BJ138*Scenario3AgileContingency</f>
        <v>0</v>
      </c>
      <c r="BL138" s="82">
        <f t="shared" si="235"/>
        <v>0</v>
      </c>
      <c r="BM138" s="127">
        <f t="shared" ref="BM138" si="246">SUM(BJ138:BL138)</f>
        <v>0</v>
      </c>
    </row>
    <row r="139" spans="1:66" s="75" customFormat="1" ht="11.25" x14ac:dyDescent="0.2">
      <c r="A139" s="212">
        <v>2</v>
      </c>
      <c r="B139" s="213" t="s">
        <v>697</v>
      </c>
      <c r="C139" s="456" t="str">
        <f t="shared" si="233"/>
        <v>Software Developer</v>
      </c>
      <c r="D139" s="403" t="s">
        <v>687</v>
      </c>
      <c r="E139" s="425"/>
      <c r="F139" s="426" t="s">
        <v>607</v>
      </c>
      <c r="G139" s="426"/>
      <c r="H139" s="426" t="str">
        <f t="shared" si="236"/>
        <v>Development</v>
      </c>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9"/>
      <c r="AI139" s="179"/>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3"/>
      <c r="BI139" s="203"/>
      <c r="BJ139" s="82">
        <f t="shared" si="234"/>
        <v>0</v>
      </c>
      <c r="BK139" s="82">
        <f t="shared" ref="BK139" si="247">BJ139*Scenario3AgileContingency</f>
        <v>0</v>
      </c>
      <c r="BL139" s="82">
        <f t="shared" si="235"/>
        <v>0</v>
      </c>
      <c r="BM139" s="127">
        <f t="shared" ref="BM139" si="248">SUM(BJ139:BL139)</f>
        <v>0</v>
      </c>
    </row>
    <row r="140" spans="1:66" s="75" customFormat="1" ht="11.25" x14ac:dyDescent="0.2">
      <c r="A140" s="212">
        <v>2</v>
      </c>
      <c r="B140" s="213" t="s">
        <v>697</v>
      </c>
      <c r="C140" s="456" t="s">
        <v>651</v>
      </c>
      <c r="D140" s="403" t="s">
        <v>688</v>
      </c>
      <c r="E140" s="425"/>
      <c r="F140" s="426" t="s">
        <v>607</v>
      </c>
      <c r="G140" s="426"/>
      <c r="H140" s="426" t="str">
        <f t="shared" si="236"/>
        <v>Development</v>
      </c>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9"/>
      <c r="AI140" s="179"/>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3"/>
      <c r="BI140" s="203"/>
      <c r="BJ140" s="82">
        <f t="shared" si="234"/>
        <v>0</v>
      </c>
      <c r="BK140" s="82">
        <f t="shared" ref="BK140" si="249">BJ140*Scenario3AgileContingency</f>
        <v>0</v>
      </c>
      <c r="BL140" s="82">
        <f t="shared" si="235"/>
        <v>0</v>
      </c>
      <c r="BM140" s="127">
        <f t="shared" ref="BM140" si="250">SUM(BJ140:BL140)</f>
        <v>0</v>
      </c>
    </row>
    <row r="141" spans="1:66" s="75" customFormat="1" ht="11.25" x14ac:dyDescent="0.2">
      <c r="A141" s="212">
        <v>2</v>
      </c>
      <c r="B141" s="213" t="s">
        <v>697</v>
      </c>
      <c r="C141" s="456" t="str">
        <f t="shared" si="233"/>
        <v>Test Consultant</v>
      </c>
      <c r="D141" s="403" t="s">
        <v>688</v>
      </c>
      <c r="E141" s="425"/>
      <c r="F141" s="426" t="s">
        <v>607</v>
      </c>
      <c r="G141" s="426"/>
      <c r="H141" s="426" t="str">
        <f t="shared" si="236"/>
        <v>Development</v>
      </c>
      <c r="I141" s="17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9"/>
      <c r="AI141" s="179"/>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3"/>
      <c r="BI141" s="203"/>
      <c r="BJ141" s="82">
        <f t="shared" si="234"/>
        <v>0</v>
      </c>
      <c r="BK141" s="82">
        <f t="shared" si="7"/>
        <v>0</v>
      </c>
      <c r="BL141" s="82">
        <f t="shared" si="235"/>
        <v>0</v>
      </c>
      <c r="BM141" s="127">
        <f t="shared" si="9"/>
        <v>0</v>
      </c>
    </row>
    <row r="142" spans="1:66" s="75" customFormat="1" ht="11.25" x14ac:dyDescent="0.2">
      <c r="A142" s="212">
        <v>2</v>
      </c>
      <c r="B142" s="213" t="s">
        <v>697</v>
      </c>
      <c r="C142" s="456" t="str">
        <f t="shared" si="233"/>
        <v>Test Consultant</v>
      </c>
      <c r="D142" s="403" t="s">
        <v>688</v>
      </c>
      <c r="E142" s="425"/>
      <c r="F142" s="426" t="s">
        <v>607</v>
      </c>
      <c r="G142" s="426"/>
      <c r="H142" s="426" t="str">
        <f t="shared" si="236"/>
        <v>Development</v>
      </c>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9"/>
      <c r="AI142" s="179"/>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3"/>
      <c r="BI142" s="203"/>
      <c r="BJ142" s="82">
        <f t="shared" si="234"/>
        <v>0</v>
      </c>
      <c r="BK142" s="82">
        <f t="shared" si="7"/>
        <v>0</v>
      </c>
      <c r="BL142" s="82">
        <f t="shared" si="235"/>
        <v>0</v>
      </c>
      <c r="BM142" s="127">
        <f t="shared" si="9"/>
        <v>0</v>
      </c>
    </row>
    <row r="143" spans="1:66" s="74" customFormat="1" ht="11.25" x14ac:dyDescent="0.2">
      <c r="A143" s="210">
        <v>1</v>
      </c>
      <c r="B143" s="211" t="s">
        <v>697</v>
      </c>
      <c r="C143" s="207" t="s">
        <v>705</v>
      </c>
      <c r="D143" s="207" t="s">
        <v>705</v>
      </c>
      <c r="E143" s="421"/>
      <c r="F143" s="421"/>
      <c r="G143" s="421"/>
      <c r="H143" s="422"/>
      <c r="I143" s="214"/>
      <c r="J143" s="214"/>
      <c r="K143" s="214"/>
      <c r="L143" s="214"/>
      <c r="M143" s="214"/>
      <c r="N143" s="214"/>
      <c r="O143" s="214"/>
      <c r="P143" s="214"/>
      <c r="Q143" s="214"/>
      <c r="R143" s="214"/>
      <c r="S143" s="214"/>
      <c r="T143" s="214"/>
      <c r="U143" s="214"/>
      <c r="V143" s="214"/>
      <c r="W143" s="214"/>
      <c r="X143" s="214"/>
      <c r="Y143" s="214"/>
      <c r="Z143" s="214"/>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4"/>
      <c r="BC143" s="214"/>
      <c r="BD143" s="214"/>
      <c r="BE143" s="214"/>
      <c r="BF143" s="214"/>
      <c r="BG143" s="214"/>
      <c r="BH143" s="186"/>
      <c r="BI143" s="187"/>
      <c r="BJ143" s="127"/>
      <c r="BK143" s="127"/>
      <c r="BL143" s="127"/>
      <c r="BM143" s="127"/>
      <c r="BN143" s="75"/>
    </row>
    <row r="144" spans="1:66" s="75" customFormat="1" ht="11.25" x14ac:dyDescent="0.2">
      <c r="A144" s="212">
        <v>2</v>
      </c>
      <c r="B144" s="213" t="s">
        <v>697</v>
      </c>
      <c r="C144" s="456" t="str">
        <f t="shared" ref="C144:C154" si="251">IFERROR(VLOOKUP(D144,MappingFromSetAgiletoTTSRole,2,FALSE),"SET Agile Resource Role")</f>
        <v>Business Consultant</v>
      </c>
      <c r="D144" s="402" t="s">
        <v>684</v>
      </c>
      <c r="E144" s="423"/>
      <c r="F144" s="424" t="s">
        <v>607</v>
      </c>
      <c r="G144" s="424"/>
      <c r="H144" s="424" t="s">
        <v>702</v>
      </c>
      <c r="I144" s="179"/>
      <c r="J144" s="179"/>
      <c r="K144" s="179"/>
      <c r="L144" s="179"/>
      <c r="M144" s="179"/>
      <c r="N144" s="179"/>
      <c r="O144" s="179"/>
      <c r="P144" s="179"/>
      <c r="Q144" s="179"/>
      <c r="R144" s="179"/>
      <c r="S144" s="179"/>
      <c r="T144" s="179"/>
      <c r="U144" s="179"/>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80"/>
      <c r="BI144" s="203"/>
      <c r="BJ144" s="82">
        <f t="shared" ref="BJ144:BJ154" si="252">SUMIF(I$8:BH$8, "&lt;&gt;"&amp;AgileIteration_Warranty,I144:BH144)*5*Scenario3Utilisation</f>
        <v>0</v>
      </c>
      <c r="BK144" s="82">
        <f t="shared" ref="BK144" si="253">BJ144*Scenario3AgileContingency</f>
        <v>0</v>
      </c>
      <c r="BL144" s="82">
        <f t="shared" ref="BL144:BL154" si="254">IF(Scenario3Warranty=AgileWarrantyDefault, (SUMIF(I$8:BH$8,AgileIteration_Warranty,I144:BH144)*5*Scenario3Utilisation), (BJ144*Scenario3Warranty))</f>
        <v>0</v>
      </c>
      <c r="BM144" s="127">
        <f t="shared" ref="BM144" si="255">SUM(BJ144:BL144)</f>
        <v>0</v>
      </c>
    </row>
    <row r="145" spans="1:66" s="75" customFormat="1" ht="11.25" x14ac:dyDescent="0.2">
      <c r="A145" s="212">
        <v>2</v>
      </c>
      <c r="B145" s="213" t="s">
        <v>697</v>
      </c>
      <c r="C145" s="456" t="s">
        <v>685</v>
      </c>
      <c r="D145" s="402" t="s">
        <v>686</v>
      </c>
      <c r="E145" s="423"/>
      <c r="F145" s="424" t="s">
        <v>607</v>
      </c>
      <c r="G145" s="424"/>
      <c r="H145" s="424" t="str">
        <f>H144</f>
        <v>Development</v>
      </c>
      <c r="I145" s="179"/>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80"/>
      <c r="BI145" s="203"/>
      <c r="BJ145" s="82">
        <f t="shared" si="252"/>
        <v>0</v>
      </c>
      <c r="BK145" s="82">
        <f t="shared" ref="BK145" si="256">BJ145*Scenario3AgileContingency</f>
        <v>0</v>
      </c>
      <c r="BL145" s="82">
        <f t="shared" si="254"/>
        <v>0</v>
      </c>
      <c r="BM145" s="127">
        <f t="shared" ref="BM145" si="257">SUM(BJ145:BL145)</f>
        <v>0</v>
      </c>
    </row>
    <row r="146" spans="1:66" s="75" customFormat="1" ht="11.25" x14ac:dyDescent="0.2">
      <c r="A146" s="212">
        <v>2</v>
      </c>
      <c r="B146" s="213" t="s">
        <v>697</v>
      </c>
      <c r="C146" s="456" t="s">
        <v>613</v>
      </c>
      <c r="D146" s="402" t="s">
        <v>704</v>
      </c>
      <c r="E146" s="423"/>
      <c r="F146" s="424" t="s">
        <v>607</v>
      </c>
      <c r="G146" s="424"/>
      <c r="H146" s="424" t="str">
        <f t="shared" ref="H146:H154" si="258">H145</f>
        <v>Development</v>
      </c>
      <c r="I146" s="17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80"/>
      <c r="BI146" s="203"/>
      <c r="BJ146" s="82">
        <f t="shared" si="252"/>
        <v>0</v>
      </c>
      <c r="BK146" s="82">
        <f t="shared" ref="BK146" si="259">BJ146*Scenario3AgileContingency</f>
        <v>0</v>
      </c>
      <c r="BL146" s="82">
        <f t="shared" si="254"/>
        <v>0</v>
      </c>
      <c r="BM146" s="127">
        <f t="shared" ref="BM146" si="260">SUM(BJ146:BL146)</f>
        <v>0</v>
      </c>
    </row>
    <row r="147" spans="1:66" s="75" customFormat="1" ht="11.25" x14ac:dyDescent="0.2">
      <c r="A147" s="212">
        <v>2</v>
      </c>
      <c r="B147" s="213" t="s">
        <v>697</v>
      </c>
      <c r="C147" s="456" t="s">
        <v>658</v>
      </c>
      <c r="D147" s="402" t="s">
        <v>687</v>
      </c>
      <c r="E147" s="423"/>
      <c r="F147" s="424" t="str">
        <f>IFERROR(VLOOKUP(C147,MappingFromTTStoSU,2,FALSE),"SU Resource Role")</f>
        <v>DWMS</v>
      </c>
      <c r="G147" s="424"/>
      <c r="H147" s="424" t="str">
        <f>H146</f>
        <v>Development</v>
      </c>
      <c r="I147" s="179"/>
      <c r="J147" s="179"/>
      <c r="K147" s="179"/>
      <c r="L147" s="179"/>
      <c r="M147" s="179"/>
      <c r="N147" s="179"/>
      <c r="O147" s="179"/>
      <c r="P147" s="179"/>
      <c r="Q147" s="179"/>
      <c r="R147" s="179"/>
      <c r="S147" s="179"/>
      <c r="T147" s="179"/>
      <c r="U147" s="179"/>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80"/>
      <c r="BI147" s="203"/>
      <c r="BJ147" s="82">
        <f t="shared" ref="BJ147" si="261">SUMIF(I$8:BH$8, "&lt;&gt;"&amp;AgileIteration_Warranty,I147:BH147)*5*Scenario3Utilisation</f>
        <v>0</v>
      </c>
      <c r="BK147" s="82">
        <f t="shared" ref="BK147" si="262">BJ147*Scenario3AgileContingency</f>
        <v>0</v>
      </c>
      <c r="BL147" s="82">
        <f t="shared" ref="BL147" si="263">IF(Scenario3Warranty=AgileWarrantyDefault, (SUMIF(I$8:BH$8,AgileIteration_Warranty,I147:BH147)*5*Scenario3Utilisation), (BJ147*Scenario3Warranty))</f>
        <v>0</v>
      </c>
      <c r="BM147" s="127">
        <f t="shared" ref="BM147" si="264">SUM(BJ147:BL147)</f>
        <v>0</v>
      </c>
    </row>
    <row r="148" spans="1:66" s="75" customFormat="1" ht="11.25" x14ac:dyDescent="0.2">
      <c r="A148" s="212">
        <v>2</v>
      </c>
      <c r="B148" s="213" t="s">
        <v>697</v>
      </c>
      <c r="C148" s="456" t="s">
        <v>635</v>
      </c>
      <c r="D148" s="402" t="s">
        <v>687</v>
      </c>
      <c r="E148" s="423"/>
      <c r="F148" s="424" t="s">
        <v>607</v>
      </c>
      <c r="G148" s="424"/>
      <c r="H148" s="424" t="str">
        <f>H146</f>
        <v>Development</v>
      </c>
      <c r="I148" s="179"/>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80"/>
      <c r="BI148" s="203"/>
      <c r="BJ148" s="82">
        <f t="shared" si="252"/>
        <v>0</v>
      </c>
      <c r="BK148" s="82">
        <f t="shared" ref="BK148" si="265">BJ148*Scenario3AgileContingency</f>
        <v>0</v>
      </c>
      <c r="BL148" s="82">
        <f t="shared" si="254"/>
        <v>0</v>
      </c>
      <c r="BM148" s="127">
        <f t="shared" ref="BM148" si="266">SUM(BJ148:BL148)</f>
        <v>0</v>
      </c>
    </row>
    <row r="149" spans="1:66" s="75" customFormat="1" ht="11.25" x14ac:dyDescent="0.2">
      <c r="A149" s="212">
        <v>2</v>
      </c>
      <c r="B149" s="213" t="s">
        <v>697</v>
      </c>
      <c r="C149" s="456" t="str">
        <f t="shared" si="251"/>
        <v>Software Developer</v>
      </c>
      <c r="D149" s="402" t="s">
        <v>687</v>
      </c>
      <c r="E149" s="423"/>
      <c r="F149" s="424" t="s">
        <v>607</v>
      </c>
      <c r="G149" s="424"/>
      <c r="H149" s="424" t="str">
        <f t="shared" si="258"/>
        <v>Development</v>
      </c>
      <c r="I149" s="179"/>
      <c r="J149" s="179"/>
      <c r="K149" s="179"/>
      <c r="L149" s="179"/>
      <c r="M149" s="179"/>
      <c r="N149" s="179"/>
      <c r="O149" s="179"/>
      <c r="P149" s="179"/>
      <c r="Q149" s="179"/>
      <c r="R149" s="179"/>
      <c r="S149" s="179"/>
      <c r="T149" s="179"/>
      <c r="U149" s="179"/>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80"/>
      <c r="BI149" s="203"/>
      <c r="BJ149" s="82">
        <f t="shared" si="252"/>
        <v>0</v>
      </c>
      <c r="BK149" s="82">
        <f t="shared" ref="BK149" si="267">BJ149*Scenario3AgileContingency</f>
        <v>0</v>
      </c>
      <c r="BL149" s="82">
        <f t="shared" si="254"/>
        <v>0</v>
      </c>
      <c r="BM149" s="127">
        <f t="shared" ref="BM149" si="268">SUM(BJ149:BL149)</f>
        <v>0</v>
      </c>
    </row>
    <row r="150" spans="1:66" s="75" customFormat="1" ht="11.25" x14ac:dyDescent="0.2">
      <c r="A150" s="212">
        <v>2</v>
      </c>
      <c r="B150" s="213" t="s">
        <v>697</v>
      </c>
      <c r="C150" s="456" t="str">
        <f t="shared" si="251"/>
        <v>Software Developer</v>
      </c>
      <c r="D150" s="402" t="s">
        <v>687</v>
      </c>
      <c r="E150" s="423"/>
      <c r="F150" s="424" t="s">
        <v>607</v>
      </c>
      <c r="G150" s="424"/>
      <c r="H150" s="424" t="str">
        <f t="shared" si="258"/>
        <v>Development</v>
      </c>
      <c r="I150" s="179"/>
      <c r="J150" s="179"/>
      <c r="K150" s="179"/>
      <c r="L150" s="179"/>
      <c r="M150" s="179"/>
      <c r="N150" s="179"/>
      <c r="O150" s="179"/>
      <c r="P150" s="179"/>
      <c r="Q150" s="179"/>
      <c r="R150" s="179"/>
      <c r="S150" s="179"/>
      <c r="T150" s="179"/>
      <c r="U150" s="179"/>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80"/>
      <c r="BI150" s="203"/>
      <c r="BJ150" s="82">
        <f t="shared" si="252"/>
        <v>0</v>
      </c>
      <c r="BK150" s="82">
        <f t="shared" ref="BK150" si="269">BJ150*Scenario3AgileContingency</f>
        <v>0</v>
      </c>
      <c r="BL150" s="82">
        <f t="shared" si="254"/>
        <v>0</v>
      </c>
      <c r="BM150" s="127">
        <f t="shared" ref="BM150" si="270">SUM(BJ150:BL150)</f>
        <v>0</v>
      </c>
    </row>
    <row r="151" spans="1:66" s="75" customFormat="1" ht="11.25" x14ac:dyDescent="0.2">
      <c r="A151" s="212">
        <v>2</v>
      </c>
      <c r="B151" s="213" t="s">
        <v>697</v>
      </c>
      <c r="C151" s="456" t="str">
        <f t="shared" si="251"/>
        <v>Software Developer</v>
      </c>
      <c r="D151" s="402" t="s">
        <v>687</v>
      </c>
      <c r="E151" s="423"/>
      <c r="F151" s="424" t="s">
        <v>607</v>
      </c>
      <c r="G151" s="424"/>
      <c r="H151" s="424" t="str">
        <f t="shared" si="258"/>
        <v>Development</v>
      </c>
      <c r="I151" s="179"/>
      <c r="J151" s="179"/>
      <c r="K151" s="179"/>
      <c r="L151" s="179"/>
      <c r="M151" s="179"/>
      <c r="N151" s="179"/>
      <c r="O151" s="179"/>
      <c r="P151" s="179"/>
      <c r="Q151" s="179"/>
      <c r="R151" s="179"/>
      <c r="S151" s="179"/>
      <c r="T151" s="179"/>
      <c r="U151" s="179"/>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80"/>
      <c r="BI151" s="203"/>
      <c r="BJ151" s="82">
        <f t="shared" si="252"/>
        <v>0</v>
      </c>
      <c r="BK151" s="82">
        <f t="shared" ref="BK151" si="271">BJ151*Scenario3AgileContingency</f>
        <v>0</v>
      </c>
      <c r="BL151" s="82">
        <f t="shared" si="254"/>
        <v>0</v>
      </c>
      <c r="BM151" s="127">
        <f t="shared" ref="BM151" si="272">SUM(BJ151:BL151)</f>
        <v>0</v>
      </c>
    </row>
    <row r="152" spans="1:66" s="75" customFormat="1" ht="11.25" x14ac:dyDescent="0.2">
      <c r="A152" s="212">
        <v>2</v>
      </c>
      <c r="B152" s="213" t="s">
        <v>697</v>
      </c>
      <c r="C152" s="456" t="s">
        <v>651</v>
      </c>
      <c r="D152" s="402" t="s">
        <v>688</v>
      </c>
      <c r="E152" s="423"/>
      <c r="F152" s="424" t="s">
        <v>607</v>
      </c>
      <c r="G152" s="424"/>
      <c r="H152" s="424" t="str">
        <f t="shared" si="258"/>
        <v>Development</v>
      </c>
      <c r="I152" s="179"/>
      <c r="J152" s="179"/>
      <c r="K152" s="179"/>
      <c r="L152" s="179"/>
      <c r="M152" s="179"/>
      <c r="N152" s="179"/>
      <c r="O152" s="179"/>
      <c r="P152" s="179"/>
      <c r="Q152" s="179"/>
      <c r="R152" s="179"/>
      <c r="S152" s="179"/>
      <c r="T152" s="179"/>
      <c r="U152" s="179"/>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80"/>
      <c r="BI152" s="203"/>
      <c r="BJ152" s="82">
        <f t="shared" si="252"/>
        <v>0</v>
      </c>
      <c r="BK152" s="82">
        <f t="shared" ref="BK152" si="273">BJ152*Scenario3AgileContingency</f>
        <v>0</v>
      </c>
      <c r="BL152" s="82">
        <f t="shared" si="254"/>
        <v>0</v>
      </c>
      <c r="BM152" s="127">
        <f t="shared" ref="BM152" si="274">SUM(BJ152:BL152)</f>
        <v>0</v>
      </c>
    </row>
    <row r="153" spans="1:66" s="75" customFormat="1" ht="11.25" x14ac:dyDescent="0.2">
      <c r="A153" s="212">
        <v>2</v>
      </c>
      <c r="B153" s="213" t="s">
        <v>697</v>
      </c>
      <c r="C153" s="456" t="str">
        <f t="shared" si="251"/>
        <v>Test Consultant</v>
      </c>
      <c r="D153" s="402" t="s">
        <v>688</v>
      </c>
      <c r="E153" s="423"/>
      <c r="F153" s="424" t="s">
        <v>607</v>
      </c>
      <c r="G153" s="424"/>
      <c r="H153" s="424" t="str">
        <f t="shared" si="258"/>
        <v>Development</v>
      </c>
      <c r="I153" s="179"/>
      <c r="J153" s="179"/>
      <c r="K153" s="179"/>
      <c r="L153" s="179"/>
      <c r="M153" s="179"/>
      <c r="N153" s="179"/>
      <c r="O153" s="179"/>
      <c r="P153" s="179"/>
      <c r="Q153" s="179"/>
      <c r="R153" s="179"/>
      <c r="S153" s="179"/>
      <c r="T153" s="179"/>
      <c r="U153" s="179"/>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80"/>
      <c r="BI153" s="203"/>
      <c r="BJ153" s="82">
        <f t="shared" si="252"/>
        <v>0</v>
      </c>
      <c r="BK153" s="82">
        <f t="shared" ref="BK153" si="275">BJ153*Scenario3AgileContingency</f>
        <v>0</v>
      </c>
      <c r="BL153" s="82">
        <f t="shared" si="254"/>
        <v>0</v>
      </c>
      <c r="BM153" s="127">
        <f t="shared" ref="BM153" si="276">SUM(BJ153:BL153)</f>
        <v>0</v>
      </c>
    </row>
    <row r="154" spans="1:66" s="75" customFormat="1" ht="11.25" x14ac:dyDescent="0.2">
      <c r="A154" s="212">
        <v>2</v>
      </c>
      <c r="B154" s="213" t="s">
        <v>697</v>
      </c>
      <c r="C154" s="456" t="str">
        <f t="shared" si="251"/>
        <v>Test Consultant</v>
      </c>
      <c r="D154" s="402" t="s">
        <v>688</v>
      </c>
      <c r="E154" s="423"/>
      <c r="F154" s="424" t="s">
        <v>607</v>
      </c>
      <c r="G154" s="424"/>
      <c r="H154" s="424" t="str">
        <f t="shared" si="258"/>
        <v>Development</v>
      </c>
      <c r="I154" s="179"/>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80"/>
      <c r="BI154" s="203"/>
      <c r="BJ154" s="82">
        <f t="shared" si="252"/>
        <v>0</v>
      </c>
      <c r="BK154" s="82">
        <f t="shared" ref="BK154" si="277">BJ154*Scenario3AgileContingency</f>
        <v>0</v>
      </c>
      <c r="BL154" s="82">
        <f t="shared" si="254"/>
        <v>0</v>
      </c>
      <c r="BM154" s="127">
        <f t="shared" ref="BM154" si="278">SUM(BJ154:BL154)</f>
        <v>0</v>
      </c>
    </row>
    <row r="155" spans="1:66" s="74" customFormat="1" ht="11.25" x14ac:dyDescent="0.2">
      <c r="A155" s="210">
        <v>1</v>
      </c>
      <c r="B155" s="211" t="s">
        <v>697</v>
      </c>
      <c r="C155" s="207" t="s">
        <v>706</v>
      </c>
      <c r="D155" s="207" t="s">
        <v>706</v>
      </c>
      <c r="E155" s="421"/>
      <c r="F155" s="421"/>
      <c r="G155" s="421"/>
      <c r="H155" s="422"/>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186"/>
      <c r="BI155" s="187"/>
      <c r="BJ155" s="127"/>
      <c r="BK155" s="127"/>
      <c r="BL155" s="127"/>
      <c r="BM155" s="127"/>
      <c r="BN155" s="75"/>
    </row>
    <row r="156" spans="1:66" s="75" customFormat="1" ht="11.25" x14ac:dyDescent="0.2">
      <c r="A156" s="212">
        <v>2</v>
      </c>
      <c r="B156" s="213" t="s">
        <v>697</v>
      </c>
      <c r="C156" s="456" t="str">
        <f>IFERROR(VLOOKUP(D156,MappingFromSetAgiletoTTSRole,2,FALSE),"SET Agile Resource Role")</f>
        <v>Business Consultant</v>
      </c>
      <c r="D156" s="402" t="s">
        <v>684</v>
      </c>
      <c r="E156" s="423"/>
      <c r="F156" s="424" t="str">
        <f t="shared" ref="F156:F166" si="279">IFERROR(VLOOKUP(C156,MappingFromTTStoSU,2,FALSE),"SU Resource Role")</f>
        <v>DWMS</v>
      </c>
      <c r="G156" s="424"/>
      <c r="H156" s="424" t="s">
        <v>702</v>
      </c>
      <c r="I156" s="179"/>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80"/>
      <c r="BI156" s="203"/>
      <c r="BJ156" s="82">
        <f t="shared" ref="BJ156:BJ166" si="280">SUMIF(I$8:BH$8, "&lt;&gt;"&amp;AgileIteration_Warranty,I156:BH156)*5*Scenario3Utilisation</f>
        <v>0</v>
      </c>
      <c r="BK156" s="82">
        <f t="shared" ref="BK156" si="281">BJ156*Scenario3AgileContingency</f>
        <v>0</v>
      </c>
      <c r="BL156" s="82">
        <f t="shared" ref="BL156:BL166" si="282">IF(Scenario3Warranty=AgileWarrantyDefault, (SUMIF(I$8:BH$8,AgileIteration_Warranty,I156:BH156)*5*Scenario3Utilisation), (BJ156*Scenario3Warranty))</f>
        <v>0</v>
      </c>
      <c r="BM156" s="127">
        <f t="shared" ref="BM156" si="283">SUM(BJ156:BL156)</f>
        <v>0</v>
      </c>
    </row>
    <row r="157" spans="1:66" s="75" customFormat="1" ht="11.25" x14ac:dyDescent="0.2">
      <c r="A157" s="212">
        <v>2</v>
      </c>
      <c r="B157" s="213" t="s">
        <v>697</v>
      </c>
      <c r="C157" s="456" t="s">
        <v>685</v>
      </c>
      <c r="D157" s="402" t="s">
        <v>686</v>
      </c>
      <c r="E157" s="423"/>
      <c r="F157" s="424" t="str">
        <f t="shared" si="279"/>
        <v>DWMS</v>
      </c>
      <c r="G157" s="424"/>
      <c r="H157" s="424" t="str">
        <f>H156</f>
        <v>Development</v>
      </c>
      <c r="I157" s="179"/>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80"/>
      <c r="BI157" s="203"/>
      <c r="BJ157" s="82">
        <f t="shared" si="280"/>
        <v>0</v>
      </c>
      <c r="BK157" s="82">
        <f t="shared" ref="BK157" si="284">BJ157*Scenario3AgileContingency</f>
        <v>0</v>
      </c>
      <c r="BL157" s="82">
        <f t="shared" si="282"/>
        <v>0</v>
      </c>
      <c r="BM157" s="127">
        <f t="shared" ref="BM157" si="285">SUM(BJ157:BL157)</f>
        <v>0</v>
      </c>
    </row>
    <row r="158" spans="1:66" s="75" customFormat="1" ht="11.25" x14ac:dyDescent="0.2">
      <c r="A158" s="212">
        <v>2</v>
      </c>
      <c r="B158" s="213" t="s">
        <v>697</v>
      </c>
      <c r="C158" s="456" t="s">
        <v>613</v>
      </c>
      <c r="D158" s="402" t="s">
        <v>704</v>
      </c>
      <c r="E158" s="423"/>
      <c r="F158" s="424" t="str">
        <f t="shared" si="279"/>
        <v>DWMS</v>
      </c>
      <c r="G158" s="424"/>
      <c r="H158" s="424" t="str">
        <f t="shared" ref="H158:H160" si="286">H157</f>
        <v>Development</v>
      </c>
      <c r="I158" s="179"/>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80"/>
      <c r="BI158" s="203"/>
      <c r="BJ158" s="82">
        <f t="shared" si="280"/>
        <v>0</v>
      </c>
      <c r="BK158" s="82">
        <f t="shared" ref="BK158" si="287">BJ158*Scenario3AgileContingency</f>
        <v>0</v>
      </c>
      <c r="BL158" s="82">
        <f t="shared" si="282"/>
        <v>0</v>
      </c>
      <c r="BM158" s="127">
        <f t="shared" ref="BM158" si="288">SUM(BJ158:BL158)</f>
        <v>0</v>
      </c>
    </row>
    <row r="159" spans="1:66" s="75" customFormat="1" ht="11.25" x14ac:dyDescent="0.2">
      <c r="A159" s="212">
        <v>2</v>
      </c>
      <c r="B159" s="213" t="s">
        <v>697</v>
      </c>
      <c r="C159" s="456" t="s">
        <v>658</v>
      </c>
      <c r="D159" s="402" t="s">
        <v>687</v>
      </c>
      <c r="E159" s="423"/>
      <c r="F159" s="424" t="str">
        <f t="shared" si="279"/>
        <v>DWMS</v>
      </c>
      <c r="G159" s="424"/>
      <c r="H159" s="424" t="str">
        <f t="shared" si="286"/>
        <v>Development</v>
      </c>
      <c r="I159" s="179"/>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80"/>
      <c r="BI159" s="203"/>
      <c r="BJ159" s="82">
        <f t="shared" si="280"/>
        <v>0</v>
      </c>
      <c r="BK159" s="82">
        <f t="shared" ref="BK159" si="289">BJ159*Scenario3AgileContingency</f>
        <v>0</v>
      </c>
      <c r="BL159" s="82">
        <f t="shared" si="282"/>
        <v>0</v>
      </c>
      <c r="BM159" s="127">
        <f t="shared" ref="BM159" si="290">SUM(BJ159:BL159)</f>
        <v>0</v>
      </c>
    </row>
    <row r="160" spans="1:66" s="75" customFormat="1" ht="11.25" x14ac:dyDescent="0.2">
      <c r="A160" s="212">
        <v>2</v>
      </c>
      <c r="B160" s="213" t="s">
        <v>697</v>
      </c>
      <c r="C160" s="456" t="s">
        <v>635</v>
      </c>
      <c r="D160" s="402" t="s">
        <v>687</v>
      </c>
      <c r="E160" s="423"/>
      <c r="F160" s="424" t="str">
        <f t="shared" si="279"/>
        <v>DWMS</v>
      </c>
      <c r="G160" s="424"/>
      <c r="H160" s="424" t="str">
        <f t="shared" si="286"/>
        <v>Development</v>
      </c>
      <c r="I160" s="179"/>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80"/>
      <c r="BI160" s="203"/>
      <c r="BJ160" s="82">
        <f t="shared" si="280"/>
        <v>0</v>
      </c>
      <c r="BK160" s="82">
        <f t="shared" ref="BK160" si="291">BJ160*Scenario3AgileContingency</f>
        <v>0</v>
      </c>
      <c r="BL160" s="82">
        <f t="shared" si="282"/>
        <v>0</v>
      </c>
      <c r="BM160" s="127">
        <f t="shared" ref="BM160" si="292">SUM(BJ160:BL160)</f>
        <v>0</v>
      </c>
    </row>
    <row r="161" spans="1:66" s="75" customFormat="1" ht="11.25" x14ac:dyDescent="0.2">
      <c r="A161" s="212">
        <v>2</v>
      </c>
      <c r="B161" s="213" t="s">
        <v>697</v>
      </c>
      <c r="C161" s="456" t="str">
        <f t="shared" ref="C161:C166" si="293">IFERROR(VLOOKUP(D161,MappingFromSetAgiletoTTSRole,2,FALSE),"SET Agile Resource Role")</f>
        <v>Software Developer</v>
      </c>
      <c r="D161" s="402" t="s">
        <v>687</v>
      </c>
      <c r="E161" s="423"/>
      <c r="F161" s="424" t="str">
        <f>IFERROR(VLOOKUP(C161,MappingFromTTStoSU,2,FALSE),"SU Resource Role")</f>
        <v>DWMS</v>
      </c>
      <c r="G161" s="424"/>
      <c r="H161" s="424" t="str">
        <f>H160</f>
        <v>Development</v>
      </c>
      <c r="I161" s="179"/>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80"/>
      <c r="BI161" s="203"/>
      <c r="BJ161" s="82">
        <f t="shared" ref="BJ161" si="294">SUMIF(I$8:BH$8, "&lt;&gt;"&amp;AgileIteration_Warranty,I161:BH161)*5*Scenario3Utilisation</f>
        <v>0</v>
      </c>
      <c r="BK161" s="82">
        <f t="shared" ref="BK161" si="295">BJ161*Scenario3AgileContingency</f>
        <v>0</v>
      </c>
      <c r="BL161" s="82">
        <f t="shared" ref="BL161" si="296">IF(Scenario3Warranty=AgileWarrantyDefault, (SUMIF(I$8:BH$8,AgileIteration_Warranty,I161:BH161)*5*Scenario3Utilisation), (BJ161*Scenario3Warranty))</f>
        <v>0</v>
      </c>
      <c r="BM161" s="127">
        <f t="shared" ref="BM161" si="297">SUM(BJ161:BL161)</f>
        <v>0</v>
      </c>
    </row>
    <row r="162" spans="1:66" s="75" customFormat="1" ht="11.25" x14ac:dyDescent="0.2">
      <c r="A162" s="212">
        <v>2</v>
      </c>
      <c r="B162" s="213" t="s">
        <v>697</v>
      </c>
      <c r="C162" s="456" t="str">
        <f t="shared" si="293"/>
        <v>Software Developer</v>
      </c>
      <c r="D162" s="402" t="s">
        <v>687</v>
      </c>
      <c r="E162" s="423"/>
      <c r="F162" s="424" t="str">
        <f t="shared" si="279"/>
        <v>DWMS</v>
      </c>
      <c r="G162" s="424"/>
      <c r="H162" s="424" t="str">
        <f>H160</f>
        <v>Development</v>
      </c>
      <c r="I162" s="179"/>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80"/>
      <c r="BI162" s="203"/>
      <c r="BJ162" s="82">
        <f t="shared" si="280"/>
        <v>0</v>
      </c>
      <c r="BK162" s="82">
        <f t="shared" ref="BK162" si="298">BJ162*Scenario3AgileContingency</f>
        <v>0</v>
      </c>
      <c r="BL162" s="82">
        <f t="shared" si="282"/>
        <v>0</v>
      </c>
      <c r="BM162" s="127">
        <f t="shared" ref="BM162" si="299">SUM(BJ162:BL162)</f>
        <v>0</v>
      </c>
    </row>
    <row r="163" spans="1:66" s="75" customFormat="1" ht="11.25" x14ac:dyDescent="0.2">
      <c r="A163" s="212">
        <v>2</v>
      </c>
      <c r="B163" s="213" t="s">
        <v>697</v>
      </c>
      <c r="C163" s="456" t="str">
        <f t="shared" si="293"/>
        <v>Software Developer</v>
      </c>
      <c r="D163" s="402" t="s">
        <v>687</v>
      </c>
      <c r="E163" s="423"/>
      <c r="F163" s="424" t="str">
        <f>IFERROR(VLOOKUP(C163,MappingFromTTStoSU,2,FALSE),"SU Resource Role")</f>
        <v>DWMS</v>
      </c>
      <c r="G163" s="424"/>
      <c r="H163" s="424" t="str">
        <f>H162</f>
        <v>Development</v>
      </c>
      <c r="I163" s="179"/>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80"/>
      <c r="BI163" s="203"/>
      <c r="BJ163" s="82">
        <f t="shared" ref="BJ163" si="300">SUMIF(I$8:BH$8, "&lt;&gt;"&amp;AgileIteration_Warranty,I163:BH163)*5*Scenario3Utilisation</f>
        <v>0</v>
      </c>
      <c r="BK163" s="82">
        <f t="shared" ref="BK163" si="301">BJ163*Scenario3AgileContingency</f>
        <v>0</v>
      </c>
      <c r="BL163" s="82">
        <f t="shared" ref="BL163" si="302">IF(Scenario3Warranty=AgileWarrantyDefault, (SUMIF(I$8:BH$8,AgileIteration_Warranty,I163:BH163)*5*Scenario3Utilisation), (BJ163*Scenario3Warranty))</f>
        <v>0</v>
      </c>
      <c r="BM163" s="127">
        <f t="shared" ref="BM163" si="303">SUM(BJ163:BL163)</f>
        <v>0</v>
      </c>
    </row>
    <row r="164" spans="1:66" s="75" customFormat="1" ht="11.25" x14ac:dyDescent="0.2">
      <c r="A164" s="212">
        <v>2</v>
      </c>
      <c r="B164" s="213" t="s">
        <v>697</v>
      </c>
      <c r="C164" s="456" t="s">
        <v>651</v>
      </c>
      <c r="D164" s="402" t="s">
        <v>688</v>
      </c>
      <c r="E164" s="423"/>
      <c r="F164" s="424" t="str">
        <f t="shared" si="279"/>
        <v>DWMS</v>
      </c>
      <c r="G164" s="424"/>
      <c r="H164" s="424" t="str">
        <f>H162</f>
        <v>Development</v>
      </c>
      <c r="I164" s="179"/>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80"/>
      <c r="BI164" s="203"/>
      <c r="BJ164" s="82">
        <f t="shared" si="280"/>
        <v>0</v>
      </c>
      <c r="BK164" s="82">
        <f t="shared" ref="BK164" si="304">BJ164*Scenario3AgileContingency</f>
        <v>0</v>
      </c>
      <c r="BL164" s="82">
        <f t="shared" si="282"/>
        <v>0</v>
      </c>
      <c r="BM164" s="127">
        <f t="shared" ref="BM164" si="305">SUM(BJ164:BL164)</f>
        <v>0</v>
      </c>
    </row>
    <row r="165" spans="1:66" s="75" customFormat="1" ht="11.25" x14ac:dyDescent="0.2">
      <c r="A165" s="212">
        <v>2</v>
      </c>
      <c r="B165" s="213" t="s">
        <v>697</v>
      </c>
      <c r="C165" s="456" t="str">
        <f t="shared" si="293"/>
        <v>Test Consultant</v>
      </c>
      <c r="D165" s="402" t="s">
        <v>688</v>
      </c>
      <c r="E165" s="423"/>
      <c r="F165" s="424" t="str">
        <f>IFERROR(VLOOKUP(C165,MappingFromTTStoSU,2,FALSE),"SU Resource Role")</f>
        <v>DWMS</v>
      </c>
      <c r="G165" s="424"/>
      <c r="H165" s="424" t="str">
        <f>H164</f>
        <v>Development</v>
      </c>
      <c r="I165" s="179"/>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80"/>
      <c r="BI165" s="203"/>
      <c r="BJ165" s="82">
        <f t="shared" ref="BJ165" si="306">SUMIF(I$8:BH$8, "&lt;&gt;"&amp;AgileIteration_Warranty,I165:BH165)*5*Scenario3Utilisation</f>
        <v>0</v>
      </c>
      <c r="BK165" s="82">
        <f t="shared" ref="BK165" si="307">BJ165*Scenario3AgileContingency</f>
        <v>0</v>
      </c>
      <c r="BL165" s="82">
        <f t="shared" ref="BL165" si="308">IF(Scenario3Warranty=AgileWarrantyDefault, (SUMIF(I$8:BH$8,AgileIteration_Warranty,I165:BH165)*5*Scenario3Utilisation), (BJ165*Scenario3Warranty))</f>
        <v>0</v>
      </c>
      <c r="BM165" s="127">
        <f t="shared" ref="BM165" si="309">SUM(BJ165:BL165)</f>
        <v>0</v>
      </c>
    </row>
    <row r="166" spans="1:66" s="75" customFormat="1" ht="11.25" x14ac:dyDescent="0.2">
      <c r="A166" s="212">
        <v>2</v>
      </c>
      <c r="B166" s="213" t="s">
        <v>697</v>
      </c>
      <c r="C166" s="456" t="str">
        <f t="shared" si="293"/>
        <v>Test Consultant</v>
      </c>
      <c r="D166" s="402" t="s">
        <v>688</v>
      </c>
      <c r="E166" s="423"/>
      <c r="F166" s="424" t="str">
        <f t="shared" si="279"/>
        <v>DWMS</v>
      </c>
      <c r="G166" s="424"/>
      <c r="H166" s="424" t="str">
        <f>H164</f>
        <v>Development</v>
      </c>
      <c r="I166" s="179"/>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80"/>
      <c r="BI166" s="203"/>
      <c r="BJ166" s="82">
        <f t="shared" si="280"/>
        <v>0</v>
      </c>
      <c r="BK166" s="82">
        <f t="shared" ref="BK166" si="310">BJ166*Scenario3AgileContingency</f>
        <v>0</v>
      </c>
      <c r="BL166" s="82">
        <f t="shared" si="282"/>
        <v>0</v>
      </c>
      <c r="BM166" s="127">
        <f t="shared" ref="BM166" si="311">SUM(BJ166:BL166)</f>
        <v>0</v>
      </c>
    </row>
    <row r="167" spans="1:66" s="74" customFormat="1" ht="11.25" x14ac:dyDescent="0.2">
      <c r="A167" s="210">
        <v>1</v>
      </c>
      <c r="B167" s="211" t="s">
        <v>697</v>
      </c>
      <c r="C167" s="207" t="s">
        <v>708</v>
      </c>
      <c r="D167" s="207" t="s">
        <v>708</v>
      </c>
      <c r="E167" s="421"/>
      <c r="F167" s="421"/>
      <c r="G167" s="421"/>
      <c r="H167" s="422"/>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4"/>
      <c r="BC167" s="214"/>
      <c r="BD167" s="214"/>
      <c r="BE167" s="214"/>
      <c r="BF167" s="214"/>
      <c r="BG167" s="214"/>
      <c r="BH167" s="186"/>
      <c r="BI167" s="187"/>
      <c r="BJ167" s="127"/>
      <c r="BK167" s="127"/>
      <c r="BL167" s="127"/>
      <c r="BM167" s="127"/>
      <c r="BN167" s="75"/>
    </row>
    <row r="168" spans="1:66" s="75" customFormat="1" ht="11.25" x14ac:dyDescent="0.2">
      <c r="A168" s="212">
        <v>2</v>
      </c>
      <c r="B168" s="213" t="s">
        <v>697</v>
      </c>
      <c r="C168" s="456" t="str">
        <f>IFERROR(VLOOKUP(D168,MappingFromSetAgiletoTTSRole,2,FALSE),"SET Agile Resource Role")</f>
        <v>Business Consultant</v>
      </c>
      <c r="D168" s="402" t="s">
        <v>684</v>
      </c>
      <c r="E168" s="423"/>
      <c r="F168" s="424" t="str">
        <f t="shared" ref="F168:F178" si="312">IFERROR(VLOOKUP(C168,MappingFromTTStoSU,2,FALSE),"SU Resource Role")</f>
        <v>DWMS</v>
      </c>
      <c r="G168" s="424"/>
      <c r="H168" s="424" t="s">
        <v>702</v>
      </c>
      <c r="I168" s="179"/>
      <c r="J168" s="179"/>
      <c r="K168" s="179"/>
      <c r="L168" s="179"/>
      <c r="M168" s="179"/>
      <c r="N168" s="179"/>
      <c r="O168" s="179"/>
      <c r="P168" s="179"/>
      <c r="Q168" s="179"/>
      <c r="R168" s="179"/>
      <c r="S168" s="179"/>
      <c r="T168" s="179"/>
      <c r="U168" s="179"/>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80"/>
      <c r="BI168" s="203"/>
      <c r="BJ168" s="82">
        <f t="shared" ref="BJ168:BJ178" si="313">SUMIF(I$8:BH$8, "&lt;&gt;"&amp;AgileIteration_Warranty,I168:BH168)*5*Scenario3Utilisation</f>
        <v>0</v>
      </c>
      <c r="BK168" s="82">
        <f t="shared" ref="BK168" si="314">BJ168*Scenario3AgileContingency</f>
        <v>0</v>
      </c>
      <c r="BL168" s="82">
        <f t="shared" ref="BL168:BL178" si="315">IF(Scenario3Warranty=AgileWarrantyDefault, (SUMIF(I$8:BH$8,AgileIteration_Warranty,I168:BH168)*5*Scenario3Utilisation), (BJ168*Scenario3Warranty))</f>
        <v>0</v>
      </c>
      <c r="BM168" s="127">
        <f t="shared" ref="BM168" si="316">SUM(BJ168:BL168)</f>
        <v>0</v>
      </c>
    </row>
    <row r="169" spans="1:66" s="75" customFormat="1" ht="11.25" x14ac:dyDescent="0.2">
      <c r="A169" s="212">
        <v>2</v>
      </c>
      <c r="B169" s="213" t="s">
        <v>697</v>
      </c>
      <c r="C169" s="456" t="s">
        <v>685</v>
      </c>
      <c r="D169" s="402" t="s">
        <v>686</v>
      </c>
      <c r="E169" s="423"/>
      <c r="F169" s="424" t="str">
        <f t="shared" si="312"/>
        <v>DWMS</v>
      </c>
      <c r="G169" s="424"/>
      <c r="H169" s="424" t="str">
        <f>H168</f>
        <v>Development</v>
      </c>
      <c r="I169" s="179"/>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80"/>
      <c r="BI169" s="203"/>
      <c r="BJ169" s="82">
        <f t="shared" si="313"/>
        <v>0</v>
      </c>
      <c r="BK169" s="82">
        <f t="shared" ref="BK169" si="317">BJ169*Scenario3AgileContingency</f>
        <v>0</v>
      </c>
      <c r="BL169" s="82">
        <f t="shared" si="315"/>
        <v>0</v>
      </c>
      <c r="BM169" s="127">
        <f t="shared" ref="BM169" si="318">SUM(BJ169:BL169)</f>
        <v>0</v>
      </c>
    </row>
    <row r="170" spans="1:66" s="75" customFormat="1" ht="11.25" x14ac:dyDescent="0.2">
      <c r="A170" s="212">
        <v>2</v>
      </c>
      <c r="B170" s="213" t="s">
        <v>697</v>
      </c>
      <c r="C170" s="456" t="s">
        <v>613</v>
      </c>
      <c r="D170" s="402" t="s">
        <v>704</v>
      </c>
      <c r="E170" s="423"/>
      <c r="F170" s="424" t="str">
        <f t="shared" si="312"/>
        <v>DWMS</v>
      </c>
      <c r="G170" s="424"/>
      <c r="H170" s="424" t="str">
        <f t="shared" ref="H170:H176" si="319">H169</f>
        <v>Development</v>
      </c>
      <c r="I170" s="179"/>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80"/>
      <c r="BI170" s="203"/>
      <c r="BJ170" s="82">
        <f t="shared" si="313"/>
        <v>0</v>
      </c>
      <c r="BK170" s="82">
        <f t="shared" ref="BK170" si="320">BJ170*Scenario3AgileContingency</f>
        <v>0</v>
      </c>
      <c r="BL170" s="82">
        <f t="shared" si="315"/>
        <v>0</v>
      </c>
      <c r="BM170" s="127">
        <f t="shared" ref="BM170" si="321">SUM(BJ170:BL170)</f>
        <v>0</v>
      </c>
    </row>
    <row r="171" spans="1:66" s="75" customFormat="1" ht="11.25" x14ac:dyDescent="0.2">
      <c r="A171" s="212">
        <v>2</v>
      </c>
      <c r="B171" s="213" t="s">
        <v>697</v>
      </c>
      <c r="C171" s="456" t="s">
        <v>658</v>
      </c>
      <c r="D171" s="402" t="s">
        <v>687</v>
      </c>
      <c r="E171" s="423"/>
      <c r="F171" s="424" t="str">
        <f t="shared" si="312"/>
        <v>DWMS</v>
      </c>
      <c r="G171" s="424"/>
      <c r="H171" s="424" t="str">
        <f t="shared" si="319"/>
        <v>Development</v>
      </c>
      <c r="I171" s="179"/>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80"/>
      <c r="BI171" s="203"/>
      <c r="BJ171" s="82">
        <f t="shared" si="313"/>
        <v>0</v>
      </c>
      <c r="BK171" s="82">
        <f t="shared" ref="BK171" si="322">BJ171*Scenario3AgileContingency</f>
        <v>0</v>
      </c>
      <c r="BL171" s="82">
        <f t="shared" si="315"/>
        <v>0</v>
      </c>
      <c r="BM171" s="127">
        <f t="shared" ref="BM171" si="323">SUM(BJ171:BL171)</f>
        <v>0</v>
      </c>
    </row>
    <row r="172" spans="1:66" s="75" customFormat="1" ht="11.25" x14ac:dyDescent="0.2">
      <c r="A172" s="212">
        <v>2</v>
      </c>
      <c r="B172" s="213" t="s">
        <v>697</v>
      </c>
      <c r="C172" s="456" t="s">
        <v>635</v>
      </c>
      <c r="D172" s="402" t="s">
        <v>687</v>
      </c>
      <c r="E172" s="423"/>
      <c r="F172" s="424" t="str">
        <f>IFERROR(VLOOKUP(C172,MappingFromTTStoSU,2,FALSE),"SU Resource Role")</f>
        <v>DWMS</v>
      </c>
      <c r="G172" s="424"/>
      <c r="H172" s="424" t="str">
        <f>H171</f>
        <v>Development</v>
      </c>
      <c r="I172" s="179"/>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80"/>
      <c r="BI172" s="203"/>
      <c r="BJ172" s="82">
        <f t="shared" ref="BJ172" si="324">SUMIF(I$8:BH$8, "&lt;&gt;"&amp;AgileIteration_Warranty,I172:BH172)*5*Scenario3Utilisation</f>
        <v>0</v>
      </c>
      <c r="BK172" s="82">
        <f t="shared" ref="BK172" si="325">BJ172*Scenario3AgileContingency</f>
        <v>0</v>
      </c>
      <c r="BL172" s="82">
        <f t="shared" ref="BL172" si="326">IF(Scenario3Warranty=AgileWarrantyDefault, (SUMIF(I$8:BH$8,AgileIteration_Warranty,I172:BH172)*5*Scenario3Utilisation), (BJ172*Scenario3Warranty))</f>
        <v>0</v>
      </c>
      <c r="BM172" s="127">
        <f t="shared" ref="BM172" si="327">SUM(BJ172:BL172)</f>
        <v>0</v>
      </c>
    </row>
    <row r="173" spans="1:66" s="75" customFormat="1" ht="11.25" x14ac:dyDescent="0.2">
      <c r="A173" s="212">
        <v>2</v>
      </c>
      <c r="B173" s="213" t="s">
        <v>697</v>
      </c>
      <c r="C173" s="456" t="str">
        <f t="shared" ref="C173:C178" si="328">IFERROR(VLOOKUP(D173,MappingFromSetAgiletoTTSRole,2,FALSE),"SET Agile Resource Role")</f>
        <v>Software Developer</v>
      </c>
      <c r="D173" s="402" t="s">
        <v>687</v>
      </c>
      <c r="E173" s="423"/>
      <c r="F173" s="424" t="str">
        <f t="shared" si="312"/>
        <v>DWMS</v>
      </c>
      <c r="G173" s="424"/>
      <c r="H173" s="424" t="str">
        <f>H171</f>
        <v>Development</v>
      </c>
      <c r="I173" s="179"/>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80"/>
      <c r="BI173" s="203"/>
      <c r="BJ173" s="82">
        <f t="shared" si="313"/>
        <v>0</v>
      </c>
      <c r="BK173" s="82">
        <f t="shared" ref="BK173" si="329">BJ173*Scenario3AgileContingency</f>
        <v>0</v>
      </c>
      <c r="BL173" s="82">
        <f t="shared" si="315"/>
        <v>0</v>
      </c>
      <c r="BM173" s="127">
        <f t="shared" ref="BM173" si="330">SUM(BJ173:BL173)</f>
        <v>0</v>
      </c>
    </row>
    <row r="174" spans="1:66" s="75" customFormat="1" ht="11.25" x14ac:dyDescent="0.2">
      <c r="A174" s="212">
        <v>2</v>
      </c>
      <c r="B174" s="213" t="s">
        <v>697</v>
      </c>
      <c r="C174" s="456" t="str">
        <f t="shared" si="328"/>
        <v>Software Developer</v>
      </c>
      <c r="D174" s="402" t="s">
        <v>687</v>
      </c>
      <c r="E174" s="423"/>
      <c r="F174" s="424" t="str">
        <f>IFERROR(VLOOKUP(C174,MappingFromTTStoSU,2,FALSE),"SU Resource Role")</f>
        <v>DWMS</v>
      </c>
      <c r="G174" s="424"/>
      <c r="H174" s="424" t="str">
        <f>H173</f>
        <v>Development</v>
      </c>
      <c r="I174" s="179"/>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80"/>
      <c r="BI174" s="203"/>
      <c r="BJ174" s="82">
        <f t="shared" ref="BJ174" si="331">SUMIF(I$8:BH$8, "&lt;&gt;"&amp;AgileIteration_Warranty,I174:BH174)*5*Scenario3Utilisation</f>
        <v>0</v>
      </c>
      <c r="BK174" s="82">
        <f t="shared" ref="BK174" si="332">BJ174*Scenario3AgileContingency</f>
        <v>0</v>
      </c>
      <c r="BL174" s="82">
        <f t="shared" ref="BL174" si="333">IF(Scenario3Warranty=AgileWarrantyDefault, (SUMIF(I$8:BH$8,AgileIteration_Warranty,I174:BH174)*5*Scenario3Utilisation), (BJ174*Scenario3Warranty))</f>
        <v>0</v>
      </c>
      <c r="BM174" s="127">
        <f t="shared" ref="BM174" si="334">SUM(BJ174:BL174)</f>
        <v>0</v>
      </c>
    </row>
    <row r="175" spans="1:66" s="75" customFormat="1" ht="11.25" x14ac:dyDescent="0.2">
      <c r="A175" s="212">
        <v>2</v>
      </c>
      <c r="B175" s="213" t="s">
        <v>697</v>
      </c>
      <c r="C175" s="456" t="str">
        <f t="shared" si="328"/>
        <v>Software Developer</v>
      </c>
      <c r="D175" s="402" t="s">
        <v>687</v>
      </c>
      <c r="E175" s="423"/>
      <c r="F175" s="424" t="str">
        <f t="shared" si="312"/>
        <v>DWMS</v>
      </c>
      <c r="G175" s="424"/>
      <c r="H175" s="424" t="str">
        <f>H173</f>
        <v>Development</v>
      </c>
      <c r="I175" s="179"/>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80"/>
      <c r="BI175" s="203"/>
      <c r="BJ175" s="82">
        <f t="shared" si="313"/>
        <v>0</v>
      </c>
      <c r="BK175" s="82">
        <f t="shared" ref="BK175" si="335">BJ175*Scenario3AgileContingency</f>
        <v>0</v>
      </c>
      <c r="BL175" s="82">
        <f t="shared" si="315"/>
        <v>0</v>
      </c>
      <c r="BM175" s="127">
        <f t="shared" ref="BM175" si="336">SUM(BJ175:BL175)</f>
        <v>0</v>
      </c>
    </row>
    <row r="176" spans="1:66" s="75" customFormat="1" ht="11.25" x14ac:dyDescent="0.2">
      <c r="A176" s="212">
        <v>2</v>
      </c>
      <c r="B176" s="213" t="s">
        <v>697</v>
      </c>
      <c r="C176" s="456" t="s">
        <v>651</v>
      </c>
      <c r="D176" s="402" t="s">
        <v>688</v>
      </c>
      <c r="E176" s="423"/>
      <c r="F176" s="424" t="str">
        <f t="shared" si="312"/>
        <v>DWMS</v>
      </c>
      <c r="G176" s="424"/>
      <c r="H176" s="424" t="str">
        <f t="shared" si="319"/>
        <v>Development</v>
      </c>
      <c r="I176" s="179"/>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80"/>
      <c r="BI176" s="203"/>
      <c r="BJ176" s="82">
        <f t="shared" si="313"/>
        <v>0</v>
      </c>
      <c r="BK176" s="82">
        <f t="shared" ref="BK176" si="337">BJ176*Scenario3AgileContingency</f>
        <v>0</v>
      </c>
      <c r="BL176" s="82">
        <f t="shared" si="315"/>
        <v>0</v>
      </c>
      <c r="BM176" s="127">
        <f t="shared" ref="BM176" si="338">SUM(BJ176:BL176)</f>
        <v>0</v>
      </c>
    </row>
    <row r="177" spans="1:69" s="75" customFormat="1" ht="11.25" x14ac:dyDescent="0.2">
      <c r="A177" s="212">
        <v>2</v>
      </c>
      <c r="B177" s="213" t="s">
        <v>697</v>
      </c>
      <c r="C177" s="456" t="str">
        <f t="shared" si="328"/>
        <v>Test Consultant</v>
      </c>
      <c r="D177" s="402" t="s">
        <v>688</v>
      </c>
      <c r="E177" s="423"/>
      <c r="F177" s="424" t="str">
        <f>IFERROR(VLOOKUP(C177,MappingFromTTStoSU,2,FALSE),"SU Resource Role")</f>
        <v>DWMS</v>
      </c>
      <c r="G177" s="424"/>
      <c r="H177" s="424" t="str">
        <f>H176</f>
        <v>Development</v>
      </c>
      <c r="I177" s="179"/>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80"/>
      <c r="BI177" s="203"/>
      <c r="BJ177" s="82">
        <f t="shared" ref="BJ177" si="339">SUMIF(I$8:BH$8, "&lt;&gt;"&amp;AgileIteration_Warranty,I177:BH177)*5*Scenario3Utilisation</f>
        <v>0</v>
      </c>
      <c r="BK177" s="82">
        <f t="shared" ref="BK177" si="340">BJ177*Scenario3AgileContingency</f>
        <v>0</v>
      </c>
      <c r="BL177" s="82">
        <f t="shared" ref="BL177" si="341">IF(Scenario3Warranty=AgileWarrantyDefault, (SUMIF(I$8:BH$8,AgileIteration_Warranty,I177:BH177)*5*Scenario3Utilisation), (BJ177*Scenario3Warranty))</f>
        <v>0</v>
      </c>
      <c r="BM177" s="127">
        <f t="shared" ref="BM177" si="342">SUM(BJ177:BL177)</f>
        <v>0</v>
      </c>
    </row>
    <row r="178" spans="1:69" s="75" customFormat="1" ht="11.25" x14ac:dyDescent="0.2">
      <c r="A178" s="212">
        <v>2</v>
      </c>
      <c r="B178" s="213" t="s">
        <v>697</v>
      </c>
      <c r="C178" s="456" t="str">
        <f t="shared" si="328"/>
        <v>Test Consultant</v>
      </c>
      <c r="D178" s="402" t="s">
        <v>688</v>
      </c>
      <c r="E178" s="423"/>
      <c r="F178" s="424" t="str">
        <f t="shared" si="312"/>
        <v>DWMS</v>
      </c>
      <c r="G178" s="424"/>
      <c r="H178" s="424" t="str">
        <f>H176</f>
        <v>Development</v>
      </c>
      <c r="I178" s="179"/>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80"/>
      <c r="BI178" s="203"/>
      <c r="BJ178" s="82">
        <f t="shared" si="313"/>
        <v>0</v>
      </c>
      <c r="BK178" s="82">
        <f t="shared" ref="BK178" si="343">BJ178*Scenario3AgileContingency</f>
        <v>0</v>
      </c>
      <c r="BL178" s="82">
        <f t="shared" si="315"/>
        <v>0</v>
      </c>
      <c r="BM178" s="127">
        <f t="shared" ref="BM178" si="344">SUM(BJ178:BL178)</f>
        <v>0</v>
      </c>
    </row>
    <row r="179" spans="1:69" s="122" customFormat="1" ht="25.5" hidden="1" customHeight="1" x14ac:dyDescent="0.2">
      <c r="A179" s="120" t="s">
        <v>709</v>
      </c>
      <c r="B179" s="121"/>
      <c r="C179" s="285"/>
      <c r="D179" s="228"/>
      <c r="E179" s="395"/>
      <c r="H179" s="410"/>
      <c r="I179" s="178"/>
      <c r="J179" s="178"/>
      <c r="K179" s="178"/>
      <c r="L179" s="178"/>
      <c r="M179" s="178"/>
      <c r="N179" s="178"/>
      <c r="O179" s="178"/>
      <c r="P179" s="178"/>
      <c r="Q179" s="178"/>
      <c r="R179" s="178"/>
      <c r="S179" s="178"/>
      <c r="T179" s="178"/>
      <c r="U179" s="178"/>
      <c r="V179" s="178"/>
      <c r="W179" s="178"/>
      <c r="X179" s="178"/>
      <c r="Y179" s="178"/>
      <c r="Z179" s="178"/>
      <c r="AA179" s="178"/>
      <c r="AB179" s="178"/>
      <c r="AC179" s="178"/>
      <c r="AD179" s="178"/>
      <c r="AE179" s="178"/>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178"/>
      <c r="BI179" s="144" t="s">
        <v>710</v>
      </c>
      <c r="BJ179" s="192">
        <f>SUM(BJ12:BJ142)</f>
        <v>0</v>
      </c>
      <c r="BK179" s="192">
        <f>SUM(BK12:BK142)</f>
        <v>0</v>
      </c>
      <c r="BL179" s="192">
        <f>SUM(BL12:BL142)</f>
        <v>0</v>
      </c>
      <c r="BM179" s="126"/>
    </row>
    <row r="180" spans="1:69" s="152" customFormat="1" ht="11.25" x14ac:dyDescent="0.2">
      <c r="A180" s="120"/>
      <c r="B180" s="121"/>
      <c r="C180" s="285"/>
      <c r="D180" s="229"/>
      <c r="E180" s="230"/>
      <c r="F180" s="230"/>
      <c r="G180" s="230"/>
      <c r="H180" s="230"/>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231"/>
      <c r="BA180" s="231"/>
      <c r="BB180" s="231"/>
      <c r="BC180" s="231"/>
      <c r="BD180" s="231"/>
      <c r="BE180" s="231"/>
      <c r="BF180" s="231"/>
      <c r="BG180" s="231"/>
      <c r="BH180" s="232"/>
      <c r="BI180" s="197"/>
      <c r="BJ180" s="198"/>
      <c r="BK180" s="198"/>
      <c r="BL180" s="204"/>
      <c r="BM180" s="199"/>
    </row>
    <row r="181" spans="1:69" ht="11.25" customHeight="1" x14ac:dyDescent="0.25">
      <c r="D181" s="139" t="s">
        <v>711</v>
      </c>
      <c r="E181" s="151" t="s">
        <v>712</v>
      </c>
      <c r="F181" s="151"/>
      <c r="G181" s="151"/>
      <c r="H181" s="150"/>
      <c r="I181" s="189">
        <f t="shared" ref="I181:AN181" si="345">SUM(I12:I179)</f>
        <v>0</v>
      </c>
      <c r="J181" s="189">
        <f t="shared" si="345"/>
        <v>0</v>
      </c>
      <c r="K181" s="189">
        <f t="shared" si="345"/>
        <v>0</v>
      </c>
      <c r="L181" s="189">
        <f t="shared" si="345"/>
        <v>0</v>
      </c>
      <c r="M181" s="189">
        <f t="shared" si="345"/>
        <v>0</v>
      </c>
      <c r="N181" s="189">
        <f t="shared" si="345"/>
        <v>0</v>
      </c>
      <c r="O181" s="189">
        <f t="shared" si="345"/>
        <v>0</v>
      </c>
      <c r="P181" s="189">
        <f t="shared" si="345"/>
        <v>0</v>
      </c>
      <c r="Q181" s="189">
        <f t="shared" si="345"/>
        <v>0</v>
      </c>
      <c r="R181" s="189">
        <f t="shared" si="345"/>
        <v>0</v>
      </c>
      <c r="S181" s="189">
        <f t="shared" si="345"/>
        <v>0</v>
      </c>
      <c r="T181" s="189">
        <f t="shared" si="345"/>
        <v>0</v>
      </c>
      <c r="U181" s="189">
        <f t="shared" si="345"/>
        <v>0</v>
      </c>
      <c r="V181" s="189">
        <f t="shared" si="345"/>
        <v>0</v>
      </c>
      <c r="W181" s="189">
        <f t="shared" si="345"/>
        <v>0</v>
      </c>
      <c r="X181" s="189">
        <f t="shared" si="345"/>
        <v>0</v>
      </c>
      <c r="Y181" s="189">
        <f t="shared" si="345"/>
        <v>0</v>
      </c>
      <c r="Z181" s="189">
        <f t="shared" si="345"/>
        <v>0</v>
      </c>
      <c r="AA181" s="189">
        <f t="shared" si="345"/>
        <v>0</v>
      </c>
      <c r="AB181" s="189">
        <f t="shared" si="345"/>
        <v>0</v>
      </c>
      <c r="AC181" s="189">
        <f t="shared" si="345"/>
        <v>0</v>
      </c>
      <c r="AD181" s="189">
        <f t="shared" si="345"/>
        <v>0</v>
      </c>
      <c r="AE181" s="189">
        <f t="shared" si="345"/>
        <v>0</v>
      </c>
      <c r="AF181" s="189">
        <f t="shared" si="345"/>
        <v>0</v>
      </c>
      <c r="AG181" s="189">
        <f t="shared" si="345"/>
        <v>0</v>
      </c>
      <c r="AH181" s="189">
        <f t="shared" si="345"/>
        <v>0</v>
      </c>
      <c r="AI181" s="189">
        <f t="shared" si="345"/>
        <v>0</v>
      </c>
      <c r="AJ181" s="189">
        <f t="shared" si="345"/>
        <v>0</v>
      </c>
      <c r="AK181" s="189">
        <f t="shared" si="345"/>
        <v>0</v>
      </c>
      <c r="AL181" s="189">
        <f t="shared" si="345"/>
        <v>0</v>
      </c>
      <c r="AM181" s="189">
        <f t="shared" si="345"/>
        <v>0</v>
      </c>
      <c r="AN181" s="189">
        <f t="shared" si="345"/>
        <v>0</v>
      </c>
      <c r="AO181" s="189">
        <f t="shared" ref="AO181:BG181" si="346">SUM(AO12:AO179)</f>
        <v>0</v>
      </c>
      <c r="AP181" s="189">
        <f t="shared" si="346"/>
        <v>0</v>
      </c>
      <c r="AQ181" s="189">
        <f t="shared" si="346"/>
        <v>0</v>
      </c>
      <c r="AR181" s="189">
        <f t="shared" si="346"/>
        <v>0</v>
      </c>
      <c r="AS181" s="189">
        <f t="shared" si="346"/>
        <v>0</v>
      </c>
      <c r="AT181" s="189">
        <f t="shared" si="346"/>
        <v>0</v>
      </c>
      <c r="AU181" s="189">
        <f t="shared" si="346"/>
        <v>0</v>
      </c>
      <c r="AV181" s="189">
        <f t="shared" si="346"/>
        <v>0</v>
      </c>
      <c r="AW181" s="189">
        <f t="shared" si="346"/>
        <v>0</v>
      </c>
      <c r="AX181" s="189">
        <f t="shared" si="346"/>
        <v>0</v>
      </c>
      <c r="AY181" s="189">
        <f t="shared" si="346"/>
        <v>0</v>
      </c>
      <c r="AZ181" s="189">
        <f t="shared" si="346"/>
        <v>0</v>
      </c>
      <c r="BA181" s="189">
        <f t="shared" si="346"/>
        <v>0</v>
      </c>
      <c r="BB181" s="189">
        <f t="shared" si="346"/>
        <v>0</v>
      </c>
      <c r="BC181" s="189">
        <f t="shared" si="346"/>
        <v>0</v>
      </c>
      <c r="BD181" s="189">
        <f t="shared" si="346"/>
        <v>0</v>
      </c>
      <c r="BE181" s="189">
        <f t="shared" si="346"/>
        <v>0</v>
      </c>
      <c r="BF181" s="189">
        <f t="shared" si="346"/>
        <v>0</v>
      </c>
      <c r="BG181" s="189">
        <f t="shared" si="346"/>
        <v>0</v>
      </c>
      <c r="BH181" s="126"/>
      <c r="BI181" s="199"/>
      <c r="BJ181" s="683" t="s">
        <v>710</v>
      </c>
      <c r="BK181" s="685"/>
      <c r="BL181" s="79"/>
      <c r="BM181" s="79"/>
    </row>
    <row r="182" spans="1:69" ht="11.25" customHeight="1" x14ac:dyDescent="0.25">
      <c r="D182" s="139" t="s">
        <v>713</v>
      </c>
      <c r="E182" s="151" t="s">
        <v>732</v>
      </c>
      <c r="F182" s="151"/>
      <c r="G182" s="151"/>
      <c r="H182" s="150"/>
      <c r="I182" s="189">
        <f t="shared" ref="I182:AO182" si="347">IF(I$8= AgileIteration_Warranty,0,(I181*5*Scenario3Utilisation))</f>
        <v>0</v>
      </c>
      <c r="J182" s="189">
        <f t="shared" si="347"/>
        <v>0</v>
      </c>
      <c r="K182" s="189">
        <f t="shared" si="347"/>
        <v>0</v>
      </c>
      <c r="L182" s="189">
        <f t="shared" si="347"/>
        <v>0</v>
      </c>
      <c r="M182" s="189">
        <f t="shared" si="347"/>
        <v>0</v>
      </c>
      <c r="N182" s="189">
        <f t="shared" si="347"/>
        <v>0</v>
      </c>
      <c r="O182" s="189">
        <f t="shared" si="347"/>
        <v>0</v>
      </c>
      <c r="P182" s="189">
        <f t="shared" ref="P182" si="348">IF(P$8= AgileIteration_Warranty,0,(P181*5*Scenario3Utilisation))</f>
        <v>0</v>
      </c>
      <c r="Q182" s="189">
        <f t="shared" si="347"/>
        <v>0</v>
      </c>
      <c r="R182" s="189">
        <f t="shared" si="347"/>
        <v>0</v>
      </c>
      <c r="S182" s="189">
        <f t="shared" si="347"/>
        <v>0</v>
      </c>
      <c r="T182" s="189">
        <f t="shared" si="347"/>
        <v>0</v>
      </c>
      <c r="U182" s="189">
        <f t="shared" si="347"/>
        <v>0</v>
      </c>
      <c r="V182" s="189">
        <f t="shared" si="347"/>
        <v>0</v>
      </c>
      <c r="W182" s="189">
        <f t="shared" si="347"/>
        <v>0</v>
      </c>
      <c r="X182" s="189">
        <f t="shared" si="347"/>
        <v>0</v>
      </c>
      <c r="Y182" s="189">
        <f t="shared" si="347"/>
        <v>0</v>
      </c>
      <c r="Z182" s="189">
        <f t="shared" si="347"/>
        <v>0</v>
      </c>
      <c r="AA182" s="189">
        <f t="shared" si="347"/>
        <v>0</v>
      </c>
      <c r="AB182" s="189">
        <f t="shared" si="347"/>
        <v>0</v>
      </c>
      <c r="AC182" s="189">
        <f t="shared" si="347"/>
        <v>0</v>
      </c>
      <c r="AD182" s="189">
        <f t="shared" si="347"/>
        <v>0</v>
      </c>
      <c r="AE182" s="189">
        <f t="shared" si="347"/>
        <v>0</v>
      </c>
      <c r="AF182" s="189">
        <f t="shared" si="347"/>
        <v>0</v>
      </c>
      <c r="AG182" s="189">
        <f t="shared" si="347"/>
        <v>0</v>
      </c>
      <c r="AH182" s="189">
        <f t="shared" si="347"/>
        <v>0</v>
      </c>
      <c r="AI182" s="189">
        <f t="shared" si="347"/>
        <v>0</v>
      </c>
      <c r="AJ182" s="189">
        <f t="shared" si="347"/>
        <v>0</v>
      </c>
      <c r="AK182" s="189">
        <f t="shared" si="347"/>
        <v>0</v>
      </c>
      <c r="AL182" s="189">
        <f t="shared" si="347"/>
        <v>0</v>
      </c>
      <c r="AM182" s="189">
        <f t="shared" si="347"/>
        <v>0</v>
      </c>
      <c r="AN182" s="189">
        <f t="shared" si="347"/>
        <v>0</v>
      </c>
      <c r="AO182" s="189">
        <f t="shared" si="347"/>
        <v>0</v>
      </c>
      <c r="AP182" s="189">
        <f t="shared" ref="AP182:BG182" si="349">IF(AP$8= AgileIteration_Warranty,0,(AP181*5*Scenario3Utilisation))</f>
        <v>0</v>
      </c>
      <c r="AQ182" s="189">
        <f t="shared" si="349"/>
        <v>0</v>
      </c>
      <c r="AR182" s="189">
        <f t="shared" si="349"/>
        <v>0</v>
      </c>
      <c r="AS182" s="189">
        <f t="shared" si="349"/>
        <v>0</v>
      </c>
      <c r="AT182" s="189">
        <f t="shared" si="349"/>
        <v>0</v>
      </c>
      <c r="AU182" s="189">
        <f t="shared" si="349"/>
        <v>0</v>
      </c>
      <c r="AV182" s="189">
        <f t="shared" si="349"/>
        <v>0</v>
      </c>
      <c r="AW182" s="189">
        <f t="shared" si="349"/>
        <v>0</v>
      </c>
      <c r="AX182" s="189">
        <f t="shared" si="349"/>
        <v>0</v>
      </c>
      <c r="AY182" s="189">
        <f t="shared" si="349"/>
        <v>0</v>
      </c>
      <c r="AZ182" s="189">
        <f t="shared" si="349"/>
        <v>0</v>
      </c>
      <c r="BA182" s="189">
        <f t="shared" si="349"/>
        <v>0</v>
      </c>
      <c r="BB182" s="189">
        <f t="shared" si="349"/>
        <v>0</v>
      </c>
      <c r="BC182" s="189">
        <f t="shared" si="349"/>
        <v>0</v>
      </c>
      <c r="BD182" s="189">
        <f t="shared" si="349"/>
        <v>0</v>
      </c>
      <c r="BE182" s="189">
        <f t="shared" si="349"/>
        <v>0</v>
      </c>
      <c r="BF182" s="189">
        <f t="shared" si="349"/>
        <v>0</v>
      </c>
      <c r="BG182" s="189">
        <f t="shared" si="349"/>
        <v>0</v>
      </c>
      <c r="BH182" s="126"/>
      <c r="BI182" s="199"/>
      <c r="BJ182" s="151" t="str">
        <f>E182</f>
        <v xml:space="preserve"> Person-Days</v>
      </c>
      <c r="BK182" s="191">
        <f>SUM(I182:BH182)</f>
        <v>0</v>
      </c>
    </row>
    <row r="183" spans="1:69" s="270" customFormat="1" hidden="1" x14ac:dyDescent="0.25">
      <c r="A183" s="120"/>
      <c r="B183" s="146"/>
      <c r="C183" s="282"/>
      <c r="D183" s="21"/>
      <c r="E183" s="266" t="s">
        <v>562</v>
      </c>
      <c r="F183" s="266"/>
      <c r="G183" s="266"/>
      <c r="H183" s="267"/>
      <c r="I183" s="268">
        <f t="shared" ref="I183" si="350">I182*Scenario3AgileContingency</f>
        <v>0</v>
      </c>
      <c r="J183" s="268">
        <f t="shared" ref="J183:BG183" si="351">J182*Scenario3AgileContingency</f>
        <v>0</v>
      </c>
      <c r="K183" s="268">
        <f t="shared" si="351"/>
        <v>0</v>
      </c>
      <c r="L183" s="268">
        <f t="shared" si="351"/>
        <v>0</v>
      </c>
      <c r="M183" s="268">
        <f t="shared" si="351"/>
        <v>0</v>
      </c>
      <c r="N183" s="268">
        <f t="shared" si="351"/>
        <v>0</v>
      </c>
      <c r="O183" s="268">
        <f t="shared" si="351"/>
        <v>0</v>
      </c>
      <c r="P183" s="268">
        <f t="shared" ref="P183" si="352">P182*Scenario3AgileContingency</f>
        <v>0</v>
      </c>
      <c r="Q183" s="268">
        <f t="shared" si="351"/>
        <v>0</v>
      </c>
      <c r="R183" s="268">
        <f t="shared" si="351"/>
        <v>0</v>
      </c>
      <c r="S183" s="268">
        <f t="shared" si="351"/>
        <v>0</v>
      </c>
      <c r="T183" s="268">
        <f t="shared" si="351"/>
        <v>0</v>
      </c>
      <c r="U183" s="268">
        <f t="shared" si="351"/>
        <v>0</v>
      </c>
      <c r="V183" s="268">
        <f t="shared" si="351"/>
        <v>0</v>
      </c>
      <c r="W183" s="268">
        <f t="shared" si="351"/>
        <v>0</v>
      </c>
      <c r="X183" s="268">
        <f t="shared" si="351"/>
        <v>0</v>
      </c>
      <c r="Y183" s="268">
        <f t="shared" si="351"/>
        <v>0</v>
      </c>
      <c r="Z183" s="268">
        <f t="shared" si="351"/>
        <v>0</v>
      </c>
      <c r="AA183" s="268">
        <f t="shared" si="351"/>
        <v>0</v>
      </c>
      <c r="AB183" s="268">
        <f t="shared" si="351"/>
        <v>0</v>
      </c>
      <c r="AC183" s="268">
        <f t="shared" si="351"/>
        <v>0</v>
      </c>
      <c r="AD183" s="268">
        <f t="shared" si="351"/>
        <v>0</v>
      </c>
      <c r="AE183" s="268">
        <f t="shared" si="351"/>
        <v>0</v>
      </c>
      <c r="AF183" s="268">
        <f t="shared" si="351"/>
        <v>0</v>
      </c>
      <c r="AG183" s="268">
        <f t="shared" si="351"/>
        <v>0</v>
      </c>
      <c r="AH183" s="268">
        <f t="shared" si="351"/>
        <v>0</v>
      </c>
      <c r="AI183" s="268">
        <f t="shared" si="351"/>
        <v>0</v>
      </c>
      <c r="AJ183" s="268">
        <f t="shared" si="351"/>
        <v>0</v>
      </c>
      <c r="AK183" s="268">
        <f t="shared" si="351"/>
        <v>0</v>
      </c>
      <c r="AL183" s="268">
        <f t="shared" si="351"/>
        <v>0</v>
      </c>
      <c r="AM183" s="268">
        <f t="shared" si="351"/>
        <v>0</v>
      </c>
      <c r="AN183" s="268">
        <f t="shared" si="351"/>
        <v>0</v>
      </c>
      <c r="AO183" s="268">
        <f t="shared" si="351"/>
        <v>0</v>
      </c>
      <c r="AP183" s="268">
        <f t="shared" si="351"/>
        <v>0</v>
      </c>
      <c r="AQ183" s="268">
        <f t="shared" si="351"/>
        <v>0</v>
      </c>
      <c r="AR183" s="268">
        <f t="shared" si="351"/>
        <v>0</v>
      </c>
      <c r="AS183" s="268">
        <f t="shared" si="351"/>
        <v>0</v>
      </c>
      <c r="AT183" s="268">
        <f t="shared" si="351"/>
        <v>0</v>
      </c>
      <c r="AU183" s="268">
        <f t="shared" si="351"/>
        <v>0</v>
      </c>
      <c r="AV183" s="268">
        <f t="shared" si="351"/>
        <v>0</v>
      </c>
      <c r="AW183" s="268">
        <f t="shared" si="351"/>
        <v>0</v>
      </c>
      <c r="AX183" s="268">
        <f t="shared" si="351"/>
        <v>0</v>
      </c>
      <c r="AY183" s="268">
        <f t="shared" si="351"/>
        <v>0</v>
      </c>
      <c r="AZ183" s="268">
        <f t="shared" si="351"/>
        <v>0</v>
      </c>
      <c r="BA183" s="268">
        <f t="shared" si="351"/>
        <v>0</v>
      </c>
      <c r="BB183" s="268">
        <f t="shared" si="351"/>
        <v>0</v>
      </c>
      <c r="BC183" s="268">
        <f t="shared" si="351"/>
        <v>0</v>
      </c>
      <c r="BD183" s="268">
        <f t="shared" si="351"/>
        <v>0</v>
      </c>
      <c r="BE183" s="268">
        <f t="shared" si="351"/>
        <v>0</v>
      </c>
      <c r="BF183" s="268">
        <f t="shared" si="351"/>
        <v>0</v>
      </c>
      <c r="BG183" s="268">
        <f t="shared" si="351"/>
        <v>0</v>
      </c>
      <c r="BH183" s="126"/>
      <c r="BI183" s="126"/>
      <c r="BJ183" s="266"/>
      <c r="BK183" s="269"/>
      <c r="BN183" s="271"/>
      <c r="BO183" s="271"/>
      <c r="BP183" s="271"/>
      <c r="BQ183" s="271"/>
    </row>
    <row r="184" spans="1:69" s="270" customFormat="1" ht="14.25" hidden="1" customHeight="1" x14ac:dyDescent="0.25">
      <c r="A184" s="120"/>
      <c r="B184" s="146"/>
      <c r="C184" s="282"/>
      <c r="D184" s="21"/>
      <c r="E184" s="266" t="s">
        <v>563</v>
      </c>
      <c r="F184" s="266"/>
      <c r="G184" s="266"/>
      <c r="H184" s="267"/>
      <c r="I184" s="268">
        <f t="shared" ref="I184:AO184" si="353">IF(Scenario3Warranty=AgileWarrantyDefault,(IF(I$8=AgileIteration_Warranty,(I181*5*Scenario3Utilisation),0)),(IF(I$8=AgileIteration_Warranty,0,(I182*Scenario3Warranty))))</f>
        <v>0</v>
      </c>
      <c r="J184" s="268">
        <f t="shared" si="353"/>
        <v>0</v>
      </c>
      <c r="K184" s="268">
        <f t="shared" si="353"/>
        <v>0</v>
      </c>
      <c r="L184" s="268">
        <f t="shared" si="353"/>
        <v>0</v>
      </c>
      <c r="M184" s="268">
        <f t="shared" si="353"/>
        <v>0</v>
      </c>
      <c r="N184" s="268">
        <f t="shared" si="353"/>
        <v>0</v>
      </c>
      <c r="O184" s="268">
        <f t="shared" si="353"/>
        <v>0</v>
      </c>
      <c r="P184" s="268">
        <f t="shared" ref="P184" si="354">IF(Scenario3Warranty=AgileWarrantyDefault,(IF(P$8=AgileIteration_Warranty,(P181*5*Scenario3Utilisation),0)),(IF(P$8=AgileIteration_Warranty,0,(P182*Scenario3Warranty))))</f>
        <v>0</v>
      </c>
      <c r="Q184" s="268">
        <f t="shared" si="353"/>
        <v>0</v>
      </c>
      <c r="R184" s="268">
        <f t="shared" si="353"/>
        <v>0</v>
      </c>
      <c r="S184" s="268">
        <f t="shared" si="353"/>
        <v>0</v>
      </c>
      <c r="T184" s="268">
        <f t="shared" si="353"/>
        <v>0</v>
      </c>
      <c r="U184" s="268">
        <f t="shared" si="353"/>
        <v>0</v>
      </c>
      <c r="V184" s="268">
        <f t="shared" si="353"/>
        <v>0</v>
      </c>
      <c r="W184" s="268">
        <f t="shared" si="353"/>
        <v>0</v>
      </c>
      <c r="X184" s="268">
        <f t="shared" si="353"/>
        <v>0</v>
      </c>
      <c r="Y184" s="268">
        <f t="shared" si="353"/>
        <v>0</v>
      </c>
      <c r="Z184" s="268">
        <f t="shared" si="353"/>
        <v>0</v>
      </c>
      <c r="AA184" s="268">
        <f t="shared" si="353"/>
        <v>0</v>
      </c>
      <c r="AB184" s="268">
        <f t="shared" si="353"/>
        <v>0</v>
      </c>
      <c r="AC184" s="268">
        <f t="shared" si="353"/>
        <v>0</v>
      </c>
      <c r="AD184" s="268">
        <f t="shared" si="353"/>
        <v>0</v>
      </c>
      <c r="AE184" s="268">
        <f t="shared" si="353"/>
        <v>0</v>
      </c>
      <c r="AF184" s="268">
        <f t="shared" si="353"/>
        <v>0</v>
      </c>
      <c r="AG184" s="268">
        <f t="shared" si="353"/>
        <v>0</v>
      </c>
      <c r="AH184" s="268">
        <f t="shared" si="353"/>
        <v>0</v>
      </c>
      <c r="AI184" s="268">
        <f t="shared" si="353"/>
        <v>0</v>
      </c>
      <c r="AJ184" s="268">
        <f t="shared" si="353"/>
        <v>0</v>
      </c>
      <c r="AK184" s="268">
        <f t="shared" si="353"/>
        <v>0</v>
      </c>
      <c r="AL184" s="268">
        <f t="shared" si="353"/>
        <v>0</v>
      </c>
      <c r="AM184" s="268">
        <f t="shared" si="353"/>
        <v>0</v>
      </c>
      <c r="AN184" s="268">
        <f t="shared" si="353"/>
        <v>0</v>
      </c>
      <c r="AO184" s="268">
        <f t="shared" si="353"/>
        <v>0</v>
      </c>
      <c r="AP184" s="268">
        <f t="shared" ref="AP184:BG184" si="355">IF(Scenario3Warranty=AgileWarrantyDefault,(IF(AP$8=AgileIteration_Warranty,(AP181*5*Scenario3Utilisation),0)),(IF(AP$8=AgileIteration_Warranty,0,(AP182*Scenario3Warranty))))</f>
        <v>0</v>
      </c>
      <c r="AQ184" s="268">
        <f t="shared" si="355"/>
        <v>0</v>
      </c>
      <c r="AR184" s="268">
        <f t="shared" si="355"/>
        <v>0</v>
      </c>
      <c r="AS184" s="268">
        <f t="shared" si="355"/>
        <v>0</v>
      </c>
      <c r="AT184" s="268">
        <f t="shared" si="355"/>
        <v>0</v>
      </c>
      <c r="AU184" s="268">
        <f t="shared" si="355"/>
        <v>0</v>
      </c>
      <c r="AV184" s="268">
        <f t="shared" si="355"/>
        <v>0</v>
      </c>
      <c r="AW184" s="268">
        <f t="shared" si="355"/>
        <v>0</v>
      </c>
      <c r="AX184" s="268">
        <f t="shared" si="355"/>
        <v>0</v>
      </c>
      <c r="AY184" s="268">
        <f t="shared" si="355"/>
        <v>0</v>
      </c>
      <c r="AZ184" s="268">
        <f t="shared" si="355"/>
        <v>0</v>
      </c>
      <c r="BA184" s="268">
        <f t="shared" si="355"/>
        <v>0</v>
      </c>
      <c r="BB184" s="268">
        <f t="shared" si="355"/>
        <v>0</v>
      </c>
      <c r="BC184" s="268">
        <f t="shared" si="355"/>
        <v>0</v>
      </c>
      <c r="BD184" s="268">
        <f t="shared" si="355"/>
        <v>0</v>
      </c>
      <c r="BE184" s="268">
        <f t="shared" si="355"/>
        <v>0</v>
      </c>
      <c r="BF184" s="268">
        <f t="shared" si="355"/>
        <v>0</v>
      </c>
      <c r="BG184" s="268">
        <f t="shared" si="355"/>
        <v>0</v>
      </c>
      <c r="BH184" s="126"/>
      <c r="BI184" s="126"/>
      <c r="BJ184" s="266"/>
      <c r="BK184" s="269"/>
      <c r="BN184" s="271"/>
      <c r="BO184" s="271"/>
      <c r="BP184" s="271"/>
      <c r="BQ184" s="271"/>
    </row>
    <row r="185" spans="1:69" ht="11.25" customHeight="1" x14ac:dyDescent="0.25">
      <c r="D185" s="140"/>
      <c r="E185" s="151" t="s">
        <v>96</v>
      </c>
      <c r="F185" s="151"/>
      <c r="G185" s="151"/>
      <c r="H185" s="150"/>
      <c r="I185" s="189">
        <f t="shared" ref="I185:AN185" si="356">IF( I$8=AgileIteration_Dev, SUMIFS( I12:I179, $B12:$B179, "scrum", $D12:$D179, ScrumRoleScrumDeveloper ), 0 )*5*Scenario3AgileDeveloperCUTCapacity*Scenario3Utilisation</f>
        <v>0</v>
      </c>
      <c r="J185" s="189">
        <f t="shared" si="356"/>
        <v>0</v>
      </c>
      <c r="K185" s="189">
        <f t="shared" si="356"/>
        <v>0</v>
      </c>
      <c r="L185" s="189">
        <f t="shared" si="356"/>
        <v>0</v>
      </c>
      <c r="M185" s="189">
        <f t="shared" si="356"/>
        <v>0</v>
      </c>
      <c r="N185" s="189">
        <f t="shared" si="356"/>
        <v>0</v>
      </c>
      <c r="O185" s="189">
        <f t="shared" si="356"/>
        <v>0</v>
      </c>
      <c r="P185" s="189">
        <f t="shared" si="356"/>
        <v>0</v>
      </c>
      <c r="Q185" s="189">
        <f t="shared" si="356"/>
        <v>0</v>
      </c>
      <c r="R185" s="189">
        <f t="shared" si="356"/>
        <v>0</v>
      </c>
      <c r="S185" s="189">
        <f t="shared" si="356"/>
        <v>0</v>
      </c>
      <c r="T185" s="189">
        <f t="shared" si="356"/>
        <v>0</v>
      </c>
      <c r="U185" s="189">
        <f t="shared" si="356"/>
        <v>0</v>
      </c>
      <c r="V185" s="189">
        <f t="shared" si="356"/>
        <v>0</v>
      </c>
      <c r="W185" s="189">
        <f t="shared" si="356"/>
        <v>0</v>
      </c>
      <c r="X185" s="189">
        <f t="shared" si="356"/>
        <v>0</v>
      </c>
      <c r="Y185" s="189">
        <f t="shared" si="356"/>
        <v>0</v>
      </c>
      <c r="Z185" s="189">
        <f t="shared" si="356"/>
        <v>0</v>
      </c>
      <c r="AA185" s="189">
        <f t="shared" si="356"/>
        <v>0</v>
      </c>
      <c r="AB185" s="189">
        <f t="shared" si="356"/>
        <v>0</v>
      </c>
      <c r="AC185" s="189">
        <f t="shared" si="356"/>
        <v>0</v>
      </c>
      <c r="AD185" s="189">
        <f t="shared" si="356"/>
        <v>0</v>
      </c>
      <c r="AE185" s="189">
        <f t="shared" si="356"/>
        <v>0</v>
      </c>
      <c r="AF185" s="189">
        <f t="shared" si="356"/>
        <v>0</v>
      </c>
      <c r="AG185" s="189">
        <f t="shared" si="356"/>
        <v>0</v>
      </c>
      <c r="AH185" s="189">
        <f t="shared" si="356"/>
        <v>0</v>
      </c>
      <c r="AI185" s="189">
        <f t="shared" si="356"/>
        <v>0</v>
      </c>
      <c r="AJ185" s="189">
        <f t="shared" si="356"/>
        <v>0</v>
      </c>
      <c r="AK185" s="189">
        <f t="shared" si="356"/>
        <v>0</v>
      </c>
      <c r="AL185" s="189">
        <f t="shared" si="356"/>
        <v>0</v>
      </c>
      <c r="AM185" s="189">
        <f t="shared" si="356"/>
        <v>0</v>
      </c>
      <c r="AN185" s="189">
        <f t="shared" si="356"/>
        <v>0</v>
      </c>
      <c r="AO185" s="189">
        <f t="shared" ref="AO185:BG185" si="357">IF( AO$8=AgileIteration_Dev, SUMIFS( AO12:AO179, $B12:$B179, "scrum", $D12:$D179, ScrumRoleScrumDeveloper ), 0 )*5*Scenario3AgileDeveloperCUTCapacity*Scenario3Utilisation</f>
        <v>0</v>
      </c>
      <c r="AP185" s="189">
        <f t="shared" si="357"/>
        <v>0</v>
      </c>
      <c r="AQ185" s="189">
        <f t="shared" si="357"/>
        <v>0</v>
      </c>
      <c r="AR185" s="189">
        <f t="shared" si="357"/>
        <v>0</v>
      </c>
      <c r="AS185" s="189">
        <f t="shared" si="357"/>
        <v>0</v>
      </c>
      <c r="AT185" s="189">
        <f t="shared" si="357"/>
        <v>0</v>
      </c>
      <c r="AU185" s="189">
        <f t="shared" si="357"/>
        <v>0</v>
      </c>
      <c r="AV185" s="189">
        <f t="shared" si="357"/>
        <v>0</v>
      </c>
      <c r="AW185" s="189">
        <f t="shared" si="357"/>
        <v>0</v>
      </c>
      <c r="AX185" s="189">
        <f t="shared" si="357"/>
        <v>0</v>
      </c>
      <c r="AY185" s="189">
        <f t="shared" si="357"/>
        <v>0</v>
      </c>
      <c r="AZ185" s="189">
        <f t="shared" si="357"/>
        <v>0</v>
      </c>
      <c r="BA185" s="189">
        <f t="shared" si="357"/>
        <v>0</v>
      </c>
      <c r="BB185" s="189">
        <f t="shared" si="357"/>
        <v>0</v>
      </c>
      <c r="BC185" s="189">
        <f t="shared" si="357"/>
        <v>0</v>
      </c>
      <c r="BD185" s="189">
        <f t="shared" si="357"/>
        <v>0</v>
      </c>
      <c r="BE185" s="189">
        <f t="shared" si="357"/>
        <v>0</v>
      </c>
      <c r="BF185" s="189">
        <f t="shared" si="357"/>
        <v>0</v>
      </c>
      <c r="BG185" s="189">
        <f t="shared" si="357"/>
        <v>0</v>
      </c>
      <c r="BH185" s="126"/>
      <c r="BI185" s="199"/>
      <c r="BJ185" s="151" t="str">
        <f>E183</f>
        <v>Contingency</v>
      </c>
      <c r="BK185" s="191">
        <f>SUM(I183:BH183)</f>
        <v>0</v>
      </c>
    </row>
    <row r="186" spans="1:69" ht="11.25" customHeight="1" x14ac:dyDescent="0.25">
      <c r="D186" s="3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I186" s="187"/>
      <c r="BJ186" s="151" t="str">
        <f>E184</f>
        <v>Warranty</v>
      </c>
      <c r="BK186" s="191">
        <f>SUM(I184:BH184)</f>
        <v>0</v>
      </c>
    </row>
    <row r="187" spans="1:69" ht="11.25" customHeight="1" x14ac:dyDescent="0.25">
      <c r="D187" s="119" t="s">
        <v>715</v>
      </c>
      <c r="E187" s="119" t="str">
        <f>ScrumRoleProductOwner</f>
        <v>Product Owners</v>
      </c>
      <c r="F187" s="119"/>
      <c r="G187" s="119"/>
      <c r="H187" s="119"/>
      <c r="I187" s="190">
        <f t="shared" ref="I187:AN187" si="358">SUMIF($D12:$D180,ScrumRoleProductOwner,I12:I180)</f>
        <v>0</v>
      </c>
      <c r="J187" s="190">
        <f t="shared" si="358"/>
        <v>0</v>
      </c>
      <c r="K187" s="190">
        <f t="shared" si="358"/>
        <v>0</v>
      </c>
      <c r="L187" s="190">
        <f t="shared" si="358"/>
        <v>0</v>
      </c>
      <c r="M187" s="190">
        <f t="shared" si="358"/>
        <v>0</v>
      </c>
      <c r="N187" s="190">
        <f t="shared" si="358"/>
        <v>0</v>
      </c>
      <c r="O187" s="190">
        <f t="shared" si="358"/>
        <v>0</v>
      </c>
      <c r="P187" s="190">
        <f t="shared" si="358"/>
        <v>0</v>
      </c>
      <c r="Q187" s="190">
        <f t="shared" si="358"/>
        <v>0</v>
      </c>
      <c r="R187" s="190">
        <f t="shared" si="358"/>
        <v>0</v>
      </c>
      <c r="S187" s="190">
        <f t="shared" si="358"/>
        <v>0</v>
      </c>
      <c r="T187" s="190">
        <f t="shared" si="358"/>
        <v>0</v>
      </c>
      <c r="U187" s="190">
        <f t="shared" si="358"/>
        <v>0</v>
      </c>
      <c r="V187" s="190">
        <f t="shared" si="358"/>
        <v>0</v>
      </c>
      <c r="W187" s="190">
        <f t="shared" si="358"/>
        <v>0</v>
      </c>
      <c r="X187" s="190">
        <f t="shared" si="358"/>
        <v>0</v>
      </c>
      <c r="Y187" s="190">
        <f t="shared" si="358"/>
        <v>0</v>
      </c>
      <c r="Z187" s="190">
        <f t="shared" si="358"/>
        <v>0</v>
      </c>
      <c r="AA187" s="190">
        <f t="shared" si="358"/>
        <v>0</v>
      </c>
      <c r="AB187" s="190">
        <f t="shared" si="358"/>
        <v>0</v>
      </c>
      <c r="AC187" s="190">
        <f t="shared" si="358"/>
        <v>0</v>
      </c>
      <c r="AD187" s="190">
        <f t="shared" si="358"/>
        <v>0</v>
      </c>
      <c r="AE187" s="190">
        <f t="shared" si="358"/>
        <v>0</v>
      </c>
      <c r="AF187" s="190">
        <f t="shared" si="358"/>
        <v>0</v>
      </c>
      <c r="AG187" s="190">
        <f t="shared" si="358"/>
        <v>0</v>
      </c>
      <c r="AH187" s="190">
        <f t="shared" si="358"/>
        <v>0</v>
      </c>
      <c r="AI187" s="190">
        <f t="shared" si="358"/>
        <v>0</v>
      </c>
      <c r="AJ187" s="190">
        <f t="shared" si="358"/>
        <v>0</v>
      </c>
      <c r="AK187" s="190">
        <f t="shared" si="358"/>
        <v>0</v>
      </c>
      <c r="AL187" s="190">
        <f t="shared" si="358"/>
        <v>0</v>
      </c>
      <c r="AM187" s="190">
        <f t="shared" si="358"/>
        <v>0</v>
      </c>
      <c r="AN187" s="190">
        <f t="shared" si="358"/>
        <v>0</v>
      </c>
      <c r="AO187" s="190">
        <f t="shared" ref="AO187:BG187" si="359">SUMIF($D12:$D180,ScrumRoleProductOwner,AO12:AO180)</f>
        <v>0</v>
      </c>
      <c r="AP187" s="190">
        <f t="shared" si="359"/>
        <v>0</v>
      </c>
      <c r="AQ187" s="190">
        <f t="shared" si="359"/>
        <v>0</v>
      </c>
      <c r="AR187" s="190">
        <f t="shared" si="359"/>
        <v>0</v>
      </c>
      <c r="AS187" s="190">
        <f t="shared" si="359"/>
        <v>0</v>
      </c>
      <c r="AT187" s="190">
        <f t="shared" si="359"/>
        <v>0</v>
      </c>
      <c r="AU187" s="190">
        <f t="shared" si="359"/>
        <v>0</v>
      </c>
      <c r="AV187" s="190">
        <f t="shared" si="359"/>
        <v>0</v>
      </c>
      <c r="AW187" s="190">
        <f t="shared" si="359"/>
        <v>0</v>
      </c>
      <c r="AX187" s="190">
        <f t="shared" si="359"/>
        <v>0</v>
      </c>
      <c r="AY187" s="190">
        <f t="shared" si="359"/>
        <v>0</v>
      </c>
      <c r="AZ187" s="190">
        <f t="shared" si="359"/>
        <v>0</v>
      </c>
      <c r="BA187" s="190">
        <f t="shared" si="359"/>
        <v>0</v>
      </c>
      <c r="BB187" s="190">
        <f t="shared" si="359"/>
        <v>0</v>
      </c>
      <c r="BC187" s="190">
        <f t="shared" si="359"/>
        <v>0</v>
      </c>
      <c r="BD187" s="190">
        <f t="shared" si="359"/>
        <v>0</v>
      </c>
      <c r="BE187" s="190">
        <f t="shared" si="359"/>
        <v>0</v>
      </c>
      <c r="BF187" s="190">
        <f t="shared" si="359"/>
        <v>0</v>
      </c>
      <c r="BG187" s="190">
        <f t="shared" si="359"/>
        <v>0</v>
      </c>
      <c r="BH187" s="130"/>
      <c r="BI187" s="187"/>
      <c r="BJ187" s="151"/>
      <c r="BK187" s="131"/>
    </row>
    <row r="188" spans="1:69" ht="11.25" customHeight="1" x14ac:dyDescent="0.25">
      <c r="D188" s="119" t="s">
        <v>713</v>
      </c>
      <c r="E188" s="119" t="str">
        <f>ScrumRoleScrumMaster</f>
        <v>Scrum Masters</v>
      </c>
      <c r="F188" s="119"/>
      <c r="G188" s="119"/>
      <c r="H188" s="119"/>
      <c r="I188" s="190">
        <f t="shared" ref="I188:AN188" si="360">SUMIF($D12:$D180,ScrumRoleScrumMaster,I12:I180)</f>
        <v>0</v>
      </c>
      <c r="J188" s="190">
        <f t="shared" si="360"/>
        <v>0</v>
      </c>
      <c r="K188" s="190">
        <f t="shared" si="360"/>
        <v>0</v>
      </c>
      <c r="L188" s="190">
        <f t="shared" si="360"/>
        <v>0</v>
      </c>
      <c r="M188" s="190">
        <f t="shared" si="360"/>
        <v>0</v>
      </c>
      <c r="N188" s="190">
        <f t="shared" si="360"/>
        <v>0</v>
      </c>
      <c r="O188" s="190">
        <f t="shared" si="360"/>
        <v>0</v>
      </c>
      <c r="P188" s="190">
        <f t="shared" si="360"/>
        <v>0</v>
      </c>
      <c r="Q188" s="190">
        <f t="shared" si="360"/>
        <v>0</v>
      </c>
      <c r="R188" s="190">
        <f t="shared" si="360"/>
        <v>0</v>
      </c>
      <c r="S188" s="190">
        <f t="shared" si="360"/>
        <v>0</v>
      </c>
      <c r="T188" s="190">
        <f t="shared" si="360"/>
        <v>0</v>
      </c>
      <c r="U188" s="190">
        <f t="shared" si="360"/>
        <v>0</v>
      </c>
      <c r="V188" s="190">
        <f t="shared" si="360"/>
        <v>0</v>
      </c>
      <c r="W188" s="190">
        <f t="shared" si="360"/>
        <v>0</v>
      </c>
      <c r="X188" s="190">
        <f t="shared" si="360"/>
        <v>0</v>
      </c>
      <c r="Y188" s="190">
        <f t="shared" si="360"/>
        <v>0</v>
      </c>
      <c r="Z188" s="190">
        <f t="shared" si="360"/>
        <v>0</v>
      </c>
      <c r="AA188" s="190">
        <f t="shared" si="360"/>
        <v>0</v>
      </c>
      <c r="AB188" s="190">
        <f t="shared" si="360"/>
        <v>0</v>
      </c>
      <c r="AC188" s="190">
        <f t="shared" si="360"/>
        <v>0</v>
      </c>
      <c r="AD188" s="190">
        <f t="shared" si="360"/>
        <v>0</v>
      </c>
      <c r="AE188" s="190">
        <f t="shared" si="360"/>
        <v>0</v>
      </c>
      <c r="AF188" s="190">
        <f t="shared" si="360"/>
        <v>0</v>
      </c>
      <c r="AG188" s="190">
        <f t="shared" si="360"/>
        <v>0</v>
      </c>
      <c r="AH188" s="190">
        <f t="shared" si="360"/>
        <v>0</v>
      </c>
      <c r="AI188" s="190">
        <f t="shared" si="360"/>
        <v>0</v>
      </c>
      <c r="AJ188" s="190">
        <f t="shared" si="360"/>
        <v>0</v>
      </c>
      <c r="AK188" s="190">
        <f t="shared" si="360"/>
        <v>0</v>
      </c>
      <c r="AL188" s="190">
        <f t="shared" si="360"/>
        <v>0</v>
      </c>
      <c r="AM188" s="190">
        <f t="shared" si="360"/>
        <v>0</v>
      </c>
      <c r="AN188" s="190">
        <f t="shared" si="360"/>
        <v>0</v>
      </c>
      <c r="AO188" s="190">
        <f t="shared" ref="AO188:BG188" si="361">SUMIF($D12:$D180,ScrumRoleScrumMaster,AO12:AO180)</f>
        <v>0</v>
      </c>
      <c r="AP188" s="190">
        <f t="shared" si="361"/>
        <v>0</v>
      </c>
      <c r="AQ188" s="190">
        <f t="shared" si="361"/>
        <v>0</v>
      </c>
      <c r="AR188" s="190">
        <f t="shared" si="361"/>
        <v>0</v>
      </c>
      <c r="AS188" s="190">
        <f t="shared" si="361"/>
        <v>0</v>
      </c>
      <c r="AT188" s="190">
        <f t="shared" si="361"/>
        <v>0</v>
      </c>
      <c r="AU188" s="190">
        <f t="shared" si="361"/>
        <v>0</v>
      </c>
      <c r="AV188" s="190">
        <f t="shared" si="361"/>
        <v>0</v>
      </c>
      <c r="AW188" s="190">
        <f t="shared" si="361"/>
        <v>0</v>
      </c>
      <c r="AX188" s="190">
        <f t="shared" si="361"/>
        <v>0</v>
      </c>
      <c r="AY188" s="190">
        <f t="shared" si="361"/>
        <v>0</v>
      </c>
      <c r="AZ188" s="190">
        <f t="shared" si="361"/>
        <v>0</v>
      </c>
      <c r="BA188" s="190">
        <f t="shared" si="361"/>
        <v>0</v>
      </c>
      <c r="BB188" s="190">
        <f t="shared" si="361"/>
        <v>0</v>
      </c>
      <c r="BC188" s="190">
        <f t="shared" si="361"/>
        <v>0</v>
      </c>
      <c r="BD188" s="190">
        <f t="shared" si="361"/>
        <v>0</v>
      </c>
      <c r="BE188" s="190">
        <f t="shared" si="361"/>
        <v>0</v>
      </c>
      <c r="BF188" s="190">
        <f t="shared" si="361"/>
        <v>0</v>
      </c>
      <c r="BG188" s="190">
        <f t="shared" si="361"/>
        <v>0</v>
      </c>
      <c r="BH188" s="130"/>
      <c r="BJ188" s="681" t="s">
        <v>716</v>
      </c>
      <c r="BK188" s="682">
        <f>SUM(BK182:BK186)</f>
        <v>0</v>
      </c>
    </row>
    <row r="189" spans="1:69" ht="11.25" customHeight="1" x14ac:dyDescent="0.25">
      <c r="D189" s="141"/>
      <c r="E189" s="119" t="str">
        <f>ScrumRoleScrumDeveloper</f>
        <v>Scrum Developers</v>
      </c>
      <c r="F189" s="119"/>
      <c r="G189" s="119"/>
      <c r="H189" s="119"/>
      <c r="I189" s="190">
        <f t="shared" ref="I189:AN189" si="362">SUMIF($D12:$D180,ScrumRoleScrumDeveloper,I12:I180)+SUMIF($D12:$D180,ScrumRoleScrumDevTechLead,I12:I180)</f>
        <v>0</v>
      </c>
      <c r="J189" s="190">
        <f t="shared" si="362"/>
        <v>0</v>
      </c>
      <c r="K189" s="190">
        <f t="shared" si="362"/>
        <v>0</v>
      </c>
      <c r="L189" s="190">
        <f t="shared" si="362"/>
        <v>0</v>
      </c>
      <c r="M189" s="190">
        <f t="shared" si="362"/>
        <v>0</v>
      </c>
      <c r="N189" s="190">
        <f t="shared" si="362"/>
        <v>0</v>
      </c>
      <c r="O189" s="190">
        <f t="shared" si="362"/>
        <v>0</v>
      </c>
      <c r="P189" s="190">
        <f t="shared" si="362"/>
        <v>0</v>
      </c>
      <c r="Q189" s="190">
        <f t="shared" si="362"/>
        <v>0</v>
      </c>
      <c r="R189" s="190">
        <f t="shared" si="362"/>
        <v>0</v>
      </c>
      <c r="S189" s="190">
        <f t="shared" si="362"/>
        <v>0</v>
      </c>
      <c r="T189" s="190">
        <f t="shared" si="362"/>
        <v>0</v>
      </c>
      <c r="U189" s="190">
        <f t="shared" si="362"/>
        <v>0</v>
      </c>
      <c r="V189" s="190">
        <f t="shared" si="362"/>
        <v>0</v>
      </c>
      <c r="W189" s="190">
        <f t="shared" si="362"/>
        <v>0</v>
      </c>
      <c r="X189" s="190">
        <f t="shared" si="362"/>
        <v>0</v>
      </c>
      <c r="Y189" s="190">
        <f t="shared" si="362"/>
        <v>0</v>
      </c>
      <c r="Z189" s="190">
        <f t="shared" si="362"/>
        <v>0</v>
      </c>
      <c r="AA189" s="190">
        <f t="shared" si="362"/>
        <v>0</v>
      </c>
      <c r="AB189" s="190">
        <f t="shared" si="362"/>
        <v>0</v>
      </c>
      <c r="AC189" s="190">
        <f t="shared" si="362"/>
        <v>0</v>
      </c>
      <c r="AD189" s="190">
        <f t="shared" si="362"/>
        <v>0</v>
      </c>
      <c r="AE189" s="190">
        <f t="shared" si="362"/>
        <v>0</v>
      </c>
      <c r="AF189" s="190">
        <f t="shared" si="362"/>
        <v>0</v>
      </c>
      <c r="AG189" s="190">
        <f t="shared" si="362"/>
        <v>0</v>
      </c>
      <c r="AH189" s="190">
        <f t="shared" si="362"/>
        <v>0</v>
      </c>
      <c r="AI189" s="190">
        <f t="shared" si="362"/>
        <v>0</v>
      </c>
      <c r="AJ189" s="190">
        <f t="shared" si="362"/>
        <v>0</v>
      </c>
      <c r="AK189" s="190">
        <f t="shared" si="362"/>
        <v>0</v>
      </c>
      <c r="AL189" s="190">
        <f t="shared" si="362"/>
        <v>0</v>
      </c>
      <c r="AM189" s="190">
        <f t="shared" si="362"/>
        <v>0</v>
      </c>
      <c r="AN189" s="190">
        <f t="shared" si="362"/>
        <v>0</v>
      </c>
      <c r="AO189" s="190">
        <f t="shared" ref="AO189:BG189" si="363">SUMIF($D12:$D180,ScrumRoleScrumDeveloper,AO12:AO180)+SUMIF($D12:$D180,ScrumRoleScrumDevTechLead,AO12:AO180)</f>
        <v>0</v>
      </c>
      <c r="AP189" s="190">
        <f t="shared" si="363"/>
        <v>0</v>
      </c>
      <c r="AQ189" s="190">
        <f t="shared" si="363"/>
        <v>0</v>
      </c>
      <c r="AR189" s="190">
        <f t="shared" si="363"/>
        <v>0</v>
      </c>
      <c r="AS189" s="190">
        <f t="shared" si="363"/>
        <v>0</v>
      </c>
      <c r="AT189" s="190">
        <f t="shared" si="363"/>
        <v>0</v>
      </c>
      <c r="AU189" s="190">
        <f t="shared" si="363"/>
        <v>0</v>
      </c>
      <c r="AV189" s="190">
        <f t="shared" si="363"/>
        <v>0</v>
      </c>
      <c r="AW189" s="190">
        <f t="shared" si="363"/>
        <v>0</v>
      </c>
      <c r="AX189" s="190">
        <f t="shared" si="363"/>
        <v>0</v>
      </c>
      <c r="AY189" s="190">
        <f t="shared" si="363"/>
        <v>0</v>
      </c>
      <c r="AZ189" s="190">
        <f t="shared" si="363"/>
        <v>0</v>
      </c>
      <c r="BA189" s="190">
        <f t="shared" si="363"/>
        <v>0</v>
      </c>
      <c r="BB189" s="190">
        <f t="shared" si="363"/>
        <v>0</v>
      </c>
      <c r="BC189" s="190">
        <f t="shared" si="363"/>
        <v>0</v>
      </c>
      <c r="BD189" s="190">
        <f t="shared" si="363"/>
        <v>0</v>
      </c>
      <c r="BE189" s="190">
        <f t="shared" si="363"/>
        <v>0</v>
      </c>
      <c r="BF189" s="190">
        <f t="shared" si="363"/>
        <v>0</v>
      </c>
      <c r="BG189" s="190">
        <f t="shared" si="363"/>
        <v>0</v>
      </c>
      <c r="BH189" s="130"/>
      <c r="BJ189" s="681"/>
      <c r="BK189" s="682"/>
    </row>
    <row r="190" spans="1:69" ht="11.25" customHeight="1" x14ac:dyDescent="0.25">
      <c r="D190" s="141"/>
      <c r="E190" s="119" t="str">
        <f>ScrumRoleTester</f>
        <v>Scrum Testers</v>
      </c>
      <c r="F190" s="119"/>
      <c r="G190" s="119"/>
      <c r="H190" s="119"/>
      <c r="I190" s="190">
        <f t="shared" ref="I190:AN190" si="364">SUMIF($D12:$D180,ScrumRoleTester,I12:I180)</f>
        <v>0</v>
      </c>
      <c r="J190" s="190">
        <f t="shared" si="364"/>
        <v>0</v>
      </c>
      <c r="K190" s="190">
        <f t="shared" si="364"/>
        <v>0</v>
      </c>
      <c r="L190" s="190">
        <f t="shared" si="364"/>
        <v>0</v>
      </c>
      <c r="M190" s="190">
        <f t="shared" si="364"/>
        <v>0</v>
      </c>
      <c r="N190" s="190">
        <f t="shared" si="364"/>
        <v>0</v>
      </c>
      <c r="O190" s="190">
        <f t="shared" si="364"/>
        <v>0</v>
      </c>
      <c r="P190" s="190">
        <f t="shared" si="364"/>
        <v>0</v>
      </c>
      <c r="Q190" s="190">
        <f t="shared" si="364"/>
        <v>0</v>
      </c>
      <c r="R190" s="190">
        <f t="shared" si="364"/>
        <v>0</v>
      </c>
      <c r="S190" s="190">
        <f t="shared" si="364"/>
        <v>0</v>
      </c>
      <c r="T190" s="190">
        <f t="shared" si="364"/>
        <v>0</v>
      </c>
      <c r="U190" s="190">
        <f t="shared" si="364"/>
        <v>0</v>
      </c>
      <c r="V190" s="190">
        <f t="shared" si="364"/>
        <v>0</v>
      </c>
      <c r="W190" s="190">
        <f t="shared" si="364"/>
        <v>0</v>
      </c>
      <c r="X190" s="190">
        <f t="shared" si="364"/>
        <v>0</v>
      </c>
      <c r="Y190" s="190">
        <f t="shared" si="364"/>
        <v>0</v>
      </c>
      <c r="Z190" s="190">
        <f t="shared" si="364"/>
        <v>0</v>
      </c>
      <c r="AA190" s="190">
        <f t="shared" si="364"/>
        <v>0</v>
      </c>
      <c r="AB190" s="190">
        <f t="shared" si="364"/>
        <v>0</v>
      </c>
      <c r="AC190" s="190">
        <f t="shared" si="364"/>
        <v>0</v>
      </c>
      <c r="AD190" s="190">
        <f t="shared" si="364"/>
        <v>0</v>
      </c>
      <c r="AE190" s="190">
        <f t="shared" si="364"/>
        <v>0</v>
      </c>
      <c r="AF190" s="190">
        <f t="shared" si="364"/>
        <v>0</v>
      </c>
      <c r="AG190" s="190">
        <f t="shared" si="364"/>
        <v>0</v>
      </c>
      <c r="AH190" s="190">
        <f t="shared" si="364"/>
        <v>0</v>
      </c>
      <c r="AI190" s="190">
        <f t="shared" si="364"/>
        <v>0</v>
      </c>
      <c r="AJ190" s="190">
        <f t="shared" si="364"/>
        <v>0</v>
      </c>
      <c r="AK190" s="190">
        <f t="shared" si="364"/>
        <v>0</v>
      </c>
      <c r="AL190" s="190">
        <f t="shared" si="364"/>
        <v>0</v>
      </c>
      <c r="AM190" s="190">
        <f t="shared" si="364"/>
        <v>0</v>
      </c>
      <c r="AN190" s="190">
        <f t="shared" si="364"/>
        <v>0</v>
      </c>
      <c r="AO190" s="190">
        <f t="shared" ref="AO190:BG190" si="365">SUMIF($D12:$D180,ScrumRoleTester,AO12:AO180)</f>
        <v>0</v>
      </c>
      <c r="AP190" s="190">
        <f t="shared" si="365"/>
        <v>0</v>
      </c>
      <c r="AQ190" s="190">
        <f t="shared" si="365"/>
        <v>0</v>
      </c>
      <c r="AR190" s="190">
        <f t="shared" si="365"/>
        <v>0</v>
      </c>
      <c r="AS190" s="190">
        <f t="shared" si="365"/>
        <v>0</v>
      </c>
      <c r="AT190" s="190">
        <f t="shared" si="365"/>
        <v>0</v>
      </c>
      <c r="AU190" s="190">
        <f t="shared" si="365"/>
        <v>0</v>
      </c>
      <c r="AV190" s="190">
        <f t="shared" si="365"/>
        <v>0</v>
      </c>
      <c r="AW190" s="190">
        <f t="shared" si="365"/>
        <v>0</v>
      </c>
      <c r="AX190" s="190">
        <f t="shared" si="365"/>
        <v>0</v>
      </c>
      <c r="AY190" s="190">
        <f t="shared" si="365"/>
        <v>0</v>
      </c>
      <c r="AZ190" s="190">
        <f t="shared" si="365"/>
        <v>0</v>
      </c>
      <c r="BA190" s="190">
        <f t="shared" si="365"/>
        <v>0</v>
      </c>
      <c r="BB190" s="190">
        <f t="shared" si="365"/>
        <v>0</v>
      </c>
      <c r="BC190" s="190">
        <f t="shared" si="365"/>
        <v>0</v>
      </c>
      <c r="BD190" s="190">
        <f t="shared" si="365"/>
        <v>0</v>
      </c>
      <c r="BE190" s="190">
        <f t="shared" si="365"/>
        <v>0</v>
      </c>
      <c r="BF190" s="190">
        <f t="shared" si="365"/>
        <v>0</v>
      </c>
      <c r="BG190" s="190">
        <f t="shared" si="365"/>
        <v>0</v>
      </c>
      <c r="BH190" s="130"/>
      <c r="BJ190" s="136"/>
      <c r="BK190" s="137"/>
    </row>
    <row r="191" spans="1:69" ht="11.25" customHeight="1" x14ac:dyDescent="0.25">
      <c r="D191" s="31"/>
      <c r="E191" s="81"/>
      <c r="F191" s="81"/>
      <c r="G191" s="81"/>
      <c r="BJ191" s="136"/>
      <c r="BK191" s="137"/>
    </row>
    <row r="192" spans="1:69" ht="11.25" customHeight="1" x14ac:dyDescent="0.25">
      <c r="BJ192" s="136"/>
      <c r="BK192" s="137"/>
    </row>
    <row r="193" spans="62:63" ht="11.25" customHeight="1" x14ac:dyDescent="0.25">
      <c r="BJ193" s="136"/>
      <c r="BK193" s="137"/>
    </row>
    <row r="194" spans="62:63" ht="11.25" customHeight="1" x14ac:dyDescent="0.25"/>
    <row r="195" spans="62:63" ht="11.25" customHeight="1" x14ac:dyDescent="0.25">
      <c r="BK195" s="138"/>
    </row>
    <row r="196" spans="62:63" ht="11.25" customHeight="1" x14ac:dyDescent="0.25"/>
    <row r="197" spans="62:63" ht="11.25" customHeight="1" x14ac:dyDescent="0.25"/>
    <row r="198" spans="62:63" ht="11.25" customHeight="1" x14ac:dyDescent="0.25"/>
    <row r="199" spans="62:63" ht="11.25" customHeight="1" x14ac:dyDescent="0.25"/>
    <row r="200" spans="62:63" ht="11.25" customHeight="1" x14ac:dyDescent="0.25"/>
    <row r="201" spans="62:63" ht="11.25" customHeight="1" x14ac:dyDescent="0.25"/>
    <row r="202" spans="62:63" ht="11.25" customHeight="1" x14ac:dyDescent="0.25"/>
    <row r="203" spans="62:63" ht="11.25" customHeight="1" x14ac:dyDescent="0.25"/>
    <row r="204" spans="62:63" ht="11.25" customHeight="1" x14ac:dyDescent="0.25"/>
    <row r="205" spans="62:63" ht="11.25" customHeight="1" x14ac:dyDescent="0.25"/>
    <row r="206" spans="62:63" ht="11.25" customHeight="1" x14ac:dyDescent="0.25"/>
    <row r="207" spans="62:63" ht="11.25" customHeight="1" x14ac:dyDescent="0.25"/>
    <row r="208" spans="62:63"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sheetData>
  <sheetProtection sheet="1" objects="1" scenarios="1" formatCells="0" formatColumns="0" formatRows="0" insertHyperlinks="0" autoFilter="0"/>
  <protectedRanges>
    <protectedRange sqref="BN11:BN179" name="Range3"/>
    <protectedRange sqref="A11:BH179" name="Range1"/>
    <protectedRange sqref="E2:H4" name="Range2"/>
  </protectedRanges>
  <mergeCells count="6">
    <mergeCell ref="C5:C7"/>
    <mergeCell ref="D1:E1"/>
    <mergeCell ref="BJ181:BK181"/>
    <mergeCell ref="BJ188:BJ189"/>
    <mergeCell ref="BK188:BK189"/>
    <mergeCell ref="BJ8:BM8"/>
  </mergeCells>
  <conditionalFormatting sqref="E2:G2">
    <cfRule type="cellIs" dxfId="43" priority="23" operator="notEqual">
      <formula>AgileDeveloperCUTCapacityDefault</formula>
    </cfRule>
  </conditionalFormatting>
  <conditionalFormatting sqref="E6:G7">
    <cfRule type="expression" dxfId="42" priority="11">
      <formula>$E$6&gt;$E$7</formula>
    </cfRule>
    <cfRule type="expression" dxfId="41" priority="12">
      <formula>$E$6&lt;=$E$7</formula>
    </cfRule>
  </conditionalFormatting>
  <conditionalFormatting sqref="I187:BH190">
    <cfRule type="expression" dxfId="40" priority="9">
      <formula>INT(I187)&lt;&gt;I187</formula>
    </cfRule>
  </conditionalFormatting>
  <conditionalFormatting sqref="E3:G3">
    <cfRule type="cellIs" dxfId="39" priority="7" operator="equal">
      <formula>AgileContingencyDefault</formula>
    </cfRule>
  </conditionalFormatting>
  <conditionalFormatting sqref="E4:G4">
    <cfRule type="cellIs" dxfId="38" priority="6" operator="equal">
      <formula>AgileWarrantyDefault</formula>
    </cfRule>
  </conditionalFormatting>
  <conditionalFormatting sqref="C1:C1048576">
    <cfRule type="containsText" dxfId="37" priority="5" operator="containsText" text="SET Agile Resource Role">
      <formula>NOT(ISERROR(SEARCH("SET Agile Resource Role",C1)))</formula>
    </cfRule>
  </conditionalFormatting>
  <conditionalFormatting sqref="I7:BH8">
    <cfRule type="cellIs" dxfId="36" priority="2" operator="equal">
      <formula>AgileIteration_PPT</formula>
    </cfRule>
    <cfRule type="cellIs" dxfId="35" priority="3" operator="equal">
      <formula>AgileIteration_ORT</formula>
    </cfRule>
    <cfRule type="cellIs" dxfId="34" priority="4" operator="equal">
      <formula>AgileIteration_E2E</formula>
    </cfRule>
  </conditionalFormatting>
  <conditionalFormatting sqref="F1:G1048576">
    <cfRule type="containsText" dxfId="33" priority="1" operator="containsText" text="SU Resource Role">
      <formula>NOT(ISERROR(SEARCH("SU Resource Role",F1)))</formula>
    </cfRule>
  </conditionalFormatting>
  <dataValidations count="8">
    <dataValidation type="list" allowBlank="1" showInputMessage="1" showErrorMessage="1" sqref="E59 E156:E166 E64:E65 E50:E52 E144:E154 F179:G179 E61:E62 E42:E43 E102:E111 E132:E142 E168:E179 E54:E57 E12:E27 E124:E127 E129:E130 E29:E32 E38:E40 E67:E68 E78:E84 E70:E76 E86:E92 E94:E100 E113:E122 E45:E48 E34:E36" xr:uid="{00000000-0002-0000-0700-000000000000}">
      <formula1>AgileResourceLocations</formula1>
    </dataValidation>
    <dataValidation type="list" allowBlank="1" showInputMessage="1" showErrorMessage="1" sqref="D61:D62 D59 D156:D166 D64:D65 D50:D52 D42:D43 D102:D111 D144:D154 D132:D142 D168:D179 D54:D57 D12:D27 D124:D127 D129:D130 D29:D32 D38:D40 D67:D68 D78:D84 D70:D76 D86:D92 D94:D100 D113:D122 D45:D48 D34:D36" xr:uid="{00000000-0002-0000-0700-000001000000}">
      <formula1>AgileRoles</formula1>
    </dataValidation>
    <dataValidation type="decimal" allowBlank="1" showInputMessage="1" showErrorMessage="1" sqref="E2:G4" xr:uid="{00000000-0002-0000-0700-000004000000}">
      <formula1>0</formula1>
      <formula2>1</formula2>
    </dataValidation>
    <dataValidation type="list" allowBlank="1" showInputMessage="1" showErrorMessage="1" sqref="C144:C154 C102:C111 C50:C52 C64:C65 C156:C166 C59 C61:C62 C42:C43 C132:C142 C168:C178 C54:C57 C12:C27 C124:C127 C129:C130 C29:C32 C38:C40 C67:C68 C78:C84 C70:C76 C86:C92 C94:C100 C113:C122 C45:C48 C34:C36" xr:uid="{1C71DEBD-EE53-4A0E-B1C0-E13D58F64B6F}">
      <formula1>TTSRoles</formula1>
    </dataValidation>
    <dataValidation type="list" allowBlank="1" showInputMessage="1" showErrorMessage="1" sqref="F61:F62 F59 F156:F166 F64:F65 F50:F52 F102:F111 F144:F154 F132:F142 F168:F178 F54:F57 F42:F43 F12:F27 F124:F127 F129:F130 F29:F32 F38:F40 F67:F68 F78:F84 F70:F76 F86:F92 F94:F100 F113:F122 F45:F48 F34:F36" xr:uid="{73210849-5990-47C3-9CD2-996F2B65E4E0}">
      <formula1>SolutionUnit</formula1>
    </dataValidation>
    <dataValidation type="list" allowBlank="1" showInputMessage="1" showErrorMessage="1" sqref="I7:BH7" xr:uid="{00000000-0002-0000-0700-000002000000}">
      <formula1>AgileIterationTypeSecondary</formula1>
    </dataValidation>
    <dataValidation type="list" showInputMessage="1" showErrorMessage="1" sqref="I8:BH8" xr:uid="{00000000-0002-0000-0700-000003000000}">
      <formula1>AgileIterationTypes</formula1>
    </dataValidation>
    <dataValidation type="custom" allowBlank="1" showInputMessage="1" showErrorMessage="1" errorTitle="Number of Resources" error="You must enter a number of resources._x000a__x000a_The value you entered is not a number._x000a_" sqref="I11:BG178" xr:uid="{00000000-0002-0000-07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88" operator="equal" id="{1992A3BE-EA4B-403F-88AA-FE366D763EAC}">
            <xm:f>Parameters!$A$168</xm:f>
            <x14:dxf>
              <fill>
                <patternFill>
                  <bgColor theme="9"/>
                </patternFill>
              </fill>
            </x14:dxf>
          </x14:cfRule>
          <x14:cfRule type="cellIs" priority="89" operator="equal" id="{BAB0CDDB-4099-4475-9D91-965CFA5EDF13}">
            <xm:f>Parameters!$A$152</xm:f>
            <x14:dxf>
              <fill>
                <patternFill>
                  <bgColor rgb="FFD07876"/>
                </patternFill>
              </fill>
            </x14:dxf>
          </x14:cfRule>
          <x14:cfRule type="cellIs" priority="90" operator="equal" id="{7D9161B5-CAC1-4AAA-9744-3C42648CCE81}">
            <xm:f>Parameters!$A$158</xm:f>
            <x14:dxf>
              <fill>
                <patternFill>
                  <bgColor theme="9" tint="0.39994506668294322"/>
                </patternFill>
              </fill>
            </x14:dxf>
          </x14:cfRule>
          <x14:cfRule type="cellIs" priority="91" operator="equal" id="{524727C6-37E5-4EFA-A3A3-BF34C3D779C4}">
            <xm:f>Parameters!$A$150</xm:f>
            <x14:dxf>
              <fill>
                <patternFill>
                  <bgColor rgb="FFE6B8B7"/>
                </patternFill>
              </fill>
            </x14:dxf>
          </x14:cfRule>
          <x14:cfRule type="cellIs" priority="92" operator="equal" id="{3439F406-CB41-47C2-B38D-60EB28569FB7}">
            <xm:f>Parameters!$A$151</xm:f>
            <x14:dxf>
              <fill>
                <patternFill>
                  <bgColor rgb="FFDA9694"/>
                </patternFill>
              </fill>
            </x14:dxf>
          </x14:cfRule>
          <x14:cfRule type="cellIs" priority="93" operator="equal" id="{DD9557CE-AB8F-47B4-8CD5-CFA44330A936}">
            <xm:f>Parameters!$A$153</xm:f>
            <x14:dxf>
              <fill>
                <patternFill>
                  <bgColor rgb="FFE6B8B7"/>
                </patternFill>
              </fill>
            </x14:dxf>
          </x14:cfRule>
          <x14:cfRule type="cellIs" priority="94" operator="equal" id="{D380A2FD-1058-4EFA-8B64-A3A173E0373E}">
            <xm:f>Parameters!$A$155</xm:f>
            <x14:dxf>
              <fill>
                <patternFill>
                  <bgColor rgb="FFCCC0DA"/>
                </patternFill>
              </fill>
            </x14:dxf>
          </x14:cfRule>
          <x14:cfRule type="cellIs" priority="95" operator="equal" id="{810D3C47-9966-476E-82DD-85596EB6A1C7}">
            <xm:f>Parameters!$A$156</xm:f>
            <x14:dxf>
              <fill>
                <patternFill>
                  <bgColor rgb="FFB1A0C7"/>
                </patternFill>
              </fill>
            </x14:dxf>
          </x14:cfRule>
          <x14:cfRule type="cellIs" priority="96" operator="equal" id="{48D344E3-CED4-4C07-9D06-F14D014538DC}">
            <xm:f>Parameters!$A$159</xm:f>
            <x14:dxf>
              <fill>
                <patternFill>
                  <bgColor theme="9"/>
                </patternFill>
              </fill>
            </x14:dxf>
          </x14:cfRule>
          <x14:cfRule type="cellIs" priority="97" operator="equal" id="{918679E4-3023-4000-9A93-566BE8D823C6}">
            <xm:f>Parameters!$A$161</xm:f>
            <x14:dxf>
              <fill>
                <patternFill>
                  <bgColor theme="5" tint="0.59996337778862885"/>
                </patternFill>
              </fill>
            </x14:dxf>
          </x14:cfRule>
          <x14:cfRule type="cellIs" priority="98" operator="equal" id="{EE3F7BC6-9F97-4697-B90E-8944E89EBD9B}">
            <xm:f>Parameters!$A$163</xm:f>
            <x14:dxf>
              <fill>
                <patternFill>
                  <bgColor theme="4" tint="0.59996337778862885"/>
                </patternFill>
              </fill>
            </x14:dxf>
          </x14:cfRule>
          <xm:sqref>I7:BH8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gileTopDownSheet4">
    <tabColor theme="4" tint="0.59999389629810485"/>
  </sheetPr>
  <dimension ref="A1:BU1274"/>
  <sheetViews>
    <sheetView showGridLines="0" zoomScaleNormal="100" workbookViewId="0">
      <pane xSplit="8" ySplit="10" topLeftCell="BH60" activePane="bottomRight" state="frozen"/>
      <selection pane="topRight" activeCell="F2" sqref="F2:G2"/>
      <selection pane="bottomLeft" activeCell="F2" sqref="F2:G2"/>
      <selection pane="bottomRight" activeCell="D66" sqref="D66"/>
    </sheetView>
  </sheetViews>
  <sheetFormatPr defaultColWidth="9.28515625" defaultRowHeight="15" x14ac:dyDescent="0.25"/>
  <cols>
    <col min="1" max="1" width="10.5703125" style="120" hidden="1" customWidth="1"/>
    <col min="2" max="2" width="11.5703125" style="146" hidden="1" customWidth="1"/>
    <col min="3" max="3" width="24.42578125" style="290" customWidth="1"/>
    <col min="4" max="4" width="24" style="76" customWidth="1"/>
    <col min="5" max="5" width="11.5703125" style="77" customWidth="1"/>
    <col min="6" max="6" width="14.5703125" style="77" customWidth="1"/>
    <col min="7" max="7" width="15.5703125" style="77" customWidth="1"/>
    <col min="8" max="8" width="18" style="77" bestFit="1" customWidth="1"/>
    <col min="9" max="9" width="8.28515625" style="77" bestFit="1" customWidth="1"/>
    <col min="10" max="63" width="8.5703125" style="77" customWidth="1"/>
    <col min="64" max="64" width="4.5703125" style="21" hidden="1" customWidth="1"/>
    <col min="65" max="65" width="5.5703125" style="188" customWidth="1"/>
    <col min="66" max="66" width="9.5703125" style="77" bestFit="1" customWidth="1"/>
    <col min="67" max="67" width="9" style="77" bestFit="1" customWidth="1"/>
    <col min="68" max="68" width="6.7109375" style="77" bestFit="1" customWidth="1"/>
    <col min="69" max="69" width="5.5703125" style="77" bestFit="1" customWidth="1"/>
    <col min="70" max="70" width="13.42578125" style="78" customWidth="1"/>
    <col min="71" max="73" width="9.28515625" style="78"/>
    <col min="74" max="16384" width="9.28515625" style="77"/>
  </cols>
  <sheetData>
    <row r="1" spans="1:73" ht="55.5" customHeight="1" x14ac:dyDescent="0.25">
      <c r="C1" s="225"/>
      <c r="D1" s="690" t="str">
        <f>Attributes!F4</f>
        <v>&lt;Template Scenario&gt;</v>
      </c>
      <c r="E1" s="690"/>
      <c r="F1" s="527"/>
      <c r="G1" s="527"/>
      <c r="H1" s="26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9"/>
      <c r="BM1" s="220"/>
      <c r="BN1" s="218"/>
      <c r="BO1" s="218"/>
      <c r="BP1" s="218"/>
      <c r="BQ1" s="218"/>
    </row>
    <row r="2" spans="1:73" s="81" customFormat="1" ht="12" customHeight="1" x14ac:dyDescent="0.25">
      <c r="A2" s="143"/>
      <c r="B2" s="144"/>
      <c r="C2" s="288"/>
      <c r="D2" s="221" t="s">
        <v>561</v>
      </c>
      <c r="E2" s="226">
        <v>0.58799999999999997</v>
      </c>
      <c r="F2" s="226"/>
      <c r="G2" s="226"/>
      <c r="H2" s="222"/>
      <c r="I2" s="219"/>
      <c r="J2" s="171"/>
      <c r="K2" s="171"/>
      <c r="L2" s="171"/>
      <c r="M2" s="223"/>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c r="BJ2" s="219"/>
      <c r="BK2" s="219"/>
      <c r="BL2" s="224"/>
      <c r="BM2" s="225"/>
      <c r="BN2" s="219"/>
      <c r="BO2" s="219"/>
      <c r="BP2" s="219"/>
      <c r="BQ2" s="219"/>
    </row>
    <row r="3" spans="1:73" s="81" customFormat="1" ht="12" customHeight="1" x14ac:dyDescent="0.25">
      <c r="A3" s="145" t="str">
        <f>Customer &amp; CHAR(10) &amp; Project</f>
        <v>Optus
BoSS Proposal</v>
      </c>
      <c r="B3" s="144"/>
      <c r="C3" s="288"/>
      <c r="D3" s="221" t="s">
        <v>562</v>
      </c>
      <c r="E3" s="226">
        <v>0.1</v>
      </c>
      <c r="F3" s="226"/>
      <c r="G3" s="226"/>
      <c r="H3" s="265" t="s">
        <v>735</v>
      </c>
      <c r="I3" s="219">
        <f t="shared" ref="I3:BK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ca="1" si="0"/>
        <v>8</v>
      </c>
      <c r="AQ3" s="219">
        <f t="shared" ca="1" si="0"/>
        <v>8</v>
      </c>
      <c r="AR3" s="219">
        <f t="shared" ca="1" si="0"/>
        <v>9</v>
      </c>
      <c r="AS3" s="219">
        <f t="shared" ca="1" si="0"/>
        <v>9</v>
      </c>
      <c r="AT3" s="219">
        <f t="shared" ca="1" si="0"/>
        <v>9</v>
      </c>
      <c r="AU3" s="219">
        <f t="shared" ca="1" si="0"/>
        <v>9</v>
      </c>
      <c r="AV3" s="219">
        <f t="shared" ca="1" si="0"/>
        <v>10</v>
      </c>
      <c r="AW3" s="219">
        <f t="shared" ca="1" si="0"/>
        <v>10</v>
      </c>
      <c r="AX3" s="219">
        <f t="shared" ca="1" si="0"/>
        <v>10</v>
      </c>
      <c r="AY3" s="219">
        <f t="shared" ca="1" si="0"/>
        <v>10</v>
      </c>
      <c r="AZ3" s="219">
        <f t="shared" ca="1" si="0"/>
        <v>10</v>
      </c>
      <c r="BA3" s="219">
        <f t="shared" ca="1" si="0"/>
        <v>11</v>
      </c>
      <c r="BB3" s="219">
        <f t="shared" ca="1" si="0"/>
        <v>11</v>
      </c>
      <c r="BC3" s="219">
        <f t="shared" ca="1" si="0"/>
        <v>11</v>
      </c>
      <c r="BD3" s="219">
        <f t="shared" ca="1" si="0"/>
        <v>11</v>
      </c>
      <c r="BE3" s="219">
        <f t="shared" ca="1" si="0"/>
        <v>12</v>
      </c>
      <c r="BF3" s="219">
        <f t="shared" ca="1" si="0"/>
        <v>12</v>
      </c>
      <c r="BG3" s="219">
        <f t="shared" ca="1" si="0"/>
        <v>12</v>
      </c>
      <c r="BH3" s="219">
        <f t="shared" ca="1" si="0"/>
        <v>12</v>
      </c>
      <c r="BI3" s="219">
        <f t="shared" ca="1" si="0"/>
        <v>13</v>
      </c>
      <c r="BJ3" s="219">
        <f t="shared" ca="1" si="0"/>
        <v>13</v>
      </c>
      <c r="BK3" s="219">
        <f t="shared" ca="1" si="0"/>
        <v>13</v>
      </c>
      <c r="BL3" s="219"/>
      <c r="BM3" s="219"/>
      <c r="BN3" s="219"/>
      <c r="BO3" s="219"/>
      <c r="BP3" s="219"/>
      <c r="BQ3" s="219"/>
    </row>
    <row r="4" spans="1:73" s="81" customFormat="1" ht="12" customHeight="1" thickBot="1" x14ac:dyDescent="0.3">
      <c r="A4" s="143"/>
      <c r="B4" s="144"/>
      <c r="C4" s="377"/>
      <c r="D4" s="221" t="s">
        <v>563</v>
      </c>
      <c r="E4" s="226">
        <v>0</v>
      </c>
      <c r="F4" s="226"/>
      <c r="G4" s="226"/>
      <c r="H4" s="265" t="s">
        <v>564</v>
      </c>
      <c r="I4" s="219" t="str">
        <f ca="1">"wk " &amp; RIGHT(OFFSET(I4,0,-1,1,1),LEN(OFFSET(I4,0,-1,1,1))-3)+1</f>
        <v>wk 1</v>
      </c>
      <c r="J4" s="219" t="str">
        <f t="shared" ref="J4:BK4" ca="1" si="1">"wk " &amp; RIGHT(OFFSET(J4,0,-1,1,1),LEN(OFFSET(J4,0,-1,1,1))-3)+1</f>
        <v>wk 2</v>
      </c>
      <c r="K4" s="219" t="str">
        <f t="shared" ca="1" si="1"/>
        <v>wk 3</v>
      </c>
      <c r="L4" s="219" t="str">
        <f t="shared" ca="1" si="1"/>
        <v>wk 4</v>
      </c>
      <c r="M4" s="219" t="str">
        <f t="shared" ca="1" si="1"/>
        <v>wk 5</v>
      </c>
      <c r="N4" s="219" t="str">
        <f t="shared" ca="1" si="1"/>
        <v>wk 6</v>
      </c>
      <c r="O4" s="219" t="str">
        <f t="shared" ca="1" si="1"/>
        <v>wk 7</v>
      </c>
      <c r="P4" s="219" t="str">
        <f t="shared" ca="1" si="1"/>
        <v>wk 8</v>
      </c>
      <c r="Q4" s="219" t="str">
        <f t="shared" ca="1" si="1"/>
        <v>wk 9</v>
      </c>
      <c r="R4" s="219" t="str">
        <f t="shared" ca="1" si="1"/>
        <v>wk 10</v>
      </c>
      <c r="S4" s="219" t="str">
        <f t="shared" ca="1" si="1"/>
        <v>wk 11</v>
      </c>
      <c r="T4" s="219" t="str">
        <f t="shared" ca="1" si="1"/>
        <v>wk 12</v>
      </c>
      <c r="U4" s="219" t="str">
        <f t="shared" ca="1" si="1"/>
        <v>wk 13</v>
      </c>
      <c r="V4" s="219" t="str">
        <f t="shared" ca="1" si="1"/>
        <v>wk 14</v>
      </c>
      <c r="W4" s="219" t="str">
        <f t="shared" ca="1" si="1"/>
        <v>wk 15</v>
      </c>
      <c r="X4" s="219" t="str">
        <f t="shared" ca="1" si="1"/>
        <v>wk 16</v>
      </c>
      <c r="Y4" s="219" t="str">
        <f t="shared" ca="1" si="1"/>
        <v>wk 17</v>
      </c>
      <c r="Z4" s="219" t="str">
        <f t="shared" ca="1" si="1"/>
        <v>wk 18</v>
      </c>
      <c r="AA4" s="219" t="str">
        <f t="shared" ca="1" si="1"/>
        <v>wk 19</v>
      </c>
      <c r="AB4" s="219" t="str">
        <f t="shared" ca="1" si="1"/>
        <v>wk 20</v>
      </c>
      <c r="AC4" s="219" t="str">
        <f t="shared" ca="1" si="1"/>
        <v>wk 21</v>
      </c>
      <c r="AD4" s="219" t="str">
        <f t="shared" ca="1" si="1"/>
        <v>wk 22</v>
      </c>
      <c r="AE4" s="219" t="str">
        <f t="shared" ca="1" si="1"/>
        <v>wk 23</v>
      </c>
      <c r="AF4" s="219" t="str">
        <f t="shared" ca="1" si="1"/>
        <v>wk 24</v>
      </c>
      <c r="AG4" s="219" t="str">
        <f t="shared" ca="1" si="1"/>
        <v>wk 25</v>
      </c>
      <c r="AH4" s="219" t="str">
        <f t="shared" ca="1" si="1"/>
        <v>wk 26</v>
      </c>
      <c r="AI4" s="219" t="str">
        <f t="shared" ca="1" si="1"/>
        <v>wk 27</v>
      </c>
      <c r="AJ4" s="219" t="str">
        <f t="shared" ca="1" si="1"/>
        <v>wk 28</v>
      </c>
      <c r="AK4" s="219" t="str">
        <f t="shared" ca="1" si="1"/>
        <v>wk 29</v>
      </c>
      <c r="AL4" s="219" t="str">
        <f t="shared" ca="1" si="1"/>
        <v>wk 30</v>
      </c>
      <c r="AM4" s="219" t="str">
        <f t="shared" ca="1" si="1"/>
        <v>wk 31</v>
      </c>
      <c r="AN4" s="219" t="str">
        <f t="shared" ca="1" si="1"/>
        <v>wk 32</v>
      </c>
      <c r="AO4" s="219" t="str">
        <f t="shared" ca="1" si="1"/>
        <v>wk 33</v>
      </c>
      <c r="AP4" s="219" t="str">
        <f t="shared" ca="1" si="1"/>
        <v>wk 34</v>
      </c>
      <c r="AQ4" s="219" t="str">
        <f t="shared" ca="1" si="1"/>
        <v>wk 35</v>
      </c>
      <c r="AR4" s="219" t="str">
        <f t="shared" ca="1" si="1"/>
        <v>wk 36</v>
      </c>
      <c r="AS4" s="219" t="str">
        <f t="shared" ca="1" si="1"/>
        <v>wk 37</v>
      </c>
      <c r="AT4" s="219" t="str">
        <f t="shared" ca="1" si="1"/>
        <v>wk 38</v>
      </c>
      <c r="AU4" s="219" t="str">
        <f t="shared" ca="1" si="1"/>
        <v>wk 39</v>
      </c>
      <c r="AV4" s="219" t="str">
        <f t="shared" ca="1" si="1"/>
        <v>wk 40</v>
      </c>
      <c r="AW4" s="219" t="str">
        <f t="shared" ca="1" si="1"/>
        <v>wk 41</v>
      </c>
      <c r="AX4" s="219" t="str">
        <f t="shared" ca="1" si="1"/>
        <v>wk 42</v>
      </c>
      <c r="AY4" s="219" t="str">
        <f t="shared" ca="1" si="1"/>
        <v>wk 43</v>
      </c>
      <c r="AZ4" s="219" t="str">
        <f t="shared" ca="1" si="1"/>
        <v>wk 44</v>
      </c>
      <c r="BA4" s="219" t="str">
        <f t="shared" ca="1" si="1"/>
        <v>wk 45</v>
      </c>
      <c r="BB4" s="219" t="str">
        <f t="shared" ca="1" si="1"/>
        <v>wk 46</v>
      </c>
      <c r="BC4" s="219" t="str">
        <f t="shared" ca="1" si="1"/>
        <v>wk 47</v>
      </c>
      <c r="BD4" s="219" t="str">
        <f t="shared" ca="1" si="1"/>
        <v>wk 48</v>
      </c>
      <c r="BE4" s="219" t="str">
        <f t="shared" ca="1" si="1"/>
        <v>wk 49</v>
      </c>
      <c r="BF4" s="219" t="str">
        <f t="shared" ca="1" si="1"/>
        <v>wk 50</v>
      </c>
      <c r="BG4" s="219" t="str">
        <f t="shared" ca="1" si="1"/>
        <v>wk 51</v>
      </c>
      <c r="BH4" s="219" t="str">
        <f t="shared" ca="1" si="1"/>
        <v>wk 52</v>
      </c>
      <c r="BI4" s="219" t="str">
        <f t="shared" ca="1" si="1"/>
        <v>wk 53</v>
      </c>
      <c r="BJ4" s="219" t="str">
        <f t="shared" ca="1" si="1"/>
        <v>wk 54</v>
      </c>
      <c r="BK4" s="219" t="str">
        <f t="shared" ca="1" si="1"/>
        <v>wk 55</v>
      </c>
      <c r="BL4" s="224"/>
      <c r="BM4" s="225"/>
      <c r="BN4" s="219"/>
      <c r="BO4" s="219"/>
      <c r="BP4" s="219"/>
      <c r="BQ4" s="219"/>
    </row>
    <row r="5" spans="1:73" s="81" customFormat="1" ht="4.1500000000000004" customHeight="1" x14ac:dyDescent="0.25">
      <c r="A5" s="120"/>
      <c r="B5" s="146"/>
      <c r="C5" s="691" t="s">
        <v>565</v>
      </c>
      <c r="D5" s="84"/>
      <c r="E5" s="27"/>
      <c r="F5" s="27"/>
      <c r="G5" s="27"/>
      <c r="H5" s="27"/>
      <c r="BL5" s="21"/>
      <c r="BM5" s="187"/>
      <c r="BR5"/>
      <c r="BS5"/>
      <c r="BT5"/>
      <c r="BU5"/>
    </row>
    <row r="6" spans="1:73" ht="12" customHeight="1" x14ac:dyDescent="0.25">
      <c r="A6" s="147"/>
      <c r="C6" s="692"/>
      <c r="D6" s="84" t="s">
        <v>566</v>
      </c>
      <c r="E6" s="85">
        <f>'Detail CUT'!J4</f>
        <v>0</v>
      </c>
      <c r="F6" s="85"/>
      <c r="G6" s="85"/>
      <c r="H6" s="381" t="str">
        <f>CONCATENATE("Effort With Cont = ",ROUND(SUM(BO188),0))</f>
        <v>Effort With Cont = 0</v>
      </c>
      <c r="Q6" s="136" t="s">
        <v>717</v>
      </c>
      <c r="AB6" s="136" t="s">
        <v>718</v>
      </c>
      <c r="BM6" s="187"/>
      <c r="BN6" s="81"/>
      <c r="BO6" s="81"/>
      <c r="BP6" s="81"/>
    </row>
    <row r="7" spans="1:73" ht="12" customHeight="1" thickBot="1" x14ac:dyDescent="0.3">
      <c r="A7" s="147"/>
      <c r="C7" s="693"/>
      <c r="D7" s="84" t="s">
        <v>188</v>
      </c>
      <c r="E7" s="85">
        <f>SUM(I185:BM185)</f>
        <v>0</v>
      </c>
      <c r="F7" s="85"/>
      <c r="G7" s="85"/>
      <c r="H7" s="381" t="str">
        <f>CONCATENATE("Effort W/out Cont = ",ROUND(SUM(BO182+BO186),0))</f>
        <v>Effort W/out Cont = 0</v>
      </c>
      <c r="AA7" s="77" t="s">
        <v>719</v>
      </c>
      <c r="AB7" s="77" t="s">
        <v>719</v>
      </c>
      <c r="AC7" s="77" t="s">
        <v>719</v>
      </c>
      <c r="AD7" s="77" t="s">
        <v>719</v>
      </c>
      <c r="AE7" s="77" t="s">
        <v>719</v>
      </c>
      <c r="BM7" s="187"/>
      <c r="BN7" s="81"/>
      <c r="BO7" s="81"/>
      <c r="BP7" s="81"/>
    </row>
    <row r="8" spans="1:73" s="83" customFormat="1" ht="18.75" customHeight="1" x14ac:dyDescent="0.25">
      <c r="A8" s="148"/>
      <c r="B8" s="125"/>
      <c r="C8" s="290"/>
      <c r="D8" s="379"/>
      <c r="E8" s="388"/>
      <c r="F8" s="388"/>
      <c r="G8" s="388"/>
      <c r="H8" s="389"/>
      <c r="I8" s="565" t="s">
        <v>572</v>
      </c>
      <c r="J8" s="83" t="s">
        <v>573</v>
      </c>
      <c r="K8" s="83" t="s">
        <v>573</v>
      </c>
      <c r="L8" s="83" t="s">
        <v>573</v>
      </c>
      <c r="M8" s="83" t="s">
        <v>574</v>
      </c>
      <c r="N8" s="83" t="s">
        <v>574</v>
      </c>
      <c r="O8" s="558" t="s">
        <v>570</v>
      </c>
      <c r="P8" s="83" t="s">
        <v>575</v>
      </c>
      <c r="Q8" s="83" t="s">
        <v>576</v>
      </c>
      <c r="R8" s="83" t="s">
        <v>576</v>
      </c>
      <c r="S8" s="83" t="s">
        <v>576</v>
      </c>
      <c r="T8" s="83" t="s">
        <v>576</v>
      </c>
      <c r="U8" s="83" t="s">
        <v>576</v>
      </c>
      <c r="V8" s="83" t="s">
        <v>576</v>
      </c>
      <c r="W8" s="83" t="s">
        <v>577</v>
      </c>
      <c r="X8" s="83" t="s">
        <v>577</v>
      </c>
      <c r="Y8" s="83" t="s">
        <v>577</v>
      </c>
      <c r="Z8" s="83" t="s">
        <v>577</v>
      </c>
      <c r="AA8" s="83" t="s">
        <v>576</v>
      </c>
      <c r="AB8" s="83" t="s">
        <v>576</v>
      </c>
      <c r="AC8" s="83" t="s">
        <v>576</v>
      </c>
      <c r="AD8" s="83" t="s">
        <v>576</v>
      </c>
      <c r="AE8" s="83" t="s">
        <v>576</v>
      </c>
      <c r="AF8" s="83" t="s">
        <v>576</v>
      </c>
      <c r="AG8" s="83" t="s">
        <v>577</v>
      </c>
      <c r="AH8" s="83" t="s">
        <v>577</v>
      </c>
      <c r="AI8" s="83" t="s">
        <v>577</v>
      </c>
      <c r="AJ8" s="83" t="s">
        <v>577</v>
      </c>
      <c r="AK8" s="83" t="s">
        <v>736</v>
      </c>
      <c r="AL8" s="83" t="s">
        <v>736</v>
      </c>
      <c r="AM8" s="83" t="s">
        <v>571</v>
      </c>
      <c r="AN8" s="83" t="s">
        <v>571</v>
      </c>
      <c r="AO8" s="83" t="s">
        <v>571</v>
      </c>
      <c r="AP8" s="83" t="s">
        <v>571</v>
      </c>
      <c r="AQ8" s="83" t="s">
        <v>578</v>
      </c>
      <c r="AR8" s="83" t="s">
        <v>578</v>
      </c>
      <c r="AS8" s="83" t="s">
        <v>578</v>
      </c>
      <c r="AT8" s="83" t="s">
        <v>578</v>
      </c>
      <c r="AU8" s="83" t="s">
        <v>581</v>
      </c>
      <c r="AV8" s="83" t="s">
        <v>580</v>
      </c>
      <c r="AW8" s="83" t="s">
        <v>580</v>
      </c>
      <c r="AX8" s="83" t="s">
        <v>579</v>
      </c>
      <c r="AY8" s="83" t="s">
        <v>563</v>
      </c>
      <c r="AZ8" s="83" t="s">
        <v>563</v>
      </c>
      <c r="BA8" s="83" t="s">
        <v>563</v>
      </c>
      <c r="BB8" s="83" t="s">
        <v>563</v>
      </c>
      <c r="BC8" s="83" t="s">
        <v>563</v>
      </c>
      <c r="BD8" s="83" t="s">
        <v>563</v>
      </c>
      <c r="BE8" s="83" t="s">
        <v>563</v>
      </c>
      <c r="BF8" s="83" t="s">
        <v>563</v>
      </c>
      <c r="BG8" s="83" t="s">
        <v>563</v>
      </c>
      <c r="BH8" s="83" t="s">
        <v>563</v>
      </c>
      <c r="BI8" s="83" t="s">
        <v>563</v>
      </c>
      <c r="BJ8" s="83" t="s">
        <v>563</v>
      </c>
      <c r="BK8" s="83" t="s">
        <v>563</v>
      </c>
      <c r="BL8" s="129"/>
      <c r="BM8" s="201"/>
      <c r="BN8" s="679" t="s">
        <v>582</v>
      </c>
      <c r="BO8" s="679"/>
      <c r="BP8" s="679"/>
      <c r="BQ8" s="679"/>
    </row>
    <row r="9" spans="1:73" hidden="1" x14ac:dyDescent="0.25">
      <c r="A9" s="143"/>
      <c r="B9" s="144"/>
      <c r="C9" s="291"/>
      <c r="D9" s="31" t="s">
        <v>585</v>
      </c>
      <c r="E9" s="81"/>
      <c r="F9" s="81"/>
      <c r="G9" s="81"/>
      <c r="H9" s="81"/>
      <c r="I9" s="77" t="str">
        <f t="shared" ref="I9:BM9" si="2">VLOOKUP( I8, AgileIterationTypeProjectPhase, 2, FALSE)</f>
        <v>Scope</v>
      </c>
      <c r="J9" s="77" t="str">
        <f t="shared" si="2"/>
        <v>Scope</v>
      </c>
      <c r="K9" s="77" t="str">
        <f t="shared" si="2"/>
        <v>Scope</v>
      </c>
      <c r="L9" s="77" t="str">
        <f t="shared" si="2"/>
        <v>Scope</v>
      </c>
      <c r="M9" s="77" t="str">
        <f t="shared" si="2"/>
        <v>Scope</v>
      </c>
      <c r="N9" s="77" t="str">
        <f t="shared" si="2"/>
        <v>Scope</v>
      </c>
      <c r="O9" s="77" t="str">
        <f t="shared" si="2"/>
        <v>Design</v>
      </c>
      <c r="Q9" s="77" t="str">
        <f t="shared" si="2"/>
        <v>Deploy</v>
      </c>
      <c r="T9" s="77" t="str">
        <f t="shared" si="2"/>
        <v>Deploy</v>
      </c>
      <c r="U9" s="77" t="str">
        <f t="shared" si="2"/>
        <v>Deploy</v>
      </c>
      <c r="V9" s="77" t="str">
        <f t="shared" si="2"/>
        <v>Deploy</v>
      </c>
      <c r="W9" s="77" t="str">
        <f t="shared" si="2"/>
        <v>Deploy</v>
      </c>
      <c r="X9" s="77" t="str">
        <f t="shared" si="2"/>
        <v>Deploy</v>
      </c>
      <c r="Y9" s="77" t="str">
        <f t="shared" si="2"/>
        <v>Deploy</v>
      </c>
      <c r="Z9" s="77" t="str">
        <f t="shared" si="2"/>
        <v>Deploy</v>
      </c>
      <c r="AA9" s="77" t="str">
        <f t="shared" si="2"/>
        <v>Deploy</v>
      </c>
      <c r="AB9" s="77" t="str">
        <f t="shared" si="2"/>
        <v>Deploy</v>
      </c>
      <c r="AC9" s="77" t="str">
        <f t="shared" si="2"/>
        <v>Deploy</v>
      </c>
      <c r="AD9" s="77" t="str">
        <f t="shared" si="2"/>
        <v>Deploy</v>
      </c>
      <c r="AE9" s="77" t="str">
        <f t="shared" si="2"/>
        <v>Deploy</v>
      </c>
      <c r="AF9" s="77" t="str">
        <f t="shared" si="2"/>
        <v>Deploy</v>
      </c>
      <c r="AG9" s="77" t="str">
        <f t="shared" si="2"/>
        <v>Deploy</v>
      </c>
      <c r="AH9" s="77" t="str">
        <f t="shared" si="2"/>
        <v>Deploy</v>
      </c>
      <c r="AI9" s="77" t="str">
        <f t="shared" si="2"/>
        <v>Deploy</v>
      </c>
      <c r="AJ9" s="77" t="str">
        <f t="shared" si="2"/>
        <v>Deploy</v>
      </c>
      <c r="AM9" s="77" t="str">
        <f t="shared" si="2"/>
        <v>Cust Test</v>
      </c>
      <c r="AN9" s="77" t="str">
        <f t="shared" si="2"/>
        <v>Cust Test</v>
      </c>
      <c r="AO9" s="77" t="str">
        <f t="shared" si="2"/>
        <v>Cust Test</v>
      </c>
      <c r="AP9" s="77" t="str">
        <f t="shared" si="2"/>
        <v>Cust Test</v>
      </c>
      <c r="AQ9" s="77" t="str">
        <f t="shared" si="2"/>
        <v>Cust Test</v>
      </c>
      <c r="AR9" s="77" t="str">
        <f t="shared" si="2"/>
        <v>Cust Test</v>
      </c>
      <c r="AS9" s="77" t="str">
        <f t="shared" si="2"/>
        <v>Cust Test</v>
      </c>
      <c r="AT9" s="77" t="str">
        <f t="shared" si="2"/>
        <v>Cust Test</v>
      </c>
      <c r="AU9" s="77" t="str">
        <f t="shared" si="2"/>
        <v>Cust Test</v>
      </c>
      <c r="AX9" s="77" t="str">
        <f t="shared" si="2"/>
        <v>Cust Test</v>
      </c>
      <c r="AY9" s="77" t="str">
        <f t="shared" si="2"/>
        <v>Warranty</v>
      </c>
      <c r="AZ9" s="77" t="str">
        <f t="shared" si="2"/>
        <v>Warranty</v>
      </c>
      <c r="BJ9" s="77" t="str">
        <f t="shared" si="2"/>
        <v>Warranty</v>
      </c>
      <c r="BK9" s="77" t="str">
        <f t="shared" si="2"/>
        <v>Warranty</v>
      </c>
      <c r="BM9" s="187" t="e">
        <f t="shared" si="2"/>
        <v>#N/A</v>
      </c>
      <c r="BN9" s="81"/>
      <c r="BO9" s="81"/>
      <c r="BP9" s="81"/>
    </row>
    <row r="10" spans="1:73" s="142" customFormat="1" ht="22.5" x14ac:dyDescent="0.2">
      <c r="A10" s="143" t="s">
        <v>199</v>
      </c>
      <c r="B10" s="149" t="s">
        <v>586</v>
      </c>
      <c r="C10" s="194" t="s">
        <v>587</v>
      </c>
      <c r="D10" s="397" t="s">
        <v>588</v>
      </c>
      <c r="E10" s="444" t="s">
        <v>589</v>
      </c>
      <c r="F10" s="444" t="s">
        <v>590</v>
      </c>
      <c r="G10" s="444" t="s">
        <v>26</v>
      </c>
      <c r="H10" s="445" t="s">
        <v>591</v>
      </c>
      <c r="I10" s="405">
        <f>Attributes!F5</f>
        <v>43474</v>
      </c>
      <c r="J10" s="195">
        <f t="shared" ref="J10:BK10" ca="1" si="3">OFFSET(J10,0,-1,1,1)+7</f>
        <v>43481</v>
      </c>
      <c r="K10" s="195">
        <f t="shared" ca="1" si="3"/>
        <v>43488</v>
      </c>
      <c r="L10" s="195">
        <f t="shared" ca="1" si="3"/>
        <v>43495</v>
      </c>
      <c r="M10" s="195">
        <f t="shared" ca="1" si="3"/>
        <v>43502</v>
      </c>
      <c r="N10" s="195">
        <f t="shared" ca="1" si="3"/>
        <v>43509</v>
      </c>
      <c r="O10" s="195">
        <f t="shared" ca="1" si="3"/>
        <v>43516</v>
      </c>
      <c r="P10" s="195">
        <f t="shared" ca="1" si="3"/>
        <v>43523</v>
      </c>
      <c r="Q10" s="195">
        <f t="shared" ca="1" si="3"/>
        <v>43530</v>
      </c>
      <c r="R10" s="195">
        <f t="shared" ca="1" si="3"/>
        <v>43537</v>
      </c>
      <c r="S10" s="195">
        <f t="shared" ca="1" si="3"/>
        <v>43544</v>
      </c>
      <c r="T10" s="195">
        <f t="shared" ca="1" si="3"/>
        <v>43551</v>
      </c>
      <c r="U10" s="195">
        <f t="shared" ca="1" si="3"/>
        <v>43558</v>
      </c>
      <c r="V10" s="195">
        <f t="shared" ca="1" si="3"/>
        <v>43565</v>
      </c>
      <c r="W10" s="195">
        <f t="shared" ca="1" si="3"/>
        <v>43572</v>
      </c>
      <c r="X10" s="195">
        <f t="shared" ca="1" si="3"/>
        <v>43579</v>
      </c>
      <c r="Y10" s="195">
        <f t="shared" ca="1" si="3"/>
        <v>43586</v>
      </c>
      <c r="Z10" s="195">
        <f t="shared" ca="1" si="3"/>
        <v>43593</v>
      </c>
      <c r="AA10" s="195">
        <f t="shared" ca="1" si="3"/>
        <v>43600</v>
      </c>
      <c r="AB10" s="195">
        <f t="shared" ca="1" si="3"/>
        <v>43607</v>
      </c>
      <c r="AC10" s="195">
        <f t="shared" ca="1" si="3"/>
        <v>43614</v>
      </c>
      <c r="AD10" s="195">
        <f t="shared" ca="1" si="3"/>
        <v>43621</v>
      </c>
      <c r="AE10" s="195">
        <f t="shared" ca="1" si="3"/>
        <v>43628</v>
      </c>
      <c r="AF10" s="195">
        <f t="shared" ca="1" si="3"/>
        <v>43635</v>
      </c>
      <c r="AG10" s="195">
        <f t="shared" ca="1" si="3"/>
        <v>43642</v>
      </c>
      <c r="AH10" s="195">
        <f t="shared" ca="1" si="3"/>
        <v>43649</v>
      </c>
      <c r="AI10" s="195">
        <f t="shared" ca="1" si="3"/>
        <v>43656</v>
      </c>
      <c r="AJ10" s="195">
        <f t="shared" ca="1" si="3"/>
        <v>43663</v>
      </c>
      <c r="AK10" s="195">
        <f t="shared" ca="1" si="3"/>
        <v>43670</v>
      </c>
      <c r="AL10" s="195">
        <f t="shared" ca="1" si="3"/>
        <v>43677</v>
      </c>
      <c r="AM10" s="195">
        <f t="shared" ca="1" si="3"/>
        <v>43684</v>
      </c>
      <c r="AN10" s="195">
        <f t="shared" ca="1" si="3"/>
        <v>43691</v>
      </c>
      <c r="AO10" s="195">
        <f t="shared" ca="1" si="3"/>
        <v>43698</v>
      </c>
      <c r="AP10" s="195">
        <f t="shared" ca="1" si="3"/>
        <v>43705</v>
      </c>
      <c r="AQ10" s="195">
        <f t="shared" ca="1" si="3"/>
        <v>43712</v>
      </c>
      <c r="AR10" s="195">
        <f t="shared" ca="1" si="3"/>
        <v>43719</v>
      </c>
      <c r="AS10" s="195">
        <f t="shared" ca="1" si="3"/>
        <v>43726</v>
      </c>
      <c r="AT10" s="195">
        <f t="shared" ca="1" si="3"/>
        <v>43733</v>
      </c>
      <c r="AU10" s="195">
        <f t="shared" ca="1" si="3"/>
        <v>43740</v>
      </c>
      <c r="AV10" s="195">
        <f t="shared" ca="1" si="3"/>
        <v>43747</v>
      </c>
      <c r="AW10" s="195">
        <f t="shared" ca="1" si="3"/>
        <v>43754</v>
      </c>
      <c r="AX10" s="195">
        <f t="shared" ca="1" si="3"/>
        <v>43761</v>
      </c>
      <c r="AY10" s="195">
        <f t="shared" ca="1" si="3"/>
        <v>43768</v>
      </c>
      <c r="AZ10" s="195">
        <f t="shared" ca="1" si="3"/>
        <v>43775</v>
      </c>
      <c r="BA10" s="195">
        <f t="shared" ca="1" si="3"/>
        <v>43782</v>
      </c>
      <c r="BB10" s="195">
        <f t="shared" ca="1" si="3"/>
        <v>43789</v>
      </c>
      <c r="BC10" s="195">
        <f t="shared" ca="1" si="3"/>
        <v>43796</v>
      </c>
      <c r="BD10" s="195">
        <f t="shared" ca="1" si="3"/>
        <v>43803</v>
      </c>
      <c r="BE10" s="195">
        <f t="shared" ca="1" si="3"/>
        <v>43810</v>
      </c>
      <c r="BF10" s="195">
        <f t="shared" ca="1" si="3"/>
        <v>43817</v>
      </c>
      <c r="BG10" s="195">
        <f t="shared" ca="1" si="3"/>
        <v>43824</v>
      </c>
      <c r="BH10" s="195">
        <f t="shared" ca="1" si="3"/>
        <v>43831</v>
      </c>
      <c r="BI10" s="195">
        <f t="shared" ca="1" si="3"/>
        <v>43838</v>
      </c>
      <c r="BJ10" s="195">
        <f t="shared" ca="1" si="3"/>
        <v>43845</v>
      </c>
      <c r="BK10" s="195">
        <f t="shared" ca="1" si="3"/>
        <v>43852</v>
      </c>
      <c r="BL10" s="196"/>
      <c r="BM10" s="202"/>
      <c r="BN10" s="150" t="str">
        <f>E182</f>
        <v xml:space="preserve"> Person-Days</v>
      </c>
      <c r="BO10" s="150" t="str">
        <f>E183</f>
        <v>Contingency</v>
      </c>
      <c r="BP10" s="150" t="str">
        <f>E184</f>
        <v>Warranty</v>
      </c>
      <c r="BQ10" s="150" t="s">
        <v>720</v>
      </c>
    </row>
    <row r="11" spans="1:73" s="142" customFormat="1" ht="11.25" x14ac:dyDescent="0.2">
      <c r="A11" s="208">
        <v>1</v>
      </c>
      <c r="B11" s="209"/>
      <c r="C11" s="205" t="s">
        <v>594</v>
      </c>
      <c r="D11" s="205" t="s">
        <v>594</v>
      </c>
      <c r="E11" s="446"/>
      <c r="F11" s="446"/>
      <c r="G11" s="446"/>
      <c r="H11" s="447"/>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193"/>
      <c r="BM11" s="202"/>
      <c r="BN11" s="150"/>
      <c r="BO11" s="150"/>
      <c r="BP11" s="150"/>
      <c r="BQ11" s="150"/>
    </row>
    <row r="12" spans="1:73" s="74" customFormat="1" ht="11.25" x14ac:dyDescent="0.2">
      <c r="A12" s="210">
        <v>2</v>
      </c>
      <c r="B12" s="211" t="s">
        <v>593</v>
      </c>
      <c r="C12" s="348" t="str">
        <f t="shared" ref="C12:C15" si="4">IFERROR(VLOOKUP(D12,MappingFromSetAgiletoTTSRole,2,FALSE),"SET Agile Resource Role")</f>
        <v>Management</v>
      </c>
      <c r="D12" s="398" t="s">
        <v>595</v>
      </c>
      <c r="E12" s="448"/>
      <c r="F12" s="449" t="s">
        <v>597</v>
      </c>
      <c r="G12" s="449"/>
      <c r="H12" s="546" t="str">
        <f>C11</f>
        <v>Program</v>
      </c>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80"/>
      <c r="BM12" s="187"/>
      <c r="BN12" s="82">
        <f t="shared" ref="BN12:BN19" si="5">SUMIF(I$8:BL$8, "&lt;&gt;"&amp;AgileIteration_Warranty,I12:BL12)*5*Scenario4Utilisation</f>
        <v>0</v>
      </c>
      <c r="BO12" s="82">
        <f t="shared" ref="BO12" si="6">BN12*Scenario4AgileContingency</f>
        <v>0</v>
      </c>
      <c r="BP12" s="82">
        <f t="shared" ref="BP12:BP19" si="7">IF(Scenario4Warranty=AgileWarrantyDefault, (SUMIF(I$8:BL$8,AgileIteration_Warranty,I12:BL12)*5*Scenario4Utilisation), (BN12*Scenario4Warranty))</f>
        <v>0</v>
      </c>
      <c r="BQ12" s="127">
        <f>SUM(BN12:BP12)</f>
        <v>0</v>
      </c>
    </row>
    <row r="13" spans="1:73" s="74" customFormat="1" ht="11.25" x14ac:dyDescent="0.2">
      <c r="A13" s="210">
        <v>2</v>
      </c>
      <c r="B13" s="211" t="s">
        <v>593</v>
      </c>
      <c r="C13" s="348" t="str">
        <f t="shared" si="4"/>
        <v>Management</v>
      </c>
      <c r="D13" s="399" t="s">
        <v>598</v>
      </c>
      <c r="E13" s="448"/>
      <c r="F13" s="449" t="s">
        <v>597</v>
      </c>
      <c r="G13" s="449"/>
      <c r="H13" s="546" t="str">
        <f>H12</f>
        <v>Program</v>
      </c>
      <c r="I13" s="407"/>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2"/>
      <c r="BI13" s="172"/>
      <c r="BJ13" s="172"/>
      <c r="BK13" s="172"/>
      <c r="BL13" s="173"/>
      <c r="BM13" s="187"/>
      <c r="BN13" s="82">
        <f t="shared" si="5"/>
        <v>0</v>
      </c>
      <c r="BO13" s="82">
        <f t="shared" ref="BO13:BO154" si="8">BN13*Scenario4AgileContingency</f>
        <v>0</v>
      </c>
      <c r="BP13" s="82">
        <f t="shared" si="7"/>
        <v>0</v>
      </c>
      <c r="BQ13" s="127">
        <f t="shared" ref="BQ13:BQ154" si="9">SUM(BN13:BP13)</f>
        <v>0</v>
      </c>
    </row>
    <row r="14" spans="1:73" s="74" customFormat="1" ht="11.25" x14ac:dyDescent="0.2">
      <c r="A14" s="210">
        <v>2</v>
      </c>
      <c r="B14" s="211" t="s">
        <v>593</v>
      </c>
      <c r="C14" s="348" t="str">
        <f t="shared" si="4"/>
        <v>Project Manager</v>
      </c>
      <c r="D14" s="399" t="s">
        <v>599</v>
      </c>
      <c r="E14" s="448"/>
      <c r="F14" s="449" t="s">
        <v>597</v>
      </c>
      <c r="G14" s="449"/>
      <c r="H14" s="546" t="str">
        <f t="shared" ref="H14:H21" si="10">H13</f>
        <v>Program</v>
      </c>
      <c r="I14" s="407"/>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2"/>
      <c r="AO14" s="172"/>
      <c r="AP14" s="172"/>
      <c r="AQ14" s="172"/>
      <c r="AR14" s="172"/>
      <c r="AS14" s="172"/>
      <c r="AT14" s="172"/>
      <c r="AU14" s="172"/>
      <c r="AV14" s="172"/>
      <c r="AW14" s="172"/>
      <c r="AX14" s="172"/>
      <c r="AY14" s="172"/>
      <c r="AZ14" s="172"/>
      <c r="BA14" s="172"/>
      <c r="BB14" s="172"/>
      <c r="BC14" s="172"/>
      <c r="BD14" s="172"/>
      <c r="BE14" s="172"/>
      <c r="BF14" s="172"/>
      <c r="BG14" s="172"/>
      <c r="BH14" s="172"/>
      <c r="BI14" s="172"/>
      <c r="BJ14" s="172"/>
      <c r="BK14" s="172"/>
      <c r="BL14" s="173"/>
      <c r="BM14" s="187"/>
      <c r="BN14" s="82">
        <f t="shared" si="5"/>
        <v>0</v>
      </c>
      <c r="BO14" s="82">
        <f t="shared" si="8"/>
        <v>0</v>
      </c>
      <c r="BP14" s="82">
        <f t="shared" si="7"/>
        <v>0</v>
      </c>
      <c r="BQ14" s="127">
        <f t="shared" si="9"/>
        <v>0</v>
      </c>
    </row>
    <row r="15" spans="1:73" s="74" customFormat="1" ht="11.25" x14ac:dyDescent="0.2">
      <c r="A15" s="210">
        <v>2</v>
      </c>
      <c r="B15" s="211" t="s">
        <v>593</v>
      </c>
      <c r="C15" s="348" t="str">
        <f t="shared" si="4"/>
        <v>Architect Sr</v>
      </c>
      <c r="D15" s="399" t="s">
        <v>603</v>
      </c>
      <c r="E15" s="448"/>
      <c r="F15" s="449" t="s">
        <v>597</v>
      </c>
      <c r="G15" s="449"/>
      <c r="H15" s="546" t="str">
        <f t="shared" si="10"/>
        <v>Program</v>
      </c>
      <c r="I15" s="407"/>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2"/>
      <c r="AO15" s="172"/>
      <c r="AP15" s="172"/>
      <c r="AQ15" s="172"/>
      <c r="AR15" s="172"/>
      <c r="AS15" s="172"/>
      <c r="AT15" s="172"/>
      <c r="AU15" s="172"/>
      <c r="AV15" s="172"/>
      <c r="AW15" s="172"/>
      <c r="AX15" s="172"/>
      <c r="AY15" s="172"/>
      <c r="AZ15" s="172"/>
      <c r="BA15" s="172"/>
      <c r="BB15" s="172"/>
      <c r="BC15" s="172"/>
      <c r="BD15" s="172"/>
      <c r="BE15" s="172"/>
      <c r="BF15" s="172"/>
      <c r="BG15" s="172"/>
      <c r="BH15" s="172"/>
      <c r="BI15" s="172"/>
      <c r="BJ15" s="172"/>
      <c r="BK15" s="172"/>
      <c r="BL15" s="173"/>
      <c r="BM15" s="187"/>
      <c r="BN15" s="82">
        <f t="shared" si="5"/>
        <v>0</v>
      </c>
      <c r="BO15" s="82">
        <f t="shared" ref="BO15" si="11">BN15*Scenario4AgileContingency</f>
        <v>0</v>
      </c>
      <c r="BP15" s="82">
        <f t="shared" si="7"/>
        <v>0</v>
      </c>
      <c r="BQ15" s="127">
        <f t="shared" ref="BQ15" si="12">SUM(BN15:BP15)</f>
        <v>0</v>
      </c>
    </row>
    <row r="16" spans="1:73" s="74" customFormat="1" ht="11.25" x14ac:dyDescent="0.2">
      <c r="A16" s="210">
        <v>2</v>
      </c>
      <c r="B16" s="211" t="s">
        <v>593</v>
      </c>
      <c r="C16" s="348" t="s">
        <v>604</v>
      </c>
      <c r="D16" s="399" t="s">
        <v>605</v>
      </c>
      <c r="E16" s="448"/>
      <c r="F16" s="449" t="s">
        <v>607</v>
      </c>
      <c r="G16" s="449"/>
      <c r="H16" s="546" t="str">
        <f t="shared" si="10"/>
        <v>Program</v>
      </c>
      <c r="I16" s="407"/>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5"/>
      <c r="BM16" s="187"/>
      <c r="BN16" s="82">
        <f t="shared" si="5"/>
        <v>0</v>
      </c>
      <c r="BO16" s="82">
        <f t="shared" ref="BO16" si="13">BN16*Scenario4AgileContingency</f>
        <v>0</v>
      </c>
      <c r="BP16" s="82">
        <f t="shared" si="7"/>
        <v>0</v>
      </c>
      <c r="BQ16" s="127">
        <f t="shared" ref="BQ16" si="14">SUM(BN16:BP16)</f>
        <v>0</v>
      </c>
    </row>
    <row r="17" spans="1:69" s="74" customFormat="1" ht="11.25" x14ac:dyDescent="0.2">
      <c r="A17" s="210">
        <v>2</v>
      </c>
      <c r="B17" s="211" t="s">
        <v>593</v>
      </c>
      <c r="C17" s="348" t="str">
        <f t="shared" ref="C17:C19" si="15">IFERROR(VLOOKUP(D17,MappingFromSetAgiletoTTSRole,2,FALSE),"SET Agile Resource Role")</f>
        <v>Project Manager</v>
      </c>
      <c r="D17" s="399" t="s">
        <v>721</v>
      </c>
      <c r="E17" s="448"/>
      <c r="F17" s="449" t="s">
        <v>607</v>
      </c>
      <c r="G17" s="449"/>
      <c r="H17" s="546" t="str">
        <f t="shared" si="10"/>
        <v>Program</v>
      </c>
      <c r="I17" s="407"/>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2"/>
      <c r="AO17" s="172"/>
      <c r="AP17" s="172"/>
      <c r="AQ17" s="172"/>
      <c r="AR17" s="172"/>
      <c r="AS17" s="172"/>
      <c r="AT17" s="172"/>
      <c r="AU17" s="172"/>
      <c r="AV17" s="172"/>
      <c r="AW17" s="172"/>
      <c r="AX17" s="172"/>
      <c r="AY17" s="172"/>
      <c r="AZ17" s="172"/>
      <c r="BA17" s="172"/>
      <c r="BB17" s="172"/>
      <c r="BC17" s="172"/>
      <c r="BD17" s="172"/>
      <c r="BE17" s="172"/>
      <c r="BF17" s="172"/>
      <c r="BG17" s="172"/>
      <c r="BH17" s="172"/>
      <c r="BI17" s="172"/>
      <c r="BJ17" s="172"/>
      <c r="BK17" s="172"/>
      <c r="BL17" s="173"/>
      <c r="BM17" s="187"/>
      <c r="BN17" s="82">
        <f t="shared" si="5"/>
        <v>0</v>
      </c>
      <c r="BO17" s="82">
        <f t="shared" si="8"/>
        <v>0</v>
      </c>
      <c r="BP17" s="82">
        <f t="shared" si="7"/>
        <v>0</v>
      </c>
      <c r="BQ17" s="127">
        <f t="shared" si="9"/>
        <v>0</v>
      </c>
    </row>
    <row r="18" spans="1:69" s="74" customFormat="1" ht="11.25" x14ac:dyDescent="0.2">
      <c r="A18" s="210">
        <v>2</v>
      </c>
      <c r="B18" s="211" t="s">
        <v>593</v>
      </c>
      <c r="C18" s="348" t="str">
        <f>IFERROR(VLOOKUP(D18,MappingFromSetAgiletoTTSRole,2,FALSE),"SET Agile Resource Role")</f>
        <v>Architect Sr</v>
      </c>
      <c r="D18" s="399" t="s">
        <v>608</v>
      </c>
      <c r="E18" s="448"/>
      <c r="F18" s="449" t="s">
        <v>609</v>
      </c>
      <c r="G18" s="449"/>
      <c r="H18" s="546" t="str">
        <f t="shared" si="10"/>
        <v>Program</v>
      </c>
      <c r="I18" s="407"/>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2"/>
      <c r="AO18" s="172"/>
      <c r="AP18" s="172"/>
      <c r="AQ18" s="172"/>
      <c r="AR18" s="172"/>
      <c r="AS18" s="172"/>
      <c r="AT18" s="172"/>
      <c r="AU18" s="172"/>
      <c r="AV18" s="172"/>
      <c r="AW18" s="172"/>
      <c r="AX18" s="172"/>
      <c r="AY18" s="172"/>
      <c r="AZ18" s="172"/>
      <c r="BA18" s="172"/>
      <c r="BB18" s="172"/>
      <c r="BC18" s="172"/>
      <c r="BD18" s="172"/>
      <c r="BE18" s="172"/>
      <c r="BF18" s="172"/>
      <c r="BG18" s="172"/>
      <c r="BH18" s="172"/>
      <c r="BI18" s="172"/>
      <c r="BJ18" s="172"/>
      <c r="BK18" s="172"/>
      <c r="BL18" s="173"/>
      <c r="BM18" s="187"/>
      <c r="BN18" s="82">
        <f t="shared" ref="BN18" si="16">SUMIF(I$8:BL$8, "&lt;&gt;"&amp;AgileIteration_Warranty,I18:BL18)*5*Scenario4Utilisation</f>
        <v>0</v>
      </c>
      <c r="BO18" s="82">
        <f t="shared" ref="BO18" si="17">BN18*Scenario4AgileContingency</f>
        <v>0</v>
      </c>
      <c r="BP18" s="82">
        <f t="shared" ref="BP18" si="18">IF(Scenario4Warranty=AgileWarrantyDefault, (SUMIF(I$8:BL$8,AgileIteration_Warranty,I18:BL18)*5*Scenario4Utilisation), (BN18*Scenario4Warranty))</f>
        <v>0</v>
      </c>
      <c r="BQ18" s="127">
        <f t="shared" ref="BQ18" si="19">SUM(BN18:BP18)</f>
        <v>0</v>
      </c>
    </row>
    <row r="19" spans="1:69" s="74" customFormat="1" ht="11.25" x14ac:dyDescent="0.2">
      <c r="A19" s="210">
        <v>2</v>
      </c>
      <c r="B19" s="211" t="s">
        <v>593</v>
      </c>
      <c r="C19" s="348" t="str">
        <f t="shared" si="15"/>
        <v>Architect Sr</v>
      </c>
      <c r="D19" s="399" t="s">
        <v>679</v>
      </c>
      <c r="E19" s="448"/>
      <c r="F19" s="449" t="str">
        <f t="shared" ref="F19:F26" si="20">IFERROR(VLOOKUP(C19,MappingFromTTStoSU,2,FALSE),"SU Resource Role")</f>
        <v>DWMS</v>
      </c>
      <c r="G19" s="449"/>
      <c r="H19" s="546" t="str">
        <f t="shared" si="10"/>
        <v>Program</v>
      </c>
      <c r="I19" s="407"/>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2"/>
      <c r="AO19" s="172"/>
      <c r="AP19" s="172"/>
      <c r="AQ19" s="172"/>
      <c r="AR19" s="172"/>
      <c r="AS19" s="172"/>
      <c r="AT19" s="172"/>
      <c r="AU19" s="172"/>
      <c r="AV19" s="172"/>
      <c r="AW19" s="172"/>
      <c r="AX19" s="172"/>
      <c r="AY19" s="172"/>
      <c r="AZ19" s="172"/>
      <c r="BA19" s="172"/>
      <c r="BB19" s="172"/>
      <c r="BC19" s="172"/>
      <c r="BD19" s="172"/>
      <c r="BE19" s="172"/>
      <c r="BF19" s="172"/>
      <c r="BG19" s="172"/>
      <c r="BH19" s="172"/>
      <c r="BI19" s="172"/>
      <c r="BJ19" s="172"/>
      <c r="BK19" s="172"/>
      <c r="BL19" s="173"/>
      <c r="BM19" s="187"/>
      <c r="BN19" s="82">
        <f t="shared" si="5"/>
        <v>0</v>
      </c>
      <c r="BO19" s="82">
        <f t="shared" ref="BO19" si="21">BN19*Scenario4AgileContingency</f>
        <v>0</v>
      </c>
      <c r="BP19" s="82">
        <f t="shared" si="7"/>
        <v>0</v>
      </c>
      <c r="BQ19" s="127">
        <f t="shared" ref="BQ19" si="22">SUM(BN19:BP19)</f>
        <v>0</v>
      </c>
    </row>
    <row r="20" spans="1:69" s="74" customFormat="1" ht="11.25" x14ac:dyDescent="0.2">
      <c r="A20" s="210">
        <v>2</v>
      </c>
      <c r="B20" s="211" t="s">
        <v>593</v>
      </c>
      <c r="C20" s="348" t="s">
        <v>604</v>
      </c>
      <c r="D20" s="399" t="s">
        <v>722</v>
      </c>
      <c r="E20" s="448"/>
      <c r="F20" s="449" t="str">
        <f t="shared" si="20"/>
        <v>DWMS</v>
      </c>
      <c r="G20" s="449"/>
      <c r="H20" s="546" t="str">
        <f t="shared" si="10"/>
        <v>Program</v>
      </c>
      <c r="I20" s="407"/>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2"/>
      <c r="AO20" s="172"/>
      <c r="AP20" s="172"/>
      <c r="AQ20" s="172"/>
      <c r="AR20" s="172"/>
      <c r="AS20" s="172"/>
      <c r="AT20" s="172"/>
      <c r="AU20" s="172"/>
      <c r="AV20" s="172"/>
      <c r="AW20" s="172"/>
      <c r="AX20" s="172"/>
      <c r="AY20" s="172"/>
      <c r="AZ20" s="172"/>
      <c r="BA20" s="172"/>
      <c r="BB20" s="172"/>
      <c r="BC20" s="172"/>
      <c r="BD20" s="172"/>
      <c r="BE20" s="172"/>
      <c r="BF20" s="172"/>
      <c r="BG20" s="172"/>
      <c r="BH20" s="172"/>
      <c r="BI20" s="172"/>
      <c r="BJ20" s="172"/>
      <c r="BK20" s="172"/>
      <c r="BL20" s="173"/>
      <c r="BM20" s="187"/>
      <c r="BN20" s="82">
        <f t="shared" ref="BN20" si="23">SUMIF(I$8:BL$8, "&lt;&gt;"&amp;AgileIteration_Warranty,I20:BL20)*5*Scenario4Utilisation</f>
        <v>0</v>
      </c>
      <c r="BO20" s="82">
        <f t="shared" ref="BO20" si="24">BN20*Scenario4AgileContingency</f>
        <v>0</v>
      </c>
      <c r="BP20" s="82">
        <f t="shared" ref="BP20" si="25">IF(Scenario4Warranty=AgileWarrantyDefault, (SUMIF(I$8:BL$8,AgileIteration_Warranty,I20:BL20)*5*Scenario4Utilisation), (BN20*Scenario4Warranty))</f>
        <v>0</v>
      </c>
      <c r="BQ20" s="127">
        <f t="shared" ref="BQ20" si="26">SUM(BN20:BP20)</f>
        <v>0</v>
      </c>
    </row>
    <row r="21" spans="1:69" s="74" customFormat="1" ht="11.25" x14ac:dyDescent="0.2">
      <c r="A21" s="210">
        <v>2</v>
      </c>
      <c r="B21" s="211" t="s">
        <v>593</v>
      </c>
      <c r="C21" s="348" t="str">
        <f t="shared" ref="C21:C26" si="27">IFERROR(VLOOKUP(D21,MappingFromSetAgiletoTTSRole,2,FALSE),"SET Agile Resource Role")</f>
        <v>Project Manager</v>
      </c>
      <c r="D21" s="399" t="s">
        <v>723</v>
      </c>
      <c r="E21" s="448"/>
      <c r="F21" s="449" t="str">
        <f t="shared" si="20"/>
        <v>DWMS</v>
      </c>
      <c r="G21" s="449"/>
      <c r="H21" s="546" t="str">
        <f t="shared" si="10"/>
        <v>Program</v>
      </c>
      <c r="I21" s="407"/>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3"/>
      <c r="BM21" s="187"/>
      <c r="BN21" s="82">
        <f t="shared" ref="BN21" si="28">SUMIF(I$8:BL$8, "&lt;&gt;"&amp;AgileIteration_Warranty,I21:BL21)*5*Scenario4Utilisation</f>
        <v>0</v>
      </c>
      <c r="BO21" s="82">
        <f t="shared" ref="BO21" si="29">BN21*Scenario4AgileContingency</f>
        <v>0</v>
      </c>
      <c r="BP21" s="82">
        <f t="shared" ref="BP21" si="30">IF(Scenario4Warranty=AgileWarrantyDefault, (SUMIF(I$8:BL$8,AgileIteration_Warranty,I21:BL21)*5*Scenario4Utilisation), (BN21*Scenario4Warranty))</f>
        <v>0</v>
      </c>
      <c r="BQ21" s="127">
        <f t="shared" ref="BQ21" si="31">SUM(BN21:BP21)</f>
        <v>0</v>
      </c>
    </row>
    <row r="22" spans="1:69" s="74" customFormat="1" ht="11.25" x14ac:dyDescent="0.2">
      <c r="A22" s="210">
        <v>2</v>
      </c>
      <c r="B22" s="211" t="s">
        <v>593</v>
      </c>
      <c r="C22" s="348" t="str">
        <f t="shared" si="27"/>
        <v>Project Manager</v>
      </c>
      <c r="D22" s="399" t="s">
        <v>620</v>
      </c>
      <c r="E22" s="448"/>
      <c r="F22" s="449" t="str">
        <f t="shared" si="20"/>
        <v>DWMS</v>
      </c>
      <c r="G22" s="449"/>
      <c r="H22" s="449" t="str">
        <f>H20</f>
        <v>Program</v>
      </c>
      <c r="I22" s="407"/>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5"/>
      <c r="BM22" s="187"/>
      <c r="BN22" s="82">
        <f t="shared" ref="BN22" si="32">SUMIF(I$8:BL$8, "&lt;&gt;"&amp;AgileIteration_Warranty,I22:BL22)*5*Scenario4Utilisation</f>
        <v>0</v>
      </c>
      <c r="BO22" s="82">
        <f t="shared" ref="BO22" si="33">BN22*Scenario4AgileContingency</f>
        <v>0</v>
      </c>
      <c r="BP22" s="82">
        <f t="shared" ref="BP22" si="34">IF(Scenario4Warranty=AgileWarrantyDefault, (SUMIF(I$8:BL$8,AgileIteration_Warranty,I22:BL22)*5*Scenario4Utilisation), (BN22*Scenario4Warranty))</f>
        <v>0</v>
      </c>
      <c r="BQ22" s="127">
        <f t="shared" ref="BQ22" si="35">SUM(BN22:BP22)</f>
        <v>0</v>
      </c>
    </row>
    <row r="23" spans="1:69" s="74" customFormat="1" ht="11.25" x14ac:dyDescent="0.2">
      <c r="A23" s="210">
        <v>2</v>
      </c>
      <c r="B23" s="211" t="s">
        <v>593</v>
      </c>
      <c r="C23" s="348" t="str">
        <f t="shared" si="27"/>
        <v>Project Manager</v>
      </c>
      <c r="D23" s="399" t="s">
        <v>610</v>
      </c>
      <c r="E23" s="448"/>
      <c r="F23" s="449" t="str">
        <f t="shared" si="20"/>
        <v>DWMS</v>
      </c>
      <c r="G23" s="449"/>
      <c r="H23" s="449" t="str">
        <f t="shared" ref="H23:H26" si="36">H22</f>
        <v>Program</v>
      </c>
      <c r="I23" s="407"/>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5"/>
      <c r="BM23" s="187"/>
      <c r="BN23" s="82">
        <f t="shared" ref="BN23" si="37">SUMIF(I$8:BL$8, "&lt;&gt;"&amp;AgileIteration_Warranty,I23:BL23)*5*Scenario4Utilisation</f>
        <v>0</v>
      </c>
      <c r="BO23" s="82">
        <f t="shared" ref="BO23" si="38">BN23*Scenario4AgileContingency</f>
        <v>0</v>
      </c>
      <c r="BP23" s="82">
        <f t="shared" ref="BP23" si="39">IF(Scenario4Warranty=AgileWarrantyDefault, (SUMIF(I$8:BL$8,AgileIteration_Warranty,I23:BL23)*5*Scenario4Utilisation), (BN23*Scenario4Warranty))</f>
        <v>0</v>
      </c>
      <c r="BQ23" s="127">
        <f t="shared" ref="BQ23" si="40">SUM(BN23:BP23)</f>
        <v>0</v>
      </c>
    </row>
    <row r="24" spans="1:69" s="74" customFormat="1" ht="11.25" x14ac:dyDescent="0.2">
      <c r="A24" s="210">
        <v>2</v>
      </c>
      <c r="B24" s="211" t="s">
        <v>593</v>
      </c>
      <c r="C24" s="348" t="str">
        <f t="shared" si="27"/>
        <v>Support Analyst</v>
      </c>
      <c r="D24" s="399" t="s">
        <v>611</v>
      </c>
      <c r="E24" s="448"/>
      <c r="F24" s="449" t="str">
        <f t="shared" si="20"/>
        <v>DE</v>
      </c>
      <c r="G24" s="449"/>
      <c r="H24" s="449" t="str">
        <f t="shared" si="36"/>
        <v>Program</v>
      </c>
      <c r="I24" s="407"/>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5"/>
      <c r="BM24" s="187"/>
      <c r="BN24" s="82">
        <f t="shared" ref="BN24" si="41">SUMIF(I$8:BL$8, "&lt;&gt;"&amp;AgileIteration_Warranty,I24:BL24)*5*Scenario4Utilisation</f>
        <v>0</v>
      </c>
      <c r="BO24" s="82">
        <f t="shared" ref="BO24" si="42">BN24*Scenario4AgileContingency</f>
        <v>0</v>
      </c>
      <c r="BP24" s="82">
        <f t="shared" ref="BP24" si="43">IF(Scenario4Warranty=AgileWarrantyDefault, (SUMIF(I$8:BL$8,AgileIteration_Warranty,I24:BL24)*5*Scenario4Utilisation), (BN24*Scenario4Warranty))</f>
        <v>0</v>
      </c>
      <c r="BQ24" s="127">
        <f t="shared" ref="BQ24" si="44">SUM(BN24:BP24)</f>
        <v>0</v>
      </c>
    </row>
    <row r="25" spans="1:69" s="74" customFormat="1" ht="11.25" x14ac:dyDescent="0.2">
      <c r="A25" s="210">
        <v>2</v>
      </c>
      <c r="B25" s="211" t="s">
        <v>733</v>
      </c>
      <c r="C25" s="348" t="str">
        <f t="shared" si="27"/>
        <v>Project Manager</v>
      </c>
      <c r="D25" s="400" t="s">
        <v>724</v>
      </c>
      <c r="E25" s="448"/>
      <c r="F25" s="449" t="str">
        <f t="shared" si="20"/>
        <v>DWMS</v>
      </c>
      <c r="G25" s="449"/>
      <c r="H25" s="449" t="str">
        <f t="shared" si="36"/>
        <v>Program</v>
      </c>
      <c r="I25" s="408"/>
      <c r="J25" s="177"/>
      <c r="K25" s="177"/>
      <c r="L25" s="177"/>
      <c r="M25" s="177"/>
      <c r="N25" s="177"/>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8"/>
      <c r="BM25" s="187"/>
      <c r="BN25" s="82">
        <f t="shared" ref="BN25" si="45">SUMIF(I$8:BL$8, "&lt;&gt;"&amp;AgileIteration_Warranty,I25:BL25)*5*Scenario4Utilisation</f>
        <v>0</v>
      </c>
      <c r="BO25" s="82">
        <f t="shared" ref="BO25" si="46">BN25*Scenario4AgileContingency</f>
        <v>0</v>
      </c>
      <c r="BP25" s="82">
        <f t="shared" ref="BP25" si="47">IF(Scenario4Warranty=AgileWarrantyDefault, (SUMIF(I$8:BL$8,AgileIteration_Warranty,I25:BL25)*5*Scenario4Utilisation), (BN25*Scenario4Warranty))</f>
        <v>0</v>
      </c>
      <c r="BQ25" s="127">
        <f t="shared" ref="BQ25" si="48">SUM(BN25:BP25)</f>
        <v>0</v>
      </c>
    </row>
    <row r="26" spans="1:69" s="74" customFormat="1" ht="11.25" x14ac:dyDescent="0.2">
      <c r="A26" s="210">
        <v>2</v>
      </c>
      <c r="B26" s="211" t="s">
        <v>733</v>
      </c>
      <c r="C26" s="348" t="str">
        <f t="shared" si="27"/>
        <v>Project Manager</v>
      </c>
      <c r="D26" s="400" t="s">
        <v>725</v>
      </c>
      <c r="E26" s="448"/>
      <c r="F26" s="449" t="str">
        <f t="shared" si="20"/>
        <v>DWMS</v>
      </c>
      <c r="G26" s="449"/>
      <c r="H26" s="449" t="str">
        <f t="shared" si="36"/>
        <v>Program</v>
      </c>
      <c r="I26" s="408"/>
      <c r="J26" s="177"/>
      <c r="K26" s="177"/>
      <c r="L26" s="177"/>
      <c r="M26" s="177"/>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8"/>
      <c r="BM26" s="187"/>
      <c r="BN26" s="82">
        <f t="shared" ref="BN26" si="49">SUMIF(I$8:BL$8, "&lt;&gt;"&amp;AgileIteration_Warranty,I26:BL26)*5*Scenario4Utilisation</f>
        <v>0</v>
      </c>
      <c r="BO26" s="82">
        <f t="shared" ref="BO26" si="50">BN26*Scenario4AgileContingency</f>
        <v>0</v>
      </c>
      <c r="BP26" s="82">
        <f t="shared" ref="BP26" si="51">IF(Scenario4Warranty=AgileWarrantyDefault, (SUMIF(I$8:BL$8,AgileIteration_Warranty,I26:BL26)*5*Scenario4Utilisation), (BN26*Scenario4Warranty))</f>
        <v>0</v>
      </c>
      <c r="BQ26" s="127">
        <f t="shared" ref="BQ26" si="52">SUM(BN26:BP26)</f>
        <v>0</v>
      </c>
    </row>
    <row r="27" spans="1:69" s="74" customFormat="1" ht="11.25" x14ac:dyDescent="0.2">
      <c r="A27" s="210">
        <v>2</v>
      </c>
      <c r="B27" s="211" t="s">
        <v>733</v>
      </c>
      <c r="C27" s="348" t="str">
        <f>IFERROR(VLOOKUP(D27,MappingFromSetAgiletoTTSRole,2,FALSE),"SET Agile Resource Role")</f>
        <v>Business Consultant Sr</v>
      </c>
      <c r="D27" s="400" t="s">
        <v>668</v>
      </c>
      <c r="E27" s="448"/>
      <c r="F27" s="449" t="str">
        <f>IFERROR(VLOOKUP(C27,MappingFromTTStoSU,2,FALSE),"SU Resource Role")</f>
        <v>DWMS</v>
      </c>
      <c r="G27" s="449"/>
      <c r="H27" s="449" t="str">
        <f>H26</f>
        <v>Program</v>
      </c>
      <c r="I27" s="408"/>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77"/>
      <c r="AM27" s="177"/>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8"/>
      <c r="BM27" s="187"/>
      <c r="BN27" s="82">
        <f t="shared" ref="BN27" si="53">SUMIF(I$8:BL$8, "&lt;&gt;"&amp;AgileIteration_Warranty,I27:BL27)*5*Scenario4Utilisation</f>
        <v>0</v>
      </c>
      <c r="BO27" s="82">
        <f t="shared" ref="BO27" si="54">BN27*Scenario4AgileContingency</f>
        <v>0</v>
      </c>
      <c r="BP27" s="82">
        <f t="shared" ref="BP27" si="55">IF(Scenario4Warranty=AgileWarrantyDefault, (SUMIF(I$8:BL$8,AgileIteration_Warranty,I27:BL27)*5*Scenario4Utilisation), (BN27*Scenario4Warranty))</f>
        <v>0</v>
      </c>
      <c r="BQ27" s="127">
        <f t="shared" ref="BQ27" si="56">SUM(BN27:BP27)</f>
        <v>0</v>
      </c>
    </row>
    <row r="28" spans="1:69" s="142" customFormat="1" ht="11.25" x14ac:dyDescent="0.2">
      <c r="A28" s="208">
        <v>1</v>
      </c>
      <c r="B28" s="209"/>
      <c r="C28" s="205" t="s">
        <v>612</v>
      </c>
      <c r="D28" s="205" t="s">
        <v>612</v>
      </c>
      <c r="E28" s="446"/>
      <c r="F28" s="446"/>
      <c r="G28" s="446"/>
      <c r="H28" s="447"/>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193"/>
      <c r="BM28" s="202"/>
      <c r="BN28" s="150"/>
      <c r="BO28" s="150"/>
      <c r="BP28" s="150"/>
      <c r="BQ28" s="150"/>
    </row>
    <row r="29" spans="1:69" s="74" customFormat="1" ht="11.25" x14ac:dyDescent="0.2">
      <c r="A29" s="210">
        <v>2</v>
      </c>
      <c r="B29" s="211" t="s">
        <v>593</v>
      </c>
      <c r="C29" s="348" t="str">
        <f>IFERROR(VLOOKUP(D29,MappingFromSetAgiletoTTSRole,2,FALSE),"SET Agile Resource Role")</f>
        <v>Architect</v>
      </c>
      <c r="D29" s="398" t="s">
        <v>614</v>
      </c>
      <c r="E29" s="448"/>
      <c r="F29" s="449" t="str">
        <f>IFERROR(VLOOKUP(C29,MappingFromTTStoSU,2,FALSE),"SU Resource Role")</f>
        <v>DWMS</v>
      </c>
      <c r="G29" s="449"/>
      <c r="H29" s="546" t="str">
        <f>C28</f>
        <v>Project</v>
      </c>
      <c r="I29" s="179"/>
      <c r="J29" s="179"/>
      <c r="K29" s="179"/>
      <c r="L29" s="179"/>
      <c r="M29" s="179"/>
      <c r="N29" s="179"/>
      <c r="O29" s="179"/>
      <c r="P29" s="179"/>
      <c r="Q29" s="179"/>
      <c r="R29" s="179"/>
      <c r="S29" s="179"/>
      <c r="T29" s="179"/>
      <c r="U29" s="179"/>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80"/>
      <c r="BM29" s="187"/>
      <c r="BN29" s="82">
        <f t="shared" ref="BN29" si="57">SUMIF(I$8:BL$8, "&lt;&gt;"&amp;AgileIteration_Warranty,I29:BL29)*5*Scenario4Utilisation</f>
        <v>0</v>
      </c>
      <c r="BO29" s="82">
        <f t="shared" ref="BO29" si="58">BN29*Scenario4AgileContingency</f>
        <v>0</v>
      </c>
      <c r="BP29" s="82">
        <f t="shared" ref="BP29" si="59">IF(Scenario4Warranty=AgileWarrantyDefault, (SUMIF(I$8:BL$8,AgileIteration_Warranty,I29:BL29)*5*Scenario4Utilisation), (BN29*Scenario4Warranty))</f>
        <v>0</v>
      </c>
      <c r="BQ29" s="127">
        <f>SUM(BN29:BP29)</f>
        <v>0</v>
      </c>
    </row>
    <row r="30" spans="1:69" s="74" customFormat="1" ht="11.25" x14ac:dyDescent="0.2">
      <c r="A30" s="210">
        <v>2</v>
      </c>
      <c r="B30" s="211" t="s">
        <v>593</v>
      </c>
      <c r="C30" s="348" t="str">
        <f>IFERROR(VLOOKUP(D30,MappingFromSetAgiletoTTSRole,2,FALSE),"SET Agile Resource Role")</f>
        <v>Business Consultant Sr</v>
      </c>
      <c r="D30" s="398" t="s">
        <v>615</v>
      </c>
      <c r="E30" s="448"/>
      <c r="F30" s="449" t="str">
        <f>IFERROR(VLOOKUP(C30,MappingFromTTStoSU,2,FALSE),"SU Resource Role")</f>
        <v>DWMS</v>
      </c>
      <c r="G30" s="449"/>
      <c r="H30" s="546" t="str">
        <f>H29</f>
        <v>Project</v>
      </c>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80"/>
      <c r="BM30" s="187"/>
      <c r="BN30" s="82">
        <f t="shared" ref="BN30" si="60">SUMIF(I$8:BL$8, "&lt;&gt;"&amp;AgileIteration_Warranty,I30:BL30)*5*Scenario4Utilisation</f>
        <v>0</v>
      </c>
      <c r="BO30" s="82">
        <f t="shared" ref="BO30" si="61">BN30*Scenario4AgileContingency</f>
        <v>0</v>
      </c>
      <c r="BP30" s="82">
        <f t="shared" ref="BP30" si="62">IF(Scenario4Warranty=AgileWarrantyDefault, (SUMIF(I$8:BL$8,AgileIteration_Warranty,I30:BL30)*5*Scenario4Utilisation), (BN30*Scenario4Warranty))</f>
        <v>0</v>
      </c>
      <c r="BQ30" s="127">
        <f>SUM(BN30:BP30)</f>
        <v>0</v>
      </c>
    </row>
    <row r="31" spans="1:69" s="74" customFormat="1" ht="11.25" x14ac:dyDescent="0.2">
      <c r="A31" s="210">
        <v>2</v>
      </c>
      <c r="B31" s="211" t="s">
        <v>593</v>
      </c>
      <c r="C31" s="348" t="str">
        <f>IFERROR(VLOOKUP(D31,MappingFromSetAgiletoTTSRole,2,FALSE),"SET Agile Resource Role")</f>
        <v>Project Manager</v>
      </c>
      <c r="D31" s="398" t="s">
        <v>616</v>
      </c>
      <c r="E31" s="448"/>
      <c r="F31" s="449" t="str">
        <f>IFERROR(VLOOKUP(C31,MappingFromTTStoSU,2,FALSE),"SU Resource Role")</f>
        <v>DWMS</v>
      </c>
      <c r="G31" s="449"/>
      <c r="H31" s="546" t="str">
        <f>H30</f>
        <v>Project</v>
      </c>
      <c r="I31" s="179"/>
      <c r="J31" s="179"/>
      <c r="K31" s="179"/>
      <c r="L31" s="179"/>
      <c r="M31" s="179"/>
      <c r="N31" s="179"/>
      <c r="O31" s="179"/>
      <c r="P31" s="179"/>
      <c r="Q31" s="179"/>
      <c r="R31" s="179"/>
      <c r="S31" s="179"/>
      <c r="T31" s="179"/>
      <c r="U31" s="179"/>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80"/>
      <c r="BM31" s="187"/>
      <c r="BN31" s="82">
        <f t="shared" ref="BN31" si="63">SUMIF(I$8:BL$8, "&lt;&gt;"&amp;AgileIteration_Warranty,I31:BL31)*5*Scenario4Utilisation</f>
        <v>0</v>
      </c>
      <c r="BO31" s="82">
        <f t="shared" ref="BO31" si="64">BN31*Scenario4AgileContingency</f>
        <v>0</v>
      </c>
      <c r="BP31" s="82">
        <f t="shared" ref="BP31" si="65">IF(Scenario4Warranty=AgileWarrantyDefault, (SUMIF(I$8:BL$8,AgileIteration_Warranty,I31:BL31)*5*Scenario4Utilisation), (BN31*Scenario4Warranty))</f>
        <v>0</v>
      </c>
      <c r="BQ31" s="127">
        <f>SUM(BN31:BP31)</f>
        <v>0</v>
      </c>
    </row>
    <row r="32" spans="1:69" s="74" customFormat="1" ht="11.25" x14ac:dyDescent="0.2">
      <c r="A32" s="210">
        <v>2</v>
      </c>
      <c r="B32" s="211" t="s">
        <v>593</v>
      </c>
      <c r="C32" s="348" t="str">
        <f>IFERROR(VLOOKUP(D32,MappingFromSetAgiletoTTSRole,2,FALSE),"SET Agile Resource Role")</f>
        <v>Project Manager</v>
      </c>
      <c r="D32" s="398" t="s">
        <v>622</v>
      </c>
      <c r="E32" s="448"/>
      <c r="F32" s="449" t="str">
        <f>IFERROR(VLOOKUP(C32,MappingFromTTStoSU,2,FALSE),"SU Resource Role")</f>
        <v>DWMS</v>
      </c>
      <c r="G32" s="449"/>
      <c r="H32" s="546" t="str">
        <f>H29</f>
        <v>Project</v>
      </c>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80"/>
      <c r="BM32" s="187"/>
      <c r="BN32" s="82">
        <f t="shared" ref="BN32" si="66">SUMIF(I$8:BL$8, "&lt;&gt;"&amp;AgileIteration_Warranty,I32:BL32)*5*Scenario4Utilisation</f>
        <v>0</v>
      </c>
      <c r="BO32" s="82">
        <f t="shared" ref="BO32" si="67">BN32*Scenario4AgileContingency</f>
        <v>0</v>
      </c>
      <c r="BP32" s="82">
        <f t="shared" ref="BP32" si="68">IF(Scenario4Warranty=AgileWarrantyDefault, (SUMIF(I$8:BL$8,AgileIteration_Warranty,I32:BL32)*5*Scenario4Utilisation), (BN32*Scenario4Warranty))</f>
        <v>0</v>
      </c>
      <c r="BQ32" s="127">
        <f>SUM(BN32:BP32)</f>
        <v>0</v>
      </c>
    </row>
    <row r="33" spans="1:69" s="142" customFormat="1" ht="11.25" x14ac:dyDescent="0.2">
      <c r="A33" s="208">
        <v>1</v>
      </c>
      <c r="B33" s="209"/>
      <c r="C33" s="205" t="s">
        <v>627</v>
      </c>
      <c r="D33" s="205" t="s">
        <v>627</v>
      </c>
      <c r="E33" s="446"/>
      <c r="F33" s="446"/>
      <c r="G33" s="446"/>
      <c r="H33" s="447"/>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193"/>
      <c r="BM33" s="202"/>
      <c r="BN33" s="150"/>
      <c r="BO33" s="150"/>
      <c r="BP33" s="150"/>
      <c r="BQ33" s="150"/>
    </row>
    <row r="34" spans="1:69" s="74" customFormat="1" ht="11.25" x14ac:dyDescent="0.2">
      <c r="A34" s="210">
        <v>2</v>
      </c>
      <c r="B34" s="211" t="s">
        <v>593</v>
      </c>
      <c r="C34" s="348" t="s">
        <v>628</v>
      </c>
      <c r="D34" s="398" t="s">
        <v>629</v>
      </c>
      <c r="E34" s="448"/>
      <c r="F34" s="449" t="s">
        <v>627</v>
      </c>
      <c r="G34" s="449"/>
      <c r="H34" s="546" t="str">
        <f>C33</f>
        <v>Platform Engineering</v>
      </c>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80"/>
      <c r="BM34" s="187"/>
      <c r="BN34" s="82">
        <f t="shared" ref="BN34" si="69">SUMIF(I$8:BL$8, "&lt;&gt;"&amp;AgileIteration_Warranty,I34:BL34)*5*Scenario4Utilisation</f>
        <v>0</v>
      </c>
      <c r="BO34" s="82">
        <f t="shared" ref="BO34" si="70">BN34*Scenario4AgileContingency</f>
        <v>0</v>
      </c>
      <c r="BP34" s="82">
        <f t="shared" ref="BP34" si="71">IF(Scenario4Warranty=AgileWarrantyDefault, (SUMIF(I$8:BL$8,AgileIteration_Warranty,I34:BL34)*5*Scenario4Utilisation), (BN34*Scenario4Warranty))</f>
        <v>0</v>
      </c>
      <c r="BQ34" s="127">
        <f>SUM(BN34:BP34)</f>
        <v>0</v>
      </c>
    </row>
    <row r="35" spans="1:69" s="74" customFormat="1" ht="11.25" x14ac:dyDescent="0.2">
      <c r="A35" s="210">
        <v>2</v>
      </c>
      <c r="B35" s="211" t="s">
        <v>593</v>
      </c>
      <c r="C35" s="348" t="str">
        <f>IFERROR(VLOOKUP(D35,MappingFromSetAgiletoTTSRole,2,FALSE),"SET Agile Resource Role")</f>
        <v>Technical Consultant</v>
      </c>
      <c r="D35" s="398" t="s">
        <v>629</v>
      </c>
      <c r="E35" s="448"/>
      <c r="F35" s="449" t="s">
        <v>627</v>
      </c>
      <c r="G35" s="449"/>
      <c r="H35" s="546" t="str">
        <f>H34</f>
        <v>Platform Engineering</v>
      </c>
      <c r="I35" s="179"/>
      <c r="J35" s="179"/>
      <c r="K35" s="179"/>
      <c r="L35" s="179"/>
      <c r="M35" s="179"/>
      <c r="N35" s="179"/>
      <c r="O35" s="179"/>
      <c r="P35" s="179"/>
      <c r="Q35" s="179"/>
      <c r="R35" s="179"/>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80"/>
      <c r="BM35" s="187"/>
      <c r="BN35" s="82">
        <f t="shared" ref="BN35" si="72">SUMIF(I$8:BL$8, "&lt;&gt;"&amp;AgileIteration_Warranty,I35:BL35)*5*Scenario4Utilisation</f>
        <v>0</v>
      </c>
      <c r="BO35" s="82">
        <f t="shared" ref="BO35" si="73">BN35*Scenario4AgileContingency</f>
        <v>0</v>
      </c>
      <c r="BP35" s="82">
        <f t="shared" ref="BP35" si="74">IF(Scenario4Warranty=AgileWarrantyDefault, (SUMIF(I$8:BL$8,AgileIteration_Warranty,I35:BL35)*5*Scenario4Utilisation), (BN35*Scenario4Warranty))</f>
        <v>0</v>
      </c>
      <c r="BQ35" s="127">
        <f>SUM(BN35:BP35)</f>
        <v>0</v>
      </c>
    </row>
    <row r="36" spans="1:69" s="74" customFormat="1" ht="11.25" x14ac:dyDescent="0.2">
      <c r="A36" s="210">
        <v>2</v>
      </c>
      <c r="B36" s="211" t="s">
        <v>593</v>
      </c>
      <c r="C36" s="348" t="str">
        <f>IFERROR(VLOOKUP(D36,MappingFromSetAgiletoTTSRole,2,FALSE),"SET Agile Resource Role")</f>
        <v>Technical Consultant</v>
      </c>
      <c r="D36" s="398" t="s">
        <v>631</v>
      </c>
      <c r="E36" s="448"/>
      <c r="F36" s="449" t="s">
        <v>627</v>
      </c>
      <c r="G36" s="449"/>
      <c r="H36" s="546" t="str">
        <f>H34</f>
        <v>Platform Engineering</v>
      </c>
      <c r="I36" s="179"/>
      <c r="J36" s="179"/>
      <c r="K36" s="179"/>
      <c r="L36" s="179"/>
      <c r="M36" s="179"/>
      <c r="N36" s="179"/>
      <c r="O36" s="179"/>
      <c r="P36" s="179"/>
      <c r="Q36" s="179"/>
      <c r="R36" s="179"/>
      <c r="S36" s="179"/>
      <c r="T36" s="179"/>
      <c r="U36" s="179"/>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80"/>
      <c r="BM36" s="187"/>
      <c r="BN36" s="82">
        <f t="shared" ref="BN36" si="75">SUMIF(I$8:BL$8, "&lt;&gt;"&amp;AgileIteration_Warranty,I36:BL36)*5*Scenario4Utilisation</f>
        <v>0</v>
      </c>
      <c r="BO36" s="82">
        <f t="shared" ref="BO36" si="76">BN36*Scenario4AgileContingency</f>
        <v>0</v>
      </c>
      <c r="BP36" s="82">
        <f t="shared" ref="BP36" si="77">IF(Scenario4Warranty=AgileWarrantyDefault, (SUMIF(I$8:BL$8,AgileIteration_Warranty,I36:BL36)*5*Scenario4Utilisation), (BN36*Scenario4Warranty))</f>
        <v>0</v>
      </c>
      <c r="BQ36" s="127">
        <f>SUM(BN36:BP36)</f>
        <v>0</v>
      </c>
    </row>
    <row r="37" spans="1:69" s="142" customFormat="1" ht="11.25" x14ac:dyDescent="0.2">
      <c r="A37" s="208">
        <v>1</v>
      </c>
      <c r="B37" s="209"/>
      <c r="C37" s="205" t="s">
        <v>632</v>
      </c>
      <c r="D37" s="205" t="s">
        <v>632</v>
      </c>
      <c r="E37" s="446"/>
      <c r="F37" s="446"/>
      <c r="G37" s="446"/>
      <c r="H37" s="447"/>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193"/>
      <c r="BM37" s="202"/>
      <c r="BN37" s="150"/>
      <c r="BO37" s="150"/>
      <c r="BP37" s="150"/>
      <c r="BQ37" s="150"/>
    </row>
    <row r="38" spans="1:69" s="74" customFormat="1" ht="11.25" x14ac:dyDescent="0.2">
      <c r="A38" s="210">
        <v>2</v>
      </c>
      <c r="B38" s="211" t="s">
        <v>593</v>
      </c>
      <c r="C38" s="348" t="str">
        <f>IFERROR(VLOOKUP(D38,MappingFromSetAgiletoTTSRole,2,FALSE),"SET Agile Resource Role")</f>
        <v>Test Consultant</v>
      </c>
      <c r="D38" s="398" t="s">
        <v>633</v>
      </c>
      <c r="E38" s="448"/>
      <c r="F38" s="449" t="str">
        <f>IFERROR(VLOOKUP(C38,MappingFromTTStoSU,2,FALSE),"SU Resource Role")</f>
        <v>DWMS</v>
      </c>
      <c r="G38" s="449"/>
      <c r="H38" s="546" t="str">
        <f>C37</f>
        <v>PI0</v>
      </c>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80"/>
      <c r="BM38" s="187"/>
      <c r="BN38" s="82">
        <f t="shared" ref="BN38" si="78">SUMIF(I$8:BL$8, "&lt;&gt;"&amp;AgileIteration_Warranty,I38:BL38)*5*Scenario4Utilisation</f>
        <v>0</v>
      </c>
      <c r="BO38" s="82">
        <f t="shared" ref="BO38" si="79">BN38*Scenario4AgileContingency</f>
        <v>0</v>
      </c>
      <c r="BP38" s="82">
        <f t="shared" ref="BP38" si="80">IF(Scenario4Warranty=AgileWarrantyDefault, (SUMIF(I$8:BL$8,AgileIteration_Warranty,I38:BL38)*5*Scenario4Utilisation), (BN38*Scenario4Warranty))</f>
        <v>0</v>
      </c>
      <c r="BQ38" s="127">
        <f>SUM(BN38:BP38)</f>
        <v>0</v>
      </c>
    </row>
    <row r="39" spans="1:69" s="74" customFormat="1" ht="11.25" x14ac:dyDescent="0.2">
      <c r="A39" s="210">
        <v>2</v>
      </c>
      <c r="B39" s="211" t="s">
        <v>593</v>
      </c>
      <c r="C39" s="348" t="str">
        <f>IFERROR(VLOOKUP(D39,MappingFromSetAgiletoTTSRole,2,FALSE),"SET Agile Resource Role")</f>
        <v>Test Consultant Sr</v>
      </c>
      <c r="D39" s="398" t="s">
        <v>634</v>
      </c>
      <c r="E39" s="448"/>
      <c r="F39" s="449" t="str">
        <f>IFERROR(VLOOKUP(C39,MappingFromTTStoSU,2,FALSE),"SU Resource Role")</f>
        <v>DWMS</v>
      </c>
      <c r="G39" s="449"/>
      <c r="H39" s="546" t="str">
        <f>H38</f>
        <v>PI0</v>
      </c>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80"/>
      <c r="BM39" s="187"/>
      <c r="BN39" s="82">
        <f t="shared" ref="BN39" si="81">SUMIF(I$8:BL$8, "&lt;&gt;"&amp;AgileIteration_Warranty,I39:BL39)*5*Scenario4Utilisation</f>
        <v>0</v>
      </c>
      <c r="BO39" s="82">
        <f t="shared" ref="BO39" si="82">BN39*Scenario4AgileContingency</f>
        <v>0</v>
      </c>
      <c r="BP39" s="82">
        <f t="shared" ref="BP39" si="83">IF(Scenario4Warranty=AgileWarrantyDefault, (SUMIF(I$8:BL$8,AgileIteration_Warranty,I39:BL39)*5*Scenario4Utilisation), (BN39*Scenario4Warranty))</f>
        <v>0</v>
      </c>
      <c r="BQ39" s="127">
        <f>SUM(BN39:BP39)</f>
        <v>0</v>
      </c>
    </row>
    <row r="40" spans="1:69" s="74" customFormat="1" ht="11.25" x14ac:dyDescent="0.2">
      <c r="A40" s="210">
        <v>2</v>
      </c>
      <c r="B40" s="211" t="s">
        <v>593</v>
      </c>
      <c r="C40" s="348" t="s">
        <v>635</v>
      </c>
      <c r="D40" s="398" t="s">
        <v>636</v>
      </c>
      <c r="E40" s="448"/>
      <c r="F40" s="449" t="str">
        <f>IFERROR(VLOOKUP(C40,MappingFromTTStoSU,2,FALSE),"SU Resource Role")</f>
        <v>DWMS</v>
      </c>
      <c r="G40" s="449"/>
      <c r="H40" s="546" t="str">
        <f>H39</f>
        <v>PI0</v>
      </c>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80"/>
      <c r="BM40" s="187"/>
      <c r="BN40" s="82">
        <f t="shared" ref="BN40" si="84">SUMIF(I$8:BL$8, "&lt;&gt;"&amp;AgileIteration_Warranty,I40:BL40)*5*Scenario4Utilisation</f>
        <v>0</v>
      </c>
      <c r="BO40" s="82">
        <f t="shared" ref="BO40" si="85">BN40*Scenario4AgileContingency</f>
        <v>0</v>
      </c>
      <c r="BP40" s="82">
        <f t="shared" ref="BP40" si="86">IF(Scenario4Warranty=AgileWarrantyDefault, (SUMIF(I$8:BL$8,AgileIteration_Warranty,I40:BL40)*5*Scenario4Utilisation), (BN40*Scenario4Warranty))</f>
        <v>0</v>
      </c>
      <c r="BQ40" s="127">
        <f>SUM(BN40:BP40)</f>
        <v>0</v>
      </c>
    </row>
    <row r="41" spans="1:69" s="142" customFormat="1" ht="13.35" customHeight="1" x14ac:dyDescent="0.2">
      <c r="A41" s="208">
        <v>1</v>
      </c>
      <c r="B41" s="209"/>
      <c r="C41" s="549" t="s">
        <v>637</v>
      </c>
      <c r="D41" s="550" t="s">
        <v>637</v>
      </c>
      <c r="E41" s="549"/>
      <c r="F41" s="553"/>
      <c r="G41" s="553"/>
      <c r="H41" s="554"/>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193"/>
      <c r="BM41" s="202"/>
      <c r="BN41" s="150"/>
      <c r="BO41" s="150"/>
      <c r="BP41" s="150"/>
      <c r="BQ41" s="150"/>
    </row>
    <row r="42" spans="1:69" s="74" customFormat="1" ht="11.25" x14ac:dyDescent="0.2">
      <c r="A42" s="210">
        <v>2</v>
      </c>
      <c r="B42" s="211" t="s">
        <v>593</v>
      </c>
      <c r="C42" s="348" t="str">
        <f>IFERROR(VLOOKUP(D42,MappingFromSetAgiletoTTSRole,2,FALSE),"SET Agile Resource Role")</f>
        <v>Test Consultant</v>
      </c>
      <c r="D42" s="398" t="s">
        <v>633</v>
      </c>
      <c r="E42" s="448"/>
      <c r="F42" s="449" t="str">
        <f>IFERROR(VLOOKUP(C42,MappingFromTTStoSU,2,FALSE),"SU Resource Role")</f>
        <v>DWMS</v>
      </c>
      <c r="G42" s="449" t="s">
        <v>638</v>
      </c>
      <c r="H42" s="546" t="str">
        <f>C41</f>
        <v>Automation</v>
      </c>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80"/>
      <c r="BM42" s="187"/>
      <c r="BN42" s="82">
        <f t="shared" ref="BN42" si="87">SUMIF(I$8:BL$8, "&lt;&gt;"&amp;AgileIteration_Warranty,I42:BL42)*5*Scenario4Utilisation</f>
        <v>0</v>
      </c>
      <c r="BO42" s="82">
        <f t="shared" ref="BO42" si="88">BN42*Scenario4AgileContingency</f>
        <v>0</v>
      </c>
      <c r="BP42" s="82">
        <f t="shared" ref="BP42" si="89">IF(Scenario4Warranty=AgileWarrantyDefault, (SUMIF(I$8:BL$8,AgileIteration_Warranty,I42:BL42)*5*Scenario4Utilisation), (BN42*Scenario4Warranty))</f>
        <v>0</v>
      </c>
      <c r="BQ42" s="127">
        <f>SUM(BN42:BP42)</f>
        <v>0</v>
      </c>
    </row>
    <row r="43" spans="1:69" s="74" customFormat="1" ht="11.25" x14ac:dyDescent="0.2">
      <c r="A43" s="210">
        <v>2</v>
      </c>
      <c r="B43" s="211" t="s">
        <v>593</v>
      </c>
      <c r="C43" s="348" t="str">
        <f>IFERROR(VLOOKUP(D43,MappingFromSetAgiletoTTSRole,2,FALSE),"SET Agile Resource Role")</f>
        <v>Test Consultant Sr</v>
      </c>
      <c r="D43" s="398" t="s">
        <v>634</v>
      </c>
      <c r="E43" s="448"/>
      <c r="F43" s="449" t="str">
        <f>IFERROR(VLOOKUP(C43,MappingFromTTStoSU,2,FALSE),"SU Resource Role")</f>
        <v>DWMS</v>
      </c>
      <c r="G43" s="449" t="s">
        <v>639</v>
      </c>
      <c r="H43" s="546" t="str">
        <f>H42</f>
        <v>Automation</v>
      </c>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80"/>
      <c r="BM43" s="187"/>
      <c r="BN43" s="82">
        <f t="shared" ref="BN43" si="90">SUMIF(I$8:BL$8, "&lt;&gt;"&amp;AgileIteration_Warranty,I43:BL43)*5*Scenario4Utilisation</f>
        <v>0</v>
      </c>
      <c r="BO43" s="82">
        <f t="shared" ref="BO43" si="91">BN43*Scenario4AgileContingency</f>
        <v>0</v>
      </c>
      <c r="BP43" s="82">
        <f t="shared" ref="BP43" si="92">IF(Scenario4Warranty=AgileWarrantyDefault, (SUMIF(I$8:BL$8,AgileIteration_Warranty,I43:BL43)*5*Scenario4Utilisation), (BN43*Scenario4Warranty))</f>
        <v>0</v>
      </c>
      <c r="BQ43" s="127">
        <f>SUM(BN43:BP43)</f>
        <v>0</v>
      </c>
    </row>
    <row r="44" spans="1:69" s="74" customFormat="1" ht="11.25" x14ac:dyDescent="0.2">
      <c r="A44" s="210">
        <v>1</v>
      </c>
      <c r="B44" s="211" t="s">
        <v>734</v>
      </c>
      <c r="C44" s="206" t="s">
        <v>640</v>
      </c>
      <c r="D44" s="206" t="s">
        <v>640</v>
      </c>
      <c r="E44" s="418"/>
      <c r="F44" s="418"/>
      <c r="G44" s="418"/>
      <c r="H44" s="419"/>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185"/>
      <c r="BM44" s="187"/>
      <c r="BN44" s="127"/>
      <c r="BO44" s="127"/>
      <c r="BP44" s="127"/>
      <c r="BQ44" s="127"/>
    </row>
    <row r="45" spans="1:69" s="74" customFormat="1" ht="11.25" x14ac:dyDescent="0.2">
      <c r="A45" s="581">
        <v>2</v>
      </c>
      <c r="B45" s="584" t="s">
        <v>734</v>
      </c>
      <c r="C45" s="598" t="str">
        <f>IFERROR(VLOOKUP(D45,MappingFromSetAgiletoTTSRole,2,FALSE),"SET Agile Resource Role")</f>
        <v>Project Manager</v>
      </c>
      <c r="D45" s="398" t="s">
        <v>650</v>
      </c>
      <c r="E45" s="448"/>
      <c r="F45" s="449" t="s">
        <v>607</v>
      </c>
      <c r="G45" s="449"/>
      <c r="H45" s="541" t="str">
        <f>C44</f>
        <v>Data Migration</v>
      </c>
      <c r="I45" s="406"/>
      <c r="J45" s="179"/>
      <c r="K45" s="179"/>
      <c r="L45" s="179"/>
      <c r="M45" s="179"/>
      <c r="N45" s="179"/>
      <c r="O45" s="179"/>
      <c r="P45" s="179"/>
      <c r="Q45" s="181"/>
      <c r="R45" s="181"/>
      <c r="S45" s="181"/>
      <c r="T45" s="181"/>
      <c r="U45" s="181"/>
      <c r="V45" s="181"/>
      <c r="W45" s="181"/>
      <c r="X45" s="181"/>
      <c r="Y45" s="181"/>
      <c r="Z45" s="181"/>
      <c r="AA45" s="181"/>
      <c r="AB45" s="181"/>
      <c r="AC45" s="181"/>
      <c r="AD45" s="181"/>
      <c r="AE45" s="181"/>
      <c r="AF45" s="181"/>
      <c r="AG45" s="181"/>
      <c r="AH45" s="181"/>
      <c r="AI45" s="181"/>
      <c r="AJ45" s="181"/>
      <c r="AK45" s="181"/>
      <c r="AL45" s="181"/>
      <c r="AM45" s="181"/>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583"/>
      <c r="BM45" s="187"/>
      <c r="BN45" s="82">
        <f>SUMIF(I$8:BL$8, "&lt;&gt;"&amp;AgileIteration_Warranty,I45:BL45)*5*Scenario4Utilisation</f>
        <v>0</v>
      </c>
      <c r="BO45" s="82">
        <f t="shared" si="8"/>
        <v>0</v>
      </c>
      <c r="BP45" s="82">
        <f>IF(Scenario4Warranty=AgileWarrantyDefault, (SUMIF(I$8:BL$8,AgileIteration_Warranty,I45:BL45)*5*Scenario4Utilisation), (BN45*Scenario4Warranty))</f>
        <v>0</v>
      </c>
      <c r="BQ45" s="127">
        <f t="shared" si="9"/>
        <v>0</v>
      </c>
    </row>
    <row r="46" spans="1:69" s="74" customFormat="1" ht="11.25" x14ac:dyDescent="0.2">
      <c r="A46" s="210">
        <v>2</v>
      </c>
      <c r="B46" s="211" t="s">
        <v>734</v>
      </c>
      <c r="C46" s="348" t="str">
        <f>IFERROR(VLOOKUP(D46,MappingFromSetAgiletoTTSRole,2,FALSE),"SET Agile Resource Role")</f>
        <v>Architect</v>
      </c>
      <c r="D46" s="398" t="s">
        <v>726</v>
      </c>
      <c r="E46" s="448"/>
      <c r="F46" s="449" t="str">
        <f>IFERROR(VLOOKUP(C46,MappingFromTTStoSU,2,FALSE),"SU Resource Role")</f>
        <v>DWMS</v>
      </c>
      <c r="G46" s="449"/>
      <c r="H46" s="541" t="str">
        <f>H45</f>
        <v>Data Migration</v>
      </c>
      <c r="I46" s="406"/>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81"/>
      <c r="AL46" s="181"/>
      <c r="AM46" s="181"/>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80"/>
      <c r="BM46" s="187"/>
      <c r="BN46" s="82">
        <f>SUMIF(I$8:BL$8, "&lt;&gt;"&amp;AgileIteration_Warranty,I46:BL46)*5*Scenario4Utilisation</f>
        <v>0</v>
      </c>
      <c r="BO46" s="82">
        <f t="shared" ref="BO46" si="93">BN46*Scenario4AgileContingency</f>
        <v>0</v>
      </c>
      <c r="BP46" s="82">
        <f>IF(Scenario4Warranty=AgileWarrantyDefault, (SUMIF(I$8:BL$8,AgileIteration_Warranty,I46:BL46)*5*Scenario4Utilisation), (BN46*Scenario4Warranty))</f>
        <v>0</v>
      </c>
      <c r="BQ46" s="127">
        <f t="shared" ref="BQ46" si="94">SUM(BN46:BP46)</f>
        <v>0</v>
      </c>
    </row>
    <row r="47" spans="1:69" s="74" customFormat="1" ht="11.25" x14ac:dyDescent="0.2">
      <c r="A47" s="210">
        <v>2</v>
      </c>
      <c r="B47" s="211" t="s">
        <v>734</v>
      </c>
      <c r="C47" s="348" t="s">
        <v>635</v>
      </c>
      <c r="D47" s="398" t="s">
        <v>727</v>
      </c>
      <c r="E47" s="448"/>
      <c r="F47" s="449" t="str">
        <f>IFERROR(VLOOKUP(C47,MappingFromTTStoSU,2,FALSE),"SU Resource Role")</f>
        <v>DWMS</v>
      </c>
      <c r="G47" s="449"/>
      <c r="H47" s="541" t="str">
        <f>H45</f>
        <v>Data Migration</v>
      </c>
      <c r="I47" s="406"/>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81"/>
      <c r="AL47" s="181"/>
      <c r="AM47" s="181"/>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80"/>
      <c r="BM47" s="187"/>
      <c r="BN47" s="82">
        <f>SUMIF(I$8:BL$8, "&lt;&gt;"&amp;AgileIteration_Warranty,I47:BL47)*5*Scenario4Utilisation</f>
        <v>0</v>
      </c>
      <c r="BO47" s="82">
        <f t="shared" ref="BO47" si="95">BN47*Scenario4AgileContingency</f>
        <v>0</v>
      </c>
      <c r="BP47" s="82">
        <f>IF(Scenario4Warranty=AgileWarrantyDefault, (SUMIF(I$8:BL$8,AgileIteration_Warranty,I47:BL47)*5*Scenario4Utilisation), (BN47*Scenario4Warranty))</f>
        <v>0</v>
      </c>
      <c r="BQ47" s="127">
        <f t="shared" ref="BQ47" si="96">SUM(BN47:BP47)</f>
        <v>0</v>
      </c>
    </row>
    <row r="48" spans="1:69" s="74" customFormat="1" ht="11.25" x14ac:dyDescent="0.2">
      <c r="A48" s="210">
        <v>2</v>
      </c>
      <c r="B48" s="211" t="s">
        <v>734</v>
      </c>
      <c r="C48" s="348" t="str">
        <f>IFERROR(VLOOKUP(D48,MappingFromSetAgiletoTTSRole,2,FALSE),"SET Agile Resource Role")</f>
        <v>Software Developer</v>
      </c>
      <c r="D48" s="398" t="s">
        <v>728</v>
      </c>
      <c r="E48" s="448"/>
      <c r="F48" s="449" t="str">
        <f>IFERROR(VLOOKUP(C48,MappingFromTTStoSU,2,FALSE),"SU Resource Role")</f>
        <v>DWMS</v>
      </c>
      <c r="G48" s="449"/>
      <c r="H48" s="541" t="str">
        <f>H45</f>
        <v>Data Migration</v>
      </c>
      <c r="I48" s="406"/>
      <c r="J48" s="179"/>
      <c r="K48" s="179"/>
      <c r="L48" s="179"/>
      <c r="M48" s="179"/>
      <c r="N48" s="179"/>
      <c r="O48" s="179"/>
      <c r="P48" s="179"/>
      <c r="Q48" s="181"/>
      <c r="R48" s="181"/>
      <c r="S48" s="181"/>
      <c r="T48" s="181"/>
      <c r="U48" s="181"/>
      <c r="V48" s="181"/>
      <c r="W48" s="181"/>
      <c r="X48" s="181"/>
      <c r="Y48" s="181"/>
      <c r="Z48" s="181"/>
      <c r="AA48" s="181"/>
      <c r="AB48" s="181"/>
      <c r="AC48" s="181"/>
      <c r="AD48" s="181"/>
      <c r="AE48" s="181"/>
      <c r="AF48" s="181"/>
      <c r="AG48" s="181"/>
      <c r="AH48" s="181"/>
      <c r="AI48" s="181"/>
      <c r="AJ48" s="181"/>
      <c r="AK48" s="181"/>
      <c r="AL48" s="181"/>
      <c r="AM48" s="181"/>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80"/>
      <c r="BM48" s="187"/>
      <c r="BN48" s="82">
        <f>SUMIF(I$8:BL$8, "&lt;&gt;"&amp;AgileIteration_Warranty,I48:BL48)*5*Scenario4Utilisation</f>
        <v>0</v>
      </c>
      <c r="BO48" s="82">
        <f t="shared" ref="BO48" si="97">BN48*Scenario4AgileContingency</f>
        <v>0</v>
      </c>
      <c r="BP48" s="82">
        <f>IF(Scenario4Warranty=AgileWarrantyDefault, (SUMIF(I$8:BL$8,AgileIteration_Warranty,I48:BL48)*5*Scenario4Utilisation), (BN48*Scenario4Warranty))</f>
        <v>0</v>
      </c>
      <c r="BQ48" s="127">
        <f t="shared" ref="BQ48" si="98">SUM(BN48:BP48)</f>
        <v>0</v>
      </c>
    </row>
    <row r="49" spans="1:69" s="74" customFormat="1" ht="11.25" x14ac:dyDescent="0.2">
      <c r="A49" s="210">
        <v>1</v>
      </c>
      <c r="B49" s="211" t="s">
        <v>734</v>
      </c>
      <c r="C49" s="206" t="s">
        <v>652</v>
      </c>
      <c r="D49" s="206" t="s">
        <v>652</v>
      </c>
      <c r="E49" s="418"/>
      <c r="F49" s="418"/>
      <c r="G49" s="418"/>
      <c r="H49" s="419"/>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185"/>
      <c r="BM49" s="187"/>
      <c r="BN49" s="127"/>
      <c r="BO49" s="127"/>
      <c r="BP49" s="127"/>
      <c r="BQ49" s="127"/>
    </row>
    <row r="50" spans="1:69" s="74" customFormat="1" ht="11.25" x14ac:dyDescent="0.2">
      <c r="A50" s="210">
        <v>2</v>
      </c>
      <c r="B50" s="211" t="s">
        <v>734</v>
      </c>
      <c r="C50" s="348" t="str">
        <f>IFERROR(VLOOKUP(D50,MappingFromSetAgiletoTTSRole,2,FALSE),"SET Agile Resource Role")</f>
        <v>Architect Sr</v>
      </c>
      <c r="D50" s="398" t="s">
        <v>606</v>
      </c>
      <c r="E50" s="448"/>
      <c r="F50" s="449" t="str">
        <f>IFERROR(VLOOKUP(C50,MappingFromTTStoSU,2,FALSE),"SU Resource Role")</f>
        <v>DWMS</v>
      </c>
      <c r="G50" s="449"/>
      <c r="H50" s="541" t="str">
        <f>C49</f>
        <v>Integration</v>
      </c>
      <c r="I50" s="406"/>
      <c r="J50" s="179"/>
      <c r="K50" s="179"/>
      <c r="L50" s="179"/>
      <c r="M50" s="179"/>
      <c r="N50" s="179"/>
      <c r="O50" s="179"/>
      <c r="P50" s="179"/>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80"/>
      <c r="BM50" s="187"/>
      <c r="BN50" s="82">
        <f>SUMIF(I$8:BL$8, "&lt;&gt;"&amp;AgileIteration_Warranty,I50:BL50)*5*Scenario4Utilisation</f>
        <v>0</v>
      </c>
      <c r="BO50" s="82">
        <f t="shared" ref="BO50" si="99">BN50*Scenario4AgileContingency</f>
        <v>0</v>
      </c>
      <c r="BP50" s="82">
        <f>IF(Scenario4Warranty=AgileWarrantyDefault, (SUMIF(I$8:BL$8,AgileIteration_Warranty,I50:BL50)*5*Scenario4Utilisation), (BN50*Scenario4Warranty))</f>
        <v>0</v>
      </c>
      <c r="BQ50" s="127">
        <f t="shared" ref="BQ50" si="100">SUM(BN50:BP50)</f>
        <v>0</v>
      </c>
    </row>
    <row r="51" spans="1:69" s="74" customFormat="1" ht="11.25" x14ac:dyDescent="0.2">
      <c r="A51" s="210">
        <v>2</v>
      </c>
      <c r="B51" s="211" t="s">
        <v>734</v>
      </c>
      <c r="C51" s="348" t="str">
        <f>IFERROR(VLOOKUP(D51,MappingFromSetAgiletoTTSRole,2,FALSE),"SET Agile Resource Role")</f>
        <v>Project Manager</v>
      </c>
      <c r="D51" s="398" t="s">
        <v>599</v>
      </c>
      <c r="E51" s="448"/>
      <c r="F51" s="449" t="str">
        <f>IFERROR(VLOOKUP(C51,MappingFromTTStoSU,2,FALSE),"SU Resource Role")</f>
        <v>DWMS</v>
      </c>
      <c r="G51" s="449"/>
      <c r="H51" s="541" t="str">
        <f>H50</f>
        <v>Integration</v>
      </c>
      <c r="I51" s="406"/>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80"/>
      <c r="BM51" s="187"/>
      <c r="BN51" s="82">
        <f>SUMIF(I$8:BL$8, "&lt;&gt;"&amp;AgileIteration_Warranty,I51:BL51)*5*Scenario4Utilisation</f>
        <v>0</v>
      </c>
      <c r="BO51" s="82">
        <f t="shared" ref="BO51" si="101">BN51*Scenario4AgileContingency</f>
        <v>0</v>
      </c>
      <c r="BP51" s="82">
        <f>IF(Scenario4Warranty=AgileWarrantyDefault, (SUMIF(I$8:BL$8,AgileIteration_Warranty,I51:BL51)*5*Scenario4Utilisation), (BN51*Scenario4Warranty))</f>
        <v>0</v>
      </c>
      <c r="BQ51" s="127">
        <f t="shared" ref="BQ51" si="102">SUM(BN51:BP51)</f>
        <v>0</v>
      </c>
    </row>
    <row r="52" spans="1:69" s="74" customFormat="1" ht="11.25" x14ac:dyDescent="0.2">
      <c r="A52" s="210">
        <v>2</v>
      </c>
      <c r="B52" s="211" t="s">
        <v>734</v>
      </c>
      <c r="C52" s="348" t="str">
        <f>IFERROR(VLOOKUP(D52,MappingFromSetAgiletoTTSRole,2,FALSE),"SET Agile Resource Role")</f>
        <v>Business Consultant</v>
      </c>
      <c r="D52" s="398" t="s">
        <v>584</v>
      </c>
      <c r="E52" s="448"/>
      <c r="F52" s="449" t="str">
        <f>IFERROR(VLOOKUP(C52,MappingFromTTStoSU,2,FALSE),"SU Resource Role")</f>
        <v>DWMS</v>
      </c>
      <c r="G52" s="449"/>
      <c r="H52" s="541" t="str">
        <f>H51</f>
        <v>Integration</v>
      </c>
      <c r="I52" s="406"/>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80"/>
      <c r="BM52" s="187"/>
      <c r="BN52" s="82">
        <f>SUMIF(I$8:BL$8, "&lt;&gt;"&amp;AgileIteration_Warranty,I52:BL52)*5*Scenario4Utilisation</f>
        <v>0</v>
      </c>
      <c r="BO52" s="82">
        <f t="shared" ref="BO52" si="103">BN52*Scenario4AgileContingency</f>
        <v>0</v>
      </c>
      <c r="BP52" s="82">
        <f>IF(Scenario4Warranty=AgileWarrantyDefault, (SUMIF(I$8:BL$8,AgileIteration_Warranty,I52:BL52)*5*Scenario4Utilisation), (BN52*Scenario4Warranty))</f>
        <v>0</v>
      </c>
      <c r="BQ52" s="127">
        <f t="shared" ref="BQ52" si="104">SUM(BN52:BP52)</f>
        <v>0</v>
      </c>
    </row>
    <row r="53" spans="1:69" s="74" customFormat="1" ht="11.25" x14ac:dyDescent="0.2">
      <c r="A53" s="210">
        <v>1</v>
      </c>
      <c r="B53" s="211" t="s">
        <v>734</v>
      </c>
      <c r="C53" s="206" t="s">
        <v>518</v>
      </c>
      <c r="D53" s="206" t="s">
        <v>518</v>
      </c>
      <c r="E53" s="418"/>
      <c r="F53" s="418"/>
      <c r="G53" s="418"/>
      <c r="H53" s="419"/>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185"/>
      <c r="BM53" s="187"/>
      <c r="BN53" s="127"/>
      <c r="BO53" s="127"/>
      <c r="BP53" s="127"/>
      <c r="BQ53" s="127"/>
    </row>
    <row r="54" spans="1:69" s="74" customFormat="1" ht="11.25" x14ac:dyDescent="0.2">
      <c r="A54" s="210">
        <v>2</v>
      </c>
      <c r="B54" s="211" t="s">
        <v>734</v>
      </c>
      <c r="C54" s="348" t="s">
        <v>658</v>
      </c>
      <c r="D54" s="398" t="s">
        <v>636</v>
      </c>
      <c r="E54" s="448" t="s">
        <v>600</v>
      </c>
      <c r="F54" s="449" t="str">
        <f>IFERROR(VLOOKUP(C54,MappingFromTTStoSU,2,FALSE),"SU Resource Role")</f>
        <v>DWMS</v>
      </c>
      <c r="G54" s="449"/>
      <c r="H54" s="541" t="str">
        <f>C53</f>
        <v>Non-CUT</v>
      </c>
      <c r="I54" s="406"/>
      <c r="J54" s="179"/>
      <c r="K54" s="179"/>
      <c r="L54" s="179"/>
      <c r="M54" s="179"/>
      <c r="N54" s="179"/>
      <c r="O54" s="179"/>
      <c r="P54" s="179"/>
      <c r="Q54" s="181"/>
      <c r="R54" s="181"/>
      <c r="S54" s="181"/>
      <c r="T54" s="181"/>
      <c r="U54" s="181"/>
      <c r="V54" s="181"/>
      <c r="W54" s="181"/>
      <c r="X54" s="181"/>
      <c r="Y54" s="181"/>
      <c r="Z54" s="181"/>
      <c r="AA54" s="181"/>
      <c r="AB54" s="181"/>
      <c r="AC54" s="181"/>
      <c r="AD54" s="181"/>
      <c r="AE54" s="181"/>
      <c r="AF54" s="181"/>
      <c r="AG54" s="181"/>
      <c r="AH54" s="181"/>
      <c r="AI54" s="181"/>
      <c r="AJ54" s="181"/>
      <c r="AK54" s="181"/>
      <c r="AL54" s="181"/>
      <c r="AM54" s="181"/>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80"/>
      <c r="BM54" s="187"/>
      <c r="BN54" s="82">
        <f>SUMIF(I$8:BL$8, "&lt;&gt;"&amp;AgileIteration_Warranty,I54:BL54)*5*Scenario4Utilisation</f>
        <v>0</v>
      </c>
      <c r="BO54" s="82">
        <f t="shared" ref="BO54" si="105">BN54*Scenario4AgileContingency</f>
        <v>0</v>
      </c>
      <c r="BP54" s="82">
        <f>IF(Scenario4Warranty=AgileWarrantyDefault, (SUMIF(I$8:BL$8,AgileIteration_Warranty,I54:BL54)*5*Scenario4Utilisation), (BN54*Scenario4Warranty))</f>
        <v>0</v>
      </c>
      <c r="BQ54" s="127">
        <f t="shared" ref="BQ54" si="106">SUM(BN54:BP54)</f>
        <v>0</v>
      </c>
    </row>
    <row r="55" spans="1:69" s="74" customFormat="1" ht="11.25" x14ac:dyDescent="0.2">
      <c r="A55" s="210">
        <v>2</v>
      </c>
      <c r="B55" s="211" t="s">
        <v>734</v>
      </c>
      <c r="C55" s="348" t="s">
        <v>635</v>
      </c>
      <c r="D55" s="398" t="s">
        <v>636</v>
      </c>
      <c r="E55" s="448" t="s">
        <v>600</v>
      </c>
      <c r="F55" s="449" t="str">
        <f>IFERROR(VLOOKUP(C55,MappingFromTTStoSU,2,FALSE),"SU Resource Role")</f>
        <v>DWMS</v>
      </c>
      <c r="G55" s="449"/>
      <c r="H55" s="541" t="str">
        <f>H54</f>
        <v>Non-CUT</v>
      </c>
      <c r="I55" s="406"/>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80"/>
      <c r="BM55" s="187"/>
      <c r="BN55" s="82">
        <f>SUMIF(I$8:BL$8, "&lt;&gt;"&amp;AgileIteration_Warranty,I55:BL55)*5*Scenario4Utilisation</f>
        <v>0</v>
      </c>
      <c r="BO55" s="82">
        <f t="shared" ref="BO55" si="107">BN55*Scenario4AgileContingency</f>
        <v>0</v>
      </c>
      <c r="BP55" s="82">
        <f>IF(Scenario4Warranty=AgileWarrantyDefault, (SUMIF(I$8:BL$8,AgileIteration_Warranty,I55:BL55)*5*Scenario4Utilisation), (BN55*Scenario4Warranty))</f>
        <v>0</v>
      </c>
      <c r="BQ55" s="127">
        <f t="shared" ref="BQ55" si="108">SUM(BN55:BP55)</f>
        <v>0</v>
      </c>
    </row>
    <row r="56" spans="1:69" s="74" customFormat="1" ht="11.25" x14ac:dyDescent="0.2">
      <c r="A56" s="210">
        <v>2</v>
      </c>
      <c r="B56" s="211" t="s">
        <v>734</v>
      </c>
      <c r="C56" s="348" t="str">
        <f>IFERROR(VLOOKUP(D56,MappingFromSetAgiletoTTSRole,2,FALSE),"SET Agile Resource Role")</f>
        <v>Software Developer</v>
      </c>
      <c r="D56" s="398" t="s">
        <v>636</v>
      </c>
      <c r="E56" s="448" t="s">
        <v>600</v>
      </c>
      <c r="F56" s="449" t="str">
        <f>IFERROR(VLOOKUP(C56,MappingFromTTStoSU,2,FALSE),"SU Resource Role")</f>
        <v>DWMS</v>
      </c>
      <c r="G56" s="449"/>
      <c r="H56" s="541" t="str">
        <f>H54</f>
        <v>Non-CUT</v>
      </c>
      <c r="I56" s="406"/>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81"/>
      <c r="AL56" s="181"/>
      <c r="AM56" s="181"/>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80"/>
      <c r="BM56" s="187"/>
      <c r="BN56" s="82">
        <f>SUMIF(I$8:BL$8, "&lt;&gt;"&amp;AgileIteration_Warranty,I56:BL56)*5*Scenario4Utilisation</f>
        <v>0</v>
      </c>
      <c r="BO56" s="82">
        <f t="shared" ref="BO56" si="109">BN56*Scenario4AgileContingency</f>
        <v>0</v>
      </c>
      <c r="BP56" s="82">
        <f>IF(Scenario4Warranty=AgileWarrantyDefault, (SUMIF(I$8:BL$8,AgileIteration_Warranty,I56:BL56)*5*Scenario4Utilisation), (BN56*Scenario4Warranty))</f>
        <v>0</v>
      </c>
      <c r="BQ56" s="127">
        <f t="shared" ref="BQ56" si="110">SUM(BN56:BP56)</f>
        <v>0</v>
      </c>
    </row>
    <row r="57" spans="1:69" s="74" customFormat="1" ht="11.25" x14ac:dyDescent="0.2">
      <c r="A57" s="210">
        <v>2</v>
      </c>
      <c r="B57" s="211" t="s">
        <v>734</v>
      </c>
      <c r="C57" s="348" t="str">
        <f>IFERROR(VLOOKUP(D57,MappingFromSetAgiletoTTSRole,2,FALSE),"SET Agile Resource Role")</f>
        <v>Test Consultant</v>
      </c>
      <c r="D57" s="398" t="s">
        <v>633</v>
      </c>
      <c r="E57" s="448" t="s">
        <v>600</v>
      </c>
      <c r="F57" s="449" t="str">
        <f>IFERROR(VLOOKUP(C57,MappingFromTTStoSU,2,FALSE),"SU Resource Role")</f>
        <v>DWMS</v>
      </c>
      <c r="G57" s="449"/>
      <c r="H57" s="541" t="str">
        <f>H54</f>
        <v>Non-CUT</v>
      </c>
      <c r="I57" s="406"/>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81"/>
      <c r="AL57" s="181"/>
      <c r="AM57" s="181"/>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80"/>
      <c r="BM57" s="187"/>
      <c r="BN57" s="82">
        <f>SUMIF(I$8:BL$8, "&lt;&gt;"&amp;AgileIteration_Warranty,I57:BL57)*5*Scenario4Utilisation</f>
        <v>0</v>
      </c>
      <c r="BO57" s="82">
        <f t="shared" ref="BO57" si="111">BN57*Scenario4AgileContingency</f>
        <v>0</v>
      </c>
      <c r="BP57" s="82">
        <f>IF(Scenario4Warranty=AgileWarrantyDefault, (SUMIF(I$8:BL$8,AgileIteration_Warranty,I57:BL57)*5*Scenario4Utilisation), (BN57*Scenario4Warranty))</f>
        <v>0</v>
      </c>
      <c r="BQ57" s="127">
        <f t="shared" ref="BQ57" si="112">SUM(BN57:BP57)</f>
        <v>0</v>
      </c>
    </row>
    <row r="58" spans="1:69" s="74" customFormat="1" ht="11.25" x14ac:dyDescent="0.2">
      <c r="A58" s="210">
        <v>1</v>
      </c>
      <c r="B58" s="211" t="s">
        <v>663</v>
      </c>
      <c r="C58" s="206" t="s">
        <v>663</v>
      </c>
      <c r="D58" s="206" t="s">
        <v>663</v>
      </c>
      <c r="E58" s="418"/>
      <c r="F58" s="418"/>
      <c r="G58" s="418"/>
      <c r="H58" s="419"/>
      <c r="I58" s="216"/>
      <c r="J58" s="216"/>
      <c r="K58" s="216"/>
      <c r="L58" s="216"/>
      <c r="M58" s="216"/>
      <c r="N58" s="216"/>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185"/>
      <c r="BM58" s="187"/>
      <c r="BN58" s="127"/>
      <c r="BO58" s="127"/>
      <c r="BP58" s="127"/>
      <c r="BQ58" s="127"/>
    </row>
    <row r="59" spans="1:69" s="74" customFormat="1" ht="11.25" x14ac:dyDescent="0.2">
      <c r="A59" s="210">
        <v>2</v>
      </c>
      <c r="B59" s="211" t="s">
        <v>663</v>
      </c>
      <c r="C59" s="348" t="str">
        <f>IFERROR(VLOOKUP(D59,MappingFromSetAgiletoTTSRole,2,FALSE),"SET Agile Resource Role")</f>
        <v>Business Consultant</v>
      </c>
      <c r="D59" s="401" t="s">
        <v>664</v>
      </c>
      <c r="E59" s="448"/>
      <c r="F59" s="449" t="s">
        <v>607</v>
      </c>
      <c r="G59" s="449"/>
      <c r="H59" s="541" t="str">
        <f>C58</f>
        <v>Documentation</v>
      </c>
      <c r="I59" s="409"/>
      <c r="J59" s="182"/>
      <c r="K59" s="182"/>
      <c r="L59" s="182"/>
      <c r="M59" s="182"/>
      <c r="N59" s="182"/>
      <c r="O59" s="182"/>
      <c r="P59" s="182"/>
      <c r="Q59" s="183"/>
      <c r="R59" s="183"/>
      <c r="S59" s="183"/>
      <c r="T59" s="183"/>
      <c r="U59" s="183"/>
      <c r="V59" s="183"/>
      <c r="W59" s="183"/>
      <c r="X59" s="183"/>
      <c r="Y59" s="183"/>
      <c r="Z59" s="183"/>
      <c r="AA59" s="183"/>
      <c r="AB59" s="183"/>
      <c r="AC59" s="183"/>
      <c r="AD59" s="183"/>
      <c r="AE59" s="183"/>
      <c r="AF59" s="183"/>
      <c r="AG59" s="183"/>
      <c r="AH59" s="183"/>
      <c r="AI59" s="183"/>
      <c r="AJ59" s="183"/>
      <c r="AK59" s="183"/>
      <c r="AL59" s="183"/>
      <c r="AM59" s="183"/>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4"/>
      <c r="BM59" s="187"/>
      <c r="BN59" s="82">
        <f>SUMIF(I$8:BL$8, "&lt;&gt;"&amp;AgileIteration_Warranty,I59:BL59)*5*Scenario4Utilisation</f>
        <v>0</v>
      </c>
      <c r="BO59" s="82">
        <f t="shared" si="8"/>
        <v>0</v>
      </c>
      <c r="BP59" s="82">
        <f>IF(Scenario4Warranty=AgileWarrantyDefault, (SUMIF(I$8:BL$8,AgileIteration_Warranty,I59:BL59)*5*Scenario4Utilisation), (BN59*Scenario4Warranty))</f>
        <v>0</v>
      </c>
      <c r="BQ59" s="127">
        <f t="shared" si="9"/>
        <v>0</v>
      </c>
    </row>
    <row r="60" spans="1:69" s="74" customFormat="1" ht="11.25" x14ac:dyDescent="0.2">
      <c r="A60" s="210">
        <v>1</v>
      </c>
      <c r="B60" s="211" t="s">
        <v>729</v>
      </c>
      <c r="C60" s="206" t="s">
        <v>665</v>
      </c>
      <c r="D60" s="206" t="s">
        <v>665</v>
      </c>
      <c r="E60" s="418"/>
      <c r="F60" s="418"/>
      <c r="G60" s="418"/>
      <c r="H60" s="419"/>
      <c r="I60" s="216"/>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185"/>
      <c r="BM60" s="187"/>
      <c r="BN60" s="127"/>
      <c r="BO60" s="127"/>
      <c r="BP60" s="127"/>
      <c r="BQ60" s="127"/>
    </row>
    <row r="61" spans="1:69" s="74" customFormat="1" ht="11.25" x14ac:dyDescent="0.2">
      <c r="A61" s="210">
        <v>2</v>
      </c>
      <c r="B61" s="211" t="s">
        <v>729</v>
      </c>
      <c r="C61" s="348" t="s">
        <v>658</v>
      </c>
      <c r="D61" s="398" t="s">
        <v>669</v>
      </c>
      <c r="E61" s="448"/>
      <c r="F61" s="449" t="s">
        <v>607</v>
      </c>
      <c r="G61" s="449"/>
      <c r="H61" s="541" t="str">
        <f>C60</f>
        <v>Ref Data Configuration</v>
      </c>
      <c r="I61" s="406"/>
      <c r="J61" s="179"/>
      <c r="K61" s="179"/>
      <c r="L61" s="179"/>
      <c r="M61" s="179"/>
      <c r="N61" s="179"/>
      <c r="O61" s="179"/>
      <c r="P61" s="179"/>
      <c r="Q61" s="181"/>
      <c r="R61" s="181"/>
      <c r="S61" s="181"/>
      <c r="T61" s="181"/>
      <c r="U61" s="181"/>
      <c r="V61" s="181"/>
      <c r="W61" s="181"/>
      <c r="X61" s="181"/>
      <c r="Y61" s="181"/>
      <c r="Z61" s="181"/>
      <c r="AA61" s="181"/>
      <c r="AB61" s="181"/>
      <c r="AC61" s="181"/>
      <c r="AD61" s="181"/>
      <c r="AE61" s="181"/>
      <c r="AF61" s="181"/>
      <c r="AG61" s="181"/>
      <c r="AH61" s="181"/>
      <c r="AI61" s="181"/>
      <c r="AJ61" s="181"/>
      <c r="AK61" s="181"/>
      <c r="AL61" s="181"/>
      <c r="AM61" s="181"/>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80"/>
      <c r="BM61" s="187"/>
      <c r="BN61" s="82">
        <f>SUMIF(I$8:BL$8, "&lt;&gt;"&amp;AgileIteration_Warranty,I61:BL61)*5*Scenario4Utilisation</f>
        <v>0</v>
      </c>
      <c r="BO61" s="82">
        <f t="shared" si="8"/>
        <v>0</v>
      </c>
      <c r="BP61" s="82">
        <f>IF(Scenario4Warranty=AgileWarrantyDefault, (SUMIF(I$8:BL$8,AgileIteration_Warranty,I61:BL61)*5*Scenario4Utilisation), (BN61*Scenario4Warranty))</f>
        <v>0</v>
      </c>
      <c r="BQ61" s="127">
        <f t="shared" si="9"/>
        <v>0</v>
      </c>
    </row>
    <row r="62" spans="1:69" s="74" customFormat="1" ht="11.25" x14ac:dyDescent="0.2">
      <c r="A62" s="210">
        <v>2</v>
      </c>
      <c r="B62" s="211" t="s">
        <v>729</v>
      </c>
      <c r="C62" s="348" t="s">
        <v>659</v>
      </c>
      <c r="D62" s="398"/>
      <c r="E62" s="448"/>
      <c r="F62" s="449" t="str">
        <f>IFERROR(VLOOKUP(C62,MappingFromTTStoSU,2,FALSE),"SU Resource Role")</f>
        <v>DWMS</v>
      </c>
      <c r="G62" s="449"/>
      <c r="H62" s="541" t="str">
        <f>H61</f>
        <v>Ref Data Configuration</v>
      </c>
      <c r="I62" s="406"/>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81"/>
      <c r="AL62" s="181"/>
      <c r="AM62" s="181"/>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80"/>
      <c r="BM62" s="187"/>
      <c r="BN62" s="82">
        <f>SUMIF(I$8:BL$8, "&lt;&gt;"&amp;AgileIteration_Warranty,I62:BL62)*5*Scenario4Utilisation</f>
        <v>0</v>
      </c>
      <c r="BO62" s="82">
        <f t="shared" ref="BO62" si="113">BN62*Scenario4AgileContingency</f>
        <v>0</v>
      </c>
      <c r="BP62" s="82">
        <f>IF(Scenario4Warranty=AgileWarrantyDefault, (SUMIF(I$8:BL$8,AgileIteration_Warranty,I62:BL62)*5*Scenario4Utilisation), (BN62*Scenario4Warranty))</f>
        <v>0</v>
      </c>
      <c r="BQ62" s="127">
        <f t="shared" ref="BQ62" si="114">SUM(BN62:BP62)</f>
        <v>0</v>
      </c>
    </row>
    <row r="63" spans="1:69" s="74" customFormat="1" ht="11.25" x14ac:dyDescent="0.2">
      <c r="A63" s="210">
        <v>1</v>
      </c>
      <c r="B63" s="211" t="s">
        <v>670</v>
      </c>
      <c r="C63" s="206" t="s">
        <v>670</v>
      </c>
      <c r="D63" s="206" t="s">
        <v>670</v>
      </c>
      <c r="E63" s="418"/>
      <c r="F63" s="418"/>
      <c r="G63" s="418"/>
      <c r="H63" s="419"/>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185"/>
      <c r="BM63" s="187"/>
      <c r="BN63" s="127"/>
      <c r="BO63" s="127"/>
      <c r="BP63" s="127"/>
      <c r="BQ63" s="127"/>
    </row>
    <row r="64" spans="1:69" s="74" customFormat="1" ht="11.25" x14ac:dyDescent="0.2">
      <c r="A64" s="210">
        <v>2</v>
      </c>
      <c r="B64" s="211" t="s">
        <v>670</v>
      </c>
      <c r="C64" s="348" t="str">
        <f>IFERROR(VLOOKUP(D64,MappingFromSetAgiletoTTSRole,2,FALSE),"SET Agile Resource Role")</f>
        <v>Business Analyst</v>
      </c>
      <c r="D64" s="398" t="s">
        <v>671</v>
      </c>
      <c r="E64" s="448"/>
      <c r="F64" s="449" t="s">
        <v>607</v>
      </c>
      <c r="G64" s="449"/>
      <c r="H64" s="541" t="str">
        <f>C63</f>
        <v>Training</v>
      </c>
      <c r="I64" s="406"/>
      <c r="J64" s="179"/>
      <c r="K64" s="179"/>
      <c r="L64" s="179"/>
      <c r="M64" s="179"/>
      <c r="N64" s="179"/>
      <c r="O64" s="179"/>
      <c r="P64" s="179"/>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80"/>
      <c r="BM64" s="187"/>
      <c r="BN64" s="82">
        <f>SUMIF(I$8:BL$8, "&lt;&gt;"&amp;AgileIteration_Warranty,I64:BL64)*5*Scenario4Utilisation</f>
        <v>0</v>
      </c>
      <c r="BO64" s="82">
        <f t="shared" si="8"/>
        <v>0</v>
      </c>
      <c r="BP64" s="82">
        <f>IF(Scenario4Warranty=AgileWarrantyDefault, (SUMIF(I$8:BL$8,AgileIteration_Warranty,I64:BL64)*5*Scenario4Utilisation), (BN64*Scenario4Warranty))</f>
        <v>0</v>
      </c>
      <c r="BQ64" s="127">
        <f t="shared" si="9"/>
        <v>0</v>
      </c>
    </row>
    <row r="65" spans="1:69" s="74" customFormat="1" ht="11.25" x14ac:dyDescent="0.2">
      <c r="A65" s="210">
        <v>2</v>
      </c>
      <c r="B65" s="211" t="s">
        <v>670</v>
      </c>
      <c r="C65" s="348" t="str">
        <f>IFERROR(VLOOKUP(D65,MappingFromSetAgiletoTTSRole,2,FALSE),"SET Agile Resource Role")</f>
        <v>Business Consultant</v>
      </c>
      <c r="D65" s="400" t="s">
        <v>672</v>
      </c>
      <c r="E65" s="448"/>
      <c r="F65" s="449" t="s">
        <v>607</v>
      </c>
      <c r="G65" s="449"/>
      <c r="H65" s="541" t="str">
        <f>H64</f>
        <v>Training</v>
      </c>
      <c r="I65" s="408"/>
      <c r="J65" s="176"/>
      <c r="K65" s="176"/>
      <c r="L65" s="176"/>
      <c r="M65" s="176"/>
      <c r="N65" s="176"/>
      <c r="O65" s="176"/>
      <c r="P65" s="176"/>
      <c r="Q65" s="177"/>
      <c r="R65" s="177"/>
      <c r="S65" s="177"/>
      <c r="T65" s="177"/>
      <c r="U65" s="177"/>
      <c r="V65" s="177"/>
      <c r="W65" s="177"/>
      <c r="X65" s="177"/>
      <c r="Y65" s="177"/>
      <c r="Z65" s="177"/>
      <c r="AA65" s="177"/>
      <c r="AB65" s="177"/>
      <c r="AC65" s="177"/>
      <c r="AD65" s="177"/>
      <c r="AE65" s="177"/>
      <c r="AF65" s="177"/>
      <c r="AG65" s="177"/>
      <c r="AH65" s="177"/>
      <c r="AI65" s="177"/>
      <c r="AJ65" s="177"/>
      <c r="AK65" s="177"/>
      <c r="AL65" s="177"/>
      <c r="AM65" s="177"/>
      <c r="AN65" s="176"/>
      <c r="AO65" s="176"/>
      <c r="AP65" s="176"/>
      <c r="AQ65" s="176"/>
      <c r="AR65" s="176"/>
      <c r="AS65" s="176"/>
      <c r="AT65" s="176"/>
      <c r="AU65" s="176"/>
      <c r="AV65" s="176"/>
      <c r="AW65" s="176"/>
      <c r="AX65" s="176"/>
      <c r="AY65" s="176"/>
      <c r="AZ65" s="176"/>
      <c r="BA65" s="176"/>
      <c r="BB65" s="176"/>
      <c r="BC65" s="176"/>
      <c r="BD65" s="176"/>
      <c r="BE65" s="176"/>
      <c r="BF65" s="176"/>
      <c r="BG65" s="176"/>
      <c r="BH65" s="176"/>
      <c r="BI65" s="176"/>
      <c r="BJ65" s="176"/>
      <c r="BK65" s="176"/>
      <c r="BL65" s="178"/>
      <c r="BM65" s="187"/>
      <c r="BN65" s="82">
        <f>SUMIF(I$8:BL$8, "&lt;&gt;"&amp;AgileIteration_Warranty,I65:BL65)*5*Scenario4Utilisation</f>
        <v>0</v>
      </c>
      <c r="BO65" s="82">
        <f t="shared" si="8"/>
        <v>0</v>
      </c>
      <c r="BP65" s="82">
        <f>IF(Scenario4Warranty=AgileWarrantyDefault, (SUMIF(I$8:BL$8,AgileIteration_Warranty,I65:BL65)*5*Scenario4Utilisation), (BN65*Scenario4Warranty))</f>
        <v>0</v>
      </c>
      <c r="BQ65" s="127">
        <f t="shared" si="9"/>
        <v>0</v>
      </c>
    </row>
    <row r="66" spans="1:69" s="74" customFormat="1" ht="11.25" x14ac:dyDescent="0.2">
      <c r="A66" s="210">
        <v>1</v>
      </c>
      <c r="B66" s="211" t="s">
        <v>730</v>
      </c>
      <c r="C66" s="206" t="s">
        <v>674</v>
      </c>
      <c r="D66" s="206" t="s">
        <v>674</v>
      </c>
      <c r="E66" s="418"/>
      <c r="F66" s="418"/>
      <c r="G66" s="418"/>
      <c r="H66" s="419"/>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185"/>
      <c r="BM66" s="187"/>
      <c r="BN66" s="127"/>
      <c r="BO66" s="127"/>
      <c r="BP66" s="127"/>
      <c r="BQ66" s="127"/>
    </row>
    <row r="67" spans="1:69" s="74" customFormat="1" ht="11.25" x14ac:dyDescent="0.2">
      <c r="A67" s="210">
        <v>2</v>
      </c>
      <c r="B67" s="211" t="s">
        <v>730</v>
      </c>
      <c r="C67" s="348" t="s">
        <v>613</v>
      </c>
      <c r="D67" s="398" t="s">
        <v>675</v>
      </c>
      <c r="E67" s="448"/>
      <c r="F67" s="449" t="s">
        <v>607</v>
      </c>
      <c r="G67" s="449"/>
      <c r="H67" s="541" t="str">
        <f>C66</f>
        <v>EC Performance Testing</v>
      </c>
      <c r="I67" s="406"/>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79"/>
      <c r="AS67" s="179"/>
      <c r="AT67" s="179"/>
      <c r="AU67" s="179"/>
      <c r="AV67" s="179"/>
      <c r="AW67" s="179"/>
      <c r="AX67" s="179"/>
      <c r="AY67" s="179"/>
      <c r="AZ67" s="179"/>
      <c r="BA67" s="179"/>
      <c r="BB67" s="179"/>
      <c r="BC67" s="179"/>
      <c r="BD67" s="179"/>
      <c r="BE67" s="179"/>
      <c r="BF67" s="179"/>
      <c r="BG67" s="179"/>
      <c r="BH67" s="179"/>
      <c r="BI67" s="179"/>
      <c r="BJ67" s="179"/>
      <c r="BK67" s="179"/>
      <c r="BL67" s="180"/>
      <c r="BM67" s="187"/>
      <c r="BN67" s="82">
        <f>SUMIF(I$8:BL$8, "&lt;&gt;"&amp;AgileIteration_Warranty,I67:BL67)*5*Scenario4Utilisation</f>
        <v>0</v>
      </c>
      <c r="BO67" s="82">
        <f t="shared" si="8"/>
        <v>0</v>
      </c>
      <c r="BP67" s="82">
        <f>IF(Scenario4Warranty=AgileWarrantyDefault, (SUMIF(I$8:BL$8,AgileIteration_Warranty,I67:BL67)*5*Scenario4Utilisation), (BN67*Scenario4Warranty))</f>
        <v>0</v>
      </c>
      <c r="BQ67" s="127">
        <f t="shared" si="9"/>
        <v>0</v>
      </c>
    </row>
    <row r="68" spans="1:69" s="74" customFormat="1" ht="11.25" x14ac:dyDescent="0.2">
      <c r="A68" s="210">
        <v>2</v>
      </c>
      <c r="B68" s="211" t="s">
        <v>730</v>
      </c>
      <c r="C68" s="348" t="s">
        <v>651</v>
      </c>
      <c r="D68" s="400" t="s">
        <v>677</v>
      </c>
      <c r="E68" s="448"/>
      <c r="F68" s="449" t="s">
        <v>607</v>
      </c>
      <c r="G68" s="449"/>
      <c r="H68" s="541" t="str">
        <f>H67</f>
        <v>EC Performance Testing</v>
      </c>
      <c r="I68" s="408"/>
      <c r="J68" s="177"/>
      <c r="K68" s="177"/>
      <c r="L68" s="177"/>
      <c r="M68" s="177"/>
      <c r="N68" s="177"/>
      <c r="O68" s="177"/>
      <c r="P68" s="177"/>
      <c r="Q68" s="177"/>
      <c r="R68" s="177"/>
      <c r="S68" s="177"/>
      <c r="T68" s="177"/>
      <c r="U68" s="177"/>
      <c r="V68" s="177"/>
      <c r="W68" s="177"/>
      <c r="X68" s="177"/>
      <c r="Y68" s="177"/>
      <c r="Z68" s="177"/>
      <c r="AA68" s="177"/>
      <c r="AB68" s="177"/>
      <c r="AC68" s="177"/>
      <c r="AD68" s="177"/>
      <c r="AE68" s="177"/>
      <c r="AF68" s="177"/>
      <c r="AG68" s="177"/>
      <c r="AH68" s="177"/>
      <c r="AI68" s="177"/>
      <c r="AJ68" s="177"/>
      <c r="AK68" s="177"/>
      <c r="AL68" s="177"/>
      <c r="AM68" s="177"/>
      <c r="AN68" s="177"/>
      <c r="AO68" s="177"/>
      <c r="AP68" s="177"/>
      <c r="AQ68" s="177"/>
      <c r="AR68" s="176"/>
      <c r="AS68" s="176"/>
      <c r="AT68" s="176"/>
      <c r="AU68" s="176"/>
      <c r="AV68" s="176"/>
      <c r="AW68" s="176"/>
      <c r="AX68" s="176"/>
      <c r="AY68" s="176"/>
      <c r="AZ68" s="176"/>
      <c r="BA68" s="176"/>
      <c r="BB68" s="176"/>
      <c r="BC68" s="176"/>
      <c r="BD68" s="176"/>
      <c r="BE68" s="176"/>
      <c r="BF68" s="176"/>
      <c r="BG68" s="176"/>
      <c r="BH68" s="176"/>
      <c r="BI68" s="176"/>
      <c r="BJ68" s="176"/>
      <c r="BK68" s="176"/>
      <c r="BL68" s="178"/>
      <c r="BM68" s="187"/>
      <c r="BN68" s="82">
        <f>SUMIF(I$8:BL$8, "&lt;&gt;"&amp;AgileIteration_Warranty,I68:BL68)*5*Scenario4Utilisation</f>
        <v>0</v>
      </c>
      <c r="BO68" s="82">
        <f t="shared" si="8"/>
        <v>0</v>
      </c>
      <c r="BP68" s="82">
        <f>IF(Scenario4Warranty=AgileWarrantyDefault, (SUMIF(I$8:BL$8,AgileIteration_Warranty,I68:BL68)*5*Scenario4Utilisation), (BN68*Scenario4Warranty))</f>
        <v>0</v>
      </c>
      <c r="BQ68" s="127">
        <f t="shared" si="9"/>
        <v>0</v>
      </c>
    </row>
    <row r="69" spans="1:69" s="74" customFormat="1" ht="11.25" x14ac:dyDescent="0.2">
      <c r="A69" s="210">
        <v>1</v>
      </c>
      <c r="B69" s="211" t="s">
        <v>730</v>
      </c>
      <c r="C69" s="206" t="s">
        <v>678</v>
      </c>
      <c r="D69" s="206" t="s">
        <v>678</v>
      </c>
      <c r="E69" s="418"/>
      <c r="F69" s="418"/>
      <c r="G69" s="418"/>
      <c r="H69" s="419"/>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185"/>
      <c r="BM69" s="187"/>
      <c r="BN69" s="127"/>
      <c r="BO69" s="127"/>
      <c r="BP69" s="127"/>
      <c r="BQ69" s="127"/>
    </row>
    <row r="70" spans="1:69" s="74" customFormat="1" ht="11.25" x14ac:dyDescent="0.2">
      <c r="A70" s="210">
        <v>2</v>
      </c>
      <c r="B70" s="211" t="s">
        <v>730</v>
      </c>
      <c r="C70" s="348" t="str">
        <f>IFERROR(VLOOKUP(D70,MappingFromSetAgiletoTTSRole,2,FALSE),"SET Agile Resource Role")</f>
        <v>Architect Sr</v>
      </c>
      <c r="D70" s="398" t="s">
        <v>679</v>
      </c>
      <c r="E70" s="448"/>
      <c r="F70" s="449" t="str">
        <f t="shared" ref="F70:F76" si="115">IFERROR(VLOOKUP(C70,MappingFromTTStoSU,2,FALSE),"SU Resource Role")</f>
        <v>DWMS</v>
      </c>
      <c r="G70" s="449"/>
      <c r="H70" s="541" t="str">
        <f>C69</f>
        <v>Digital Mediation - IME</v>
      </c>
      <c r="I70" s="406"/>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c r="AG70" s="181"/>
      <c r="AH70" s="181"/>
      <c r="AI70" s="181"/>
      <c r="AJ70" s="181"/>
      <c r="AK70" s="181"/>
      <c r="AL70" s="181"/>
      <c r="AM70" s="181"/>
      <c r="AN70" s="181"/>
      <c r="AO70" s="181"/>
      <c r="AP70" s="181"/>
      <c r="AQ70" s="181"/>
      <c r="AR70" s="179"/>
      <c r="AS70" s="179"/>
      <c r="AT70" s="179"/>
      <c r="AU70" s="179"/>
      <c r="AV70" s="179"/>
      <c r="AW70" s="179"/>
      <c r="AX70" s="179"/>
      <c r="AY70" s="179"/>
      <c r="AZ70" s="179"/>
      <c r="BA70" s="179"/>
      <c r="BB70" s="179"/>
      <c r="BC70" s="179"/>
      <c r="BD70" s="179"/>
      <c r="BE70" s="179"/>
      <c r="BF70" s="179"/>
      <c r="BG70" s="179"/>
      <c r="BH70" s="179"/>
      <c r="BI70" s="179"/>
      <c r="BJ70" s="179"/>
      <c r="BK70" s="179"/>
      <c r="BL70" s="180"/>
      <c r="BM70" s="187"/>
      <c r="BN70" s="82">
        <f t="shared" ref="BN70:BN76" si="116">SUMIF(I$8:BL$8, "&lt;&gt;"&amp;AgileIteration_Warranty,I70:BL70)*5*Scenario4Utilisation</f>
        <v>0</v>
      </c>
      <c r="BO70" s="82">
        <f t="shared" ref="BO70" si="117">BN70*Scenario4AgileContingency</f>
        <v>0</v>
      </c>
      <c r="BP70" s="82">
        <f t="shared" ref="BP70:BP76" si="118">IF(Scenario4Warranty=AgileWarrantyDefault, (SUMIF(I$8:BL$8,AgileIteration_Warranty,I70:BL70)*5*Scenario4Utilisation), (BN70*Scenario4Warranty))</f>
        <v>0</v>
      </c>
      <c r="BQ70" s="127">
        <f t="shared" ref="BQ70" si="119">SUM(BN70:BP70)</f>
        <v>0</v>
      </c>
    </row>
    <row r="71" spans="1:69" s="74" customFormat="1" ht="11.25" x14ac:dyDescent="0.2">
      <c r="A71" s="210">
        <v>2</v>
      </c>
      <c r="B71" s="211" t="s">
        <v>730</v>
      </c>
      <c r="C71" s="348" t="str">
        <f>IFERROR(VLOOKUP(D71,MappingFromSetAgiletoTTSRole,2,FALSE),"SET Agile Resource Role")</f>
        <v>Architect Sr</v>
      </c>
      <c r="D71" s="398" t="s">
        <v>679</v>
      </c>
      <c r="E71" s="448"/>
      <c r="F71" s="449" t="str">
        <f t="shared" si="115"/>
        <v>DWMS</v>
      </c>
      <c r="G71" s="449"/>
      <c r="H71" s="541" t="str">
        <f t="shared" ref="H71:H76" si="120">H70</f>
        <v>Digital Mediation - IME</v>
      </c>
      <c r="I71" s="406"/>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81"/>
      <c r="AR71" s="179"/>
      <c r="AS71" s="179"/>
      <c r="AT71" s="179"/>
      <c r="AU71" s="179"/>
      <c r="AV71" s="179"/>
      <c r="AW71" s="179"/>
      <c r="AX71" s="179"/>
      <c r="AY71" s="179"/>
      <c r="AZ71" s="179"/>
      <c r="BA71" s="179"/>
      <c r="BB71" s="179"/>
      <c r="BC71" s="179"/>
      <c r="BD71" s="179"/>
      <c r="BE71" s="179"/>
      <c r="BF71" s="179"/>
      <c r="BG71" s="179"/>
      <c r="BH71" s="179"/>
      <c r="BI71" s="179"/>
      <c r="BJ71" s="179"/>
      <c r="BK71" s="179"/>
      <c r="BL71" s="180"/>
      <c r="BM71" s="187"/>
      <c r="BN71" s="82">
        <f t="shared" si="116"/>
        <v>0</v>
      </c>
      <c r="BO71" s="82">
        <f t="shared" ref="BO71" si="121">BN71*Scenario4AgileContingency</f>
        <v>0</v>
      </c>
      <c r="BP71" s="82">
        <f t="shared" si="118"/>
        <v>0</v>
      </c>
      <c r="BQ71" s="127">
        <f t="shared" ref="BQ71" si="122">SUM(BN71:BP71)</f>
        <v>0</v>
      </c>
    </row>
    <row r="72" spans="1:69" s="74" customFormat="1" ht="11.25" x14ac:dyDescent="0.2">
      <c r="A72" s="210">
        <v>2</v>
      </c>
      <c r="B72" s="211" t="s">
        <v>730</v>
      </c>
      <c r="C72" s="348" t="str">
        <f>IFERROR(VLOOKUP(D72,MappingFromSetAgiletoTTSRole,2,FALSE),"SET Agile Resource Role")</f>
        <v>Software Developer</v>
      </c>
      <c r="D72" s="398" t="s">
        <v>636</v>
      </c>
      <c r="E72" s="448"/>
      <c r="F72" s="449" t="str">
        <f t="shared" si="115"/>
        <v>DWMS</v>
      </c>
      <c r="G72" s="449"/>
      <c r="H72" s="541" t="str">
        <f t="shared" si="120"/>
        <v>Digital Mediation - IME</v>
      </c>
      <c r="I72" s="406"/>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81"/>
      <c r="AP72" s="181"/>
      <c r="AQ72" s="181"/>
      <c r="AR72" s="179"/>
      <c r="AS72" s="179"/>
      <c r="AT72" s="179"/>
      <c r="AU72" s="179"/>
      <c r="AV72" s="179"/>
      <c r="AW72" s="179"/>
      <c r="AX72" s="179"/>
      <c r="AY72" s="179"/>
      <c r="AZ72" s="179"/>
      <c r="BA72" s="179"/>
      <c r="BB72" s="179"/>
      <c r="BC72" s="179"/>
      <c r="BD72" s="179"/>
      <c r="BE72" s="179"/>
      <c r="BF72" s="179"/>
      <c r="BG72" s="179"/>
      <c r="BH72" s="179"/>
      <c r="BI72" s="179"/>
      <c r="BJ72" s="179"/>
      <c r="BK72" s="179"/>
      <c r="BL72" s="180"/>
      <c r="BM72" s="187"/>
      <c r="BN72" s="82">
        <f t="shared" si="116"/>
        <v>0</v>
      </c>
      <c r="BO72" s="82">
        <f t="shared" ref="BO72" si="123">BN72*Scenario4AgileContingency</f>
        <v>0</v>
      </c>
      <c r="BP72" s="82">
        <f t="shared" si="118"/>
        <v>0</v>
      </c>
      <c r="BQ72" s="127">
        <f t="shared" ref="BQ72" si="124">SUM(BN72:BP72)</f>
        <v>0</v>
      </c>
    </row>
    <row r="73" spans="1:69" s="74" customFormat="1" ht="11.25" x14ac:dyDescent="0.2">
      <c r="A73" s="210">
        <v>2</v>
      </c>
      <c r="B73" s="211" t="s">
        <v>730</v>
      </c>
      <c r="C73" s="348" t="str">
        <f>IFERROR(VLOOKUP(D73,MappingFromSetAgiletoTTSRole,2,FALSE),"SET Agile Resource Role")</f>
        <v>Test Consultant</v>
      </c>
      <c r="D73" s="398" t="s">
        <v>633</v>
      </c>
      <c r="E73" s="448"/>
      <c r="F73" s="449" t="str">
        <f t="shared" si="115"/>
        <v>DWMS</v>
      </c>
      <c r="G73" s="449"/>
      <c r="H73" s="541" t="str">
        <f t="shared" si="120"/>
        <v>Digital Mediation - IME</v>
      </c>
      <c r="I73" s="406"/>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81"/>
      <c r="AR73" s="179"/>
      <c r="AS73" s="179"/>
      <c r="AT73" s="179"/>
      <c r="AU73" s="179"/>
      <c r="AV73" s="179"/>
      <c r="AW73" s="179"/>
      <c r="AX73" s="179"/>
      <c r="AY73" s="179"/>
      <c r="AZ73" s="179"/>
      <c r="BA73" s="179"/>
      <c r="BB73" s="179"/>
      <c r="BC73" s="179"/>
      <c r="BD73" s="179"/>
      <c r="BE73" s="179"/>
      <c r="BF73" s="179"/>
      <c r="BG73" s="179"/>
      <c r="BH73" s="179"/>
      <c r="BI73" s="179"/>
      <c r="BJ73" s="179"/>
      <c r="BK73" s="179"/>
      <c r="BL73" s="180"/>
      <c r="BM73" s="187"/>
      <c r="BN73" s="82">
        <f t="shared" si="116"/>
        <v>0</v>
      </c>
      <c r="BO73" s="82">
        <f t="shared" ref="BO73" si="125">BN73*Scenario4AgileContingency</f>
        <v>0</v>
      </c>
      <c r="BP73" s="82">
        <f t="shared" si="118"/>
        <v>0</v>
      </c>
      <c r="BQ73" s="127">
        <f t="shared" ref="BQ73" si="126">SUM(BN73:BP73)</f>
        <v>0</v>
      </c>
    </row>
    <row r="74" spans="1:69" s="74" customFormat="1" ht="11.25" x14ac:dyDescent="0.2">
      <c r="A74" s="210">
        <v>2</v>
      </c>
      <c r="B74" s="211" t="s">
        <v>730</v>
      </c>
      <c r="C74" s="348" t="str">
        <f>IFERROR(VLOOKUP(D74,MappingFromSetAgiletoTTSRole,2,FALSE),"SET Agile Resource Role")</f>
        <v>Project Manager</v>
      </c>
      <c r="D74" s="398" t="s">
        <v>599</v>
      </c>
      <c r="E74" s="448"/>
      <c r="F74" s="449" t="str">
        <f t="shared" si="115"/>
        <v>DWMS</v>
      </c>
      <c r="G74" s="449"/>
      <c r="H74" s="541" t="str">
        <f t="shared" si="120"/>
        <v>Digital Mediation - IME</v>
      </c>
      <c r="I74" s="406"/>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81"/>
      <c r="AR74" s="179"/>
      <c r="AS74" s="179"/>
      <c r="AT74" s="179"/>
      <c r="AU74" s="179"/>
      <c r="AV74" s="179"/>
      <c r="AW74" s="179"/>
      <c r="AX74" s="179"/>
      <c r="AY74" s="179"/>
      <c r="AZ74" s="179"/>
      <c r="BA74" s="179"/>
      <c r="BB74" s="179"/>
      <c r="BC74" s="179"/>
      <c r="BD74" s="179"/>
      <c r="BE74" s="179"/>
      <c r="BF74" s="179"/>
      <c r="BG74" s="179"/>
      <c r="BH74" s="179"/>
      <c r="BI74" s="179"/>
      <c r="BJ74" s="179"/>
      <c r="BK74" s="179"/>
      <c r="BL74" s="180"/>
      <c r="BM74" s="187"/>
      <c r="BN74" s="82">
        <f t="shared" si="116"/>
        <v>0</v>
      </c>
      <c r="BO74" s="82">
        <f t="shared" ref="BO74" si="127">BN74*Scenario4AgileContingency</f>
        <v>0</v>
      </c>
      <c r="BP74" s="82">
        <f t="shared" si="118"/>
        <v>0</v>
      </c>
      <c r="BQ74" s="127">
        <f t="shared" ref="BQ74" si="128">SUM(BN74:BP74)</f>
        <v>0</v>
      </c>
    </row>
    <row r="75" spans="1:69" s="74" customFormat="1" ht="11.25" x14ac:dyDescent="0.2">
      <c r="A75" s="210">
        <v>2</v>
      </c>
      <c r="B75" s="211" t="s">
        <v>730</v>
      </c>
      <c r="C75" s="348" t="s">
        <v>630</v>
      </c>
      <c r="D75" s="398" t="s">
        <v>679</v>
      </c>
      <c r="E75" s="448"/>
      <c r="F75" s="449" t="str">
        <f t="shared" si="115"/>
        <v>DWMS</v>
      </c>
      <c r="G75" s="449"/>
      <c r="H75" s="541" t="str">
        <f t="shared" si="120"/>
        <v>Digital Mediation - IME</v>
      </c>
      <c r="I75" s="406"/>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81"/>
      <c r="AP75" s="181"/>
      <c r="AQ75" s="181"/>
      <c r="AR75" s="179"/>
      <c r="AS75" s="179"/>
      <c r="AT75" s="179"/>
      <c r="AU75" s="179"/>
      <c r="AV75" s="179"/>
      <c r="AW75" s="179"/>
      <c r="AX75" s="179"/>
      <c r="AY75" s="179"/>
      <c r="AZ75" s="179"/>
      <c r="BA75" s="179"/>
      <c r="BB75" s="179"/>
      <c r="BC75" s="179"/>
      <c r="BD75" s="179"/>
      <c r="BE75" s="179"/>
      <c r="BF75" s="179"/>
      <c r="BG75" s="179"/>
      <c r="BH75" s="179"/>
      <c r="BI75" s="179"/>
      <c r="BJ75" s="179"/>
      <c r="BK75" s="179"/>
      <c r="BL75" s="180"/>
      <c r="BM75" s="187"/>
      <c r="BN75" s="82">
        <f t="shared" si="116"/>
        <v>0</v>
      </c>
      <c r="BO75" s="82">
        <f t="shared" ref="BO75" si="129">BN75*Scenario4AgileContingency</f>
        <v>0</v>
      </c>
      <c r="BP75" s="82">
        <f t="shared" si="118"/>
        <v>0</v>
      </c>
      <c r="BQ75" s="127">
        <f t="shared" ref="BQ75" si="130">SUM(BN75:BP75)</f>
        <v>0</v>
      </c>
    </row>
    <row r="76" spans="1:69" s="74" customFormat="1" ht="11.25" x14ac:dyDescent="0.2">
      <c r="A76" s="210">
        <v>2</v>
      </c>
      <c r="B76" s="211" t="s">
        <v>730</v>
      </c>
      <c r="C76" s="348" t="s">
        <v>625</v>
      </c>
      <c r="D76" s="398" t="s">
        <v>672</v>
      </c>
      <c r="E76" s="448"/>
      <c r="F76" s="449" t="str">
        <f t="shared" si="115"/>
        <v>DE</v>
      </c>
      <c r="G76" s="449"/>
      <c r="H76" s="541" t="str">
        <f t="shared" si="120"/>
        <v>Digital Mediation - IME</v>
      </c>
      <c r="I76" s="406"/>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81"/>
      <c r="AR76" s="179"/>
      <c r="AS76" s="179"/>
      <c r="AT76" s="179"/>
      <c r="AU76" s="179"/>
      <c r="AV76" s="179"/>
      <c r="AW76" s="179"/>
      <c r="AX76" s="179"/>
      <c r="AY76" s="179"/>
      <c r="AZ76" s="179"/>
      <c r="BA76" s="179"/>
      <c r="BB76" s="179"/>
      <c r="BC76" s="179"/>
      <c r="BD76" s="179"/>
      <c r="BE76" s="179"/>
      <c r="BF76" s="179"/>
      <c r="BG76" s="179"/>
      <c r="BH76" s="179"/>
      <c r="BI76" s="179"/>
      <c r="BJ76" s="179"/>
      <c r="BK76" s="179"/>
      <c r="BL76" s="180"/>
      <c r="BM76" s="187"/>
      <c r="BN76" s="82">
        <f t="shared" si="116"/>
        <v>0</v>
      </c>
      <c r="BO76" s="82">
        <f t="shared" ref="BO76" si="131">BN76*Scenario4AgileContingency</f>
        <v>0</v>
      </c>
      <c r="BP76" s="82">
        <f t="shared" si="118"/>
        <v>0</v>
      </c>
      <c r="BQ76" s="127">
        <f t="shared" ref="BQ76" si="132">SUM(BN76:BP76)</f>
        <v>0</v>
      </c>
    </row>
    <row r="77" spans="1:69" s="74" customFormat="1" ht="11.25" x14ac:dyDescent="0.2">
      <c r="A77" s="210">
        <v>1</v>
      </c>
      <c r="B77" s="211" t="s">
        <v>730</v>
      </c>
      <c r="C77" s="206" t="s">
        <v>680</v>
      </c>
      <c r="D77" s="206" t="s">
        <v>680</v>
      </c>
      <c r="E77" s="418"/>
      <c r="F77" s="418"/>
      <c r="G77" s="418"/>
      <c r="H77" s="419"/>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185"/>
      <c r="BM77" s="187"/>
      <c r="BN77" s="127"/>
      <c r="BO77" s="127"/>
      <c r="BP77" s="127"/>
      <c r="BQ77" s="127"/>
    </row>
    <row r="78" spans="1:69" s="74" customFormat="1" ht="11.25" x14ac:dyDescent="0.2">
      <c r="A78" s="210">
        <v>2</v>
      </c>
      <c r="B78" s="211" t="s">
        <v>730</v>
      </c>
      <c r="C78" s="348" t="str">
        <f>IFERROR(VLOOKUP(D78,MappingFromSetAgiletoTTSRole,2,FALSE),"SET Agile Resource Role")</f>
        <v>Architect Sr</v>
      </c>
      <c r="D78" s="398" t="s">
        <v>679</v>
      </c>
      <c r="E78" s="448"/>
      <c r="F78" s="449" t="str">
        <f t="shared" ref="F78:F84" si="133">IFERROR(VLOOKUP(C78,MappingFromTTStoSU,2,FALSE),"SU Resource Role")</f>
        <v>DWMS</v>
      </c>
      <c r="G78" s="449"/>
      <c r="H78" s="541" t="str">
        <f>C77</f>
        <v>Digital Mediation - IAT</v>
      </c>
      <c r="I78" s="406"/>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181"/>
      <c r="AP78" s="181"/>
      <c r="AQ78" s="181"/>
      <c r="AR78" s="179"/>
      <c r="AS78" s="179"/>
      <c r="AT78" s="179"/>
      <c r="AU78" s="179"/>
      <c r="AV78" s="179"/>
      <c r="AW78" s="179"/>
      <c r="AX78" s="179"/>
      <c r="AY78" s="179"/>
      <c r="AZ78" s="179"/>
      <c r="BA78" s="179"/>
      <c r="BB78" s="179"/>
      <c r="BC78" s="179"/>
      <c r="BD78" s="179"/>
      <c r="BE78" s="179"/>
      <c r="BF78" s="179"/>
      <c r="BG78" s="179"/>
      <c r="BH78" s="179"/>
      <c r="BI78" s="179"/>
      <c r="BJ78" s="179"/>
      <c r="BK78" s="179"/>
      <c r="BL78" s="180"/>
      <c r="BM78" s="187"/>
      <c r="BN78" s="82">
        <f t="shared" ref="BN78:BN84" si="134">SUMIF(I$8:BL$8, "&lt;&gt;"&amp;AgileIteration_Warranty,I78:BL78)*5*Scenario4Utilisation</f>
        <v>0</v>
      </c>
      <c r="BO78" s="82">
        <f t="shared" ref="BO78" si="135">BN78*Scenario4AgileContingency</f>
        <v>0</v>
      </c>
      <c r="BP78" s="82">
        <f t="shared" ref="BP78:BP84" si="136">IF(Scenario4Warranty=AgileWarrantyDefault, (SUMIF(I$8:BL$8,AgileIteration_Warranty,I78:BL78)*5*Scenario4Utilisation), (BN78*Scenario4Warranty))</f>
        <v>0</v>
      </c>
      <c r="BQ78" s="127">
        <f t="shared" ref="BQ78" si="137">SUM(BN78:BP78)</f>
        <v>0</v>
      </c>
    </row>
    <row r="79" spans="1:69" s="74" customFormat="1" ht="11.25" x14ac:dyDescent="0.2">
      <c r="A79" s="210">
        <v>2</v>
      </c>
      <c r="B79" s="211" t="s">
        <v>730</v>
      </c>
      <c r="C79" s="348" t="str">
        <f>IFERROR(VLOOKUP(D79,MappingFromSetAgiletoTTSRole,2,FALSE),"SET Agile Resource Role")</f>
        <v>Architect Sr</v>
      </c>
      <c r="D79" s="398" t="s">
        <v>679</v>
      </c>
      <c r="E79" s="448"/>
      <c r="F79" s="449" t="str">
        <f t="shared" si="133"/>
        <v>DWMS</v>
      </c>
      <c r="G79" s="449"/>
      <c r="H79" s="541" t="str">
        <f t="shared" ref="H79:H84" si="138">H78</f>
        <v>Digital Mediation - IAT</v>
      </c>
      <c r="I79" s="406"/>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79"/>
      <c r="AS79" s="179"/>
      <c r="AT79" s="179"/>
      <c r="AU79" s="179"/>
      <c r="AV79" s="179"/>
      <c r="AW79" s="179"/>
      <c r="AX79" s="179"/>
      <c r="AY79" s="179"/>
      <c r="AZ79" s="179"/>
      <c r="BA79" s="179"/>
      <c r="BB79" s="179"/>
      <c r="BC79" s="179"/>
      <c r="BD79" s="179"/>
      <c r="BE79" s="179"/>
      <c r="BF79" s="179"/>
      <c r="BG79" s="179"/>
      <c r="BH79" s="179"/>
      <c r="BI79" s="179"/>
      <c r="BJ79" s="179"/>
      <c r="BK79" s="179"/>
      <c r="BL79" s="180"/>
      <c r="BM79" s="187"/>
      <c r="BN79" s="82">
        <f t="shared" si="134"/>
        <v>0</v>
      </c>
      <c r="BO79" s="82">
        <f t="shared" ref="BO79" si="139">BN79*Scenario4AgileContingency</f>
        <v>0</v>
      </c>
      <c r="BP79" s="82">
        <f t="shared" si="136"/>
        <v>0</v>
      </c>
      <c r="BQ79" s="127">
        <f t="shared" ref="BQ79" si="140">SUM(BN79:BP79)</f>
        <v>0</v>
      </c>
    </row>
    <row r="80" spans="1:69" s="74" customFormat="1" ht="11.25" x14ac:dyDescent="0.2">
      <c r="A80" s="210">
        <v>2</v>
      </c>
      <c r="B80" s="211" t="s">
        <v>730</v>
      </c>
      <c r="C80" s="348" t="str">
        <f>IFERROR(VLOOKUP(D80,MappingFromSetAgiletoTTSRole,2,FALSE),"SET Agile Resource Role")</f>
        <v>Software Developer</v>
      </c>
      <c r="D80" s="398" t="s">
        <v>636</v>
      </c>
      <c r="E80" s="448"/>
      <c r="F80" s="449" t="str">
        <f t="shared" si="133"/>
        <v>DWMS</v>
      </c>
      <c r="G80" s="449"/>
      <c r="H80" s="541" t="str">
        <f t="shared" si="138"/>
        <v>Digital Mediation - IAT</v>
      </c>
      <c r="I80" s="406"/>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79"/>
      <c r="AS80" s="179"/>
      <c r="AT80" s="179"/>
      <c r="AU80" s="179"/>
      <c r="AV80" s="179"/>
      <c r="AW80" s="179"/>
      <c r="AX80" s="179"/>
      <c r="AY80" s="179"/>
      <c r="AZ80" s="179"/>
      <c r="BA80" s="179"/>
      <c r="BB80" s="179"/>
      <c r="BC80" s="179"/>
      <c r="BD80" s="179"/>
      <c r="BE80" s="179"/>
      <c r="BF80" s="179"/>
      <c r="BG80" s="179"/>
      <c r="BH80" s="179"/>
      <c r="BI80" s="179"/>
      <c r="BJ80" s="179"/>
      <c r="BK80" s="179"/>
      <c r="BL80" s="180"/>
      <c r="BM80" s="187"/>
      <c r="BN80" s="82">
        <f t="shared" si="134"/>
        <v>0</v>
      </c>
      <c r="BO80" s="82">
        <f t="shared" ref="BO80" si="141">BN80*Scenario4AgileContingency</f>
        <v>0</v>
      </c>
      <c r="BP80" s="82">
        <f t="shared" si="136"/>
        <v>0</v>
      </c>
      <c r="BQ80" s="127">
        <f t="shared" ref="BQ80" si="142">SUM(BN80:BP80)</f>
        <v>0</v>
      </c>
    </row>
    <row r="81" spans="1:69" s="74" customFormat="1" ht="11.25" x14ac:dyDescent="0.2">
      <c r="A81" s="210">
        <v>2</v>
      </c>
      <c r="B81" s="211" t="s">
        <v>730</v>
      </c>
      <c r="C81" s="348" t="str">
        <f>IFERROR(VLOOKUP(D81,MappingFromSetAgiletoTTSRole,2,FALSE),"SET Agile Resource Role")</f>
        <v>Test Consultant</v>
      </c>
      <c r="D81" s="398" t="s">
        <v>633</v>
      </c>
      <c r="E81" s="448"/>
      <c r="F81" s="449" t="str">
        <f t="shared" si="133"/>
        <v>DWMS</v>
      </c>
      <c r="G81" s="449"/>
      <c r="H81" s="541" t="str">
        <f t="shared" si="138"/>
        <v>Digital Mediation - IAT</v>
      </c>
      <c r="I81" s="406"/>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79"/>
      <c r="AS81" s="179"/>
      <c r="AT81" s="179"/>
      <c r="AU81" s="179"/>
      <c r="AV81" s="179"/>
      <c r="AW81" s="179"/>
      <c r="AX81" s="179"/>
      <c r="AY81" s="179"/>
      <c r="AZ81" s="179"/>
      <c r="BA81" s="179"/>
      <c r="BB81" s="179"/>
      <c r="BC81" s="179"/>
      <c r="BD81" s="179"/>
      <c r="BE81" s="179"/>
      <c r="BF81" s="179"/>
      <c r="BG81" s="179"/>
      <c r="BH81" s="179"/>
      <c r="BI81" s="179"/>
      <c r="BJ81" s="179"/>
      <c r="BK81" s="179"/>
      <c r="BL81" s="180"/>
      <c r="BM81" s="187"/>
      <c r="BN81" s="82">
        <f t="shared" si="134"/>
        <v>0</v>
      </c>
      <c r="BO81" s="82">
        <f t="shared" ref="BO81" si="143">BN81*Scenario4AgileContingency</f>
        <v>0</v>
      </c>
      <c r="BP81" s="82">
        <f t="shared" si="136"/>
        <v>0</v>
      </c>
      <c r="BQ81" s="127">
        <f t="shared" ref="BQ81" si="144">SUM(BN81:BP81)</f>
        <v>0</v>
      </c>
    </row>
    <row r="82" spans="1:69" s="74" customFormat="1" ht="11.25" x14ac:dyDescent="0.2">
      <c r="A82" s="210">
        <v>2</v>
      </c>
      <c r="B82" s="211" t="s">
        <v>730</v>
      </c>
      <c r="C82" s="348" t="str">
        <f>IFERROR(VLOOKUP(D82,MappingFromSetAgiletoTTSRole,2,FALSE),"SET Agile Resource Role")</f>
        <v>Project Manager</v>
      </c>
      <c r="D82" s="398" t="s">
        <v>599</v>
      </c>
      <c r="E82" s="448"/>
      <c r="F82" s="449" t="str">
        <f t="shared" si="133"/>
        <v>DWMS</v>
      </c>
      <c r="G82" s="449"/>
      <c r="H82" s="541" t="str">
        <f t="shared" si="138"/>
        <v>Digital Mediation - IAT</v>
      </c>
      <c r="I82" s="406"/>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81"/>
      <c r="AR82" s="179"/>
      <c r="AS82" s="179"/>
      <c r="AT82" s="179"/>
      <c r="AU82" s="179"/>
      <c r="AV82" s="179"/>
      <c r="AW82" s="179"/>
      <c r="AX82" s="179"/>
      <c r="AY82" s="179"/>
      <c r="AZ82" s="179"/>
      <c r="BA82" s="179"/>
      <c r="BB82" s="179"/>
      <c r="BC82" s="179"/>
      <c r="BD82" s="179"/>
      <c r="BE82" s="179"/>
      <c r="BF82" s="179"/>
      <c r="BG82" s="179"/>
      <c r="BH82" s="179"/>
      <c r="BI82" s="179"/>
      <c r="BJ82" s="179"/>
      <c r="BK82" s="179"/>
      <c r="BL82" s="180"/>
      <c r="BM82" s="187"/>
      <c r="BN82" s="82">
        <f t="shared" si="134"/>
        <v>0</v>
      </c>
      <c r="BO82" s="82">
        <f t="shared" ref="BO82" si="145">BN82*Scenario4AgileContingency</f>
        <v>0</v>
      </c>
      <c r="BP82" s="82">
        <f t="shared" si="136"/>
        <v>0</v>
      </c>
      <c r="BQ82" s="127">
        <f t="shared" ref="BQ82" si="146">SUM(BN82:BP82)</f>
        <v>0</v>
      </c>
    </row>
    <row r="83" spans="1:69" s="74" customFormat="1" ht="11.25" x14ac:dyDescent="0.2">
      <c r="A83" s="210">
        <v>2</v>
      </c>
      <c r="B83" s="211" t="s">
        <v>730</v>
      </c>
      <c r="C83" s="348" t="s">
        <v>630</v>
      </c>
      <c r="D83" s="398" t="s">
        <v>679</v>
      </c>
      <c r="E83" s="448"/>
      <c r="F83" s="449" t="str">
        <f t="shared" si="133"/>
        <v>DWMS</v>
      </c>
      <c r="G83" s="449"/>
      <c r="H83" s="541" t="str">
        <f t="shared" si="138"/>
        <v>Digital Mediation - IAT</v>
      </c>
      <c r="I83" s="406"/>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79"/>
      <c r="AS83" s="179"/>
      <c r="AT83" s="179"/>
      <c r="AU83" s="179"/>
      <c r="AV83" s="179"/>
      <c r="AW83" s="179"/>
      <c r="AX83" s="179"/>
      <c r="AY83" s="179"/>
      <c r="AZ83" s="179"/>
      <c r="BA83" s="179"/>
      <c r="BB83" s="179"/>
      <c r="BC83" s="179"/>
      <c r="BD83" s="179"/>
      <c r="BE83" s="179"/>
      <c r="BF83" s="179"/>
      <c r="BG83" s="179"/>
      <c r="BH83" s="179"/>
      <c r="BI83" s="179"/>
      <c r="BJ83" s="179"/>
      <c r="BK83" s="179"/>
      <c r="BL83" s="180"/>
      <c r="BM83" s="187"/>
      <c r="BN83" s="82">
        <f t="shared" si="134"/>
        <v>0</v>
      </c>
      <c r="BO83" s="82">
        <f t="shared" ref="BO83" si="147">BN83*Scenario4AgileContingency</f>
        <v>0</v>
      </c>
      <c r="BP83" s="82">
        <f t="shared" si="136"/>
        <v>0</v>
      </c>
      <c r="BQ83" s="127">
        <f t="shared" ref="BQ83" si="148">SUM(BN83:BP83)</f>
        <v>0</v>
      </c>
    </row>
    <row r="84" spans="1:69" s="74" customFormat="1" ht="11.25" x14ac:dyDescent="0.2">
      <c r="A84" s="210">
        <v>2</v>
      </c>
      <c r="B84" s="211" t="s">
        <v>730</v>
      </c>
      <c r="C84" s="348" t="s">
        <v>625</v>
      </c>
      <c r="D84" s="398" t="s">
        <v>672</v>
      </c>
      <c r="E84" s="448"/>
      <c r="F84" s="449" t="str">
        <f t="shared" si="133"/>
        <v>DE</v>
      </c>
      <c r="G84" s="449"/>
      <c r="H84" s="541" t="str">
        <f t="shared" si="138"/>
        <v>Digital Mediation - IAT</v>
      </c>
      <c r="I84" s="406"/>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81"/>
      <c r="AR84" s="179"/>
      <c r="AS84" s="179"/>
      <c r="AT84" s="179"/>
      <c r="AU84" s="179"/>
      <c r="AV84" s="179"/>
      <c r="AW84" s="179"/>
      <c r="AX84" s="179"/>
      <c r="AY84" s="179"/>
      <c r="AZ84" s="179"/>
      <c r="BA84" s="179"/>
      <c r="BB84" s="179"/>
      <c r="BC84" s="179"/>
      <c r="BD84" s="179"/>
      <c r="BE84" s="179"/>
      <c r="BF84" s="179"/>
      <c r="BG84" s="179"/>
      <c r="BH84" s="179"/>
      <c r="BI84" s="179"/>
      <c r="BJ84" s="179"/>
      <c r="BK84" s="179"/>
      <c r="BL84" s="180"/>
      <c r="BM84" s="187"/>
      <c r="BN84" s="82">
        <f t="shared" si="134"/>
        <v>0</v>
      </c>
      <c r="BO84" s="82">
        <f t="shared" ref="BO84" si="149">BN84*Scenario4AgileContingency</f>
        <v>0</v>
      </c>
      <c r="BP84" s="82">
        <f t="shared" si="136"/>
        <v>0</v>
      </c>
      <c r="BQ84" s="127">
        <f t="shared" ref="BQ84" si="150">SUM(BN84:BP84)</f>
        <v>0</v>
      </c>
    </row>
    <row r="85" spans="1:69" s="74" customFormat="1" ht="11.25" x14ac:dyDescent="0.2">
      <c r="A85" s="210">
        <v>1</v>
      </c>
      <c r="B85" s="211" t="s">
        <v>730</v>
      </c>
      <c r="C85" s="206" t="s">
        <v>681</v>
      </c>
      <c r="D85" s="206" t="s">
        <v>681</v>
      </c>
      <c r="E85" s="418"/>
      <c r="F85" s="418"/>
      <c r="G85" s="418"/>
      <c r="H85" s="419"/>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c r="AM85" s="216"/>
      <c r="AN85" s="216"/>
      <c r="AO85" s="216"/>
      <c r="AP85" s="216"/>
      <c r="AQ85" s="216"/>
      <c r="AR85" s="216"/>
      <c r="AS85" s="216"/>
      <c r="AT85" s="216"/>
      <c r="AU85" s="216"/>
      <c r="AV85" s="216"/>
      <c r="AW85" s="216"/>
      <c r="AX85" s="216"/>
      <c r="AY85" s="216"/>
      <c r="AZ85" s="216"/>
      <c r="BA85" s="216"/>
      <c r="BB85" s="216"/>
      <c r="BC85" s="216"/>
      <c r="BD85" s="216"/>
      <c r="BE85" s="216"/>
      <c r="BF85" s="216"/>
      <c r="BG85" s="216"/>
      <c r="BH85" s="216"/>
      <c r="BI85" s="216"/>
      <c r="BJ85" s="216"/>
      <c r="BK85" s="216"/>
      <c r="BL85" s="185"/>
      <c r="BM85" s="187"/>
      <c r="BN85" s="127"/>
      <c r="BO85" s="127"/>
      <c r="BP85" s="127"/>
      <c r="BQ85" s="127"/>
    </row>
    <row r="86" spans="1:69" s="74" customFormat="1" ht="11.25" x14ac:dyDescent="0.2">
      <c r="A86" s="210">
        <v>2</v>
      </c>
      <c r="B86" s="211" t="s">
        <v>730</v>
      </c>
      <c r="C86" s="348" t="str">
        <f>IFERROR(VLOOKUP(D86,MappingFromSetAgiletoTTSRole,2,FALSE),"SET Agile Resource Role")</f>
        <v>Architect Sr</v>
      </c>
      <c r="D86" s="398" t="s">
        <v>679</v>
      </c>
      <c r="E86" s="448"/>
      <c r="F86" s="449" t="str">
        <f t="shared" ref="F86:F92" si="151">IFERROR(VLOOKUP(C86,MappingFromTTStoSU,2,FALSE),"SU Resource Role")</f>
        <v>DWMS</v>
      </c>
      <c r="G86" s="449"/>
      <c r="H86" s="541" t="str">
        <f>C85</f>
        <v>Digital Mediation - AMM</v>
      </c>
      <c r="I86" s="406"/>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81"/>
      <c r="AR86" s="179"/>
      <c r="AS86" s="179"/>
      <c r="AT86" s="179"/>
      <c r="AU86" s="179"/>
      <c r="AV86" s="179"/>
      <c r="AW86" s="179"/>
      <c r="AX86" s="179"/>
      <c r="AY86" s="179"/>
      <c r="AZ86" s="179"/>
      <c r="BA86" s="179"/>
      <c r="BB86" s="179"/>
      <c r="BC86" s="179"/>
      <c r="BD86" s="179"/>
      <c r="BE86" s="179"/>
      <c r="BF86" s="179"/>
      <c r="BG86" s="179"/>
      <c r="BH86" s="179"/>
      <c r="BI86" s="179"/>
      <c r="BJ86" s="179"/>
      <c r="BK86" s="179"/>
      <c r="BL86" s="180"/>
      <c r="BM86" s="187"/>
      <c r="BN86" s="82">
        <f t="shared" ref="BN86:BN92" si="152">SUMIF(I$8:BL$8, "&lt;&gt;"&amp;AgileIteration_Warranty,I86:BL86)*5*Scenario4Utilisation</f>
        <v>0</v>
      </c>
      <c r="BO86" s="82">
        <f t="shared" ref="BO86" si="153">BN86*Scenario4AgileContingency</f>
        <v>0</v>
      </c>
      <c r="BP86" s="82">
        <f t="shared" ref="BP86:BP92" si="154">IF(Scenario4Warranty=AgileWarrantyDefault, (SUMIF(I$8:BL$8,AgileIteration_Warranty,I86:BL86)*5*Scenario4Utilisation), (BN86*Scenario4Warranty))</f>
        <v>0</v>
      </c>
      <c r="BQ86" s="127">
        <f t="shared" ref="BQ86" si="155">SUM(BN86:BP86)</f>
        <v>0</v>
      </c>
    </row>
    <row r="87" spans="1:69" s="74" customFormat="1" ht="11.25" x14ac:dyDescent="0.2">
      <c r="A87" s="210">
        <v>2</v>
      </c>
      <c r="B87" s="211" t="s">
        <v>730</v>
      </c>
      <c r="C87" s="348" t="str">
        <f>IFERROR(VLOOKUP(D87,MappingFromSetAgiletoTTSRole,2,FALSE),"SET Agile Resource Role")</f>
        <v>Architect Sr</v>
      </c>
      <c r="D87" s="398" t="s">
        <v>679</v>
      </c>
      <c r="E87" s="448"/>
      <c r="F87" s="449" t="str">
        <f t="shared" si="151"/>
        <v>DWMS</v>
      </c>
      <c r="G87" s="449"/>
      <c r="H87" s="541" t="str">
        <f t="shared" ref="H87:H92" si="156">H86</f>
        <v>Digital Mediation - AMM</v>
      </c>
      <c r="I87" s="406"/>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81"/>
      <c r="AP87" s="181"/>
      <c r="AQ87" s="181"/>
      <c r="AR87" s="179"/>
      <c r="AS87" s="179"/>
      <c r="AT87" s="179"/>
      <c r="AU87" s="179"/>
      <c r="AV87" s="179"/>
      <c r="AW87" s="179"/>
      <c r="AX87" s="179"/>
      <c r="AY87" s="179"/>
      <c r="AZ87" s="179"/>
      <c r="BA87" s="179"/>
      <c r="BB87" s="179"/>
      <c r="BC87" s="179"/>
      <c r="BD87" s="179"/>
      <c r="BE87" s="179"/>
      <c r="BF87" s="179"/>
      <c r="BG87" s="179"/>
      <c r="BH87" s="179"/>
      <c r="BI87" s="179"/>
      <c r="BJ87" s="179"/>
      <c r="BK87" s="179"/>
      <c r="BL87" s="180"/>
      <c r="BM87" s="187"/>
      <c r="BN87" s="82">
        <f t="shared" si="152"/>
        <v>0</v>
      </c>
      <c r="BO87" s="82">
        <f t="shared" ref="BO87" si="157">BN87*Scenario4AgileContingency</f>
        <v>0</v>
      </c>
      <c r="BP87" s="82">
        <f t="shared" si="154"/>
        <v>0</v>
      </c>
      <c r="BQ87" s="127">
        <f t="shared" ref="BQ87" si="158">SUM(BN87:BP87)</f>
        <v>0</v>
      </c>
    </row>
    <row r="88" spans="1:69" s="74" customFormat="1" ht="11.25" x14ac:dyDescent="0.2">
      <c r="A88" s="210">
        <v>2</v>
      </c>
      <c r="B88" s="211" t="s">
        <v>730</v>
      </c>
      <c r="C88" s="348" t="str">
        <f>IFERROR(VLOOKUP(D88,MappingFromSetAgiletoTTSRole,2,FALSE),"SET Agile Resource Role")</f>
        <v>Software Developer</v>
      </c>
      <c r="D88" s="398" t="s">
        <v>636</v>
      </c>
      <c r="E88" s="448"/>
      <c r="F88" s="449" t="str">
        <f t="shared" si="151"/>
        <v>DWMS</v>
      </c>
      <c r="G88" s="449"/>
      <c r="H88" s="541" t="str">
        <f t="shared" si="156"/>
        <v>Digital Mediation - AMM</v>
      </c>
      <c r="I88" s="406"/>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81"/>
      <c r="AR88" s="179"/>
      <c r="AS88" s="179"/>
      <c r="AT88" s="179"/>
      <c r="AU88" s="179"/>
      <c r="AV88" s="179"/>
      <c r="AW88" s="179"/>
      <c r="AX88" s="179"/>
      <c r="AY88" s="179"/>
      <c r="AZ88" s="179"/>
      <c r="BA88" s="179"/>
      <c r="BB88" s="179"/>
      <c r="BC88" s="179"/>
      <c r="BD88" s="179"/>
      <c r="BE88" s="179"/>
      <c r="BF88" s="179"/>
      <c r="BG88" s="179"/>
      <c r="BH88" s="179"/>
      <c r="BI88" s="179"/>
      <c r="BJ88" s="179"/>
      <c r="BK88" s="179"/>
      <c r="BL88" s="180"/>
      <c r="BM88" s="187"/>
      <c r="BN88" s="82">
        <f t="shared" si="152"/>
        <v>0</v>
      </c>
      <c r="BO88" s="82">
        <f t="shared" ref="BO88" si="159">BN88*Scenario4AgileContingency</f>
        <v>0</v>
      </c>
      <c r="BP88" s="82">
        <f t="shared" si="154"/>
        <v>0</v>
      </c>
      <c r="BQ88" s="127">
        <f t="shared" ref="BQ88" si="160">SUM(BN88:BP88)</f>
        <v>0</v>
      </c>
    </row>
    <row r="89" spans="1:69" s="74" customFormat="1" ht="11.25" x14ac:dyDescent="0.2">
      <c r="A89" s="210">
        <v>2</v>
      </c>
      <c r="B89" s="211" t="s">
        <v>730</v>
      </c>
      <c r="C89" s="348" t="str">
        <f>IFERROR(VLOOKUP(D89,MappingFromSetAgiletoTTSRole,2,FALSE),"SET Agile Resource Role")</f>
        <v>Test Consultant</v>
      </c>
      <c r="D89" s="398" t="s">
        <v>633</v>
      </c>
      <c r="E89" s="448"/>
      <c r="F89" s="449" t="str">
        <f t="shared" si="151"/>
        <v>DWMS</v>
      </c>
      <c r="G89" s="449"/>
      <c r="H89" s="541" t="str">
        <f t="shared" si="156"/>
        <v>Digital Mediation - AMM</v>
      </c>
      <c r="I89" s="406"/>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81"/>
      <c r="AR89" s="179"/>
      <c r="AS89" s="179"/>
      <c r="AT89" s="179"/>
      <c r="AU89" s="179"/>
      <c r="AV89" s="179"/>
      <c r="AW89" s="179"/>
      <c r="AX89" s="179"/>
      <c r="AY89" s="179"/>
      <c r="AZ89" s="179"/>
      <c r="BA89" s="179"/>
      <c r="BB89" s="179"/>
      <c r="BC89" s="179"/>
      <c r="BD89" s="179"/>
      <c r="BE89" s="179"/>
      <c r="BF89" s="179"/>
      <c r="BG89" s="179"/>
      <c r="BH89" s="179"/>
      <c r="BI89" s="179"/>
      <c r="BJ89" s="179"/>
      <c r="BK89" s="179"/>
      <c r="BL89" s="180"/>
      <c r="BM89" s="187"/>
      <c r="BN89" s="82">
        <f t="shared" si="152"/>
        <v>0</v>
      </c>
      <c r="BO89" s="82">
        <f t="shared" ref="BO89" si="161">BN89*Scenario4AgileContingency</f>
        <v>0</v>
      </c>
      <c r="BP89" s="82">
        <f t="shared" si="154"/>
        <v>0</v>
      </c>
      <c r="BQ89" s="127">
        <f t="shared" ref="BQ89" si="162">SUM(BN89:BP89)</f>
        <v>0</v>
      </c>
    </row>
    <row r="90" spans="1:69" s="74" customFormat="1" ht="11.25" x14ac:dyDescent="0.2">
      <c r="A90" s="210">
        <v>2</v>
      </c>
      <c r="B90" s="211" t="s">
        <v>730</v>
      </c>
      <c r="C90" s="348" t="str">
        <f>IFERROR(VLOOKUP(D90,MappingFromSetAgiletoTTSRole,2,FALSE),"SET Agile Resource Role")</f>
        <v>Project Manager</v>
      </c>
      <c r="D90" s="398" t="s">
        <v>599</v>
      </c>
      <c r="E90" s="448"/>
      <c r="F90" s="449" t="str">
        <f t="shared" si="151"/>
        <v>DWMS</v>
      </c>
      <c r="G90" s="449"/>
      <c r="H90" s="541" t="str">
        <f t="shared" si="156"/>
        <v>Digital Mediation - AMM</v>
      </c>
      <c r="I90" s="406"/>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79"/>
      <c r="AS90" s="179"/>
      <c r="AT90" s="179"/>
      <c r="AU90" s="179"/>
      <c r="AV90" s="179"/>
      <c r="AW90" s="179"/>
      <c r="AX90" s="179"/>
      <c r="AY90" s="179"/>
      <c r="AZ90" s="179"/>
      <c r="BA90" s="179"/>
      <c r="BB90" s="179"/>
      <c r="BC90" s="179"/>
      <c r="BD90" s="179"/>
      <c r="BE90" s="179"/>
      <c r="BF90" s="179"/>
      <c r="BG90" s="179"/>
      <c r="BH90" s="179"/>
      <c r="BI90" s="179"/>
      <c r="BJ90" s="179"/>
      <c r="BK90" s="179"/>
      <c r="BL90" s="180"/>
      <c r="BM90" s="187"/>
      <c r="BN90" s="82">
        <f t="shared" si="152"/>
        <v>0</v>
      </c>
      <c r="BO90" s="82">
        <f t="shared" ref="BO90" si="163">BN90*Scenario4AgileContingency</f>
        <v>0</v>
      </c>
      <c r="BP90" s="82">
        <f t="shared" si="154"/>
        <v>0</v>
      </c>
      <c r="BQ90" s="127">
        <f t="shared" ref="BQ90" si="164">SUM(BN90:BP90)</f>
        <v>0</v>
      </c>
    </row>
    <row r="91" spans="1:69" s="74" customFormat="1" ht="11.25" x14ac:dyDescent="0.2">
      <c r="A91" s="210">
        <v>2</v>
      </c>
      <c r="B91" s="211" t="s">
        <v>730</v>
      </c>
      <c r="C91" s="348" t="s">
        <v>630</v>
      </c>
      <c r="D91" s="398" t="s">
        <v>679</v>
      </c>
      <c r="E91" s="448"/>
      <c r="F91" s="449" t="str">
        <f t="shared" si="151"/>
        <v>DWMS</v>
      </c>
      <c r="G91" s="449"/>
      <c r="H91" s="541" t="str">
        <f t="shared" si="156"/>
        <v>Digital Mediation - AMM</v>
      </c>
      <c r="I91" s="406"/>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79"/>
      <c r="AS91" s="179"/>
      <c r="AT91" s="179"/>
      <c r="AU91" s="179"/>
      <c r="AV91" s="179"/>
      <c r="AW91" s="179"/>
      <c r="AX91" s="179"/>
      <c r="AY91" s="179"/>
      <c r="AZ91" s="179"/>
      <c r="BA91" s="179"/>
      <c r="BB91" s="179"/>
      <c r="BC91" s="179"/>
      <c r="BD91" s="179"/>
      <c r="BE91" s="179"/>
      <c r="BF91" s="179"/>
      <c r="BG91" s="179"/>
      <c r="BH91" s="179"/>
      <c r="BI91" s="179"/>
      <c r="BJ91" s="179"/>
      <c r="BK91" s="179"/>
      <c r="BL91" s="180"/>
      <c r="BM91" s="187"/>
      <c r="BN91" s="82">
        <f t="shared" si="152"/>
        <v>0</v>
      </c>
      <c r="BO91" s="82">
        <f t="shared" ref="BO91" si="165">BN91*Scenario4AgileContingency</f>
        <v>0</v>
      </c>
      <c r="BP91" s="82">
        <f t="shared" si="154"/>
        <v>0</v>
      </c>
      <c r="BQ91" s="127">
        <f t="shared" ref="BQ91" si="166">SUM(BN91:BP91)</f>
        <v>0</v>
      </c>
    </row>
    <row r="92" spans="1:69" s="74" customFormat="1" ht="11.25" x14ac:dyDescent="0.2">
      <c r="A92" s="210">
        <v>2</v>
      </c>
      <c r="B92" s="211" t="s">
        <v>730</v>
      </c>
      <c r="C92" s="348" t="s">
        <v>625</v>
      </c>
      <c r="D92" s="398" t="s">
        <v>672</v>
      </c>
      <c r="E92" s="448"/>
      <c r="F92" s="449" t="str">
        <f t="shared" si="151"/>
        <v>DE</v>
      </c>
      <c r="G92" s="449"/>
      <c r="H92" s="541" t="str">
        <f t="shared" si="156"/>
        <v>Digital Mediation - AMM</v>
      </c>
      <c r="I92" s="406"/>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79"/>
      <c r="AS92" s="179"/>
      <c r="AT92" s="179"/>
      <c r="AU92" s="179"/>
      <c r="AV92" s="179"/>
      <c r="AW92" s="179"/>
      <c r="AX92" s="179"/>
      <c r="AY92" s="179"/>
      <c r="AZ92" s="179"/>
      <c r="BA92" s="179"/>
      <c r="BB92" s="179"/>
      <c r="BC92" s="179"/>
      <c r="BD92" s="179"/>
      <c r="BE92" s="179"/>
      <c r="BF92" s="179"/>
      <c r="BG92" s="179"/>
      <c r="BH92" s="179"/>
      <c r="BI92" s="179"/>
      <c r="BJ92" s="179"/>
      <c r="BK92" s="179"/>
      <c r="BL92" s="180"/>
      <c r="BM92" s="187"/>
      <c r="BN92" s="82">
        <f t="shared" si="152"/>
        <v>0</v>
      </c>
      <c r="BO92" s="82">
        <f t="shared" ref="BO92" si="167">BN92*Scenario4AgileContingency</f>
        <v>0</v>
      </c>
      <c r="BP92" s="82">
        <f t="shared" si="154"/>
        <v>0</v>
      </c>
      <c r="BQ92" s="127">
        <f t="shared" ref="BQ92" si="168">SUM(BN92:BP92)</f>
        <v>0</v>
      </c>
    </row>
    <row r="93" spans="1:69" s="74" customFormat="1" ht="11.25" x14ac:dyDescent="0.2">
      <c r="A93" s="210">
        <v>1</v>
      </c>
      <c r="B93" s="211" t="s">
        <v>730</v>
      </c>
      <c r="C93" s="206" t="s">
        <v>682</v>
      </c>
      <c r="D93" s="206" t="s">
        <v>682</v>
      </c>
      <c r="E93" s="418"/>
      <c r="F93" s="418"/>
      <c r="G93" s="418"/>
      <c r="H93" s="419"/>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c r="AY93" s="216"/>
      <c r="AZ93" s="216"/>
      <c r="BA93" s="216"/>
      <c r="BB93" s="216"/>
      <c r="BC93" s="216"/>
      <c r="BD93" s="216"/>
      <c r="BE93" s="216"/>
      <c r="BF93" s="216"/>
      <c r="BG93" s="216"/>
      <c r="BH93" s="216"/>
      <c r="BI93" s="216"/>
      <c r="BJ93" s="216"/>
      <c r="BK93" s="216"/>
      <c r="BL93" s="185"/>
      <c r="BM93" s="187"/>
      <c r="BN93" s="127"/>
      <c r="BO93" s="127"/>
      <c r="BP93" s="127"/>
      <c r="BQ93" s="127"/>
    </row>
    <row r="94" spans="1:69" s="74" customFormat="1" ht="11.25" x14ac:dyDescent="0.2">
      <c r="A94" s="210">
        <v>2</v>
      </c>
      <c r="B94" s="211" t="s">
        <v>730</v>
      </c>
      <c r="C94" s="348" t="str">
        <f>IFERROR(VLOOKUP(D94,MappingFromSetAgiletoTTSRole,2,FALSE),"SET Agile Resource Role")</f>
        <v>Architect Sr</v>
      </c>
      <c r="D94" s="398" t="s">
        <v>679</v>
      </c>
      <c r="E94" s="448"/>
      <c r="F94" s="449" t="str">
        <f t="shared" ref="F94:F100" si="169">IFERROR(VLOOKUP(C94,MappingFromTTStoSU,2,FALSE),"SU Resource Role")</f>
        <v>DWMS</v>
      </c>
      <c r="G94" s="449"/>
      <c r="H94" s="541" t="str">
        <f>C93</f>
        <v>Charging &amp; Billing 5G CHF</v>
      </c>
      <c r="I94" s="406"/>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81"/>
      <c r="AR94" s="179"/>
      <c r="AS94" s="179"/>
      <c r="AT94" s="179"/>
      <c r="AU94" s="179"/>
      <c r="AV94" s="179"/>
      <c r="AW94" s="179"/>
      <c r="AX94" s="179"/>
      <c r="AY94" s="179"/>
      <c r="AZ94" s="179"/>
      <c r="BA94" s="179"/>
      <c r="BB94" s="179"/>
      <c r="BC94" s="179"/>
      <c r="BD94" s="179"/>
      <c r="BE94" s="179"/>
      <c r="BF94" s="179"/>
      <c r="BG94" s="179"/>
      <c r="BH94" s="179"/>
      <c r="BI94" s="179"/>
      <c r="BJ94" s="179"/>
      <c r="BK94" s="179"/>
      <c r="BL94" s="180"/>
      <c r="BM94" s="187"/>
      <c r="BN94" s="82">
        <f t="shared" ref="BN94:BN100" si="170">SUMIF(I$8:BL$8, "&lt;&gt;"&amp;AgileIteration_Warranty,I94:BL94)*5*Scenario4Utilisation</f>
        <v>0</v>
      </c>
      <c r="BO94" s="82">
        <f t="shared" ref="BO94" si="171">BN94*Scenario4AgileContingency</f>
        <v>0</v>
      </c>
      <c r="BP94" s="82">
        <f t="shared" ref="BP94:BP100" si="172">IF(Scenario4Warranty=AgileWarrantyDefault, (SUMIF(I$8:BL$8,AgileIteration_Warranty,I94:BL94)*5*Scenario4Utilisation), (BN94*Scenario4Warranty))</f>
        <v>0</v>
      </c>
      <c r="BQ94" s="127">
        <f t="shared" ref="BQ94" si="173">SUM(BN94:BP94)</f>
        <v>0</v>
      </c>
    </row>
    <row r="95" spans="1:69" s="74" customFormat="1" ht="11.25" x14ac:dyDescent="0.2">
      <c r="A95" s="210">
        <v>2</v>
      </c>
      <c r="B95" s="211" t="s">
        <v>730</v>
      </c>
      <c r="C95" s="348" t="str">
        <f>IFERROR(VLOOKUP(D95,MappingFromSetAgiletoTTSRole,2,FALSE),"SET Agile Resource Role")</f>
        <v>Architect Sr</v>
      </c>
      <c r="D95" s="398" t="s">
        <v>679</v>
      </c>
      <c r="E95" s="448"/>
      <c r="F95" s="449" t="str">
        <f t="shared" si="169"/>
        <v>DWMS</v>
      </c>
      <c r="G95" s="449"/>
      <c r="H95" s="541" t="str">
        <f t="shared" ref="H95:H100" si="174">H94</f>
        <v>Charging &amp; Billing 5G CHF</v>
      </c>
      <c r="I95" s="406"/>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81"/>
      <c r="AR95" s="179"/>
      <c r="AS95" s="179"/>
      <c r="AT95" s="179"/>
      <c r="AU95" s="179"/>
      <c r="AV95" s="179"/>
      <c r="AW95" s="179"/>
      <c r="AX95" s="179"/>
      <c r="AY95" s="179"/>
      <c r="AZ95" s="179"/>
      <c r="BA95" s="179"/>
      <c r="BB95" s="179"/>
      <c r="BC95" s="179"/>
      <c r="BD95" s="179"/>
      <c r="BE95" s="179"/>
      <c r="BF95" s="179"/>
      <c r="BG95" s="179"/>
      <c r="BH95" s="179"/>
      <c r="BI95" s="179"/>
      <c r="BJ95" s="179"/>
      <c r="BK95" s="179"/>
      <c r="BL95" s="180"/>
      <c r="BM95" s="187"/>
      <c r="BN95" s="82">
        <f t="shared" si="170"/>
        <v>0</v>
      </c>
      <c r="BO95" s="82">
        <f t="shared" ref="BO95" si="175">BN95*Scenario4AgileContingency</f>
        <v>0</v>
      </c>
      <c r="BP95" s="82">
        <f t="shared" si="172"/>
        <v>0</v>
      </c>
      <c r="BQ95" s="127">
        <f t="shared" ref="BQ95" si="176">SUM(BN95:BP95)</f>
        <v>0</v>
      </c>
    </row>
    <row r="96" spans="1:69" s="74" customFormat="1" ht="11.25" x14ac:dyDescent="0.2">
      <c r="A96" s="210">
        <v>2</v>
      </c>
      <c r="B96" s="211" t="s">
        <v>730</v>
      </c>
      <c r="C96" s="348" t="str">
        <f>IFERROR(VLOOKUP(D96,MappingFromSetAgiletoTTSRole,2,FALSE),"SET Agile Resource Role")</f>
        <v>Software Developer</v>
      </c>
      <c r="D96" s="398" t="s">
        <v>636</v>
      </c>
      <c r="E96" s="448"/>
      <c r="F96" s="449" t="str">
        <f t="shared" si="169"/>
        <v>DWMS</v>
      </c>
      <c r="G96" s="449"/>
      <c r="H96" s="541" t="str">
        <f t="shared" si="174"/>
        <v>Charging &amp; Billing 5G CHF</v>
      </c>
      <c r="I96" s="406"/>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79"/>
      <c r="AS96" s="179"/>
      <c r="AT96" s="179"/>
      <c r="AU96" s="179"/>
      <c r="AV96" s="179"/>
      <c r="AW96" s="179"/>
      <c r="AX96" s="179"/>
      <c r="AY96" s="179"/>
      <c r="AZ96" s="179"/>
      <c r="BA96" s="179"/>
      <c r="BB96" s="179"/>
      <c r="BC96" s="179"/>
      <c r="BD96" s="179"/>
      <c r="BE96" s="179"/>
      <c r="BF96" s="179"/>
      <c r="BG96" s="179"/>
      <c r="BH96" s="179"/>
      <c r="BI96" s="179"/>
      <c r="BJ96" s="179"/>
      <c r="BK96" s="179"/>
      <c r="BL96" s="180"/>
      <c r="BM96" s="187"/>
      <c r="BN96" s="82">
        <f t="shared" si="170"/>
        <v>0</v>
      </c>
      <c r="BO96" s="82">
        <f t="shared" ref="BO96" si="177">BN96*Scenario4AgileContingency</f>
        <v>0</v>
      </c>
      <c r="BP96" s="82">
        <f t="shared" si="172"/>
        <v>0</v>
      </c>
      <c r="BQ96" s="127">
        <f t="shared" ref="BQ96" si="178">SUM(BN96:BP96)</f>
        <v>0</v>
      </c>
    </row>
    <row r="97" spans="1:69" s="74" customFormat="1" ht="11.25" x14ac:dyDescent="0.2">
      <c r="A97" s="210">
        <v>2</v>
      </c>
      <c r="B97" s="211" t="s">
        <v>730</v>
      </c>
      <c r="C97" s="348" t="str">
        <f>IFERROR(VLOOKUP(D97,MappingFromSetAgiletoTTSRole,2,FALSE),"SET Agile Resource Role")</f>
        <v>Test Consultant</v>
      </c>
      <c r="D97" s="398" t="s">
        <v>633</v>
      </c>
      <c r="E97" s="448"/>
      <c r="F97" s="449" t="str">
        <f t="shared" si="169"/>
        <v>DWMS</v>
      </c>
      <c r="G97" s="449"/>
      <c r="H97" s="541" t="str">
        <f t="shared" si="174"/>
        <v>Charging &amp; Billing 5G CHF</v>
      </c>
      <c r="I97" s="406"/>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81"/>
      <c r="AR97" s="179"/>
      <c r="AS97" s="179"/>
      <c r="AT97" s="179"/>
      <c r="AU97" s="179"/>
      <c r="AV97" s="179"/>
      <c r="AW97" s="179"/>
      <c r="AX97" s="179"/>
      <c r="AY97" s="179"/>
      <c r="AZ97" s="179"/>
      <c r="BA97" s="179"/>
      <c r="BB97" s="179"/>
      <c r="BC97" s="179"/>
      <c r="BD97" s="179"/>
      <c r="BE97" s="179"/>
      <c r="BF97" s="179"/>
      <c r="BG97" s="179"/>
      <c r="BH97" s="179"/>
      <c r="BI97" s="179"/>
      <c r="BJ97" s="179"/>
      <c r="BK97" s="179"/>
      <c r="BL97" s="180"/>
      <c r="BM97" s="187"/>
      <c r="BN97" s="82">
        <f t="shared" si="170"/>
        <v>0</v>
      </c>
      <c r="BO97" s="82">
        <f t="shared" ref="BO97" si="179">BN97*Scenario4AgileContingency</f>
        <v>0</v>
      </c>
      <c r="BP97" s="82">
        <f t="shared" si="172"/>
        <v>0</v>
      </c>
      <c r="BQ97" s="127">
        <f t="shared" ref="BQ97" si="180">SUM(BN97:BP97)</f>
        <v>0</v>
      </c>
    </row>
    <row r="98" spans="1:69" s="74" customFormat="1" ht="11.25" x14ac:dyDescent="0.2">
      <c r="A98" s="210">
        <v>2</v>
      </c>
      <c r="B98" s="211" t="s">
        <v>730</v>
      </c>
      <c r="C98" s="348" t="str">
        <f>IFERROR(VLOOKUP(D98,MappingFromSetAgiletoTTSRole,2,FALSE),"SET Agile Resource Role")</f>
        <v>Project Manager</v>
      </c>
      <c r="D98" s="398" t="s">
        <v>599</v>
      </c>
      <c r="E98" s="448"/>
      <c r="F98" s="449" t="str">
        <f t="shared" si="169"/>
        <v>DWMS</v>
      </c>
      <c r="G98" s="449"/>
      <c r="H98" s="541" t="str">
        <f t="shared" si="174"/>
        <v>Charging &amp; Billing 5G CHF</v>
      </c>
      <c r="I98" s="406"/>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79"/>
      <c r="AS98" s="179"/>
      <c r="AT98" s="179"/>
      <c r="AU98" s="179"/>
      <c r="AV98" s="179"/>
      <c r="AW98" s="179"/>
      <c r="AX98" s="179"/>
      <c r="AY98" s="179"/>
      <c r="AZ98" s="179"/>
      <c r="BA98" s="179"/>
      <c r="BB98" s="179"/>
      <c r="BC98" s="179"/>
      <c r="BD98" s="179"/>
      <c r="BE98" s="179"/>
      <c r="BF98" s="179"/>
      <c r="BG98" s="179"/>
      <c r="BH98" s="179"/>
      <c r="BI98" s="179"/>
      <c r="BJ98" s="179"/>
      <c r="BK98" s="179"/>
      <c r="BL98" s="180"/>
      <c r="BM98" s="187"/>
      <c r="BN98" s="82">
        <f t="shared" si="170"/>
        <v>0</v>
      </c>
      <c r="BO98" s="82">
        <f t="shared" ref="BO98" si="181">BN98*Scenario4AgileContingency</f>
        <v>0</v>
      </c>
      <c r="BP98" s="82">
        <f t="shared" si="172"/>
        <v>0</v>
      </c>
      <c r="BQ98" s="127">
        <f t="shared" ref="BQ98" si="182">SUM(BN98:BP98)</f>
        <v>0</v>
      </c>
    </row>
    <row r="99" spans="1:69" s="74" customFormat="1" ht="11.25" x14ac:dyDescent="0.2">
      <c r="A99" s="210">
        <v>2</v>
      </c>
      <c r="B99" s="211" t="s">
        <v>730</v>
      </c>
      <c r="C99" s="348" t="s">
        <v>630</v>
      </c>
      <c r="D99" s="398" t="s">
        <v>679</v>
      </c>
      <c r="E99" s="448"/>
      <c r="F99" s="449" t="str">
        <f t="shared" si="169"/>
        <v>DWMS</v>
      </c>
      <c r="G99" s="449"/>
      <c r="H99" s="541" t="str">
        <f t="shared" si="174"/>
        <v>Charging &amp; Billing 5G CHF</v>
      </c>
      <c r="I99" s="406"/>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81"/>
      <c r="AR99" s="179"/>
      <c r="AS99" s="179"/>
      <c r="AT99" s="179"/>
      <c r="AU99" s="179"/>
      <c r="AV99" s="179"/>
      <c r="AW99" s="179"/>
      <c r="AX99" s="179"/>
      <c r="AY99" s="179"/>
      <c r="AZ99" s="179"/>
      <c r="BA99" s="179"/>
      <c r="BB99" s="179"/>
      <c r="BC99" s="179"/>
      <c r="BD99" s="179"/>
      <c r="BE99" s="179"/>
      <c r="BF99" s="179"/>
      <c r="BG99" s="179"/>
      <c r="BH99" s="179"/>
      <c r="BI99" s="179"/>
      <c r="BJ99" s="179"/>
      <c r="BK99" s="179"/>
      <c r="BL99" s="180"/>
      <c r="BM99" s="187"/>
      <c r="BN99" s="82">
        <f t="shared" si="170"/>
        <v>0</v>
      </c>
      <c r="BO99" s="82">
        <f t="shared" ref="BO99" si="183">BN99*Scenario4AgileContingency</f>
        <v>0</v>
      </c>
      <c r="BP99" s="82">
        <f t="shared" si="172"/>
        <v>0</v>
      </c>
      <c r="BQ99" s="127">
        <f t="shared" ref="BQ99" si="184">SUM(BN99:BP99)</f>
        <v>0</v>
      </c>
    </row>
    <row r="100" spans="1:69" s="74" customFormat="1" ht="11.25" x14ac:dyDescent="0.2">
      <c r="A100" s="210">
        <v>2</v>
      </c>
      <c r="B100" s="211" t="s">
        <v>730</v>
      </c>
      <c r="C100" s="348" t="s">
        <v>625</v>
      </c>
      <c r="D100" s="398" t="s">
        <v>672</v>
      </c>
      <c r="E100" s="448"/>
      <c r="F100" s="449" t="str">
        <f t="shared" si="169"/>
        <v>DE</v>
      </c>
      <c r="G100" s="449"/>
      <c r="H100" s="541" t="str">
        <f t="shared" si="174"/>
        <v>Charging &amp; Billing 5G CHF</v>
      </c>
      <c r="I100" s="406"/>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80"/>
      <c r="BM100" s="187"/>
      <c r="BN100" s="82">
        <f t="shared" si="170"/>
        <v>0</v>
      </c>
      <c r="BO100" s="82">
        <f t="shared" ref="BO100" si="185">BN100*Scenario4AgileContingency</f>
        <v>0</v>
      </c>
      <c r="BP100" s="82">
        <f t="shared" si="172"/>
        <v>0</v>
      </c>
      <c r="BQ100" s="127">
        <f t="shared" ref="BQ100" si="186">SUM(BN100:BP100)</f>
        <v>0</v>
      </c>
    </row>
    <row r="101" spans="1:69" s="74" customFormat="1" ht="11.25" x14ac:dyDescent="0.2">
      <c r="A101" s="210">
        <v>1</v>
      </c>
      <c r="B101" s="211" t="s">
        <v>571</v>
      </c>
      <c r="C101" s="206" t="s">
        <v>683</v>
      </c>
      <c r="D101" s="206" t="s">
        <v>683</v>
      </c>
      <c r="E101" s="418"/>
      <c r="F101" s="418"/>
      <c r="G101" s="418"/>
      <c r="H101" s="419"/>
      <c r="I101" s="217"/>
      <c r="J101" s="217"/>
      <c r="K101" s="217"/>
      <c r="L101" s="217"/>
      <c r="M101" s="217"/>
      <c r="N101" s="217"/>
      <c r="O101" s="217"/>
      <c r="P101" s="217"/>
      <c r="Q101" s="217"/>
      <c r="R101" s="217"/>
      <c r="S101" s="217"/>
      <c r="T101" s="217"/>
      <c r="U101" s="217"/>
      <c r="V101" s="217"/>
      <c r="W101" s="217"/>
      <c r="X101" s="217"/>
      <c r="Y101" s="217"/>
      <c r="Z101" s="217"/>
      <c r="AA101" s="217"/>
      <c r="AB101" s="217"/>
      <c r="AC101" s="217"/>
      <c r="AD101" s="217"/>
      <c r="AE101" s="217"/>
      <c r="AF101" s="217"/>
      <c r="AG101" s="217"/>
      <c r="AH101" s="217"/>
      <c r="AI101" s="217"/>
      <c r="AJ101" s="217"/>
      <c r="AK101" s="217"/>
      <c r="AL101" s="217"/>
      <c r="AM101" s="217"/>
      <c r="AN101" s="217"/>
      <c r="AO101" s="217"/>
      <c r="AP101" s="217"/>
      <c r="AQ101" s="217"/>
      <c r="AR101" s="217"/>
      <c r="AS101" s="217"/>
      <c r="AT101" s="217"/>
      <c r="AU101" s="217"/>
      <c r="AV101" s="217"/>
      <c r="AW101" s="217"/>
      <c r="AX101" s="217"/>
      <c r="AY101" s="217"/>
      <c r="AZ101" s="217"/>
      <c r="BA101" s="217"/>
      <c r="BB101" s="217"/>
      <c r="BC101" s="217"/>
      <c r="BD101" s="217"/>
      <c r="BE101" s="217"/>
      <c r="BF101" s="217"/>
      <c r="BG101" s="217"/>
      <c r="BH101" s="217"/>
      <c r="BI101" s="217"/>
      <c r="BJ101" s="217"/>
      <c r="BK101" s="217"/>
      <c r="BL101" s="186"/>
      <c r="BM101" s="187"/>
      <c r="BN101" s="127"/>
      <c r="BO101" s="127"/>
      <c r="BP101" s="127"/>
      <c r="BQ101" s="127"/>
    </row>
    <row r="102" spans="1:69" s="74" customFormat="1" ht="11.25" x14ac:dyDescent="0.2">
      <c r="A102" s="210">
        <v>2</v>
      </c>
      <c r="B102" s="211" t="s">
        <v>571</v>
      </c>
      <c r="C102" s="348" t="str">
        <f>IFERROR(VLOOKUP(D102,MappingFromSetAgiletoTTSRole,2,FALSE),"SET Agile Resource Role")</f>
        <v>Business Consultant</v>
      </c>
      <c r="D102" s="398" t="s">
        <v>684</v>
      </c>
      <c r="E102" s="448"/>
      <c r="F102" s="449" t="s">
        <v>607</v>
      </c>
      <c r="G102" s="449"/>
      <c r="H102" s="541" t="str">
        <f>C101</f>
        <v>SIT Support</v>
      </c>
      <c r="I102" s="406"/>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80"/>
      <c r="BM102" s="187"/>
      <c r="BN102" s="82">
        <f t="shared" ref="BN102:BN111" si="187">SUMIF(I$8:BL$8, "&lt;&gt;"&amp;AgileIteration_Warranty,I102:BL102)*5*Scenario4Utilisation</f>
        <v>0</v>
      </c>
      <c r="BO102" s="82">
        <f t="shared" si="8"/>
        <v>0</v>
      </c>
      <c r="BP102" s="82">
        <f t="shared" ref="BP102:BP111" si="188">IF(Scenario4Warranty=AgileWarrantyDefault, (SUMIF(I$8:BL$8,AgileIteration_Warranty,I102:BL102)*5*Scenario4Utilisation), (BN102*Scenario4Warranty))</f>
        <v>0</v>
      </c>
      <c r="BQ102" s="127">
        <f t="shared" si="9"/>
        <v>0</v>
      </c>
    </row>
    <row r="103" spans="1:69" s="74" customFormat="1" ht="11.25" x14ac:dyDescent="0.2">
      <c r="A103" s="210">
        <v>2</v>
      </c>
      <c r="B103" s="211" t="s">
        <v>571</v>
      </c>
      <c r="C103" s="348" t="s">
        <v>685</v>
      </c>
      <c r="D103" s="399" t="s">
        <v>686</v>
      </c>
      <c r="E103" s="448"/>
      <c r="F103" s="449" t="s">
        <v>607</v>
      </c>
      <c r="G103" s="449"/>
      <c r="H103" s="541" t="str">
        <f t="shared" ref="H103:H111" si="189">H102</f>
        <v>SIT Support</v>
      </c>
      <c r="I103" s="407"/>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3"/>
      <c r="BM103" s="187"/>
      <c r="BN103" s="82">
        <f t="shared" si="187"/>
        <v>0</v>
      </c>
      <c r="BO103" s="82">
        <f t="shared" si="8"/>
        <v>0</v>
      </c>
      <c r="BP103" s="82">
        <f t="shared" si="188"/>
        <v>0</v>
      </c>
      <c r="BQ103" s="127">
        <f t="shared" si="9"/>
        <v>0</v>
      </c>
    </row>
    <row r="104" spans="1:69" s="74" customFormat="1" ht="11.25" x14ac:dyDescent="0.2">
      <c r="A104" s="210">
        <v>2</v>
      </c>
      <c r="B104" s="211" t="s">
        <v>571</v>
      </c>
      <c r="C104" s="348" t="s">
        <v>658</v>
      </c>
      <c r="D104" s="399" t="s">
        <v>687</v>
      </c>
      <c r="E104" s="448"/>
      <c r="F104" s="449" t="str">
        <f>IFERROR(VLOOKUP(C104,MappingFromTTStoSU,2,FALSE),"SU Resource Role")</f>
        <v>DWMS</v>
      </c>
      <c r="G104" s="449"/>
      <c r="H104" s="541" t="str">
        <f>H103</f>
        <v>SIT Support</v>
      </c>
      <c r="I104" s="407"/>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3"/>
      <c r="BM104" s="187"/>
      <c r="BN104" s="82">
        <f t="shared" ref="BN104" si="190">SUMIF(I$8:BL$8, "&lt;&gt;"&amp;AgileIteration_Warranty,I104:BL104)*5*Scenario4Utilisation</f>
        <v>0</v>
      </c>
      <c r="BO104" s="82">
        <f t="shared" ref="BO104" si="191">BN104*Scenario4AgileContingency</f>
        <v>0</v>
      </c>
      <c r="BP104" s="82">
        <f t="shared" ref="BP104" si="192">IF(Scenario4Warranty=AgileWarrantyDefault, (SUMIF(I$8:BL$8,AgileIteration_Warranty,I104:BL104)*5*Scenario4Utilisation), (BN104*Scenario4Warranty))</f>
        <v>0</v>
      </c>
      <c r="BQ104" s="127">
        <f t="shared" ref="BQ104" si="193">SUM(BN104:BP104)</f>
        <v>0</v>
      </c>
    </row>
    <row r="105" spans="1:69" s="74" customFormat="1" ht="11.25" x14ac:dyDescent="0.2">
      <c r="A105" s="210">
        <v>2</v>
      </c>
      <c r="B105" s="211" t="s">
        <v>571</v>
      </c>
      <c r="C105" s="348" t="s">
        <v>635</v>
      </c>
      <c r="D105" s="400" t="s">
        <v>687</v>
      </c>
      <c r="E105" s="448"/>
      <c r="F105" s="449" t="str">
        <f t="shared" ref="F105:F111" si="194">IFERROR(VLOOKUP(C105,MappingFromTTStoSU,2,FALSE),"SU Resource Role")</f>
        <v>DWMS</v>
      </c>
      <c r="G105" s="449"/>
      <c r="H105" s="541" t="str">
        <f>H103</f>
        <v>SIT Support</v>
      </c>
      <c r="I105" s="408"/>
      <c r="J105" s="177"/>
      <c r="K105" s="177"/>
      <c r="L105" s="177"/>
      <c r="M105" s="177"/>
      <c r="N105" s="177"/>
      <c r="O105" s="177"/>
      <c r="P105" s="177"/>
      <c r="Q105" s="177"/>
      <c r="R105" s="177"/>
      <c r="S105" s="177"/>
      <c r="T105" s="177"/>
      <c r="U105" s="177"/>
      <c r="V105" s="177"/>
      <c r="W105" s="177"/>
      <c r="X105" s="177"/>
      <c r="Y105" s="177"/>
      <c r="Z105" s="177"/>
      <c r="AA105" s="177"/>
      <c r="AB105" s="177"/>
      <c r="AC105" s="177"/>
      <c r="AD105" s="177"/>
      <c r="AE105" s="177"/>
      <c r="AF105" s="177"/>
      <c r="AG105" s="177"/>
      <c r="AH105" s="177"/>
      <c r="AI105" s="177"/>
      <c r="AJ105" s="177"/>
      <c r="AK105" s="177"/>
      <c r="AL105" s="177"/>
      <c r="AM105" s="177"/>
      <c r="AN105" s="177"/>
      <c r="AO105" s="177"/>
      <c r="AP105" s="177"/>
      <c r="AQ105" s="177"/>
      <c r="AR105" s="176"/>
      <c r="AS105" s="176"/>
      <c r="AT105" s="176"/>
      <c r="AU105" s="176"/>
      <c r="AV105" s="176"/>
      <c r="AW105" s="176"/>
      <c r="AX105" s="176"/>
      <c r="AY105" s="176"/>
      <c r="AZ105" s="176"/>
      <c r="BA105" s="176"/>
      <c r="BB105" s="176"/>
      <c r="BC105" s="176"/>
      <c r="BD105" s="176"/>
      <c r="BE105" s="176"/>
      <c r="BF105" s="176"/>
      <c r="BG105" s="176"/>
      <c r="BH105" s="176"/>
      <c r="BI105" s="176"/>
      <c r="BJ105" s="176"/>
      <c r="BK105" s="176"/>
      <c r="BL105" s="178"/>
      <c r="BM105" s="187"/>
      <c r="BN105" s="82">
        <f t="shared" si="187"/>
        <v>0</v>
      </c>
      <c r="BO105" s="82">
        <f t="shared" ref="BO105" si="195">BN105*Scenario4AgileContingency</f>
        <v>0</v>
      </c>
      <c r="BP105" s="82">
        <f t="shared" si="188"/>
        <v>0</v>
      </c>
      <c r="BQ105" s="127">
        <f t="shared" ref="BQ105" si="196">SUM(BN105:BP105)</f>
        <v>0</v>
      </c>
    </row>
    <row r="106" spans="1:69" s="74" customFormat="1" ht="11.25" x14ac:dyDescent="0.2">
      <c r="A106" s="210">
        <v>2</v>
      </c>
      <c r="B106" s="211" t="s">
        <v>571</v>
      </c>
      <c r="C106" s="348" t="str">
        <f t="shared" ref="C106:C111" si="197">IFERROR(VLOOKUP(D106,MappingFromSetAgiletoTTSRole,2,FALSE),"SET Agile Resource Role")</f>
        <v>Software Developer</v>
      </c>
      <c r="D106" s="400" t="s">
        <v>687</v>
      </c>
      <c r="E106" s="448"/>
      <c r="F106" s="449" t="str">
        <f t="shared" si="194"/>
        <v>DWMS</v>
      </c>
      <c r="G106" s="449"/>
      <c r="H106" s="541" t="str">
        <f t="shared" si="189"/>
        <v>SIT Support</v>
      </c>
      <c r="I106" s="408"/>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6"/>
      <c r="AS106" s="176"/>
      <c r="AT106" s="176"/>
      <c r="AU106" s="176"/>
      <c r="AV106" s="176"/>
      <c r="AW106" s="176"/>
      <c r="AX106" s="176"/>
      <c r="AY106" s="176"/>
      <c r="AZ106" s="176"/>
      <c r="BA106" s="176"/>
      <c r="BB106" s="176"/>
      <c r="BC106" s="176"/>
      <c r="BD106" s="176"/>
      <c r="BE106" s="176"/>
      <c r="BF106" s="176"/>
      <c r="BG106" s="176"/>
      <c r="BH106" s="176"/>
      <c r="BI106" s="176"/>
      <c r="BJ106" s="176"/>
      <c r="BK106" s="176"/>
      <c r="BL106" s="178"/>
      <c r="BM106" s="187"/>
      <c r="BN106" s="82">
        <f t="shared" si="187"/>
        <v>0</v>
      </c>
      <c r="BO106" s="82">
        <f t="shared" ref="BO106" si="198">BN106*Scenario4AgileContingency</f>
        <v>0</v>
      </c>
      <c r="BP106" s="82">
        <f t="shared" si="188"/>
        <v>0</v>
      </c>
      <c r="BQ106" s="127">
        <f t="shared" ref="BQ106" si="199">SUM(BN106:BP106)</f>
        <v>0</v>
      </c>
    </row>
    <row r="107" spans="1:69" s="74" customFormat="1" ht="11.25" x14ac:dyDescent="0.2">
      <c r="A107" s="210">
        <v>2</v>
      </c>
      <c r="B107" s="211" t="s">
        <v>571</v>
      </c>
      <c r="C107" s="348" t="str">
        <f t="shared" si="197"/>
        <v>Software Developer</v>
      </c>
      <c r="D107" s="400" t="s">
        <v>687</v>
      </c>
      <c r="E107" s="448"/>
      <c r="F107" s="449" t="str">
        <f t="shared" si="194"/>
        <v>DWMS</v>
      </c>
      <c r="G107" s="449"/>
      <c r="H107" s="541" t="str">
        <f t="shared" si="189"/>
        <v>SIT Support</v>
      </c>
      <c r="I107" s="408"/>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6"/>
      <c r="AS107" s="176"/>
      <c r="AT107" s="176"/>
      <c r="AU107" s="176"/>
      <c r="AV107" s="176"/>
      <c r="AW107" s="176"/>
      <c r="AX107" s="176"/>
      <c r="AY107" s="176"/>
      <c r="AZ107" s="176"/>
      <c r="BA107" s="176"/>
      <c r="BB107" s="176"/>
      <c r="BC107" s="176"/>
      <c r="BD107" s="176"/>
      <c r="BE107" s="176"/>
      <c r="BF107" s="176"/>
      <c r="BG107" s="176"/>
      <c r="BH107" s="176"/>
      <c r="BI107" s="176"/>
      <c r="BJ107" s="176"/>
      <c r="BK107" s="176"/>
      <c r="BL107" s="178"/>
      <c r="BM107" s="187"/>
      <c r="BN107" s="82">
        <f t="shared" si="187"/>
        <v>0</v>
      </c>
      <c r="BO107" s="82">
        <f t="shared" ref="BO107" si="200">BN107*Scenario4AgileContingency</f>
        <v>0</v>
      </c>
      <c r="BP107" s="82">
        <f t="shared" si="188"/>
        <v>0</v>
      </c>
      <c r="BQ107" s="127">
        <f t="shared" ref="BQ107" si="201">SUM(BN107:BP107)</f>
        <v>0</v>
      </c>
    </row>
    <row r="108" spans="1:69" s="74" customFormat="1" ht="11.25" x14ac:dyDescent="0.2">
      <c r="A108" s="210">
        <v>2</v>
      </c>
      <c r="B108" s="211" t="s">
        <v>571</v>
      </c>
      <c r="C108" s="348" t="str">
        <f t="shared" si="197"/>
        <v>Software Developer</v>
      </c>
      <c r="D108" s="400" t="s">
        <v>687</v>
      </c>
      <c r="E108" s="448"/>
      <c r="F108" s="449" t="str">
        <f t="shared" si="194"/>
        <v>DWMS</v>
      </c>
      <c r="G108" s="449"/>
      <c r="H108" s="541" t="str">
        <f t="shared" si="189"/>
        <v>SIT Support</v>
      </c>
      <c r="I108" s="408"/>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8"/>
      <c r="BM108" s="187"/>
      <c r="BN108" s="82">
        <f t="shared" si="187"/>
        <v>0</v>
      </c>
      <c r="BO108" s="82">
        <f t="shared" ref="BO108" si="202">BN108*Scenario4AgileContingency</f>
        <v>0</v>
      </c>
      <c r="BP108" s="82">
        <f t="shared" si="188"/>
        <v>0</v>
      </c>
      <c r="BQ108" s="127">
        <f t="shared" ref="BQ108" si="203">SUM(BN108:BP108)</f>
        <v>0</v>
      </c>
    </row>
    <row r="109" spans="1:69" s="74" customFormat="1" ht="11.25" x14ac:dyDescent="0.2">
      <c r="A109" s="210">
        <v>2</v>
      </c>
      <c r="B109" s="211" t="s">
        <v>571</v>
      </c>
      <c r="C109" s="348" t="s">
        <v>651</v>
      </c>
      <c r="D109" s="400" t="s">
        <v>688</v>
      </c>
      <c r="E109" s="448"/>
      <c r="F109" s="449" t="str">
        <f t="shared" si="194"/>
        <v>DWMS</v>
      </c>
      <c r="G109" s="449"/>
      <c r="H109" s="541" t="str">
        <f t="shared" si="189"/>
        <v>SIT Support</v>
      </c>
      <c r="I109" s="408"/>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7"/>
      <c r="AP109" s="177"/>
      <c r="AQ109" s="177"/>
      <c r="AR109" s="176"/>
      <c r="AS109" s="176"/>
      <c r="AT109" s="176"/>
      <c r="AU109" s="176"/>
      <c r="AV109" s="176"/>
      <c r="AW109" s="176"/>
      <c r="AX109" s="176"/>
      <c r="AY109" s="176"/>
      <c r="AZ109" s="176"/>
      <c r="BA109" s="176"/>
      <c r="BB109" s="176"/>
      <c r="BC109" s="176"/>
      <c r="BD109" s="176"/>
      <c r="BE109" s="176"/>
      <c r="BF109" s="176"/>
      <c r="BG109" s="176"/>
      <c r="BH109" s="176"/>
      <c r="BI109" s="176"/>
      <c r="BJ109" s="176"/>
      <c r="BK109" s="176"/>
      <c r="BL109" s="178"/>
      <c r="BM109" s="187"/>
      <c r="BN109" s="82">
        <f t="shared" si="187"/>
        <v>0</v>
      </c>
      <c r="BO109" s="82">
        <f t="shared" ref="BO109" si="204">BN109*Scenario4AgileContingency</f>
        <v>0</v>
      </c>
      <c r="BP109" s="82">
        <f t="shared" si="188"/>
        <v>0</v>
      </c>
      <c r="BQ109" s="127">
        <f t="shared" ref="BQ109" si="205">SUM(BN109:BP109)</f>
        <v>0</v>
      </c>
    </row>
    <row r="110" spans="1:69" s="74" customFormat="1" ht="11.25" x14ac:dyDescent="0.2">
      <c r="A110" s="210">
        <v>2</v>
      </c>
      <c r="B110" s="211" t="s">
        <v>571</v>
      </c>
      <c r="C110" s="348" t="str">
        <f t="shared" si="197"/>
        <v>Test Consultant</v>
      </c>
      <c r="D110" s="400" t="s">
        <v>688</v>
      </c>
      <c r="E110" s="448"/>
      <c r="F110" s="449" t="str">
        <f t="shared" si="194"/>
        <v>DWMS</v>
      </c>
      <c r="G110" s="449"/>
      <c r="H110" s="541" t="str">
        <f t="shared" si="189"/>
        <v>SIT Support</v>
      </c>
      <c r="I110" s="408"/>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7"/>
      <c r="AP110" s="177"/>
      <c r="AQ110" s="177"/>
      <c r="AR110" s="176"/>
      <c r="AS110" s="176"/>
      <c r="AT110" s="176"/>
      <c r="AU110" s="176"/>
      <c r="AV110" s="176"/>
      <c r="AW110" s="176"/>
      <c r="AX110" s="176"/>
      <c r="AY110" s="176"/>
      <c r="AZ110" s="176"/>
      <c r="BA110" s="176"/>
      <c r="BB110" s="176"/>
      <c r="BC110" s="176"/>
      <c r="BD110" s="176"/>
      <c r="BE110" s="176"/>
      <c r="BF110" s="176"/>
      <c r="BG110" s="176"/>
      <c r="BH110" s="176"/>
      <c r="BI110" s="176"/>
      <c r="BJ110" s="176"/>
      <c r="BK110" s="176"/>
      <c r="BL110" s="178"/>
      <c r="BM110" s="187"/>
      <c r="BN110" s="82">
        <f t="shared" si="187"/>
        <v>0</v>
      </c>
      <c r="BO110" s="82">
        <f t="shared" ref="BO110" si="206">BN110*Scenario4AgileContingency</f>
        <v>0</v>
      </c>
      <c r="BP110" s="82">
        <f t="shared" si="188"/>
        <v>0</v>
      </c>
      <c r="BQ110" s="127">
        <f t="shared" ref="BQ110" si="207">SUM(BN110:BP110)</f>
        <v>0</v>
      </c>
    </row>
    <row r="111" spans="1:69" s="74" customFormat="1" ht="11.25" x14ac:dyDescent="0.2">
      <c r="A111" s="210">
        <v>2</v>
      </c>
      <c r="B111" s="211" t="s">
        <v>571</v>
      </c>
      <c r="C111" s="348" t="str">
        <f t="shared" si="197"/>
        <v>Test Consultant</v>
      </c>
      <c r="D111" s="400" t="s">
        <v>688</v>
      </c>
      <c r="E111" s="448"/>
      <c r="F111" s="449" t="str">
        <f t="shared" si="194"/>
        <v>DWMS</v>
      </c>
      <c r="G111" s="449"/>
      <c r="H111" s="541" t="str">
        <f t="shared" si="189"/>
        <v>SIT Support</v>
      </c>
      <c r="I111" s="408"/>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7"/>
      <c r="AP111" s="177"/>
      <c r="AQ111" s="177"/>
      <c r="AR111" s="176"/>
      <c r="AS111" s="176"/>
      <c r="AT111" s="176"/>
      <c r="AU111" s="176"/>
      <c r="AV111" s="176"/>
      <c r="AW111" s="176"/>
      <c r="AX111" s="176"/>
      <c r="AY111" s="176"/>
      <c r="AZ111" s="176"/>
      <c r="BA111" s="176"/>
      <c r="BB111" s="176"/>
      <c r="BC111" s="176"/>
      <c r="BD111" s="176"/>
      <c r="BE111" s="176"/>
      <c r="BF111" s="176"/>
      <c r="BG111" s="176"/>
      <c r="BH111" s="176"/>
      <c r="BI111" s="176"/>
      <c r="BJ111" s="176"/>
      <c r="BK111" s="176"/>
      <c r="BL111" s="178"/>
      <c r="BM111" s="187"/>
      <c r="BN111" s="82">
        <f t="shared" si="187"/>
        <v>0</v>
      </c>
      <c r="BO111" s="82">
        <f t="shared" ref="BO111" si="208">BN111*Scenario4AgileContingency</f>
        <v>0</v>
      </c>
      <c r="BP111" s="82">
        <f t="shared" si="188"/>
        <v>0</v>
      </c>
      <c r="BQ111" s="127">
        <f t="shared" ref="BQ111" si="209">SUM(BN111:BP111)</f>
        <v>0</v>
      </c>
    </row>
    <row r="112" spans="1:69" s="74" customFormat="1" ht="11.25" x14ac:dyDescent="0.2">
      <c r="A112" s="210">
        <v>1</v>
      </c>
      <c r="B112" s="211" t="s">
        <v>578</v>
      </c>
      <c r="C112" s="206" t="s">
        <v>689</v>
      </c>
      <c r="D112" s="206" t="s">
        <v>689</v>
      </c>
      <c r="E112" s="418"/>
      <c r="F112" s="418"/>
      <c r="G112" s="418"/>
      <c r="H112" s="419"/>
      <c r="I112" s="217"/>
      <c r="J112" s="217"/>
      <c r="K112" s="217"/>
      <c r="L112" s="217"/>
      <c r="M112" s="217"/>
      <c r="N112" s="217"/>
      <c r="O112" s="217"/>
      <c r="P112" s="217"/>
      <c r="Q112" s="217"/>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c r="AQ112" s="217"/>
      <c r="AR112" s="217"/>
      <c r="AS112" s="217"/>
      <c r="AT112" s="217"/>
      <c r="AU112" s="217"/>
      <c r="AV112" s="217"/>
      <c r="AW112" s="217"/>
      <c r="AX112" s="217"/>
      <c r="AY112" s="217"/>
      <c r="AZ112" s="217"/>
      <c r="BA112" s="217"/>
      <c r="BB112" s="217"/>
      <c r="BC112" s="217"/>
      <c r="BD112" s="217"/>
      <c r="BE112" s="217"/>
      <c r="BF112" s="217"/>
      <c r="BG112" s="217"/>
      <c r="BH112" s="217"/>
      <c r="BI112" s="217"/>
      <c r="BJ112" s="217"/>
      <c r="BK112" s="217"/>
      <c r="BL112" s="186"/>
      <c r="BM112" s="187"/>
      <c r="BN112" s="127"/>
      <c r="BO112" s="127"/>
      <c r="BP112" s="127"/>
      <c r="BQ112" s="127"/>
    </row>
    <row r="113" spans="1:69" s="74" customFormat="1" ht="11.25" x14ac:dyDescent="0.2">
      <c r="A113" s="210">
        <v>2</v>
      </c>
      <c r="B113" s="211" t="s">
        <v>578</v>
      </c>
      <c r="C113" s="348" t="str">
        <f t="shared" ref="C113:C122" si="210">IFERROR(VLOOKUP(D113,MappingFromSetAgiletoTTSRole,2,FALSE),"SET Agile Resource Role")</f>
        <v>Business Consultant</v>
      </c>
      <c r="D113" s="398" t="s">
        <v>684</v>
      </c>
      <c r="E113" s="448"/>
      <c r="F113" s="449" t="s">
        <v>607</v>
      </c>
      <c r="G113" s="449"/>
      <c r="H113" s="541" t="str">
        <f>C112</f>
        <v>UAT Support</v>
      </c>
      <c r="I113" s="406"/>
      <c r="J113" s="181"/>
      <c r="K113" s="181"/>
      <c r="L113" s="181"/>
      <c r="M113" s="181"/>
      <c r="N113" s="181"/>
      <c r="O113" s="181"/>
      <c r="P113" s="181"/>
      <c r="Q113" s="181"/>
      <c r="R113" s="181"/>
      <c r="S113" s="181"/>
      <c r="T113" s="181"/>
      <c r="U113" s="181"/>
      <c r="V113" s="181"/>
      <c r="W113" s="181"/>
      <c r="X113" s="181"/>
      <c r="Y113" s="181"/>
      <c r="Z113" s="181"/>
      <c r="AA113" s="179"/>
      <c r="AB113" s="179"/>
      <c r="AC113" s="179"/>
      <c r="AD113" s="179"/>
      <c r="AE113" s="181"/>
      <c r="AF113" s="181"/>
      <c r="AG113" s="181"/>
      <c r="AH113" s="181"/>
      <c r="AI113" s="181"/>
      <c r="AJ113" s="181"/>
      <c r="AK113" s="181"/>
      <c r="AL113" s="181"/>
      <c r="AM113" s="181"/>
      <c r="AN113" s="181"/>
      <c r="AO113" s="181"/>
      <c r="AP113" s="181"/>
      <c r="AQ113" s="181"/>
      <c r="AR113" s="181"/>
      <c r="AS113" s="181"/>
      <c r="AT113" s="181"/>
      <c r="AU113" s="181"/>
      <c r="AV113" s="181"/>
      <c r="AW113" s="181"/>
      <c r="AX113" s="181"/>
      <c r="AY113" s="181"/>
      <c r="AZ113" s="179"/>
      <c r="BA113" s="179"/>
      <c r="BB113" s="179"/>
      <c r="BC113" s="179"/>
      <c r="BD113" s="179"/>
      <c r="BE113" s="179"/>
      <c r="BF113" s="179"/>
      <c r="BG113" s="179"/>
      <c r="BH113" s="179"/>
      <c r="BI113" s="179"/>
      <c r="BJ113" s="179"/>
      <c r="BK113" s="179"/>
      <c r="BL113" s="180"/>
      <c r="BM113" s="187"/>
      <c r="BN113" s="82">
        <f t="shared" ref="BN113:BN122" si="211">SUMIF(I$8:BL$8, "&lt;&gt;"&amp;AgileIteration_Warranty,I113:BL113)*5*Scenario4Utilisation</f>
        <v>0</v>
      </c>
      <c r="BO113" s="82">
        <f t="shared" si="8"/>
        <v>0</v>
      </c>
      <c r="BP113" s="82">
        <f t="shared" ref="BP113:BP122" si="212">IF(Scenario4Warranty=AgileWarrantyDefault, (SUMIF(I$8:BL$8,AgileIteration_Warranty,I113:BL113)*5*Scenario4Utilisation), (BN113*Scenario4Warranty))</f>
        <v>0</v>
      </c>
      <c r="BQ113" s="127">
        <f t="shared" si="9"/>
        <v>0</v>
      </c>
    </row>
    <row r="114" spans="1:69" s="74" customFormat="1" ht="11.25" x14ac:dyDescent="0.2">
      <c r="A114" s="210">
        <v>2</v>
      </c>
      <c r="B114" s="211" t="s">
        <v>578</v>
      </c>
      <c r="C114" s="348" t="s">
        <v>685</v>
      </c>
      <c r="D114" s="399" t="s">
        <v>686</v>
      </c>
      <c r="E114" s="448"/>
      <c r="F114" s="449" t="s">
        <v>607</v>
      </c>
      <c r="G114" s="449"/>
      <c r="H114" s="541" t="str">
        <f>H113</f>
        <v>UAT Support</v>
      </c>
      <c r="I114" s="407"/>
      <c r="J114" s="174"/>
      <c r="K114" s="174"/>
      <c r="L114" s="174"/>
      <c r="M114" s="174"/>
      <c r="N114" s="174"/>
      <c r="O114" s="174"/>
      <c r="P114" s="174"/>
      <c r="Q114" s="174"/>
      <c r="R114" s="174"/>
      <c r="S114" s="174"/>
      <c r="T114" s="174"/>
      <c r="U114" s="174"/>
      <c r="V114" s="174"/>
      <c r="W114" s="174"/>
      <c r="X114" s="174"/>
      <c r="Y114" s="174"/>
      <c r="Z114" s="174"/>
      <c r="AA114" s="172"/>
      <c r="AB114" s="172"/>
      <c r="AC114" s="172"/>
      <c r="AD114" s="172"/>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172"/>
      <c r="BA114" s="172"/>
      <c r="BB114" s="172"/>
      <c r="BC114" s="172"/>
      <c r="BD114" s="172"/>
      <c r="BE114" s="172"/>
      <c r="BF114" s="172"/>
      <c r="BG114" s="172"/>
      <c r="BH114" s="172"/>
      <c r="BI114" s="172"/>
      <c r="BJ114" s="172"/>
      <c r="BK114" s="172"/>
      <c r="BL114" s="173"/>
      <c r="BM114" s="187"/>
      <c r="BN114" s="82">
        <f t="shared" si="211"/>
        <v>0</v>
      </c>
      <c r="BO114" s="82">
        <f t="shared" si="8"/>
        <v>0</v>
      </c>
      <c r="BP114" s="82">
        <f t="shared" si="212"/>
        <v>0</v>
      </c>
      <c r="BQ114" s="127">
        <f t="shared" si="9"/>
        <v>0</v>
      </c>
    </row>
    <row r="115" spans="1:69" s="74" customFormat="1" ht="11.25" x14ac:dyDescent="0.2">
      <c r="A115" s="210">
        <v>2</v>
      </c>
      <c r="B115" s="211" t="s">
        <v>578</v>
      </c>
      <c r="C115" s="348" t="s">
        <v>658</v>
      </c>
      <c r="D115" s="399" t="s">
        <v>687</v>
      </c>
      <c r="E115" s="448"/>
      <c r="F115" s="449" t="str">
        <f>IFERROR(VLOOKUP(C115,MappingFromTTStoSU,2,FALSE),"SU Resource Role")</f>
        <v>DWMS</v>
      </c>
      <c r="G115" s="449"/>
      <c r="H115" s="541" t="str">
        <f>H114</f>
        <v>UAT Support</v>
      </c>
      <c r="I115" s="407"/>
      <c r="J115" s="174"/>
      <c r="K115" s="174"/>
      <c r="L115" s="174"/>
      <c r="M115" s="174"/>
      <c r="N115" s="174"/>
      <c r="O115" s="174"/>
      <c r="P115" s="174"/>
      <c r="Q115" s="174"/>
      <c r="R115" s="174"/>
      <c r="S115" s="174"/>
      <c r="T115" s="174"/>
      <c r="U115" s="174"/>
      <c r="V115" s="174"/>
      <c r="W115" s="174"/>
      <c r="X115" s="174"/>
      <c r="Y115" s="174"/>
      <c r="Z115" s="174"/>
      <c r="AA115" s="172"/>
      <c r="AB115" s="172"/>
      <c r="AC115" s="172"/>
      <c r="AD115" s="172"/>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2"/>
      <c r="BA115" s="172"/>
      <c r="BB115" s="172"/>
      <c r="BC115" s="172"/>
      <c r="BD115" s="172"/>
      <c r="BE115" s="172"/>
      <c r="BF115" s="172"/>
      <c r="BG115" s="172"/>
      <c r="BH115" s="172"/>
      <c r="BI115" s="172"/>
      <c r="BJ115" s="172"/>
      <c r="BK115" s="172"/>
      <c r="BL115" s="173"/>
      <c r="BM115" s="187"/>
      <c r="BN115" s="82">
        <f t="shared" ref="BN115" si="213">SUMIF(I$8:BL$8, "&lt;&gt;"&amp;AgileIteration_Warranty,I115:BL115)*5*Scenario4Utilisation</f>
        <v>0</v>
      </c>
      <c r="BO115" s="82">
        <f t="shared" ref="BO115" si="214">BN115*Scenario4AgileContingency</f>
        <v>0</v>
      </c>
      <c r="BP115" s="82">
        <f t="shared" ref="BP115" si="215">IF(Scenario4Warranty=AgileWarrantyDefault, (SUMIF(I$8:BL$8,AgileIteration_Warranty,I115:BL115)*5*Scenario4Utilisation), (BN115*Scenario4Warranty))</f>
        <v>0</v>
      </c>
      <c r="BQ115" s="127">
        <f t="shared" ref="BQ115" si="216">SUM(BN115:BP115)</f>
        <v>0</v>
      </c>
    </row>
    <row r="116" spans="1:69" s="74" customFormat="1" ht="11.25" x14ac:dyDescent="0.2">
      <c r="A116" s="210">
        <v>2</v>
      </c>
      <c r="B116" s="211" t="s">
        <v>578</v>
      </c>
      <c r="C116" s="348" t="s">
        <v>635</v>
      </c>
      <c r="D116" s="399" t="s">
        <v>687</v>
      </c>
      <c r="E116" s="448"/>
      <c r="F116" s="449" t="str">
        <f>IFERROR(VLOOKUP(C116,MappingFromTTStoSU,2,FALSE),"SU Resource Role")</f>
        <v>DWMS</v>
      </c>
      <c r="G116" s="449"/>
      <c r="H116" s="541" t="str">
        <f>H114</f>
        <v>UAT Support</v>
      </c>
      <c r="I116" s="407"/>
      <c r="J116" s="174"/>
      <c r="K116" s="174"/>
      <c r="L116" s="174"/>
      <c r="M116" s="174"/>
      <c r="N116" s="174"/>
      <c r="O116" s="174"/>
      <c r="P116" s="174"/>
      <c r="Q116" s="174"/>
      <c r="R116" s="174"/>
      <c r="S116" s="174"/>
      <c r="T116" s="174"/>
      <c r="U116" s="174"/>
      <c r="V116" s="174"/>
      <c r="W116" s="174"/>
      <c r="X116" s="174"/>
      <c r="Y116" s="174"/>
      <c r="Z116" s="174"/>
      <c r="AA116" s="172"/>
      <c r="AB116" s="172"/>
      <c r="AC116" s="172"/>
      <c r="AD116" s="172"/>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2"/>
      <c r="BA116" s="172"/>
      <c r="BB116" s="172"/>
      <c r="BC116" s="172"/>
      <c r="BD116" s="172"/>
      <c r="BE116" s="172"/>
      <c r="BF116" s="172"/>
      <c r="BG116" s="172"/>
      <c r="BH116" s="172"/>
      <c r="BI116" s="172"/>
      <c r="BJ116" s="172"/>
      <c r="BK116" s="172"/>
      <c r="BL116" s="173"/>
      <c r="BM116" s="187"/>
      <c r="BN116" s="82">
        <f t="shared" si="211"/>
        <v>0</v>
      </c>
      <c r="BO116" s="82">
        <f t="shared" ref="BO116" si="217">BN116*Scenario4AgileContingency</f>
        <v>0</v>
      </c>
      <c r="BP116" s="82">
        <f t="shared" si="212"/>
        <v>0</v>
      </c>
      <c r="BQ116" s="127">
        <f t="shared" ref="BQ116" si="218">SUM(BN116:BP116)</f>
        <v>0</v>
      </c>
    </row>
    <row r="117" spans="1:69" s="74" customFormat="1" ht="11.25" x14ac:dyDescent="0.2">
      <c r="A117" s="210">
        <v>2</v>
      </c>
      <c r="B117" s="211" t="s">
        <v>578</v>
      </c>
      <c r="C117" s="348" t="str">
        <f t="shared" si="210"/>
        <v>Software Developer</v>
      </c>
      <c r="D117" s="399" t="s">
        <v>687</v>
      </c>
      <c r="E117" s="448"/>
      <c r="F117" s="449" t="str">
        <f>IFERROR(VLOOKUP(C117,MappingFromTTStoSU,2,FALSE),"SU Resource Role")</f>
        <v>DWMS</v>
      </c>
      <c r="G117" s="449"/>
      <c r="H117" s="541" t="str">
        <f>H116</f>
        <v>UAT Support</v>
      </c>
      <c r="I117" s="407"/>
      <c r="J117" s="174"/>
      <c r="K117" s="174"/>
      <c r="L117" s="174"/>
      <c r="M117" s="174"/>
      <c r="N117" s="174"/>
      <c r="O117" s="174"/>
      <c r="P117" s="174"/>
      <c r="Q117" s="174"/>
      <c r="R117" s="174"/>
      <c r="S117" s="174"/>
      <c r="T117" s="174"/>
      <c r="U117" s="174"/>
      <c r="V117" s="174"/>
      <c r="W117" s="174"/>
      <c r="X117" s="174"/>
      <c r="Y117" s="174"/>
      <c r="Z117" s="174"/>
      <c r="AA117" s="172"/>
      <c r="AB117" s="172"/>
      <c r="AC117" s="172"/>
      <c r="AD117" s="172"/>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2"/>
      <c r="BA117" s="172"/>
      <c r="BB117" s="172"/>
      <c r="BC117" s="172"/>
      <c r="BD117" s="172"/>
      <c r="BE117" s="172"/>
      <c r="BF117" s="172"/>
      <c r="BG117" s="172"/>
      <c r="BH117" s="172"/>
      <c r="BI117" s="172"/>
      <c r="BJ117" s="172"/>
      <c r="BK117" s="172"/>
      <c r="BL117" s="173"/>
      <c r="BM117" s="187"/>
      <c r="BN117" s="82">
        <f t="shared" si="211"/>
        <v>0</v>
      </c>
      <c r="BO117" s="82">
        <f t="shared" ref="BO117" si="219">BN117*Scenario4AgileContingency</f>
        <v>0</v>
      </c>
      <c r="BP117" s="82">
        <f t="shared" si="212"/>
        <v>0</v>
      </c>
      <c r="BQ117" s="127">
        <f t="shared" ref="BQ117" si="220">SUM(BN117:BP117)</f>
        <v>0</v>
      </c>
    </row>
    <row r="118" spans="1:69" s="74" customFormat="1" ht="11.25" x14ac:dyDescent="0.2">
      <c r="A118" s="210">
        <v>2</v>
      </c>
      <c r="B118" s="211" t="s">
        <v>578</v>
      </c>
      <c r="C118" s="348" t="str">
        <f t="shared" si="210"/>
        <v>Software Developer</v>
      </c>
      <c r="D118" s="399" t="s">
        <v>687</v>
      </c>
      <c r="E118" s="448"/>
      <c r="F118" s="449" t="str">
        <f>IFERROR(VLOOKUP(C118,MappingFromTTStoSU,2,FALSE),"SU Resource Role")</f>
        <v>DWMS</v>
      </c>
      <c r="G118" s="449"/>
      <c r="H118" s="541" t="str">
        <f>H117</f>
        <v>UAT Support</v>
      </c>
      <c r="I118" s="407"/>
      <c r="J118" s="174"/>
      <c r="K118" s="174"/>
      <c r="L118" s="174"/>
      <c r="M118" s="174"/>
      <c r="N118" s="174"/>
      <c r="O118" s="174"/>
      <c r="P118" s="174"/>
      <c r="Q118" s="174"/>
      <c r="R118" s="174"/>
      <c r="S118" s="174"/>
      <c r="T118" s="174"/>
      <c r="U118" s="174"/>
      <c r="V118" s="174"/>
      <c r="W118" s="174"/>
      <c r="X118" s="174"/>
      <c r="Y118" s="174"/>
      <c r="Z118" s="174"/>
      <c r="AA118" s="172"/>
      <c r="AB118" s="172"/>
      <c r="AC118" s="172"/>
      <c r="AD118" s="172"/>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2"/>
      <c r="BA118" s="172"/>
      <c r="BB118" s="172"/>
      <c r="BC118" s="172"/>
      <c r="BD118" s="172"/>
      <c r="BE118" s="172"/>
      <c r="BF118" s="172"/>
      <c r="BG118" s="172"/>
      <c r="BH118" s="172"/>
      <c r="BI118" s="172"/>
      <c r="BJ118" s="172"/>
      <c r="BK118" s="172"/>
      <c r="BL118" s="173"/>
      <c r="BM118" s="187"/>
      <c r="BN118" s="82">
        <f t="shared" si="211"/>
        <v>0</v>
      </c>
      <c r="BO118" s="82">
        <f t="shared" ref="BO118" si="221">BN118*Scenario4AgileContingency</f>
        <v>0</v>
      </c>
      <c r="BP118" s="82">
        <f t="shared" si="212"/>
        <v>0</v>
      </c>
      <c r="BQ118" s="127">
        <f t="shared" ref="BQ118" si="222">SUM(BN118:BP118)</f>
        <v>0</v>
      </c>
    </row>
    <row r="119" spans="1:69" s="74" customFormat="1" ht="11.25" x14ac:dyDescent="0.2">
      <c r="A119" s="210">
        <v>2</v>
      </c>
      <c r="B119" s="211" t="s">
        <v>578</v>
      </c>
      <c r="C119" s="348" t="str">
        <f t="shared" si="210"/>
        <v>Software Developer</v>
      </c>
      <c r="D119" s="399" t="s">
        <v>687</v>
      </c>
      <c r="E119" s="448"/>
      <c r="F119" s="449" t="str">
        <f>IFERROR(VLOOKUP(C119,MappingFromTTStoSU,2,FALSE),"SU Resource Role")</f>
        <v>DWMS</v>
      </c>
      <c r="G119" s="449"/>
      <c r="H119" s="541" t="str">
        <f>H118</f>
        <v>UAT Support</v>
      </c>
      <c r="I119" s="407"/>
      <c r="J119" s="174"/>
      <c r="K119" s="174"/>
      <c r="L119" s="174"/>
      <c r="M119" s="174"/>
      <c r="N119" s="174"/>
      <c r="O119" s="174"/>
      <c r="P119" s="174"/>
      <c r="Q119" s="174"/>
      <c r="R119" s="174"/>
      <c r="S119" s="174"/>
      <c r="T119" s="174"/>
      <c r="U119" s="174"/>
      <c r="V119" s="174"/>
      <c r="W119" s="174"/>
      <c r="X119" s="174"/>
      <c r="Y119" s="174"/>
      <c r="Z119" s="174"/>
      <c r="AA119" s="172"/>
      <c r="AB119" s="172"/>
      <c r="AC119" s="172"/>
      <c r="AD119" s="172"/>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2"/>
      <c r="BA119" s="172"/>
      <c r="BB119" s="172"/>
      <c r="BC119" s="172"/>
      <c r="BD119" s="172"/>
      <c r="BE119" s="172"/>
      <c r="BF119" s="172"/>
      <c r="BG119" s="172"/>
      <c r="BH119" s="172"/>
      <c r="BI119" s="172"/>
      <c r="BJ119" s="172"/>
      <c r="BK119" s="172"/>
      <c r="BL119" s="173"/>
      <c r="BM119" s="187"/>
      <c r="BN119" s="82">
        <f t="shared" si="211"/>
        <v>0</v>
      </c>
      <c r="BO119" s="82">
        <f t="shared" ref="BO119" si="223">BN119*Scenario4AgileContingency</f>
        <v>0</v>
      </c>
      <c r="BP119" s="82">
        <f t="shared" si="212"/>
        <v>0</v>
      </c>
      <c r="BQ119" s="127">
        <f t="shared" ref="BQ119" si="224">SUM(BN119:BP119)</f>
        <v>0</v>
      </c>
    </row>
    <row r="120" spans="1:69" s="74" customFormat="1" ht="11.25" x14ac:dyDescent="0.2">
      <c r="A120" s="210">
        <v>2</v>
      </c>
      <c r="B120" s="211" t="s">
        <v>578</v>
      </c>
      <c r="C120" s="348" t="s">
        <v>651</v>
      </c>
      <c r="D120" s="399" t="s">
        <v>688</v>
      </c>
      <c r="E120" s="448"/>
      <c r="F120" s="449" t="s">
        <v>607</v>
      </c>
      <c r="G120" s="449"/>
      <c r="H120" s="541" t="str">
        <f t="shared" ref="H120:H122" si="225">H119</f>
        <v>UAT Support</v>
      </c>
      <c r="I120" s="407"/>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2"/>
      <c r="BA120" s="172"/>
      <c r="BB120" s="172"/>
      <c r="BC120" s="172"/>
      <c r="BD120" s="172"/>
      <c r="BE120" s="172"/>
      <c r="BF120" s="172"/>
      <c r="BG120" s="172"/>
      <c r="BH120" s="172"/>
      <c r="BI120" s="172"/>
      <c r="BJ120" s="172"/>
      <c r="BK120" s="172"/>
      <c r="BL120" s="173"/>
      <c r="BM120" s="187"/>
      <c r="BN120" s="82">
        <f t="shared" si="211"/>
        <v>0</v>
      </c>
      <c r="BO120" s="82">
        <f t="shared" si="8"/>
        <v>0</v>
      </c>
      <c r="BP120" s="82">
        <f t="shared" si="212"/>
        <v>0</v>
      </c>
      <c r="BQ120" s="127">
        <f t="shared" si="9"/>
        <v>0</v>
      </c>
    </row>
    <row r="121" spans="1:69" s="74" customFormat="1" ht="11.25" x14ac:dyDescent="0.2">
      <c r="A121" s="210">
        <v>2</v>
      </c>
      <c r="B121" s="211" t="s">
        <v>578</v>
      </c>
      <c r="C121" s="348" t="str">
        <f t="shared" si="210"/>
        <v>Test Consultant</v>
      </c>
      <c r="D121" s="399" t="s">
        <v>688</v>
      </c>
      <c r="E121" s="448"/>
      <c r="F121" s="449" t="str">
        <f>IFERROR(VLOOKUP(C121,MappingFromTTStoSU,2,FALSE),"SU Resource Role")</f>
        <v>DWMS</v>
      </c>
      <c r="G121" s="449"/>
      <c r="H121" s="541" t="str">
        <f t="shared" si="225"/>
        <v>UAT Support</v>
      </c>
      <c r="I121" s="407"/>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2"/>
      <c r="BA121" s="172"/>
      <c r="BB121" s="172"/>
      <c r="BC121" s="172"/>
      <c r="BD121" s="172"/>
      <c r="BE121" s="172"/>
      <c r="BF121" s="172"/>
      <c r="BG121" s="172"/>
      <c r="BH121" s="172"/>
      <c r="BI121" s="172"/>
      <c r="BJ121" s="172"/>
      <c r="BK121" s="172"/>
      <c r="BL121" s="173"/>
      <c r="BM121" s="187"/>
      <c r="BN121" s="82">
        <f t="shared" si="211"/>
        <v>0</v>
      </c>
      <c r="BO121" s="82">
        <f t="shared" ref="BO121" si="226">BN121*Scenario4AgileContingency</f>
        <v>0</v>
      </c>
      <c r="BP121" s="82">
        <f t="shared" si="212"/>
        <v>0</v>
      </c>
      <c r="BQ121" s="127">
        <f t="shared" ref="BQ121" si="227">SUM(BN121:BP121)</f>
        <v>0</v>
      </c>
    </row>
    <row r="122" spans="1:69" s="74" customFormat="1" ht="11.25" x14ac:dyDescent="0.2">
      <c r="A122" s="210">
        <v>2</v>
      </c>
      <c r="B122" s="211" t="s">
        <v>578</v>
      </c>
      <c r="C122" s="348" t="str">
        <f t="shared" si="210"/>
        <v>Test Consultant</v>
      </c>
      <c r="D122" s="400" t="s">
        <v>688</v>
      </c>
      <c r="E122" s="448"/>
      <c r="F122" s="449" t="s">
        <v>607</v>
      </c>
      <c r="G122" s="449"/>
      <c r="H122" s="541" t="str">
        <f t="shared" si="225"/>
        <v>UAT Support</v>
      </c>
      <c r="I122" s="408"/>
      <c r="J122" s="177"/>
      <c r="K122" s="177"/>
      <c r="L122" s="177"/>
      <c r="M122" s="177"/>
      <c r="N122" s="177"/>
      <c r="O122" s="177"/>
      <c r="P122" s="177"/>
      <c r="Q122" s="177"/>
      <c r="R122" s="177"/>
      <c r="S122" s="177"/>
      <c r="T122" s="177"/>
      <c r="U122" s="177"/>
      <c r="V122" s="177"/>
      <c r="W122" s="177"/>
      <c r="X122" s="177"/>
      <c r="Y122" s="177"/>
      <c r="Z122" s="177"/>
      <c r="AA122" s="177"/>
      <c r="AB122" s="177"/>
      <c r="AC122" s="177"/>
      <c r="AD122" s="177"/>
      <c r="AE122" s="177"/>
      <c r="AF122" s="177"/>
      <c r="AG122" s="177"/>
      <c r="AH122" s="177"/>
      <c r="AI122" s="177"/>
      <c r="AJ122" s="177"/>
      <c r="AK122" s="177"/>
      <c r="AL122" s="177"/>
      <c r="AM122" s="177"/>
      <c r="AN122" s="177"/>
      <c r="AO122" s="177"/>
      <c r="AP122" s="177"/>
      <c r="AQ122" s="177"/>
      <c r="AR122" s="177"/>
      <c r="AS122" s="177"/>
      <c r="AT122" s="177"/>
      <c r="AU122" s="177"/>
      <c r="AV122" s="177"/>
      <c r="AW122" s="177"/>
      <c r="AX122" s="177"/>
      <c r="AY122" s="177"/>
      <c r="AZ122" s="176"/>
      <c r="BA122" s="176"/>
      <c r="BB122" s="176"/>
      <c r="BC122" s="176"/>
      <c r="BD122" s="176"/>
      <c r="BE122" s="176"/>
      <c r="BF122" s="176"/>
      <c r="BG122" s="176"/>
      <c r="BH122" s="176"/>
      <c r="BI122" s="176"/>
      <c r="BJ122" s="176"/>
      <c r="BK122" s="176"/>
      <c r="BL122" s="178"/>
      <c r="BM122" s="187"/>
      <c r="BN122" s="82">
        <f t="shared" si="211"/>
        <v>0</v>
      </c>
      <c r="BO122" s="82">
        <f t="shared" si="8"/>
        <v>0</v>
      </c>
      <c r="BP122" s="82">
        <f t="shared" si="212"/>
        <v>0</v>
      </c>
      <c r="BQ122" s="127">
        <f t="shared" si="9"/>
        <v>0</v>
      </c>
    </row>
    <row r="123" spans="1:69" s="74" customFormat="1" ht="11.25" x14ac:dyDescent="0.2">
      <c r="A123" s="210">
        <v>1</v>
      </c>
      <c r="B123" s="211" t="s">
        <v>731</v>
      </c>
      <c r="C123" s="206" t="s">
        <v>691</v>
      </c>
      <c r="D123" s="206" t="s">
        <v>691</v>
      </c>
      <c r="E123" s="418"/>
      <c r="F123" s="418"/>
      <c r="G123" s="418"/>
      <c r="H123" s="419"/>
      <c r="I123" s="217"/>
      <c r="J123" s="217"/>
      <c r="K123" s="217"/>
      <c r="L123" s="217"/>
      <c r="M123" s="217"/>
      <c r="N123" s="217"/>
      <c r="O123" s="217"/>
      <c r="P123" s="217"/>
      <c r="Q123" s="217"/>
      <c r="R123" s="217"/>
      <c r="S123" s="217"/>
      <c r="T123" s="217"/>
      <c r="U123" s="217"/>
      <c r="V123" s="217"/>
      <c r="W123" s="217"/>
      <c r="X123" s="217"/>
      <c r="Y123" s="217"/>
      <c r="Z123" s="217"/>
      <c r="AA123" s="217"/>
      <c r="AB123" s="217"/>
      <c r="AC123" s="217"/>
      <c r="AD123" s="217"/>
      <c r="AE123" s="217"/>
      <c r="AF123" s="217"/>
      <c r="AG123" s="217"/>
      <c r="AH123" s="217"/>
      <c r="AI123" s="217"/>
      <c r="AJ123" s="217"/>
      <c r="AK123" s="217"/>
      <c r="AL123" s="217"/>
      <c r="AM123" s="217"/>
      <c r="AN123" s="217"/>
      <c r="AO123" s="217"/>
      <c r="AP123" s="217"/>
      <c r="AQ123" s="217"/>
      <c r="AR123" s="217"/>
      <c r="AS123" s="217"/>
      <c r="AT123" s="217"/>
      <c r="AU123" s="217"/>
      <c r="AV123" s="217"/>
      <c r="AW123" s="217"/>
      <c r="AX123" s="217"/>
      <c r="AY123" s="217"/>
      <c r="AZ123" s="217"/>
      <c r="BA123" s="217"/>
      <c r="BB123" s="217"/>
      <c r="BC123" s="217"/>
      <c r="BD123" s="217"/>
      <c r="BE123" s="217"/>
      <c r="BF123" s="217"/>
      <c r="BG123" s="217"/>
      <c r="BH123" s="217"/>
      <c r="BI123" s="217"/>
      <c r="BJ123" s="217"/>
      <c r="BK123" s="217"/>
      <c r="BL123" s="186"/>
      <c r="BM123" s="187"/>
      <c r="BN123" s="127"/>
      <c r="BO123" s="127"/>
      <c r="BP123" s="127"/>
      <c r="BQ123" s="127"/>
    </row>
    <row r="124" spans="1:69" s="74" customFormat="1" ht="11.25" x14ac:dyDescent="0.2">
      <c r="A124" s="210">
        <v>2</v>
      </c>
      <c r="B124" s="211" t="s">
        <v>731</v>
      </c>
      <c r="C124" s="348" t="s">
        <v>618</v>
      </c>
      <c r="D124" s="398" t="s">
        <v>622</v>
      </c>
      <c r="E124" s="448"/>
      <c r="F124" s="449" t="str">
        <f>IFERROR(VLOOKUP(C124,MappingFromTTStoSU,2,FALSE),"SU Resource Role")</f>
        <v>DWMS</v>
      </c>
      <c r="G124" s="449" t="s">
        <v>692</v>
      </c>
      <c r="H124" s="541" t="str">
        <f>C123</f>
        <v>Customer SIT &amp; UAT</v>
      </c>
      <c r="I124" s="406"/>
      <c r="J124" s="181"/>
      <c r="K124" s="181"/>
      <c r="L124" s="181"/>
      <c r="M124" s="181"/>
      <c r="N124" s="181"/>
      <c r="O124" s="181"/>
      <c r="P124" s="181"/>
      <c r="Q124" s="181"/>
      <c r="R124" s="181"/>
      <c r="S124" s="181"/>
      <c r="T124" s="181"/>
      <c r="U124" s="181"/>
      <c r="V124" s="181"/>
      <c r="W124" s="181"/>
      <c r="X124" s="181"/>
      <c r="Y124" s="181"/>
      <c r="Z124" s="181"/>
      <c r="AA124" s="179"/>
      <c r="AB124" s="179"/>
      <c r="AC124" s="179"/>
      <c r="AD124" s="179"/>
      <c r="AE124" s="181"/>
      <c r="AF124" s="181"/>
      <c r="AG124" s="181"/>
      <c r="AH124" s="181"/>
      <c r="AI124" s="181"/>
      <c r="AJ124" s="181"/>
      <c r="AK124" s="181"/>
      <c r="AL124" s="181"/>
      <c r="AM124" s="181"/>
      <c r="AN124" s="181"/>
      <c r="AO124" s="181"/>
      <c r="AP124" s="181"/>
      <c r="AQ124" s="181"/>
      <c r="AR124" s="181"/>
      <c r="AS124" s="181"/>
      <c r="AT124" s="181"/>
      <c r="AU124" s="181"/>
      <c r="AV124" s="181"/>
      <c r="AW124" s="181"/>
      <c r="AX124" s="181"/>
      <c r="AY124" s="181"/>
      <c r="AZ124" s="179"/>
      <c r="BA124" s="179"/>
      <c r="BB124" s="179"/>
      <c r="BC124" s="179"/>
      <c r="BD124" s="179"/>
      <c r="BE124" s="179"/>
      <c r="BF124" s="179"/>
      <c r="BG124" s="179"/>
      <c r="BH124" s="179"/>
      <c r="BI124" s="179"/>
      <c r="BJ124" s="179"/>
      <c r="BK124" s="179"/>
      <c r="BL124" s="180"/>
      <c r="BM124" s="187"/>
      <c r="BN124" s="82">
        <f>SUMIF(I$8:BL$8, "&lt;&gt;"&amp;AgileIteration_Warranty,I124:BL124)*5*Scenario4Utilisation</f>
        <v>0</v>
      </c>
      <c r="BO124" s="82">
        <f t="shared" ref="BO124" si="228">BN124*Scenario4AgileContingency</f>
        <v>0</v>
      </c>
      <c r="BP124" s="82">
        <f>IF(Scenario4Warranty=AgileWarrantyDefault, (SUMIF(I$8:BL$8,AgileIteration_Warranty,I124:BL124)*5*Scenario4Utilisation), (BN124*Scenario4Warranty))</f>
        <v>0</v>
      </c>
      <c r="BQ124" s="127">
        <f t="shared" ref="BQ124" si="229">SUM(BN124:BP124)</f>
        <v>0</v>
      </c>
    </row>
    <row r="125" spans="1:69" s="74" customFormat="1" ht="11.25" x14ac:dyDescent="0.2">
      <c r="A125" s="210">
        <v>2</v>
      </c>
      <c r="B125" s="211" t="s">
        <v>731</v>
      </c>
      <c r="C125" s="348" t="str">
        <f>IFERROR(VLOOKUP(D125,MappingFromSetAgiletoTTSRole,2,FALSE),"SET Agile Resource Role")</f>
        <v>Test Consultant</v>
      </c>
      <c r="D125" s="398" t="s">
        <v>633</v>
      </c>
      <c r="E125" s="448"/>
      <c r="F125" s="449" t="str">
        <f>IFERROR(VLOOKUP(C125,MappingFromTTStoSU,2,FALSE),"SU Resource Role")</f>
        <v>DWMS</v>
      </c>
      <c r="G125" s="449" t="s">
        <v>693</v>
      </c>
      <c r="H125" s="541" t="str">
        <f>H124</f>
        <v>Customer SIT &amp; UAT</v>
      </c>
      <c r="I125" s="406"/>
      <c r="J125" s="181"/>
      <c r="K125" s="181"/>
      <c r="L125" s="181"/>
      <c r="M125" s="181"/>
      <c r="N125" s="181"/>
      <c r="O125" s="181"/>
      <c r="P125" s="181"/>
      <c r="Q125" s="181"/>
      <c r="R125" s="181"/>
      <c r="S125" s="181"/>
      <c r="T125" s="181"/>
      <c r="U125" s="181"/>
      <c r="V125" s="181"/>
      <c r="W125" s="181"/>
      <c r="X125" s="181"/>
      <c r="Y125" s="181"/>
      <c r="Z125" s="181"/>
      <c r="AA125" s="179"/>
      <c r="AB125" s="179"/>
      <c r="AC125" s="179"/>
      <c r="AD125" s="179"/>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79"/>
      <c r="BA125" s="179"/>
      <c r="BB125" s="179"/>
      <c r="BC125" s="179"/>
      <c r="BD125" s="179"/>
      <c r="BE125" s="179"/>
      <c r="BF125" s="179"/>
      <c r="BG125" s="179"/>
      <c r="BH125" s="179"/>
      <c r="BI125" s="179"/>
      <c r="BJ125" s="179"/>
      <c r="BK125" s="179"/>
      <c r="BL125" s="180"/>
      <c r="BM125" s="187"/>
      <c r="BN125" s="82">
        <f>SUMIF(I$8:BL$8, "&lt;&gt;"&amp;AgileIteration_Warranty,I125:BL125)*5*Scenario4Utilisation</f>
        <v>0</v>
      </c>
      <c r="BO125" s="82">
        <f t="shared" ref="BO125" si="230">BN125*Scenario4AgileContingency</f>
        <v>0</v>
      </c>
      <c r="BP125" s="82">
        <f>IF(Scenario4Warranty=AgileWarrantyDefault, (SUMIF(I$8:BL$8,AgileIteration_Warranty,I125:BL125)*5*Scenario4Utilisation), (BN125*Scenario4Warranty))</f>
        <v>0</v>
      </c>
      <c r="BQ125" s="127">
        <f t="shared" ref="BQ125" si="231">SUM(BN125:BP125)</f>
        <v>0</v>
      </c>
    </row>
    <row r="126" spans="1:69" s="74" customFormat="1" ht="11.25" x14ac:dyDescent="0.2">
      <c r="A126" s="210">
        <v>2</v>
      </c>
      <c r="B126" s="211" t="s">
        <v>731</v>
      </c>
      <c r="C126" s="348" t="s">
        <v>685</v>
      </c>
      <c r="D126" s="398" t="s">
        <v>622</v>
      </c>
      <c r="E126" s="448"/>
      <c r="F126" s="449" t="str">
        <f>IFERROR(VLOOKUP(C126,MappingFromTTStoSU,2,FALSE),"SU Resource Role")</f>
        <v>DWMS</v>
      </c>
      <c r="G126" s="449" t="s">
        <v>694</v>
      </c>
      <c r="H126" s="541" t="str">
        <f>H125</f>
        <v>Customer SIT &amp; UAT</v>
      </c>
      <c r="I126" s="406"/>
      <c r="J126" s="181"/>
      <c r="K126" s="181"/>
      <c r="L126" s="181"/>
      <c r="M126" s="181"/>
      <c r="N126" s="181"/>
      <c r="O126" s="181"/>
      <c r="P126" s="181"/>
      <c r="Q126" s="181"/>
      <c r="R126" s="181"/>
      <c r="S126" s="181"/>
      <c r="T126" s="181"/>
      <c r="U126" s="181"/>
      <c r="V126" s="181"/>
      <c r="W126" s="181"/>
      <c r="X126" s="181"/>
      <c r="Y126" s="181"/>
      <c r="Z126" s="181"/>
      <c r="AA126" s="179"/>
      <c r="AB126" s="179"/>
      <c r="AC126" s="179"/>
      <c r="AD126" s="179"/>
      <c r="AE126" s="181"/>
      <c r="AF126" s="181"/>
      <c r="AG126" s="181"/>
      <c r="AH126" s="181"/>
      <c r="AI126" s="181"/>
      <c r="AJ126" s="181"/>
      <c r="AK126" s="181"/>
      <c r="AL126" s="181"/>
      <c r="AM126" s="181"/>
      <c r="AN126" s="181"/>
      <c r="AO126" s="181"/>
      <c r="AP126" s="181"/>
      <c r="AQ126" s="181"/>
      <c r="AR126" s="181"/>
      <c r="AS126" s="181"/>
      <c r="AT126" s="181"/>
      <c r="AU126" s="181"/>
      <c r="AV126" s="181"/>
      <c r="AW126" s="181"/>
      <c r="AX126" s="181"/>
      <c r="AY126" s="181"/>
      <c r="AZ126" s="179"/>
      <c r="BA126" s="179"/>
      <c r="BB126" s="179"/>
      <c r="BC126" s="179"/>
      <c r="BD126" s="179"/>
      <c r="BE126" s="179"/>
      <c r="BF126" s="179"/>
      <c r="BG126" s="179"/>
      <c r="BH126" s="179"/>
      <c r="BI126" s="179"/>
      <c r="BJ126" s="179"/>
      <c r="BK126" s="179"/>
      <c r="BL126" s="180"/>
      <c r="BM126" s="187"/>
      <c r="BN126" s="82">
        <f>SUMIF(I$8:BL$8, "&lt;&gt;"&amp;AgileIteration_Warranty,I126:BL126)*5*Scenario4Utilisation</f>
        <v>0</v>
      </c>
      <c r="BO126" s="82">
        <f t="shared" ref="BO126" si="232">BN126*Scenario4AgileContingency</f>
        <v>0</v>
      </c>
      <c r="BP126" s="82">
        <f>IF(Scenario4Warranty=AgileWarrantyDefault, (SUMIF(I$8:BL$8,AgileIteration_Warranty,I126:BL126)*5*Scenario4Utilisation), (BN126*Scenario4Warranty))</f>
        <v>0</v>
      </c>
      <c r="BQ126" s="127">
        <f t="shared" ref="BQ126" si="233">SUM(BN126:BP126)</f>
        <v>0</v>
      </c>
    </row>
    <row r="127" spans="1:69" s="74" customFormat="1" ht="11.25" x14ac:dyDescent="0.2">
      <c r="A127" s="210">
        <v>2</v>
      </c>
      <c r="B127" s="211" t="s">
        <v>731</v>
      </c>
      <c r="C127" s="348" t="str">
        <f>IFERROR(VLOOKUP(D127,MappingFromSetAgiletoTTSRole,2,FALSE),"SET Agile Resource Role")</f>
        <v>Test Consultant</v>
      </c>
      <c r="D127" s="398" t="s">
        <v>633</v>
      </c>
      <c r="E127" s="448"/>
      <c r="F127" s="449" t="str">
        <f>IFERROR(VLOOKUP(C127,MappingFromTTStoSU,2,FALSE),"SU Resource Role")</f>
        <v>DWMS</v>
      </c>
      <c r="G127" s="449" t="s">
        <v>695</v>
      </c>
      <c r="H127" s="541" t="str">
        <f>H126</f>
        <v>Customer SIT &amp; UAT</v>
      </c>
      <c r="I127" s="406"/>
      <c r="J127" s="181"/>
      <c r="K127" s="181"/>
      <c r="L127" s="181"/>
      <c r="M127" s="181"/>
      <c r="N127" s="181"/>
      <c r="O127" s="181"/>
      <c r="P127" s="181"/>
      <c r="Q127" s="181"/>
      <c r="R127" s="181"/>
      <c r="S127" s="181"/>
      <c r="T127" s="181"/>
      <c r="U127" s="181"/>
      <c r="V127" s="181"/>
      <c r="W127" s="181"/>
      <c r="X127" s="181"/>
      <c r="Y127" s="181"/>
      <c r="Z127" s="181"/>
      <c r="AA127" s="179"/>
      <c r="AB127" s="179"/>
      <c r="AC127" s="179"/>
      <c r="AD127" s="179"/>
      <c r="AE127" s="181"/>
      <c r="AF127" s="181"/>
      <c r="AG127" s="181"/>
      <c r="AH127" s="181"/>
      <c r="AI127" s="181"/>
      <c r="AJ127" s="181"/>
      <c r="AK127" s="181"/>
      <c r="AL127" s="181"/>
      <c r="AM127" s="181"/>
      <c r="AN127" s="181"/>
      <c r="AO127" s="181"/>
      <c r="AP127" s="181"/>
      <c r="AQ127" s="181"/>
      <c r="AR127" s="181"/>
      <c r="AS127" s="181"/>
      <c r="AT127" s="181"/>
      <c r="AU127" s="181"/>
      <c r="AV127" s="181"/>
      <c r="AW127" s="181"/>
      <c r="AX127" s="181"/>
      <c r="AY127" s="181"/>
      <c r="AZ127" s="179"/>
      <c r="BA127" s="179"/>
      <c r="BB127" s="179"/>
      <c r="BC127" s="179"/>
      <c r="BD127" s="179"/>
      <c r="BE127" s="179"/>
      <c r="BF127" s="179"/>
      <c r="BG127" s="179"/>
      <c r="BH127" s="179"/>
      <c r="BI127" s="179"/>
      <c r="BJ127" s="179"/>
      <c r="BK127" s="179"/>
      <c r="BL127" s="180"/>
      <c r="BM127" s="187"/>
      <c r="BN127" s="82">
        <f>SUMIF(I$8:BL$8, "&lt;&gt;"&amp;AgileIteration_Warranty,I127:BL127)*5*Scenario4Utilisation</f>
        <v>0</v>
      </c>
      <c r="BO127" s="82">
        <f t="shared" ref="BO127" si="234">BN127*Scenario4AgileContingency</f>
        <v>0</v>
      </c>
      <c r="BP127" s="82">
        <f>IF(Scenario4Warranty=AgileWarrantyDefault, (SUMIF(I$8:BL$8,AgileIteration_Warranty,I127:BL127)*5*Scenario4Utilisation), (BN127*Scenario4Warranty))</f>
        <v>0</v>
      </c>
      <c r="BQ127" s="127">
        <f t="shared" ref="BQ127" si="235">SUM(BN127:BP127)</f>
        <v>0</v>
      </c>
    </row>
    <row r="128" spans="1:69" s="74" customFormat="1" ht="11.25" x14ac:dyDescent="0.2">
      <c r="A128" s="210">
        <v>1</v>
      </c>
      <c r="B128" s="211" t="s">
        <v>731</v>
      </c>
      <c r="C128" s="206" t="s">
        <v>696</v>
      </c>
      <c r="D128" s="206" t="s">
        <v>696</v>
      </c>
      <c r="E128" s="418"/>
      <c r="F128" s="418"/>
      <c r="G128" s="418"/>
      <c r="H128" s="419"/>
      <c r="I128" s="217"/>
      <c r="J128" s="217"/>
      <c r="K128" s="217"/>
      <c r="L128" s="217"/>
      <c r="M128" s="217"/>
      <c r="N128" s="217"/>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217"/>
      <c r="BI128" s="217"/>
      <c r="BJ128" s="217"/>
      <c r="BK128" s="217"/>
      <c r="BL128" s="186"/>
      <c r="BM128" s="187"/>
      <c r="BN128" s="127"/>
      <c r="BO128" s="127"/>
      <c r="BP128" s="127"/>
      <c r="BQ128" s="127"/>
    </row>
    <row r="129" spans="1:69" s="74" customFormat="1" ht="11.25" x14ac:dyDescent="0.2">
      <c r="A129" s="210">
        <v>2</v>
      </c>
      <c r="B129" s="211" t="s">
        <v>731</v>
      </c>
      <c r="C129" s="348" t="str">
        <f>IFERROR(VLOOKUP(D129,MappingFromSetAgiletoTTSRole,2,FALSE),"SET Agile Resource Role")</f>
        <v>Test Consultant Sr</v>
      </c>
      <c r="D129" s="398" t="s">
        <v>634</v>
      </c>
      <c r="E129" s="448"/>
      <c r="F129" s="449" t="str">
        <f>IFERROR(VLOOKUP(C129,MappingFromTTStoSU,2,FALSE),"SU Resource Role")</f>
        <v>DWMS</v>
      </c>
      <c r="G129" s="449"/>
      <c r="H129" s="541" t="str">
        <f>C128</f>
        <v>Internal SIT Support</v>
      </c>
      <c r="I129" s="406"/>
      <c r="J129" s="181"/>
      <c r="K129" s="181"/>
      <c r="L129" s="181"/>
      <c r="M129" s="181"/>
      <c r="N129" s="181"/>
      <c r="O129" s="181"/>
      <c r="P129" s="181"/>
      <c r="Q129" s="181"/>
      <c r="R129" s="181"/>
      <c r="S129" s="181"/>
      <c r="T129" s="181"/>
      <c r="U129" s="181"/>
      <c r="V129" s="181"/>
      <c r="W129" s="181"/>
      <c r="X129" s="181"/>
      <c r="Y129" s="181"/>
      <c r="Z129" s="181"/>
      <c r="AA129" s="179"/>
      <c r="AB129" s="179"/>
      <c r="AC129" s="179"/>
      <c r="AD129" s="179"/>
      <c r="AE129" s="181"/>
      <c r="AF129" s="181"/>
      <c r="AG129" s="181"/>
      <c r="AH129" s="181"/>
      <c r="AI129" s="181"/>
      <c r="AJ129" s="181"/>
      <c r="AK129" s="181"/>
      <c r="AL129" s="181"/>
      <c r="AM129" s="181"/>
      <c r="AN129" s="181"/>
      <c r="AO129" s="181"/>
      <c r="AP129" s="181"/>
      <c r="AQ129" s="181"/>
      <c r="AR129" s="181"/>
      <c r="AS129" s="181"/>
      <c r="AT129" s="181"/>
      <c r="AU129" s="181"/>
      <c r="AV129" s="181"/>
      <c r="AW129" s="181"/>
      <c r="AX129" s="181"/>
      <c r="AY129" s="181"/>
      <c r="AZ129" s="179"/>
      <c r="BA129" s="179"/>
      <c r="BB129" s="179"/>
      <c r="BC129" s="179"/>
      <c r="BD129" s="179"/>
      <c r="BE129" s="179"/>
      <c r="BF129" s="179"/>
      <c r="BG129" s="179"/>
      <c r="BH129" s="179"/>
      <c r="BI129" s="179"/>
      <c r="BJ129" s="179"/>
      <c r="BK129" s="179"/>
      <c r="BL129" s="180"/>
      <c r="BM129" s="187"/>
      <c r="BN129" s="82">
        <f>SUMIF(I$8:BL$8, "&lt;&gt;"&amp;AgileIteration_Warranty,I129:BL129)*5*Scenario4Utilisation</f>
        <v>0</v>
      </c>
      <c r="BO129" s="82">
        <f t="shared" ref="BO129" si="236">BN129*Scenario4AgileContingency</f>
        <v>0</v>
      </c>
      <c r="BP129" s="82">
        <f>IF(Scenario4Warranty=AgileWarrantyDefault, (SUMIF(I$8:BL$8,AgileIteration_Warranty,I129:BL129)*5*Scenario4Utilisation), (BN129*Scenario4Warranty))</f>
        <v>0</v>
      </c>
      <c r="BQ129" s="127">
        <f t="shared" ref="BQ129" si="237">SUM(BN129:BP129)</f>
        <v>0</v>
      </c>
    </row>
    <row r="130" spans="1:69" s="74" customFormat="1" ht="11.25" x14ac:dyDescent="0.2">
      <c r="A130" s="210">
        <v>2</v>
      </c>
      <c r="B130" s="211" t="s">
        <v>731</v>
      </c>
      <c r="C130" s="348" t="str">
        <f>IFERROR(VLOOKUP(D130,MappingFromSetAgiletoTTSRole,2,FALSE),"SET Agile Resource Role")</f>
        <v>Test Consultant</v>
      </c>
      <c r="D130" s="398" t="s">
        <v>633</v>
      </c>
      <c r="E130" s="448"/>
      <c r="F130" s="449" t="str">
        <f>IFERROR(VLOOKUP(C130,MappingFromTTStoSU,2,FALSE),"SU Resource Role")</f>
        <v>DWMS</v>
      </c>
      <c r="G130" s="449"/>
      <c r="H130" s="541" t="str">
        <f>H129</f>
        <v>Internal SIT Support</v>
      </c>
      <c r="I130" s="406"/>
      <c r="J130" s="181"/>
      <c r="K130" s="181"/>
      <c r="L130" s="181"/>
      <c r="M130" s="181"/>
      <c r="N130" s="181"/>
      <c r="O130" s="181"/>
      <c r="P130" s="181"/>
      <c r="Q130" s="181"/>
      <c r="R130" s="181"/>
      <c r="S130" s="181"/>
      <c r="T130" s="181"/>
      <c r="U130" s="181"/>
      <c r="V130" s="181"/>
      <c r="W130" s="181"/>
      <c r="X130" s="181"/>
      <c r="Y130" s="181"/>
      <c r="Z130" s="181"/>
      <c r="AA130" s="179"/>
      <c r="AB130" s="179"/>
      <c r="AC130" s="179"/>
      <c r="AD130" s="179"/>
      <c r="AE130" s="181"/>
      <c r="AF130" s="181"/>
      <c r="AG130" s="181"/>
      <c r="AH130" s="181"/>
      <c r="AI130" s="181"/>
      <c r="AJ130" s="181"/>
      <c r="AK130" s="181"/>
      <c r="AL130" s="181"/>
      <c r="AM130" s="181"/>
      <c r="AN130" s="181"/>
      <c r="AO130" s="181"/>
      <c r="AP130" s="181"/>
      <c r="AQ130" s="181"/>
      <c r="AR130" s="181"/>
      <c r="AS130" s="181"/>
      <c r="AT130" s="181"/>
      <c r="AU130" s="181"/>
      <c r="AV130" s="181"/>
      <c r="AW130" s="181"/>
      <c r="AX130" s="181"/>
      <c r="AY130" s="181"/>
      <c r="AZ130" s="179"/>
      <c r="BA130" s="179"/>
      <c r="BB130" s="179"/>
      <c r="BC130" s="179"/>
      <c r="BD130" s="179"/>
      <c r="BE130" s="179"/>
      <c r="BF130" s="179"/>
      <c r="BG130" s="179"/>
      <c r="BH130" s="179"/>
      <c r="BI130" s="179"/>
      <c r="BJ130" s="179"/>
      <c r="BK130" s="179"/>
      <c r="BL130" s="180"/>
      <c r="BM130" s="187"/>
      <c r="BN130" s="82">
        <f>SUMIF(I$8:BL$8, "&lt;&gt;"&amp;AgileIteration_Warranty,I130:BL130)*5*Scenario4Utilisation</f>
        <v>0</v>
      </c>
      <c r="BO130" s="82">
        <f t="shared" ref="BO130" si="238">BN130*Scenario4AgileContingency</f>
        <v>0</v>
      </c>
      <c r="BP130" s="82">
        <f>IF(Scenario4Warranty=AgileWarrantyDefault, (SUMIF(I$8:BL$8,AgileIteration_Warranty,I130:BL130)*5*Scenario4Utilisation), (BN130*Scenario4Warranty))</f>
        <v>0</v>
      </c>
      <c r="BQ130" s="127">
        <f t="shared" ref="BQ130" si="239">SUM(BN130:BP130)</f>
        <v>0</v>
      </c>
    </row>
    <row r="131" spans="1:69" s="74" customFormat="1" ht="11.25" x14ac:dyDescent="0.2">
      <c r="A131" s="210">
        <v>1</v>
      </c>
      <c r="B131" s="211" t="s">
        <v>697</v>
      </c>
      <c r="C131" s="207" t="s">
        <v>698</v>
      </c>
      <c r="D131" s="207" t="s">
        <v>698</v>
      </c>
      <c r="E131" s="421"/>
      <c r="F131" s="421"/>
      <c r="G131" s="421"/>
      <c r="H131" s="422"/>
      <c r="I131" s="214"/>
      <c r="J131" s="214"/>
      <c r="K131" s="214"/>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4"/>
      <c r="BC131" s="214"/>
      <c r="BD131" s="214"/>
      <c r="BE131" s="214"/>
      <c r="BF131" s="214"/>
      <c r="BG131" s="214"/>
      <c r="BH131" s="214"/>
      <c r="BI131" s="214"/>
      <c r="BJ131" s="214"/>
      <c r="BK131" s="214"/>
      <c r="BL131" s="186"/>
      <c r="BM131" s="187"/>
      <c r="BN131" s="127"/>
      <c r="BO131" s="127"/>
      <c r="BP131" s="127"/>
      <c r="BQ131" s="127"/>
    </row>
    <row r="132" spans="1:69" s="75" customFormat="1" ht="11.25" x14ac:dyDescent="0.2">
      <c r="A132" s="212">
        <v>2</v>
      </c>
      <c r="B132" s="213" t="s">
        <v>697</v>
      </c>
      <c r="C132" s="348" t="str">
        <f>IFERROR(VLOOKUP(D132,MappingFromSetAgiletoTTSRole,2,FALSE),"SET Agile Resource Role")</f>
        <v>Business Consultant</v>
      </c>
      <c r="D132" s="402" t="s">
        <v>684</v>
      </c>
      <c r="E132" s="450"/>
      <c r="F132" s="451" t="s">
        <v>607</v>
      </c>
      <c r="G132" s="451"/>
      <c r="H132" s="451" t="s">
        <v>702</v>
      </c>
      <c r="I132" s="406"/>
      <c r="J132" s="179"/>
      <c r="K132" s="179"/>
      <c r="L132" s="179"/>
      <c r="M132" s="179"/>
      <c r="N132" s="179"/>
      <c r="O132" s="179"/>
      <c r="P132" s="179"/>
      <c r="Q132" s="179"/>
      <c r="R132" s="179"/>
      <c r="S132" s="179"/>
      <c r="T132" s="179"/>
      <c r="U132" s="179"/>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80"/>
      <c r="BM132" s="203"/>
      <c r="BN132" s="82">
        <f t="shared" ref="BN132:BN142" si="240">SUMIF(I$8:BL$8, "&lt;&gt;"&amp;AgileIteration_Warranty,I132:BL132)*5*Scenario4Utilisation</f>
        <v>0</v>
      </c>
      <c r="BO132" s="82">
        <f t="shared" si="8"/>
        <v>0</v>
      </c>
      <c r="BP132" s="82">
        <f t="shared" ref="BP132:BP142" si="241">IF(Scenario4Warranty=AgileWarrantyDefault, (SUMIF(I$8:BL$8,AgileIteration_Warranty,I132:BL132)*5*Scenario4Utilisation), (BN132*Scenario4Warranty))</f>
        <v>0</v>
      </c>
      <c r="BQ132" s="127">
        <f t="shared" si="9"/>
        <v>0</v>
      </c>
    </row>
    <row r="133" spans="1:69" s="75" customFormat="1" ht="11.25" x14ac:dyDescent="0.2">
      <c r="A133" s="599">
        <v>2</v>
      </c>
      <c r="B133" s="600" t="s">
        <v>697</v>
      </c>
      <c r="C133" s="598" t="s">
        <v>685</v>
      </c>
      <c r="D133" s="403" t="s">
        <v>686</v>
      </c>
      <c r="E133" s="450"/>
      <c r="F133" s="451" t="s">
        <v>607</v>
      </c>
      <c r="G133" s="451"/>
      <c r="H133" s="451" t="str">
        <f>H132</f>
        <v>Development</v>
      </c>
      <c r="I133" s="407"/>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9"/>
      <c r="AH133" s="179"/>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585"/>
      <c r="BM133" s="203"/>
      <c r="BN133" s="82">
        <f t="shared" si="240"/>
        <v>0</v>
      </c>
      <c r="BO133" s="82">
        <f t="shared" si="8"/>
        <v>0</v>
      </c>
      <c r="BP133" s="82">
        <f t="shared" si="241"/>
        <v>0</v>
      </c>
      <c r="BQ133" s="127">
        <f t="shared" si="9"/>
        <v>0</v>
      </c>
    </row>
    <row r="134" spans="1:69" s="597" customFormat="1" ht="11.25" x14ac:dyDescent="0.2">
      <c r="A134" s="588">
        <v>2</v>
      </c>
      <c r="B134" s="589" t="s">
        <v>697</v>
      </c>
      <c r="C134" s="348" t="s">
        <v>613</v>
      </c>
      <c r="D134" s="590" t="s">
        <v>704</v>
      </c>
      <c r="E134" s="591"/>
      <c r="F134" s="592" t="s">
        <v>607</v>
      </c>
      <c r="G134" s="592"/>
      <c r="H134" s="592" t="str">
        <f t="shared" ref="H134:H142" si="242">H133</f>
        <v>Development</v>
      </c>
      <c r="I134" s="593"/>
      <c r="J134" s="594"/>
      <c r="K134" s="594"/>
      <c r="L134" s="594"/>
      <c r="M134" s="594"/>
      <c r="N134" s="594"/>
      <c r="O134" s="594"/>
      <c r="P134" s="594"/>
      <c r="Q134" s="594"/>
      <c r="R134" s="594"/>
      <c r="S134" s="594"/>
      <c r="T134" s="594"/>
      <c r="U134" s="594"/>
      <c r="V134" s="594"/>
      <c r="W134" s="594"/>
      <c r="X134" s="594"/>
      <c r="Y134" s="594"/>
      <c r="Z134" s="594"/>
      <c r="AA134" s="594"/>
      <c r="AB134" s="594"/>
      <c r="AC134" s="594"/>
      <c r="AD134" s="594"/>
      <c r="AE134" s="594"/>
      <c r="AF134" s="594"/>
      <c r="AG134" s="595"/>
      <c r="AH134" s="595"/>
      <c r="AI134" s="594"/>
      <c r="AJ134" s="594"/>
      <c r="AK134" s="594"/>
      <c r="AL134" s="594"/>
      <c r="AM134" s="594"/>
      <c r="AN134" s="594"/>
      <c r="AO134" s="594"/>
      <c r="AP134" s="594"/>
      <c r="AQ134" s="594"/>
      <c r="AR134" s="594"/>
      <c r="AS134" s="594"/>
      <c r="AT134" s="594"/>
      <c r="AU134" s="594"/>
      <c r="AV134" s="594"/>
      <c r="AW134" s="594"/>
      <c r="AX134" s="594"/>
      <c r="AY134" s="594"/>
      <c r="AZ134" s="594"/>
      <c r="BA134" s="594"/>
      <c r="BB134" s="594"/>
      <c r="BC134" s="594"/>
      <c r="BD134" s="594"/>
      <c r="BE134" s="594"/>
      <c r="BF134" s="594"/>
      <c r="BG134" s="594"/>
      <c r="BH134" s="594"/>
      <c r="BI134" s="594"/>
      <c r="BJ134" s="594"/>
      <c r="BK134" s="594"/>
      <c r="BL134" s="596"/>
      <c r="BM134" s="292"/>
      <c r="BN134" s="82">
        <f t="shared" si="240"/>
        <v>0</v>
      </c>
      <c r="BO134" s="82">
        <f t="shared" si="8"/>
        <v>0</v>
      </c>
      <c r="BP134" s="82">
        <f t="shared" si="241"/>
        <v>0</v>
      </c>
      <c r="BQ134" s="127">
        <f t="shared" si="9"/>
        <v>0</v>
      </c>
    </row>
    <row r="135" spans="1:69" s="75" customFormat="1" ht="11.25" x14ac:dyDescent="0.2">
      <c r="A135" s="212">
        <v>2</v>
      </c>
      <c r="B135" s="213" t="s">
        <v>697</v>
      </c>
      <c r="C135" s="348" t="s">
        <v>658</v>
      </c>
      <c r="D135" s="403" t="s">
        <v>687</v>
      </c>
      <c r="E135" s="450"/>
      <c r="F135" s="451" t="str">
        <f>IFERROR(VLOOKUP(C135,MappingFromTTStoSU,2,FALSE),"SU Resource Role")</f>
        <v>DWMS</v>
      </c>
      <c r="G135" s="451"/>
      <c r="H135" s="451" t="str">
        <f>H134</f>
        <v>Development</v>
      </c>
      <c r="I135" s="407"/>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9"/>
      <c r="AH135" s="179"/>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3"/>
      <c r="BM135" s="203"/>
      <c r="BN135" s="82">
        <f t="shared" ref="BN135" si="243">SUMIF(I$8:BL$8, "&lt;&gt;"&amp;AgileIteration_Warranty,I135:BL135)*5*Scenario4Utilisation</f>
        <v>0</v>
      </c>
      <c r="BO135" s="82">
        <f t="shared" ref="BO135" si="244">BN135*Scenario4AgileContingency</f>
        <v>0</v>
      </c>
      <c r="BP135" s="82">
        <f t="shared" ref="BP135" si="245">IF(Scenario4Warranty=AgileWarrantyDefault, (SUMIF(I$8:BL$8,AgileIteration_Warranty,I135:BL135)*5*Scenario4Utilisation), (BN135*Scenario4Warranty))</f>
        <v>0</v>
      </c>
      <c r="BQ135" s="127">
        <f t="shared" ref="BQ135" si="246">SUM(BN135:BP135)</f>
        <v>0</v>
      </c>
    </row>
    <row r="136" spans="1:69" s="75" customFormat="1" ht="11.25" customHeight="1" x14ac:dyDescent="0.2">
      <c r="A136" s="212">
        <v>2</v>
      </c>
      <c r="B136" s="213" t="s">
        <v>697</v>
      </c>
      <c r="C136" s="348" t="s">
        <v>635</v>
      </c>
      <c r="D136" s="403" t="s">
        <v>687</v>
      </c>
      <c r="E136" s="450"/>
      <c r="F136" s="451" t="s">
        <v>607</v>
      </c>
      <c r="G136" s="451"/>
      <c r="H136" s="451" t="str">
        <f>H134</f>
        <v>Development</v>
      </c>
      <c r="I136" s="407"/>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9"/>
      <c r="AH136" s="179"/>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3"/>
      <c r="BM136" s="203"/>
      <c r="BN136" s="82">
        <f t="shared" si="240"/>
        <v>0</v>
      </c>
      <c r="BO136" s="82">
        <f t="shared" si="8"/>
        <v>0</v>
      </c>
      <c r="BP136" s="82">
        <f t="shared" si="241"/>
        <v>0</v>
      </c>
      <c r="BQ136" s="127">
        <f t="shared" si="9"/>
        <v>0</v>
      </c>
    </row>
    <row r="137" spans="1:69" s="75" customFormat="1" ht="11.25" x14ac:dyDescent="0.2">
      <c r="A137" s="212">
        <v>2</v>
      </c>
      <c r="B137" s="213" t="s">
        <v>697</v>
      </c>
      <c r="C137" s="348" t="str">
        <f t="shared" ref="C137:C142" si="247">IFERROR(VLOOKUP(D137,MappingFromSetAgiletoTTSRole,2,FALSE),"SET Agile Resource Role")</f>
        <v>Software Developer</v>
      </c>
      <c r="D137" s="403" t="s">
        <v>687</v>
      </c>
      <c r="E137" s="450"/>
      <c r="F137" s="451" t="s">
        <v>607</v>
      </c>
      <c r="G137" s="451"/>
      <c r="H137" s="451" t="str">
        <f t="shared" si="242"/>
        <v>Development</v>
      </c>
      <c r="I137" s="407"/>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9"/>
      <c r="AH137" s="179"/>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3"/>
      <c r="BM137" s="203"/>
      <c r="BN137" s="82">
        <f t="shared" si="240"/>
        <v>0</v>
      </c>
      <c r="BO137" s="82">
        <f t="shared" si="8"/>
        <v>0</v>
      </c>
      <c r="BP137" s="82">
        <f t="shared" si="241"/>
        <v>0</v>
      </c>
      <c r="BQ137" s="127">
        <f t="shared" si="9"/>
        <v>0</v>
      </c>
    </row>
    <row r="138" spans="1:69" s="75" customFormat="1" ht="11.25" x14ac:dyDescent="0.2">
      <c r="A138" s="212">
        <v>2</v>
      </c>
      <c r="B138" s="213" t="s">
        <v>697</v>
      </c>
      <c r="C138" s="348" t="str">
        <f t="shared" si="247"/>
        <v>Software Developer</v>
      </c>
      <c r="D138" s="403" t="s">
        <v>687</v>
      </c>
      <c r="E138" s="450"/>
      <c r="F138" s="451" t="s">
        <v>607</v>
      </c>
      <c r="G138" s="451"/>
      <c r="H138" s="451" t="str">
        <f t="shared" si="242"/>
        <v>Development</v>
      </c>
      <c r="I138" s="407"/>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9"/>
      <c r="AH138" s="179"/>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3"/>
      <c r="BM138" s="203"/>
      <c r="BN138" s="82">
        <f t="shared" si="240"/>
        <v>0</v>
      </c>
      <c r="BO138" s="82">
        <f t="shared" si="8"/>
        <v>0</v>
      </c>
      <c r="BP138" s="82">
        <f t="shared" si="241"/>
        <v>0</v>
      </c>
      <c r="BQ138" s="127">
        <f t="shared" si="9"/>
        <v>0</v>
      </c>
    </row>
    <row r="139" spans="1:69" s="75" customFormat="1" ht="11.25" x14ac:dyDescent="0.2">
      <c r="A139" s="212">
        <v>2</v>
      </c>
      <c r="B139" s="213" t="s">
        <v>697</v>
      </c>
      <c r="C139" s="348" t="str">
        <f t="shared" si="247"/>
        <v>Software Developer</v>
      </c>
      <c r="D139" s="403" t="s">
        <v>687</v>
      </c>
      <c r="E139" s="450"/>
      <c r="F139" s="451" t="s">
        <v>607</v>
      </c>
      <c r="G139" s="451"/>
      <c r="H139" s="451" t="str">
        <f t="shared" si="242"/>
        <v>Development</v>
      </c>
      <c r="I139" s="407"/>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9"/>
      <c r="AH139" s="179"/>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3"/>
      <c r="BM139" s="203"/>
      <c r="BN139" s="82">
        <f t="shared" si="240"/>
        <v>0</v>
      </c>
      <c r="BO139" s="82">
        <f t="shared" si="8"/>
        <v>0</v>
      </c>
      <c r="BP139" s="82">
        <f t="shared" si="241"/>
        <v>0</v>
      </c>
      <c r="BQ139" s="127">
        <f t="shared" si="9"/>
        <v>0</v>
      </c>
    </row>
    <row r="140" spans="1:69" s="75" customFormat="1" ht="11.25" x14ac:dyDescent="0.2">
      <c r="A140" s="212">
        <v>2</v>
      </c>
      <c r="B140" s="213" t="s">
        <v>697</v>
      </c>
      <c r="C140" s="348" t="s">
        <v>651</v>
      </c>
      <c r="D140" s="403" t="s">
        <v>688</v>
      </c>
      <c r="E140" s="450"/>
      <c r="F140" s="451" t="s">
        <v>607</v>
      </c>
      <c r="G140" s="451"/>
      <c r="H140" s="451" t="str">
        <f t="shared" si="242"/>
        <v>Development</v>
      </c>
      <c r="I140" s="407"/>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9"/>
      <c r="AH140" s="179"/>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3"/>
      <c r="BM140" s="203"/>
      <c r="BN140" s="82">
        <f t="shared" si="240"/>
        <v>0</v>
      </c>
      <c r="BO140" s="82">
        <f t="shared" si="8"/>
        <v>0</v>
      </c>
      <c r="BP140" s="82">
        <f t="shared" si="241"/>
        <v>0</v>
      </c>
      <c r="BQ140" s="127">
        <f t="shared" si="9"/>
        <v>0</v>
      </c>
    </row>
    <row r="141" spans="1:69" s="75" customFormat="1" ht="11.25" x14ac:dyDescent="0.2">
      <c r="A141" s="212">
        <v>2</v>
      </c>
      <c r="B141" s="213" t="s">
        <v>697</v>
      </c>
      <c r="C141" s="348" t="str">
        <f t="shared" si="247"/>
        <v>Test Consultant</v>
      </c>
      <c r="D141" s="403" t="s">
        <v>688</v>
      </c>
      <c r="E141" s="450"/>
      <c r="F141" s="451" t="s">
        <v>607</v>
      </c>
      <c r="G141" s="451"/>
      <c r="H141" s="451" t="str">
        <f t="shared" si="242"/>
        <v>Development</v>
      </c>
      <c r="I141" s="407"/>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9"/>
      <c r="AH141" s="179"/>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3"/>
      <c r="BM141" s="203"/>
      <c r="BN141" s="82">
        <f t="shared" si="240"/>
        <v>0</v>
      </c>
      <c r="BO141" s="82">
        <f t="shared" si="8"/>
        <v>0</v>
      </c>
      <c r="BP141" s="82">
        <f t="shared" si="241"/>
        <v>0</v>
      </c>
      <c r="BQ141" s="127">
        <f t="shared" si="9"/>
        <v>0</v>
      </c>
    </row>
    <row r="142" spans="1:69" s="75" customFormat="1" ht="11.25" x14ac:dyDescent="0.2">
      <c r="A142" s="212">
        <v>2</v>
      </c>
      <c r="B142" s="213" t="s">
        <v>697</v>
      </c>
      <c r="C142" s="348" t="str">
        <f t="shared" si="247"/>
        <v>Test Consultant</v>
      </c>
      <c r="D142" s="404" t="s">
        <v>688</v>
      </c>
      <c r="E142" s="450"/>
      <c r="F142" s="451" t="s">
        <v>607</v>
      </c>
      <c r="G142" s="451"/>
      <c r="H142" s="451" t="str">
        <f t="shared" si="242"/>
        <v>Development</v>
      </c>
      <c r="I142" s="408"/>
      <c r="J142" s="176"/>
      <c r="K142" s="176"/>
      <c r="L142" s="176"/>
      <c r="M142" s="176"/>
      <c r="N142" s="176"/>
      <c r="O142" s="176"/>
      <c r="P142" s="176"/>
      <c r="Q142" s="176"/>
      <c r="R142" s="176"/>
      <c r="S142" s="176"/>
      <c r="T142" s="176"/>
      <c r="U142" s="176"/>
      <c r="V142" s="176"/>
      <c r="W142" s="176"/>
      <c r="X142" s="176"/>
      <c r="Y142" s="176"/>
      <c r="Z142" s="176"/>
      <c r="AA142" s="172"/>
      <c r="AB142" s="172"/>
      <c r="AC142" s="176"/>
      <c r="AD142" s="176"/>
      <c r="AE142" s="176"/>
      <c r="AF142" s="176"/>
      <c r="AG142" s="179"/>
      <c r="AH142" s="179"/>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76"/>
      <c r="BF142" s="176"/>
      <c r="BG142" s="176"/>
      <c r="BH142" s="176"/>
      <c r="BI142" s="176"/>
      <c r="BJ142" s="176"/>
      <c r="BK142" s="176"/>
      <c r="BL142" s="178"/>
      <c r="BM142" s="203"/>
      <c r="BN142" s="82">
        <f t="shared" si="240"/>
        <v>0</v>
      </c>
      <c r="BO142" s="82">
        <f t="shared" si="8"/>
        <v>0</v>
      </c>
      <c r="BP142" s="82">
        <f t="shared" si="241"/>
        <v>0</v>
      </c>
      <c r="BQ142" s="127">
        <f t="shared" si="9"/>
        <v>0</v>
      </c>
    </row>
    <row r="143" spans="1:69" s="74" customFormat="1" ht="11.25" x14ac:dyDescent="0.2">
      <c r="A143" s="210">
        <v>1</v>
      </c>
      <c r="B143" s="211" t="s">
        <v>697</v>
      </c>
      <c r="C143" s="207" t="s">
        <v>705</v>
      </c>
      <c r="D143" s="207" t="s">
        <v>705</v>
      </c>
      <c r="E143" s="421"/>
      <c r="F143" s="421"/>
      <c r="G143" s="421"/>
      <c r="H143" s="422"/>
      <c r="I143" s="214"/>
      <c r="J143" s="214"/>
      <c r="K143" s="214"/>
      <c r="L143" s="214"/>
      <c r="M143" s="214"/>
      <c r="N143" s="214"/>
      <c r="O143" s="214"/>
      <c r="P143" s="214"/>
      <c r="Q143" s="214"/>
      <c r="R143" s="214"/>
      <c r="S143" s="214"/>
      <c r="T143" s="214"/>
      <c r="U143" s="214"/>
      <c r="V143" s="214"/>
      <c r="W143" s="214"/>
      <c r="X143" s="214"/>
      <c r="Y143" s="214"/>
      <c r="Z143" s="214"/>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4"/>
      <c r="BC143" s="214"/>
      <c r="BD143" s="214"/>
      <c r="BE143" s="214"/>
      <c r="BF143" s="214"/>
      <c r="BG143" s="214"/>
      <c r="BH143" s="214"/>
      <c r="BI143" s="214"/>
      <c r="BJ143" s="214"/>
      <c r="BK143" s="214"/>
      <c r="BL143" s="186"/>
      <c r="BM143" s="187"/>
      <c r="BN143" s="127"/>
      <c r="BO143" s="127"/>
      <c r="BP143" s="127"/>
      <c r="BQ143" s="127"/>
    </row>
    <row r="144" spans="1:69" s="74" customFormat="1" ht="11.25" x14ac:dyDescent="0.2">
      <c r="A144" s="210">
        <v>2</v>
      </c>
      <c r="B144" s="213" t="s">
        <v>697</v>
      </c>
      <c r="C144" s="348" t="str">
        <f>IFERROR(VLOOKUP(D144,MappingFromSetAgiletoTTSRole,2,FALSE),"SET Agile Resource Role")</f>
        <v>Business Consultant</v>
      </c>
      <c r="D144" s="398" t="s">
        <v>684</v>
      </c>
      <c r="E144" s="448"/>
      <c r="F144" s="449" t="s">
        <v>607</v>
      </c>
      <c r="G144" s="449"/>
      <c r="H144" s="449" t="s">
        <v>702</v>
      </c>
      <c r="I144" s="406"/>
      <c r="J144" s="179"/>
      <c r="K144" s="179"/>
      <c r="L144" s="179"/>
      <c r="M144" s="179"/>
      <c r="N144" s="179"/>
      <c r="O144" s="179"/>
      <c r="P144" s="179"/>
      <c r="Q144" s="179"/>
      <c r="R144" s="179"/>
      <c r="S144" s="179"/>
      <c r="T144" s="179"/>
      <c r="U144" s="179"/>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80"/>
      <c r="BM144" s="187"/>
      <c r="BN144" s="82">
        <f t="shared" ref="BN144:BN154" si="248">SUMIF(I$8:BL$8, "&lt;&gt;"&amp;AgileIteration_Warranty,I144:BL144)*5*Scenario4Utilisation</f>
        <v>0</v>
      </c>
      <c r="BO144" s="82">
        <f t="shared" si="8"/>
        <v>0</v>
      </c>
      <c r="BP144" s="82">
        <f t="shared" ref="BP144:BP154" si="249">IF(Scenario4Warranty=AgileWarrantyDefault, (SUMIF(I$8:BL$8,AgileIteration_Warranty,I144:BL144)*5*Scenario4Utilisation), (BN144*Scenario4Warranty))</f>
        <v>0</v>
      </c>
      <c r="BQ144" s="127">
        <f t="shared" si="9"/>
        <v>0</v>
      </c>
    </row>
    <row r="145" spans="1:69" s="74" customFormat="1" ht="11.25" x14ac:dyDescent="0.2">
      <c r="A145" s="210">
        <v>2</v>
      </c>
      <c r="B145" s="213" t="s">
        <v>697</v>
      </c>
      <c r="C145" s="348" t="s">
        <v>685</v>
      </c>
      <c r="D145" s="399" t="s">
        <v>686</v>
      </c>
      <c r="E145" s="448"/>
      <c r="F145" s="449" t="s">
        <v>607</v>
      </c>
      <c r="G145" s="449"/>
      <c r="H145" s="449" t="str">
        <f>H144</f>
        <v>Development</v>
      </c>
      <c r="I145" s="407"/>
      <c r="J145" s="172"/>
      <c r="K145" s="172"/>
      <c r="L145" s="172"/>
      <c r="M145" s="172"/>
      <c r="N145" s="172"/>
      <c r="O145" s="172"/>
      <c r="P145" s="172"/>
      <c r="Q145" s="172"/>
      <c r="R145" s="172"/>
      <c r="S145" s="172"/>
      <c r="T145" s="172"/>
      <c r="U145" s="172"/>
      <c r="V145" s="172"/>
      <c r="W145" s="172"/>
      <c r="X145" s="172"/>
      <c r="Y145" s="172"/>
      <c r="Z145" s="172"/>
      <c r="AA145" s="172"/>
      <c r="AB145" s="172"/>
      <c r="AC145" s="172"/>
      <c r="AD145" s="172"/>
      <c r="AE145" s="172"/>
      <c r="AF145" s="172"/>
      <c r="AG145" s="172"/>
      <c r="AH145" s="172"/>
      <c r="AI145" s="172"/>
      <c r="AJ145" s="172"/>
      <c r="AK145" s="172"/>
      <c r="AL145" s="172"/>
      <c r="AM145" s="172"/>
      <c r="AN145" s="172"/>
      <c r="AO145" s="172"/>
      <c r="AP145" s="172"/>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3"/>
      <c r="BM145" s="187"/>
      <c r="BN145" s="82">
        <f t="shared" si="248"/>
        <v>0</v>
      </c>
      <c r="BO145" s="82">
        <f t="shared" si="8"/>
        <v>0</v>
      </c>
      <c r="BP145" s="82">
        <f t="shared" si="249"/>
        <v>0</v>
      </c>
      <c r="BQ145" s="127">
        <f t="shared" si="9"/>
        <v>0</v>
      </c>
    </row>
    <row r="146" spans="1:69" s="74" customFormat="1" ht="11.25" x14ac:dyDescent="0.2">
      <c r="A146" s="210">
        <v>2</v>
      </c>
      <c r="B146" s="213" t="s">
        <v>697</v>
      </c>
      <c r="C146" s="348" t="s">
        <v>613</v>
      </c>
      <c r="D146" s="399" t="s">
        <v>704</v>
      </c>
      <c r="E146" s="448"/>
      <c r="F146" s="449" t="s">
        <v>607</v>
      </c>
      <c r="G146" s="449"/>
      <c r="H146" s="449" t="str">
        <f t="shared" ref="H146:H154" si="250">H145</f>
        <v>Development</v>
      </c>
      <c r="I146" s="172"/>
      <c r="J146" s="172"/>
      <c r="K146" s="172"/>
      <c r="L146" s="172"/>
      <c r="M146" s="172"/>
      <c r="N146" s="172"/>
      <c r="O146" s="172"/>
      <c r="P146" s="172"/>
      <c r="Q146" s="172"/>
      <c r="R146" s="172"/>
      <c r="S146" s="172"/>
      <c r="T146" s="172"/>
      <c r="U146" s="172"/>
      <c r="V146" s="172"/>
      <c r="W146" s="172"/>
      <c r="X146" s="172"/>
      <c r="Y146" s="172"/>
      <c r="Z146" s="172"/>
      <c r="AA146" s="172"/>
      <c r="AB146" s="172"/>
      <c r="AC146" s="172"/>
      <c r="AD146" s="172"/>
      <c r="AE146" s="172"/>
      <c r="AF146" s="172"/>
      <c r="AG146" s="172"/>
      <c r="AH146" s="172"/>
      <c r="AI146" s="172"/>
      <c r="AJ146" s="172"/>
      <c r="AK146" s="172"/>
      <c r="AL146" s="172"/>
      <c r="AM146" s="172"/>
      <c r="AN146" s="172"/>
      <c r="AO146" s="172"/>
      <c r="AP146" s="172"/>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3"/>
      <c r="BM146" s="187"/>
      <c r="BN146" s="82">
        <f t="shared" si="248"/>
        <v>0</v>
      </c>
      <c r="BO146" s="82">
        <f t="shared" si="8"/>
        <v>0</v>
      </c>
      <c r="BP146" s="82">
        <f t="shared" si="249"/>
        <v>0</v>
      </c>
      <c r="BQ146" s="127">
        <f t="shared" si="9"/>
        <v>0</v>
      </c>
    </row>
    <row r="147" spans="1:69" s="74" customFormat="1" ht="11.25" x14ac:dyDescent="0.2">
      <c r="A147" s="210">
        <v>2</v>
      </c>
      <c r="B147" s="213" t="s">
        <v>697</v>
      </c>
      <c r="C147" s="348" t="s">
        <v>658</v>
      </c>
      <c r="D147" s="399" t="s">
        <v>687</v>
      </c>
      <c r="E147" s="448"/>
      <c r="F147" s="449" t="str">
        <f>IFERROR(VLOOKUP(C147,MappingFromTTStoSU,2,FALSE),"SU Resource Role")</f>
        <v>DWMS</v>
      </c>
      <c r="G147" s="449"/>
      <c r="H147" s="449" t="str">
        <f>H146</f>
        <v>Development</v>
      </c>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3"/>
      <c r="BM147" s="187"/>
      <c r="BN147" s="82">
        <f t="shared" ref="BN147" si="251">SUMIF(I$8:BL$8, "&lt;&gt;"&amp;AgileIteration_Warranty,I147:BL147)*5*Scenario4Utilisation</f>
        <v>0</v>
      </c>
      <c r="BO147" s="82">
        <f t="shared" ref="BO147" si="252">BN147*Scenario4AgileContingency</f>
        <v>0</v>
      </c>
      <c r="BP147" s="82">
        <f t="shared" ref="BP147" si="253">IF(Scenario4Warranty=AgileWarrantyDefault, (SUMIF(I$8:BL$8,AgileIteration_Warranty,I147:BL147)*5*Scenario4Utilisation), (BN147*Scenario4Warranty))</f>
        <v>0</v>
      </c>
      <c r="BQ147" s="127">
        <f t="shared" ref="BQ147" si="254">SUM(BN147:BP147)</f>
        <v>0</v>
      </c>
    </row>
    <row r="148" spans="1:69" s="74" customFormat="1" ht="11.25" x14ac:dyDescent="0.2">
      <c r="A148" s="210">
        <v>2</v>
      </c>
      <c r="B148" s="213" t="s">
        <v>697</v>
      </c>
      <c r="C148" s="348" t="s">
        <v>635</v>
      </c>
      <c r="D148" s="399" t="s">
        <v>687</v>
      </c>
      <c r="E148" s="448"/>
      <c r="F148" s="449" t="s">
        <v>607</v>
      </c>
      <c r="G148" s="449"/>
      <c r="H148" s="449" t="str">
        <f>H146</f>
        <v>Development</v>
      </c>
      <c r="I148" s="407"/>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3"/>
      <c r="BM148" s="187"/>
      <c r="BN148" s="82">
        <f t="shared" si="248"/>
        <v>0</v>
      </c>
      <c r="BO148" s="82">
        <f t="shared" si="8"/>
        <v>0</v>
      </c>
      <c r="BP148" s="82">
        <f t="shared" si="249"/>
        <v>0</v>
      </c>
      <c r="BQ148" s="127">
        <f t="shared" si="9"/>
        <v>0</v>
      </c>
    </row>
    <row r="149" spans="1:69" s="74" customFormat="1" ht="11.25" x14ac:dyDescent="0.2">
      <c r="A149" s="210">
        <v>2</v>
      </c>
      <c r="B149" s="213" t="s">
        <v>697</v>
      </c>
      <c r="C149" s="348" t="str">
        <f t="shared" ref="C149:C154" si="255">IFERROR(VLOOKUP(D149,MappingFromSetAgiletoTTSRole,2,FALSE),"SET Agile Resource Role")</f>
        <v>Software Developer</v>
      </c>
      <c r="D149" s="399" t="s">
        <v>687</v>
      </c>
      <c r="E149" s="448"/>
      <c r="F149" s="449" t="s">
        <v>607</v>
      </c>
      <c r="G149" s="449"/>
      <c r="H149" s="449" t="str">
        <f t="shared" si="250"/>
        <v>Development</v>
      </c>
      <c r="I149" s="407"/>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3"/>
      <c r="BM149" s="187"/>
      <c r="BN149" s="82">
        <f t="shared" si="248"/>
        <v>0</v>
      </c>
      <c r="BO149" s="82">
        <f t="shared" si="8"/>
        <v>0</v>
      </c>
      <c r="BP149" s="82">
        <f t="shared" si="249"/>
        <v>0</v>
      </c>
      <c r="BQ149" s="127">
        <f t="shared" si="9"/>
        <v>0</v>
      </c>
    </row>
    <row r="150" spans="1:69" s="74" customFormat="1" ht="11.25" x14ac:dyDescent="0.2">
      <c r="A150" s="210">
        <v>2</v>
      </c>
      <c r="B150" s="213" t="s">
        <v>697</v>
      </c>
      <c r="C150" s="348" t="str">
        <f t="shared" si="255"/>
        <v>Software Developer</v>
      </c>
      <c r="D150" s="399" t="s">
        <v>687</v>
      </c>
      <c r="E150" s="448"/>
      <c r="F150" s="449" t="s">
        <v>607</v>
      </c>
      <c r="G150" s="449"/>
      <c r="H150" s="449" t="str">
        <f t="shared" si="250"/>
        <v>Development</v>
      </c>
      <c r="I150" s="407"/>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3"/>
      <c r="BM150" s="187"/>
      <c r="BN150" s="82">
        <f t="shared" si="248"/>
        <v>0</v>
      </c>
      <c r="BO150" s="82">
        <f t="shared" si="8"/>
        <v>0</v>
      </c>
      <c r="BP150" s="82">
        <f t="shared" si="249"/>
        <v>0</v>
      </c>
      <c r="BQ150" s="127">
        <f t="shared" si="9"/>
        <v>0</v>
      </c>
    </row>
    <row r="151" spans="1:69" s="74" customFormat="1" ht="11.25" x14ac:dyDescent="0.2">
      <c r="A151" s="210">
        <v>2</v>
      </c>
      <c r="B151" s="213" t="s">
        <v>697</v>
      </c>
      <c r="C151" s="348" t="str">
        <f t="shared" si="255"/>
        <v>Software Developer</v>
      </c>
      <c r="D151" s="399" t="s">
        <v>687</v>
      </c>
      <c r="E151" s="448"/>
      <c r="F151" s="449" t="s">
        <v>607</v>
      </c>
      <c r="G151" s="449"/>
      <c r="H151" s="449" t="str">
        <f t="shared" si="250"/>
        <v>Development</v>
      </c>
      <c r="I151" s="407"/>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3"/>
      <c r="BM151" s="187"/>
      <c r="BN151" s="82">
        <f t="shared" si="248"/>
        <v>0</v>
      </c>
      <c r="BO151" s="82">
        <f t="shared" si="8"/>
        <v>0</v>
      </c>
      <c r="BP151" s="82">
        <f t="shared" si="249"/>
        <v>0</v>
      </c>
      <c r="BQ151" s="127">
        <f t="shared" si="9"/>
        <v>0</v>
      </c>
    </row>
    <row r="152" spans="1:69" s="74" customFormat="1" ht="11.25" x14ac:dyDescent="0.2">
      <c r="A152" s="210">
        <v>2</v>
      </c>
      <c r="B152" s="213" t="s">
        <v>697</v>
      </c>
      <c r="C152" s="348" t="s">
        <v>651</v>
      </c>
      <c r="D152" s="399" t="s">
        <v>688</v>
      </c>
      <c r="E152" s="448"/>
      <c r="F152" s="449" t="s">
        <v>607</v>
      </c>
      <c r="G152" s="449"/>
      <c r="H152" s="449" t="str">
        <f t="shared" si="250"/>
        <v>Development</v>
      </c>
      <c r="I152" s="407"/>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3"/>
      <c r="BM152" s="187"/>
      <c r="BN152" s="82">
        <f t="shared" si="248"/>
        <v>0</v>
      </c>
      <c r="BO152" s="82">
        <f t="shared" si="8"/>
        <v>0</v>
      </c>
      <c r="BP152" s="82">
        <f t="shared" si="249"/>
        <v>0</v>
      </c>
      <c r="BQ152" s="127">
        <f t="shared" si="9"/>
        <v>0</v>
      </c>
    </row>
    <row r="153" spans="1:69" s="74" customFormat="1" ht="11.25" x14ac:dyDescent="0.2">
      <c r="A153" s="210">
        <v>2</v>
      </c>
      <c r="B153" s="213" t="s">
        <v>697</v>
      </c>
      <c r="C153" s="348" t="str">
        <f t="shared" si="255"/>
        <v>Test Consultant</v>
      </c>
      <c r="D153" s="399" t="s">
        <v>688</v>
      </c>
      <c r="E153" s="448"/>
      <c r="F153" s="449" t="s">
        <v>607</v>
      </c>
      <c r="G153" s="449"/>
      <c r="H153" s="449" t="str">
        <f t="shared" si="250"/>
        <v>Development</v>
      </c>
      <c r="I153" s="407"/>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3"/>
      <c r="BM153" s="187"/>
      <c r="BN153" s="82">
        <f t="shared" si="248"/>
        <v>0</v>
      </c>
      <c r="BO153" s="82">
        <f t="shared" si="8"/>
        <v>0</v>
      </c>
      <c r="BP153" s="82">
        <f t="shared" si="249"/>
        <v>0</v>
      </c>
      <c r="BQ153" s="127">
        <f t="shared" si="9"/>
        <v>0</v>
      </c>
    </row>
    <row r="154" spans="1:69" s="74" customFormat="1" ht="11.25" x14ac:dyDescent="0.2">
      <c r="A154" s="210">
        <v>2</v>
      </c>
      <c r="B154" s="213" t="s">
        <v>697</v>
      </c>
      <c r="C154" s="348" t="str">
        <f t="shared" si="255"/>
        <v>Test Consultant</v>
      </c>
      <c r="D154" s="400" t="s">
        <v>688</v>
      </c>
      <c r="E154" s="448"/>
      <c r="F154" s="449" t="s">
        <v>607</v>
      </c>
      <c r="G154" s="449"/>
      <c r="H154" s="449" t="str">
        <f t="shared" si="250"/>
        <v>Development</v>
      </c>
      <c r="I154" s="408"/>
      <c r="J154" s="176"/>
      <c r="K154" s="176"/>
      <c r="L154" s="176"/>
      <c r="M154" s="176"/>
      <c r="N154" s="176"/>
      <c r="O154" s="176"/>
      <c r="P154" s="176"/>
      <c r="Q154" s="176"/>
      <c r="R154" s="176"/>
      <c r="S154" s="176"/>
      <c r="T154" s="176"/>
      <c r="U154" s="176"/>
      <c r="V154" s="176"/>
      <c r="W154" s="176"/>
      <c r="X154" s="176"/>
      <c r="Y154" s="176"/>
      <c r="Z154" s="176"/>
      <c r="AA154" s="172"/>
      <c r="AB154" s="172"/>
      <c r="AC154" s="176"/>
      <c r="AD154" s="176"/>
      <c r="AE154" s="176"/>
      <c r="AF154" s="176"/>
      <c r="AG154" s="176"/>
      <c r="AH154" s="176"/>
      <c r="AI154" s="176"/>
      <c r="AJ154" s="176"/>
      <c r="AK154" s="176"/>
      <c r="AL154" s="176"/>
      <c r="AM154" s="176"/>
      <c r="AN154" s="176"/>
      <c r="AO154" s="176"/>
      <c r="AP154" s="176"/>
      <c r="AQ154" s="176"/>
      <c r="AR154" s="176"/>
      <c r="AS154" s="176"/>
      <c r="AT154" s="176"/>
      <c r="AU154" s="176"/>
      <c r="AV154" s="176"/>
      <c r="AW154" s="176"/>
      <c r="AX154" s="176"/>
      <c r="AY154" s="176"/>
      <c r="AZ154" s="176"/>
      <c r="BA154" s="176"/>
      <c r="BB154" s="176"/>
      <c r="BC154" s="176"/>
      <c r="BD154" s="176"/>
      <c r="BE154" s="176"/>
      <c r="BF154" s="176"/>
      <c r="BG154" s="176"/>
      <c r="BH154" s="176"/>
      <c r="BI154" s="176"/>
      <c r="BJ154" s="176"/>
      <c r="BK154" s="176"/>
      <c r="BL154" s="178"/>
      <c r="BM154" s="187"/>
      <c r="BN154" s="82">
        <f t="shared" si="248"/>
        <v>0</v>
      </c>
      <c r="BO154" s="82">
        <f t="shared" si="8"/>
        <v>0</v>
      </c>
      <c r="BP154" s="82">
        <f t="shared" si="249"/>
        <v>0</v>
      </c>
      <c r="BQ154" s="127">
        <f t="shared" si="9"/>
        <v>0</v>
      </c>
    </row>
    <row r="155" spans="1:69" s="74" customFormat="1" ht="11.25" x14ac:dyDescent="0.2">
      <c r="A155" s="210">
        <v>1</v>
      </c>
      <c r="B155" s="211" t="s">
        <v>697</v>
      </c>
      <c r="C155" s="207" t="s">
        <v>706</v>
      </c>
      <c r="D155" s="207" t="s">
        <v>706</v>
      </c>
      <c r="E155" s="421"/>
      <c r="F155" s="421"/>
      <c r="G155" s="421"/>
      <c r="H155" s="422"/>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214"/>
      <c r="BI155" s="214"/>
      <c r="BJ155" s="214"/>
      <c r="BK155" s="214"/>
      <c r="BL155" s="186"/>
      <c r="BM155" s="187"/>
      <c r="BN155" s="127"/>
      <c r="BO155" s="127"/>
      <c r="BP155" s="127"/>
      <c r="BQ155" s="127"/>
    </row>
    <row r="156" spans="1:69" s="74" customFormat="1" ht="11.25" x14ac:dyDescent="0.2">
      <c r="A156" s="210">
        <v>2</v>
      </c>
      <c r="B156" s="213" t="s">
        <v>697</v>
      </c>
      <c r="C156" s="348" t="str">
        <f>IFERROR(VLOOKUP(D156,MappingFromSetAgiletoTTSRole,2,FALSE),"SET Agile Resource Role")</f>
        <v>Business Consultant</v>
      </c>
      <c r="D156" s="398" t="s">
        <v>684</v>
      </c>
      <c r="E156" s="448"/>
      <c r="F156" s="449" t="str">
        <f t="shared" ref="F156:F166" si="256">IFERROR(VLOOKUP(C156,MappingFromTTStoSU,2,FALSE),"SU Resource Role")</f>
        <v>DWMS</v>
      </c>
      <c r="G156" s="449"/>
      <c r="H156" s="449" t="s">
        <v>702</v>
      </c>
      <c r="I156" s="406"/>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80"/>
      <c r="BM156" s="187"/>
      <c r="BN156" s="82">
        <f t="shared" ref="BN156:BN166" si="257">SUMIF(I$8:BL$8, "&lt;&gt;"&amp;AgileIteration_Warranty,I156:BL156)*5*Scenario4Utilisation</f>
        <v>0</v>
      </c>
      <c r="BO156" s="82">
        <f t="shared" ref="BO156" si="258">BN156*Scenario4AgileContingency</f>
        <v>0</v>
      </c>
      <c r="BP156" s="82">
        <f t="shared" ref="BP156:BP166" si="259">IF(Scenario4Warranty=AgileWarrantyDefault, (SUMIF(I$8:BL$8,AgileIteration_Warranty,I156:BL156)*5*Scenario4Utilisation), (BN156*Scenario4Warranty))</f>
        <v>0</v>
      </c>
      <c r="BQ156" s="127">
        <f t="shared" ref="BQ156" si="260">SUM(BN156:BP156)</f>
        <v>0</v>
      </c>
    </row>
    <row r="157" spans="1:69" s="74" customFormat="1" ht="11.25" x14ac:dyDescent="0.2">
      <c r="A157" s="210">
        <v>2</v>
      </c>
      <c r="B157" s="213" t="s">
        <v>697</v>
      </c>
      <c r="C157" s="348" t="s">
        <v>685</v>
      </c>
      <c r="D157" s="398" t="s">
        <v>686</v>
      </c>
      <c r="E157" s="448"/>
      <c r="F157" s="449" t="str">
        <f t="shared" si="256"/>
        <v>DWMS</v>
      </c>
      <c r="G157" s="449"/>
      <c r="H157" s="449" t="str">
        <f>H156</f>
        <v>Development</v>
      </c>
      <c r="I157" s="406"/>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80"/>
      <c r="BM157" s="187"/>
      <c r="BN157" s="82">
        <f t="shared" si="257"/>
        <v>0</v>
      </c>
      <c r="BO157" s="82">
        <f t="shared" ref="BO157" si="261">BN157*Scenario4AgileContingency</f>
        <v>0</v>
      </c>
      <c r="BP157" s="82">
        <f t="shared" si="259"/>
        <v>0</v>
      </c>
      <c r="BQ157" s="127">
        <f t="shared" ref="BQ157" si="262">SUM(BN157:BP157)</f>
        <v>0</v>
      </c>
    </row>
    <row r="158" spans="1:69" s="74" customFormat="1" ht="11.25" x14ac:dyDescent="0.2">
      <c r="A158" s="210">
        <v>2</v>
      </c>
      <c r="B158" s="213" t="s">
        <v>697</v>
      </c>
      <c r="C158" s="348" t="s">
        <v>613</v>
      </c>
      <c r="D158" s="398" t="s">
        <v>704</v>
      </c>
      <c r="E158" s="448"/>
      <c r="F158" s="449" t="str">
        <f t="shared" si="256"/>
        <v>DWMS</v>
      </c>
      <c r="G158" s="449"/>
      <c r="H158" s="449" t="str">
        <f t="shared" ref="H158:H164" si="263">H157</f>
        <v>Development</v>
      </c>
      <c r="I158" s="406"/>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80"/>
      <c r="BM158" s="187"/>
      <c r="BN158" s="82">
        <f t="shared" si="257"/>
        <v>0</v>
      </c>
      <c r="BO158" s="82">
        <f t="shared" ref="BO158" si="264">BN158*Scenario4AgileContingency</f>
        <v>0</v>
      </c>
      <c r="BP158" s="82">
        <f t="shared" si="259"/>
        <v>0</v>
      </c>
      <c r="BQ158" s="127">
        <f t="shared" ref="BQ158" si="265">SUM(BN158:BP158)</f>
        <v>0</v>
      </c>
    </row>
    <row r="159" spans="1:69" s="74" customFormat="1" ht="11.25" x14ac:dyDescent="0.2">
      <c r="A159" s="210">
        <v>2</v>
      </c>
      <c r="B159" s="213" t="s">
        <v>697</v>
      </c>
      <c r="C159" s="348" t="s">
        <v>658</v>
      </c>
      <c r="D159" s="398" t="s">
        <v>687</v>
      </c>
      <c r="E159" s="448"/>
      <c r="F159" s="449" t="str">
        <f t="shared" si="256"/>
        <v>DWMS</v>
      </c>
      <c r="G159" s="449"/>
      <c r="H159" s="449" t="str">
        <f t="shared" si="263"/>
        <v>Development</v>
      </c>
      <c r="I159" s="406"/>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80"/>
      <c r="BM159" s="187"/>
      <c r="BN159" s="82">
        <f t="shared" si="257"/>
        <v>0</v>
      </c>
      <c r="BO159" s="82">
        <f t="shared" ref="BO159" si="266">BN159*Scenario4AgileContingency</f>
        <v>0</v>
      </c>
      <c r="BP159" s="82">
        <f t="shared" si="259"/>
        <v>0</v>
      </c>
      <c r="BQ159" s="127">
        <f t="shared" ref="BQ159" si="267">SUM(BN159:BP159)</f>
        <v>0</v>
      </c>
    </row>
    <row r="160" spans="1:69" s="74" customFormat="1" ht="11.25" x14ac:dyDescent="0.2">
      <c r="A160" s="210">
        <v>2</v>
      </c>
      <c r="B160" s="213" t="s">
        <v>697</v>
      </c>
      <c r="C160" s="348" t="s">
        <v>635</v>
      </c>
      <c r="D160" s="398" t="s">
        <v>687</v>
      </c>
      <c r="E160" s="448"/>
      <c r="F160" s="449" t="str">
        <f>IFERROR(VLOOKUP(C160,MappingFromTTStoSU,2,FALSE),"SU Resource Role")</f>
        <v>DWMS</v>
      </c>
      <c r="G160" s="449"/>
      <c r="H160" s="449" t="str">
        <f>H159</f>
        <v>Development</v>
      </c>
      <c r="I160" s="406"/>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80"/>
      <c r="BM160" s="187"/>
      <c r="BN160" s="82">
        <f t="shared" ref="BN160" si="268">SUMIF(I$8:BL$8, "&lt;&gt;"&amp;AgileIteration_Warranty,I160:BL160)*5*Scenario4Utilisation</f>
        <v>0</v>
      </c>
      <c r="BO160" s="82">
        <f t="shared" ref="BO160" si="269">BN160*Scenario4AgileContingency</f>
        <v>0</v>
      </c>
      <c r="BP160" s="82">
        <f t="shared" ref="BP160" si="270">IF(Scenario4Warranty=AgileWarrantyDefault, (SUMIF(I$8:BL$8,AgileIteration_Warranty,I160:BL160)*5*Scenario4Utilisation), (BN160*Scenario4Warranty))</f>
        <v>0</v>
      </c>
      <c r="BQ160" s="127">
        <f t="shared" ref="BQ160" si="271">SUM(BN160:BP160)</f>
        <v>0</v>
      </c>
    </row>
    <row r="161" spans="1:69" s="74" customFormat="1" ht="11.25" x14ac:dyDescent="0.2">
      <c r="A161" s="210">
        <v>2</v>
      </c>
      <c r="B161" s="213" t="s">
        <v>697</v>
      </c>
      <c r="C161" s="348" t="str">
        <f t="shared" ref="C161:C166" si="272">IFERROR(VLOOKUP(D161,MappingFromSetAgiletoTTSRole,2,FALSE),"SET Agile Resource Role")</f>
        <v>Software Developer</v>
      </c>
      <c r="D161" s="398" t="s">
        <v>687</v>
      </c>
      <c r="E161" s="448"/>
      <c r="F161" s="449" t="str">
        <f>IFERROR(VLOOKUP(C161,MappingFromTTStoSU,2,FALSE),"SU Resource Role")</f>
        <v>DWMS</v>
      </c>
      <c r="G161" s="449"/>
      <c r="H161" s="449" t="str">
        <f>H160</f>
        <v>Development</v>
      </c>
      <c r="I161" s="406"/>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80"/>
      <c r="BM161" s="187"/>
      <c r="BN161" s="82">
        <f t="shared" ref="BN161" si="273">SUMIF(I$8:BL$8, "&lt;&gt;"&amp;AgileIteration_Warranty,I161:BL161)*5*Scenario4Utilisation</f>
        <v>0</v>
      </c>
      <c r="BO161" s="82">
        <f t="shared" ref="BO161" si="274">BN161*Scenario4AgileContingency</f>
        <v>0</v>
      </c>
      <c r="BP161" s="82">
        <f t="shared" ref="BP161" si="275">IF(Scenario4Warranty=AgileWarrantyDefault, (SUMIF(I$8:BL$8,AgileIteration_Warranty,I161:BL161)*5*Scenario4Utilisation), (BN161*Scenario4Warranty))</f>
        <v>0</v>
      </c>
      <c r="BQ161" s="127">
        <f t="shared" ref="BQ161" si="276">SUM(BN161:BP161)</f>
        <v>0</v>
      </c>
    </row>
    <row r="162" spans="1:69" s="74" customFormat="1" ht="11.25" x14ac:dyDescent="0.2">
      <c r="A162" s="210">
        <v>2</v>
      </c>
      <c r="B162" s="213" t="s">
        <v>697</v>
      </c>
      <c r="C162" s="348" t="str">
        <f t="shared" si="272"/>
        <v>Software Developer</v>
      </c>
      <c r="D162" s="398" t="s">
        <v>687</v>
      </c>
      <c r="E162" s="448"/>
      <c r="F162" s="449" t="str">
        <f t="shared" si="256"/>
        <v>DWMS</v>
      </c>
      <c r="G162" s="449"/>
      <c r="H162" s="449" t="str">
        <f>H159</f>
        <v>Development</v>
      </c>
      <c r="I162" s="406"/>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80"/>
      <c r="BM162" s="187"/>
      <c r="BN162" s="82">
        <f t="shared" si="257"/>
        <v>0</v>
      </c>
      <c r="BO162" s="82">
        <f t="shared" ref="BO162" si="277">BN162*Scenario4AgileContingency</f>
        <v>0</v>
      </c>
      <c r="BP162" s="82">
        <f t="shared" si="259"/>
        <v>0</v>
      </c>
      <c r="BQ162" s="127">
        <f t="shared" ref="BQ162" si="278">SUM(BN162:BP162)</f>
        <v>0</v>
      </c>
    </row>
    <row r="163" spans="1:69" s="74" customFormat="1" ht="11.25" x14ac:dyDescent="0.2">
      <c r="A163" s="210">
        <v>2</v>
      </c>
      <c r="B163" s="213" t="s">
        <v>697</v>
      </c>
      <c r="C163" s="348" t="str">
        <f t="shared" si="272"/>
        <v>Software Developer</v>
      </c>
      <c r="D163" s="398" t="s">
        <v>687</v>
      </c>
      <c r="E163" s="448"/>
      <c r="F163" s="449" t="str">
        <f t="shared" si="256"/>
        <v>DWMS</v>
      </c>
      <c r="G163" s="449"/>
      <c r="H163" s="449" t="str">
        <f t="shared" si="263"/>
        <v>Development</v>
      </c>
      <c r="I163" s="406"/>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80"/>
      <c r="BM163" s="187"/>
      <c r="BN163" s="82">
        <f t="shared" si="257"/>
        <v>0</v>
      </c>
      <c r="BO163" s="82">
        <f t="shared" ref="BO163" si="279">BN163*Scenario4AgileContingency</f>
        <v>0</v>
      </c>
      <c r="BP163" s="82">
        <f t="shared" si="259"/>
        <v>0</v>
      </c>
      <c r="BQ163" s="127">
        <f t="shared" ref="BQ163" si="280">SUM(BN163:BP163)</f>
        <v>0</v>
      </c>
    </row>
    <row r="164" spans="1:69" s="74" customFormat="1" ht="11.25" x14ac:dyDescent="0.2">
      <c r="A164" s="210">
        <v>2</v>
      </c>
      <c r="B164" s="213" t="s">
        <v>697</v>
      </c>
      <c r="C164" s="348" t="s">
        <v>651</v>
      </c>
      <c r="D164" s="398" t="s">
        <v>688</v>
      </c>
      <c r="E164" s="448"/>
      <c r="F164" s="449" t="str">
        <f t="shared" si="256"/>
        <v>DWMS</v>
      </c>
      <c r="G164" s="449"/>
      <c r="H164" s="449" t="str">
        <f t="shared" si="263"/>
        <v>Development</v>
      </c>
      <c r="I164" s="406"/>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80"/>
      <c r="BM164" s="187"/>
      <c r="BN164" s="82">
        <f t="shared" si="257"/>
        <v>0</v>
      </c>
      <c r="BO164" s="82">
        <f t="shared" ref="BO164" si="281">BN164*Scenario4AgileContingency</f>
        <v>0</v>
      </c>
      <c r="BP164" s="82">
        <f t="shared" si="259"/>
        <v>0</v>
      </c>
      <c r="BQ164" s="127">
        <f t="shared" ref="BQ164" si="282">SUM(BN164:BP164)</f>
        <v>0</v>
      </c>
    </row>
    <row r="165" spans="1:69" s="74" customFormat="1" ht="11.25" x14ac:dyDescent="0.2">
      <c r="A165" s="210">
        <v>2</v>
      </c>
      <c r="B165" s="213" t="s">
        <v>697</v>
      </c>
      <c r="C165" s="348" t="str">
        <f t="shared" si="272"/>
        <v>Test Consultant</v>
      </c>
      <c r="D165" s="398" t="s">
        <v>688</v>
      </c>
      <c r="E165" s="448"/>
      <c r="F165" s="449" t="str">
        <f>IFERROR(VLOOKUP(C165,MappingFromTTStoSU,2,FALSE),"SU Resource Role")</f>
        <v>DWMS</v>
      </c>
      <c r="G165" s="449"/>
      <c r="H165" s="449" t="str">
        <f>H164</f>
        <v>Development</v>
      </c>
      <c r="I165" s="406"/>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80"/>
      <c r="BM165" s="187"/>
      <c r="BN165" s="82">
        <f t="shared" ref="BN165" si="283">SUMIF(I$8:BL$8, "&lt;&gt;"&amp;AgileIteration_Warranty,I165:BL165)*5*Scenario4Utilisation</f>
        <v>0</v>
      </c>
      <c r="BO165" s="82">
        <f t="shared" ref="BO165" si="284">BN165*Scenario4AgileContingency</f>
        <v>0</v>
      </c>
      <c r="BP165" s="82">
        <f t="shared" ref="BP165" si="285">IF(Scenario4Warranty=AgileWarrantyDefault, (SUMIF(I$8:BL$8,AgileIteration_Warranty,I165:BL165)*5*Scenario4Utilisation), (BN165*Scenario4Warranty))</f>
        <v>0</v>
      </c>
      <c r="BQ165" s="127">
        <f t="shared" ref="BQ165" si="286">SUM(BN165:BP165)</f>
        <v>0</v>
      </c>
    </row>
    <row r="166" spans="1:69" s="74" customFormat="1" ht="11.25" x14ac:dyDescent="0.2">
      <c r="A166" s="210">
        <v>2</v>
      </c>
      <c r="B166" s="213" t="s">
        <v>697</v>
      </c>
      <c r="C166" s="348" t="str">
        <f t="shared" si="272"/>
        <v>Test Consultant</v>
      </c>
      <c r="D166" s="398" t="s">
        <v>688</v>
      </c>
      <c r="E166" s="448"/>
      <c r="F166" s="449" t="str">
        <f t="shared" si="256"/>
        <v>DWMS</v>
      </c>
      <c r="G166" s="449"/>
      <c r="H166" s="449" t="str">
        <f>H164</f>
        <v>Development</v>
      </c>
      <c r="I166" s="406"/>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80"/>
      <c r="BM166" s="187"/>
      <c r="BN166" s="82">
        <f t="shared" si="257"/>
        <v>0</v>
      </c>
      <c r="BO166" s="82">
        <f t="shared" ref="BO166" si="287">BN166*Scenario4AgileContingency</f>
        <v>0</v>
      </c>
      <c r="BP166" s="82">
        <f t="shared" si="259"/>
        <v>0</v>
      </c>
      <c r="BQ166" s="127">
        <f t="shared" ref="BQ166" si="288">SUM(BN166:BP166)</f>
        <v>0</v>
      </c>
    </row>
    <row r="167" spans="1:69" s="74" customFormat="1" ht="11.25" x14ac:dyDescent="0.2">
      <c r="A167" s="210">
        <v>1</v>
      </c>
      <c r="B167" s="211" t="s">
        <v>697</v>
      </c>
      <c r="C167" s="207" t="s">
        <v>708</v>
      </c>
      <c r="D167" s="207" t="s">
        <v>708</v>
      </c>
      <c r="E167" s="421"/>
      <c r="F167" s="421"/>
      <c r="G167" s="421"/>
      <c r="H167" s="422"/>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4"/>
      <c r="BC167" s="214"/>
      <c r="BD167" s="214"/>
      <c r="BE167" s="214"/>
      <c r="BF167" s="214"/>
      <c r="BG167" s="214"/>
      <c r="BH167" s="214"/>
      <c r="BI167" s="214"/>
      <c r="BJ167" s="214"/>
      <c r="BK167" s="214"/>
      <c r="BL167" s="186"/>
      <c r="BM167" s="187"/>
      <c r="BN167" s="127"/>
      <c r="BO167" s="127"/>
      <c r="BP167" s="127"/>
      <c r="BQ167" s="127"/>
    </row>
    <row r="168" spans="1:69" s="74" customFormat="1" ht="11.25" x14ac:dyDescent="0.2">
      <c r="A168" s="210">
        <v>2</v>
      </c>
      <c r="B168" s="213" t="s">
        <v>697</v>
      </c>
      <c r="C168" s="348" t="str">
        <f>IFERROR(VLOOKUP(D168,MappingFromSetAgiletoTTSRole,2,FALSE),"SET Agile Resource Role")</f>
        <v>Business Consultant</v>
      </c>
      <c r="D168" s="398" t="s">
        <v>684</v>
      </c>
      <c r="E168" s="448"/>
      <c r="F168" s="449" t="str">
        <f t="shared" ref="F168:F178" si="289">IFERROR(VLOOKUP(C168,MappingFromTTStoSU,2,FALSE),"SU Resource Role")</f>
        <v>DWMS</v>
      </c>
      <c r="G168" s="449"/>
      <c r="H168" s="449" t="s">
        <v>702</v>
      </c>
      <c r="I168" s="406"/>
      <c r="J168" s="179"/>
      <c r="K168" s="179"/>
      <c r="L168" s="179"/>
      <c r="M168" s="179"/>
      <c r="N168" s="179"/>
      <c r="O168" s="179"/>
      <c r="P168" s="179"/>
      <c r="Q168" s="179"/>
      <c r="R168" s="179"/>
      <c r="S168" s="179"/>
      <c r="T168" s="179"/>
      <c r="U168" s="179"/>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80"/>
      <c r="BM168" s="187"/>
      <c r="BN168" s="82">
        <f t="shared" ref="BN168:BN178" si="290">SUMIF(I$8:BL$8, "&lt;&gt;"&amp;AgileIteration_Warranty,I168:BL168)*5*Scenario4Utilisation</f>
        <v>0</v>
      </c>
      <c r="BO168" s="82">
        <f t="shared" ref="BO168" si="291">BN168*Scenario4AgileContingency</f>
        <v>0</v>
      </c>
      <c r="BP168" s="82">
        <f t="shared" ref="BP168:BP178" si="292">IF(Scenario4Warranty=AgileWarrantyDefault, (SUMIF(I$8:BL$8,AgileIteration_Warranty,I168:BL168)*5*Scenario4Utilisation), (BN168*Scenario4Warranty))</f>
        <v>0</v>
      </c>
      <c r="BQ168" s="127">
        <f t="shared" ref="BQ168" si="293">SUM(BN168:BP168)</f>
        <v>0</v>
      </c>
    </row>
    <row r="169" spans="1:69" s="74" customFormat="1" ht="11.25" x14ac:dyDescent="0.2">
      <c r="A169" s="210">
        <v>2</v>
      </c>
      <c r="B169" s="213" t="s">
        <v>697</v>
      </c>
      <c r="C169" s="348" t="s">
        <v>685</v>
      </c>
      <c r="D169" s="398" t="s">
        <v>703</v>
      </c>
      <c r="E169" s="448"/>
      <c r="F169" s="449" t="str">
        <f t="shared" si="289"/>
        <v>DWMS</v>
      </c>
      <c r="G169" s="449"/>
      <c r="H169" s="449" t="str">
        <f>H168</f>
        <v>Development</v>
      </c>
      <c r="I169" s="406"/>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80"/>
      <c r="BM169" s="187"/>
      <c r="BN169" s="82">
        <f t="shared" si="290"/>
        <v>0</v>
      </c>
      <c r="BO169" s="82">
        <f t="shared" ref="BO169" si="294">BN169*Scenario4AgileContingency</f>
        <v>0</v>
      </c>
      <c r="BP169" s="82">
        <f t="shared" si="292"/>
        <v>0</v>
      </c>
      <c r="BQ169" s="127">
        <f t="shared" ref="BQ169" si="295">SUM(BN169:BP169)</f>
        <v>0</v>
      </c>
    </row>
    <row r="170" spans="1:69" s="74" customFormat="1" ht="11.25" x14ac:dyDescent="0.2">
      <c r="A170" s="210">
        <v>2</v>
      </c>
      <c r="B170" s="213" t="s">
        <v>697</v>
      </c>
      <c r="C170" s="348" t="s">
        <v>613</v>
      </c>
      <c r="D170" s="398" t="s">
        <v>704</v>
      </c>
      <c r="E170" s="448"/>
      <c r="F170" s="449" t="str">
        <f t="shared" si="289"/>
        <v>DWMS</v>
      </c>
      <c r="G170" s="449"/>
      <c r="H170" s="449" t="str">
        <f t="shared" ref="H170:H176" si="296">H169</f>
        <v>Development</v>
      </c>
      <c r="I170" s="406"/>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80"/>
      <c r="BM170" s="187"/>
      <c r="BN170" s="82">
        <f t="shared" si="290"/>
        <v>0</v>
      </c>
      <c r="BO170" s="82">
        <f t="shared" ref="BO170" si="297">BN170*Scenario4AgileContingency</f>
        <v>0</v>
      </c>
      <c r="BP170" s="82">
        <f t="shared" si="292"/>
        <v>0</v>
      </c>
      <c r="BQ170" s="127">
        <f t="shared" ref="BQ170" si="298">SUM(BN170:BP170)</f>
        <v>0</v>
      </c>
    </row>
    <row r="171" spans="1:69" s="74" customFormat="1" ht="11.25" x14ac:dyDescent="0.2">
      <c r="A171" s="210">
        <v>2</v>
      </c>
      <c r="B171" s="213" t="s">
        <v>697</v>
      </c>
      <c r="C171" s="348" t="s">
        <v>658</v>
      </c>
      <c r="D171" s="398" t="s">
        <v>687</v>
      </c>
      <c r="E171" s="448"/>
      <c r="F171" s="449" t="str">
        <f t="shared" si="289"/>
        <v>DWMS</v>
      </c>
      <c r="G171" s="449"/>
      <c r="H171" s="449" t="str">
        <f t="shared" si="296"/>
        <v>Development</v>
      </c>
      <c r="I171" s="406"/>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80"/>
      <c r="BM171" s="187"/>
      <c r="BN171" s="82">
        <f t="shared" si="290"/>
        <v>0</v>
      </c>
      <c r="BO171" s="82">
        <f t="shared" ref="BO171" si="299">BN171*Scenario4AgileContingency</f>
        <v>0</v>
      </c>
      <c r="BP171" s="82">
        <f t="shared" si="292"/>
        <v>0</v>
      </c>
      <c r="BQ171" s="127">
        <f t="shared" ref="BQ171" si="300">SUM(BN171:BP171)</f>
        <v>0</v>
      </c>
    </row>
    <row r="172" spans="1:69" s="74" customFormat="1" ht="11.25" x14ac:dyDescent="0.2">
      <c r="A172" s="210">
        <v>2</v>
      </c>
      <c r="B172" s="213" t="s">
        <v>697</v>
      </c>
      <c r="C172" s="348" t="s">
        <v>635</v>
      </c>
      <c r="D172" s="398" t="s">
        <v>687</v>
      </c>
      <c r="E172" s="448"/>
      <c r="F172" s="449" t="str">
        <f>IFERROR(VLOOKUP(C172,MappingFromTTStoSU,2,FALSE),"SU Resource Role")</f>
        <v>DWMS</v>
      </c>
      <c r="G172" s="449"/>
      <c r="H172" s="449" t="str">
        <f>H171</f>
        <v>Development</v>
      </c>
      <c r="I172" s="406"/>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80"/>
      <c r="BM172" s="187"/>
      <c r="BN172" s="82">
        <f t="shared" ref="BN172" si="301">SUMIF(I$8:BL$8, "&lt;&gt;"&amp;AgileIteration_Warranty,I172:BL172)*5*Scenario4Utilisation</f>
        <v>0</v>
      </c>
      <c r="BO172" s="82">
        <f t="shared" ref="BO172" si="302">BN172*Scenario4AgileContingency</f>
        <v>0</v>
      </c>
      <c r="BP172" s="82">
        <f t="shared" ref="BP172" si="303">IF(Scenario4Warranty=AgileWarrantyDefault, (SUMIF(I$8:BL$8,AgileIteration_Warranty,I172:BL172)*5*Scenario4Utilisation), (BN172*Scenario4Warranty))</f>
        <v>0</v>
      </c>
      <c r="BQ172" s="127">
        <f t="shared" ref="BQ172" si="304">SUM(BN172:BP172)</f>
        <v>0</v>
      </c>
    </row>
    <row r="173" spans="1:69" s="74" customFormat="1" ht="11.25" x14ac:dyDescent="0.2">
      <c r="A173" s="210">
        <v>2</v>
      </c>
      <c r="B173" s="213" t="s">
        <v>697</v>
      </c>
      <c r="C173" s="348" t="str">
        <f t="shared" ref="C173:C178" si="305">IFERROR(VLOOKUP(D173,MappingFromSetAgiletoTTSRole,2,FALSE),"SET Agile Resource Role")</f>
        <v>Software Developer</v>
      </c>
      <c r="D173" s="398" t="s">
        <v>687</v>
      </c>
      <c r="E173" s="448"/>
      <c r="F173" s="449" t="str">
        <f t="shared" si="289"/>
        <v>DWMS</v>
      </c>
      <c r="G173" s="449"/>
      <c r="H173" s="449" t="str">
        <f>H171</f>
        <v>Development</v>
      </c>
      <c r="I173" s="406"/>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80"/>
      <c r="BM173" s="187"/>
      <c r="BN173" s="82">
        <f t="shared" si="290"/>
        <v>0</v>
      </c>
      <c r="BO173" s="82">
        <f t="shared" ref="BO173" si="306">BN173*Scenario4AgileContingency</f>
        <v>0</v>
      </c>
      <c r="BP173" s="82">
        <f t="shared" si="292"/>
        <v>0</v>
      </c>
      <c r="BQ173" s="127">
        <f t="shared" ref="BQ173" si="307">SUM(BN173:BP173)</f>
        <v>0</v>
      </c>
    </row>
    <row r="174" spans="1:69" s="74" customFormat="1" ht="11.25" x14ac:dyDescent="0.2">
      <c r="A174" s="210">
        <v>2</v>
      </c>
      <c r="B174" s="213" t="s">
        <v>697</v>
      </c>
      <c r="C174" s="348" t="str">
        <f t="shared" si="305"/>
        <v>Software Developer</v>
      </c>
      <c r="D174" s="398" t="s">
        <v>687</v>
      </c>
      <c r="E174" s="448"/>
      <c r="F174" s="449" t="str">
        <f>IFERROR(VLOOKUP(C174,MappingFromTTStoSU,2,FALSE),"SU Resource Role")</f>
        <v>DWMS</v>
      </c>
      <c r="G174" s="449"/>
      <c r="H174" s="449" t="str">
        <f>H173</f>
        <v>Development</v>
      </c>
      <c r="I174" s="406"/>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80"/>
      <c r="BM174" s="187"/>
      <c r="BN174" s="82">
        <f t="shared" ref="BN174" si="308">SUMIF(I$8:BL$8, "&lt;&gt;"&amp;AgileIteration_Warranty,I174:BL174)*5*Scenario4Utilisation</f>
        <v>0</v>
      </c>
      <c r="BO174" s="82">
        <f t="shared" ref="BO174" si="309">BN174*Scenario4AgileContingency</f>
        <v>0</v>
      </c>
      <c r="BP174" s="82">
        <f t="shared" ref="BP174" si="310">IF(Scenario4Warranty=AgileWarrantyDefault, (SUMIF(I$8:BL$8,AgileIteration_Warranty,I174:BL174)*5*Scenario4Utilisation), (BN174*Scenario4Warranty))</f>
        <v>0</v>
      </c>
      <c r="BQ174" s="127">
        <f t="shared" ref="BQ174" si="311">SUM(BN174:BP174)</f>
        <v>0</v>
      </c>
    </row>
    <row r="175" spans="1:69" s="74" customFormat="1" ht="11.25" x14ac:dyDescent="0.2">
      <c r="A175" s="210">
        <v>2</v>
      </c>
      <c r="B175" s="213" t="s">
        <v>697</v>
      </c>
      <c r="C175" s="348" t="str">
        <f t="shared" si="305"/>
        <v>Software Developer</v>
      </c>
      <c r="D175" s="398" t="s">
        <v>687</v>
      </c>
      <c r="E175" s="448"/>
      <c r="F175" s="449" t="str">
        <f t="shared" si="289"/>
        <v>DWMS</v>
      </c>
      <c r="G175" s="449"/>
      <c r="H175" s="449" t="str">
        <f>H173</f>
        <v>Development</v>
      </c>
      <c r="I175" s="406"/>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80"/>
      <c r="BM175" s="187"/>
      <c r="BN175" s="82">
        <f t="shared" si="290"/>
        <v>0</v>
      </c>
      <c r="BO175" s="82">
        <f t="shared" ref="BO175" si="312">BN175*Scenario4AgileContingency</f>
        <v>0</v>
      </c>
      <c r="BP175" s="82">
        <f t="shared" si="292"/>
        <v>0</v>
      </c>
      <c r="BQ175" s="127">
        <f t="shared" ref="BQ175" si="313">SUM(BN175:BP175)</f>
        <v>0</v>
      </c>
    </row>
    <row r="176" spans="1:69" s="74" customFormat="1" ht="11.25" x14ac:dyDescent="0.2">
      <c r="A176" s="210">
        <v>2</v>
      </c>
      <c r="B176" s="213" t="s">
        <v>697</v>
      </c>
      <c r="C176" s="348" t="s">
        <v>651</v>
      </c>
      <c r="D176" s="398" t="s">
        <v>688</v>
      </c>
      <c r="E176" s="448"/>
      <c r="F176" s="449" t="str">
        <f t="shared" si="289"/>
        <v>DWMS</v>
      </c>
      <c r="G176" s="449"/>
      <c r="H176" s="449" t="str">
        <f t="shared" si="296"/>
        <v>Development</v>
      </c>
      <c r="I176" s="406"/>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80"/>
      <c r="BM176" s="187"/>
      <c r="BN176" s="82">
        <f t="shared" si="290"/>
        <v>0</v>
      </c>
      <c r="BO176" s="82">
        <f t="shared" ref="BO176" si="314">BN176*Scenario4AgileContingency</f>
        <v>0</v>
      </c>
      <c r="BP176" s="82">
        <f t="shared" si="292"/>
        <v>0</v>
      </c>
      <c r="BQ176" s="127">
        <f t="shared" ref="BQ176" si="315">SUM(BN176:BP176)</f>
        <v>0</v>
      </c>
    </row>
    <row r="177" spans="1:73" s="74" customFormat="1" ht="11.25" x14ac:dyDescent="0.2">
      <c r="A177" s="210">
        <v>2</v>
      </c>
      <c r="B177" s="213" t="s">
        <v>697</v>
      </c>
      <c r="C177" s="348" t="str">
        <f t="shared" si="305"/>
        <v>Test Consultant</v>
      </c>
      <c r="D177" s="398" t="s">
        <v>688</v>
      </c>
      <c r="E177" s="448"/>
      <c r="F177" s="449" t="str">
        <f>IFERROR(VLOOKUP(C177,MappingFromTTStoSU,2,FALSE),"SU Resource Role")</f>
        <v>DWMS</v>
      </c>
      <c r="G177" s="449"/>
      <c r="H177" s="449" t="str">
        <f>H176</f>
        <v>Development</v>
      </c>
      <c r="I177" s="406"/>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80"/>
      <c r="BM177" s="187"/>
      <c r="BN177" s="82">
        <f t="shared" ref="BN177" si="316">SUMIF(I$8:BL$8, "&lt;&gt;"&amp;AgileIteration_Warranty,I177:BL177)*5*Scenario4Utilisation</f>
        <v>0</v>
      </c>
      <c r="BO177" s="82">
        <f t="shared" ref="BO177" si="317">BN177*Scenario4AgileContingency</f>
        <v>0</v>
      </c>
      <c r="BP177" s="82">
        <f t="shared" ref="BP177" si="318">IF(Scenario4Warranty=AgileWarrantyDefault, (SUMIF(I$8:BL$8,AgileIteration_Warranty,I177:BL177)*5*Scenario4Utilisation), (BN177*Scenario4Warranty))</f>
        <v>0</v>
      </c>
      <c r="BQ177" s="127">
        <f t="shared" ref="BQ177" si="319">SUM(BN177:BP177)</f>
        <v>0</v>
      </c>
    </row>
    <row r="178" spans="1:73" s="74" customFormat="1" ht="11.25" x14ac:dyDescent="0.2">
      <c r="A178" s="210">
        <v>2</v>
      </c>
      <c r="B178" s="213" t="s">
        <v>697</v>
      </c>
      <c r="C178" s="348" t="str">
        <f t="shared" si="305"/>
        <v>Test Consultant</v>
      </c>
      <c r="D178" s="398" t="s">
        <v>688</v>
      </c>
      <c r="E178" s="448"/>
      <c r="F178" s="449" t="str">
        <f t="shared" si="289"/>
        <v>DWMS</v>
      </c>
      <c r="G178" s="449"/>
      <c r="H178" s="449" t="str">
        <f>H176</f>
        <v>Development</v>
      </c>
      <c r="I178" s="406"/>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80"/>
      <c r="BM178" s="187"/>
      <c r="BN178" s="82">
        <f t="shared" si="290"/>
        <v>0</v>
      </c>
      <c r="BO178" s="82">
        <f t="shared" ref="BO178" si="320">BN178*Scenario4AgileContingency</f>
        <v>0</v>
      </c>
      <c r="BP178" s="82">
        <f t="shared" si="292"/>
        <v>0</v>
      </c>
      <c r="BQ178" s="127">
        <f t="shared" ref="BQ178" si="321">SUM(BN178:BP178)</f>
        <v>0</v>
      </c>
    </row>
    <row r="179" spans="1:73" s="122" customFormat="1" ht="1.5" hidden="1" customHeight="1" x14ac:dyDescent="0.2">
      <c r="A179" s="120" t="s">
        <v>709</v>
      </c>
      <c r="B179" s="121"/>
      <c r="C179" s="292"/>
      <c r="D179" s="228"/>
      <c r="E179" s="395"/>
      <c r="H179" s="410"/>
      <c r="I179" s="178"/>
      <c r="J179" s="178"/>
      <c r="K179" s="178"/>
      <c r="L179" s="178"/>
      <c r="M179" s="178"/>
      <c r="N179" s="178"/>
      <c r="O179" s="178"/>
      <c r="P179" s="178"/>
      <c r="Q179" s="178"/>
      <c r="R179" s="178"/>
      <c r="S179" s="178"/>
      <c r="T179" s="178"/>
      <c r="U179" s="178"/>
      <c r="V179" s="178"/>
      <c r="W179" s="178"/>
      <c r="X179" s="178"/>
      <c r="Y179" s="178"/>
      <c r="Z179" s="178"/>
      <c r="AA179" s="178"/>
      <c r="AB179" s="178"/>
      <c r="AC179" s="178"/>
      <c r="AD179" s="178"/>
      <c r="AE179" s="178"/>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178"/>
      <c r="BI179" s="178"/>
      <c r="BJ179" s="178"/>
      <c r="BK179" s="178"/>
      <c r="BL179" s="178"/>
      <c r="BM179" s="144" t="s">
        <v>710</v>
      </c>
      <c r="BN179" s="192">
        <f>SUM(BN12:BN154)</f>
        <v>0</v>
      </c>
      <c r="BO179" s="192">
        <f>SUM(BO12:BO154)</f>
        <v>0</v>
      </c>
      <c r="BP179" s="192">
        <f>SUM(BP12:BP154)</f>
        <v>0</v>
      </c>
      <c r="BQ179" s="126"/>
      <c r="BR179" s="152" t="s">
        <v>737</v>
      </c>
    </row>
    <row r="180" spans="1:73" s="152" customFormat="1" ht="11.25" x14ac:dyDescent="0.2">
      <c r="A180" s="120"/>
      <c r="B180" s="121"/>
      <c r="C180" s="292"/>
      <c r="D180" s="229"/>
      <c r="E180" s="230"/>
      <c r="F180" s="230"/>
      <c r="G180" s="230"/>
      <c r="H180" s="230"/>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231"/>
      <c r="BA180" s="231"/>
      <c r="BB180" s="231"/>
      <c r="BC180" s="231"/>
      <c r="BD180" s="231"/>
      <c r="BE180" s="231"/>
      <c r="BF180" s="231"/>
      <c r="BG180" s="231"/>
      <c r="BH180" s="231"/>
      <c r="BI180" s="231"/>
      <c r="BJ180" s="231"/>
      <c r="BK180" s="231"/>
      <c r="BL180" s="130"/>
      <c r="BM180" s="197"/>
      <c r="BN180" s="198"/>
      <c r="BO180" s="198"/>
      <c r="BP180" s="204"/>
      <c r="BQ180" s="199"/>
    </row>
    <row r="181" spans="1:73" ht="11.25" customHeight="1" x14ac:dyDescent="0.25">
      <c r="D181" s="139" t="s">
        <v>711</v>
      </c>
      <c r="E181" s="151" t="s">
        <v>712</v>
      </c>
      <c r="F181" s="151"/>
      <c r="G181" s="151"/>
      <c r="H181" s="150"/>
      <c r="I181" s="189">
        <f t="shared" ref="I181:AN181" si="322">SUM(I12:I179)</f>
        <v>0</v>
      </c>
      <c r="J181" s="189">
        <f t="shared" si="322"/>
        <v>0</v>
      </c>
      <c r="K181" s="189">
        <f t="shared" si="322"/>
        <v>0</v>
      </c>
      <c r="L181" s="189">
        <f t="shared" si="322"/>
        <v>0</v>
      </c>
      <c r="M181" s="189">
        <f t="shared" si="322"/>
        <v>0</v>
      </c>
      <c r="N181" s="189">
        <f t="shared" si="322"/>
        <v>0</v>
      </c>
      <c r="O181" s="189">
        <f t="shared" si="322"/>
        <v>0</v>
      </c>
      <c r="P181" s="189">
        <f t="shared" si="322"/>
        <v>0</v>
      </c>
      <c r="Q181" s="189">
        <f t="shared" si="322"/>
        <v>0</v>
      </c>
      <c r="R181" s="189">
        <f t="shared" si="322"/>
        <v>0</v>
      </c>
      <c r="S181" s="189">
        <f t="shared" si="322"/>
        <v>0</v>
      </c>
      <c r="T181" s="189">
        <f t="shared" si="322"/>
        <v>0</v>
      </c>
      <c r="U181" s="189">
        <f t="shared" si="322"/>
        <v>0</v>
      </c>
      <c r="V181" s="189">
        <f t="shared" si="322"/>
        <v>0</v>
      </c>
      <c r="W181" s="189">
        <f t="shared" si="322"/>
        <v>0</v>
      </c>
      <c r="X181" s="189">
        <f t="shared" si="322"/>
        <v>0</v>
      </c>
      <c r="Y181" s="189">
        <f t="shared" si="322"/>
        <v>0</v>
      </c>
      <c r="Z181" s="189">
        <f t="shared" si="322"/>
        <v>0</v>
      </c>
      <c r="AA181" s="189">
        <f t="shared" si="322"/>
        <v>0</v>
      </c>
      <c r="AB181" s="189">
        <f t="shared" si="322"/>
        <v>0</v>
      </c>
      <c r="AC181" s="189">
        <f t="shared" si="322"/>
        <v>0</v>
      </c>
      <c r="AD181" s="189">
        <f t="shared" si="322"/>
        <v>0</v>
      </c>
      <c r="AE181" s="189">
        <f t="shared" si="322"/>
        <v>0</v>
      </c>
      <c r="AF181" s="189">
        <f t="shared" si="322"/>
        <v>0</v>
      </c>
      <c r="AG181" s="189">
        <f t="shared" si="322"/>
        <v>0</v>
      </c>
      <c r="AH181" s="189">
        <f t="shared" si="322"/>
        <v>0</v>
      </c>
      <c r="AI181" s="189">
        <f t="shared" si="322"/>
        <v>0</v>
      </c>
      <c r="AJ181" s="189">
        <f t="shared" si="322"/>
        <v>0</v>
      </c>
      <c r="AK181" s="189">
        <f t="shared" si="322"/>
        <v>0</v>
      </c>
      <c r="AL181" s="189">
        <f t="shared" si="322"/>
        <v>0</v>
      </c>
      <c r="AM181" s="189">
        <f t="shared" si="322"/>
        <v>0</v>
      </c>
      <c r="AN181" s="189">
        <f t="shared" si="322"/>
        <v>0</v>
      </c>
      <c r="AO181" s="189">
        <f t="shared" ref="AO181:BK181" si="323">SUM(AO12:AO179)</f>
        <v>0</v>
      </c>
      <c r="AP181" s="189">
        <f t="shared" si="323"/>
        <v>0</v>
      </c>
      <c r="AQ181" s="189">
        <f t="shared" si="323"/>
        <v>0</v>
      </c>
      <c r="AR181" s="189">
        <f t="shared" si="323"/>
        <v>0</v>
      </c>
      <c r="AS181" s="189">
        <f t="shared" si="323"/>
        <v>0</v>
      </c>
      <c r="AT181" s="189">
        <f t="shared" si="323"/>
        <v>0</v>
      </c>
      <c r="AU181" s="189">
        <f t="shared" si="323"/>
        <v>0</v>
      </c>
      <c r="AV181" s="189">
        <f t="shared" si="323"/>
        <v>0</v>
      </c>
      <c r="AW181" s="189">
        <f t="shared" si="323"/>
        <v>0</v>
      </c>
      <c r="AX181" s="189">
        <f t="shared" si="323"/>
        <v>0</v>
      </c>
      <c r="AY181" s="189">
        <f t="shared" si="323"/>
        <v>0</v>
      </c>
      <c r="AZ181" s="189">
        <f t="shared" si="323"/>
        <v>0</v>
      </c>
      <c r="BA181" s="189">
        <f t="shared" si="323"/>
        <v>0</v>
      </c>
      <c r="BB181" s="189">
        <f t="shared" si="323"/>
        <v>0</v>
      </c>
      <c r="BC181" s="189">
        <f t="shared" si="323"/>
        <v>0</v>
      </c>
      <c r="BD181" s="189">
        <f t="shared" si="323"/>
        <v>0</v>
      </c>
      <c r="BE181" s="189">
        <f t="shared" si="323"/>
        <v>0</v>
      </c>
      <c r="BF181" s="189">
        <f t="shared" si="323"/>
        <v>0</v>
      </c>
      <c r="BG181" s="189">
        <f t="shared" si="323"/>
        <v>0</v>
      </c>
      <c r="BH181" s="189">
        <f t="shared" si="323"/>
        <v>0</v>
      </c>
      <c r="BI181" s="189">
        <f t="shared" si="323"/>
        <v>0</v>
      </c>
      <c r="BJ181" s="189">
        <f t="shared" si="323"/>
        <v>0</v>
      </c>
      <c r="BK181" s="189">
        <f t="shared" si="323"/>
        <v>0</v>
      </c>
      <c r="BL181" s="130"/>
      <c r="BM181" s="199"/>
      <c r="BN181" s="683" t="s">
        <v>710</v>
      </c>
      <c r="BO181" s="685"/>
      <c r="BP181" s="79"/>
      <c r="BQ181" s="79"/>
    </row>
    <row r="182" spans="1:73" ht="11.25" customHeight="1" x14ac:dyDescent="0.25">
      <c r="D182" s="139" t="s">
        <v>713</v>
      </c>
      <c r="E182" s="151" t="s">
        <v>732</v>
      </c>
      <c r="F182" s="151"/>
      <c r="G182" s="151"/>
      <c r="H182" s="150"/>
      <c r="I182" s="189">
        <f t="shared" ref="I182:AQ182" si="324">IF(I$8= AgileIteration_Warranty,0,(I181*5*Scenario4Utilisation))</f>
        <v>0</v>
      </c>
      <c r="J182" s="189">
        <f t="shared" si="324"/>
        <v>0</v>
      </c>
      <c r="K182" s="189">
        <f t="shared" si="324"/>
        <v>0</v>
      </c>
      <c r="L182" s="189">
        <f t="shared" si="324"/>
        <v>0</v>
      </c>
      <c r="M182" s="189">
        <f t="shared" si="324"/>
        <v>0</v>
      </c>
      <c r="N182" s="189">
        <f t="shared" si="324"/>
        <v>0</v>
      </c>
      <c r="O182" s="189">
        <f t="shared" si="324"/>
        <v>0</v>
      </c>
      <c r="P182" s="189">
        <f t="shared" ref="P182" si="325">IF(P$8= AgileIteration_Warranty,0,(P181*5*Scenario4Utilisation))</f>
        <v>0</v>
      </c>
      <c r="Q182" s="189">
        <f t="shared" si="324"/>
        <v>0</v>
      </c>
      <c r="R182" s="189">
        <f t="shared" si="324"/>
        <v>0</v>
      </c>
      <c r="S182" s="189">
        <f t="shared" si="324"/>
        <v>0</v>
      </c>
      <c r="T182" s="189">
        <f t="shared" si="324"/>
        <v>0</v>
      </c>
      <c r="U182" s="189">
        <f t="shared" si="324"/>
        <v>0</v>
      </c>
      <c r="V182" s="189">
        <f t="shared" si="324"/>
        <v>0</v>
      </c>
      <c r="W182" s="189">
        <f t="shared" si="324"/>
        <v>0</v>
      </c>
      <c r="X182" s="189">
        <f t="shared" si="324"/>
        <v>0</v>
      </c>
      <c r="Y182" s="189">
        <f t="shared" si="324"/>
        <v>0</v>
      </c>
      <c r="Z182" s="189">
        <f t="shared" si="324"/>
        <v>0</v>
      </c>
      <c r="AA182" s="189">
        <f t="shared" si="324"/>
        <v>0</v>
      </c>
      <c r="AB182" s="189">
        <f t="shared" si="324"/>
        <v>0</v>
      </c>
      <c r="AC182" s="189">
        <f t="shared" si="324"/>
        <v>0</v>
      </c>
      <c r="AD182" s="189">
        <f t="shared" si="324"/>
        <v>0</v>
      </c>
      <c r="AE182" s="189">
        <f t="shared" si="324"/>
        <v>0</v>
      </c>
      <c r="AF182" s="189">
        <f t="shared" si="324"/>
        <v>0</v>
      </c>
      <c r="AG182" s="189">
        <f t="shared" si="324"/>
        <v>0</v>
      </c>
      <c r="AH182" s="189">
        <f t="shared" si="324"/>
        <v>0</v>
      </c>
      <c r="AI182" s="189">
        <f t="shared" si="324"/>
        <v>0</v>
      </c>
      <c r="AJ182" s="189">
        <f t="shared" si="324"/>
        <v>0</v>
      </c>
      <c r="AK182" s="189">
        <f t="shared" ref="AK182:AL182" si="326">IF(AK$8= AgileIteration_Warranty,0,(AK181*5*Scenario4Utilisation))</f>
        <v>0</v>
      </c>
      <c r="AL182" s="189">
        <f t="shared" si="326"/>
        <v>0</v>
      </c>
      <c r="AM182" s="189">
        <f t="shared" si="324"/>
        <v>0</v>
      </c>
      <c r="AN182" s="189">
        <f t="shared" si="324"/>
        <v>0</v>
      </c>
      <c r="AO182" s="189">
        <f t="shared" si="324"/>
        <v>0</v>
      </c>
      <c r="AP182" s="189">
        <f t="shared" si="324"/>
        <v>0</v>
      </c>
      <c r="AQ182" s="189">
        <f t="shared" si="324"/>
        <v>0</v>
      </c>
      <c r="AR182" s="189">
        <f t="shared" ref="AR182:BK182" si="327">IF(AR$8= AgileIteration_Warranty,0,(AR181*5*Scenario4Utilisation))</f>
        <v>0</v>
      </c>
      <c r="AS182" s="189">
        <f t="shared" si="327"/>
        <v>0</v>
      </c>
      <c r="AT182" s="189">
        <f t="shared" si="327"/>
        <v>0</v>
      </c>
      <c r="AU182" s="189">
        <f t="shared" si="327"/>
        <v>0</v>
      </c>
      <c r="AV182" s="189">
        <f t="shared" ref="AV182:AW182" si="328">IF(AV$8= AgileIteration_Warranty,0,(AV181*5*Scenario4Utilisation))</f>
        <v>0</v>
      </c>
      <c r="AW182" s="189">
        <f t="shared" si="328"/>
        <v>0</v>
      </c>
      <c r="AX182" s="189">
        <f t="shared" si="327"/>
        <v>0</v>
      </c>
      <c r="AY182" s="189">
        <f t="shared" si="327"/>
        <v>0</v>
      </c>
      <c r="AZ182" s="189">
        <f t="shared" si="327"/>
        <v>0</v>
      </c>
      <c r="BA182" s="189">
        <f t="shared" si="327"/>
        <v>0</v>
      </c>
      <c r="BB182" s="189">
        <f t="shared" si="327"/>
        <v>0</v>
      </c>
      <c r="BC182" s="189">
        <f t="shared" si="327"/>
        <v>0</v>
      </c>
      <c r="BD182" s="189">
        <f t="shared" si="327"/>
        <v>0</v>
      </c>
      <c r="BE182" s="189">
        <f t="shared" si="327"/>
        <v>0</v>
      </c>
      <c r="BF182" s="189">
        <f t="shared" si="327"/>
        <v>0</v>
      </c>
      <c r="BG182" s="189">
        <f t="shared" si="327"/>
        <v>0</v>
      </c>
      <c r="BH182" s="189">
        <f t="shared" si="327"/>
        <v>0</v>
      </c>
      <c r="BI182" s="189">
        <f t="shared" si="327"/>
        <v>0</v>
      </c>
      <c r="BJ182" s="189">
        <f t="shared" si="327"/>
        <v>0</v>
      </c>
      <c r="BK182" s="189">
        <f t="shared" si="327"/>
        <v>0</v>
      </c>
      <c r="BL182" s="130"/>
      <c r="BM182" s="199"/>
      <c r="BN182" s="151" t="str">
        <f>E182</f>
        <v xml:space="preserve"> Person-Days</v>
      </c>
      <c r="BO182" s="191">
        <f>SUM(I182:BM182)</f>
        <v>0</v>
      </c>
    </row>
    <row r="183" spans="1:73" s="270" customFormat="1" ht="11.25" hidden="1" customHeight="1" x14ac:dyDescent="0.25">
      <c r="A183" s="120"/>
      <c r="B183" s="146"/>
      <c r="C183" s="290"/>
      <c r="D183" s="21"/>
      <c r="E183" s="266" t="s">
        <v>562</v>
      </c>
      <c r="F183" s="266"/>
      <c r="G183" s="266"/>
      <c r="H183" s="267"/>
      <c r="I183" s="268">
        <f t="shared" ref="I183:BK183" si="329">I182*Scenario4AgileContingency</f>
        <v>0</v>
      </c>
      <c r="J183" s="268">
        <f t="shared" si="329"/>
        <v>0</v>
      </c>
      <c r="K183" s="268">
        <f t="shared" si="329"/>
        <v>0</v>
      </c>
      <c r="L183" s="268">
        <f t="shared" si="329"/>
        <v>0</v>
      </c>
      <c r="M183" s="268">
        <f t="shared" si="329"/>
        <v>0</v>
      </c>
      <c r="N183" s="268">
        <f t="shared" si="329"/>
        <v>0</v>
      </c>
      <c r="O183" s="268">
        <f t="shared" si="329"/>
        <v>0</v>
      </c>
      <c r="P183" s="268">
        <f t="shared" ref="P183" si="330">P182*Scenario4AgileContingency</f>
        <v>0</v>
      </c>
      <c r="Q183" s="268">
        <f t="shared" si="329"/>
        <v>0</v>
      </c>
      <c r="R183" s="268">
        <f t="shared" si="329"/>
        <v>0</v>
      </c>
      <c r="S183" s="268">
        <f t="shared" si="329"/>
        <v>0</v>
      </c>
      <c r="T183" s="268">
        <f t="shared" si="329"/>
        <v>0</v>
      </c>
      <c r="U183" s="268">
        <f t="shared" si="329"/>
        <v>0</v>
      </c>
      <c r="V183" s="268">
        <f t="shared" si="329"/>
        <v>0</v>
      </c>
      <c r="W183" s="268">
        <f t="shared" si="329"/>
        <v>0</v>
      </c>
      <c r="X183" s="268">
        <f t="shared" si="329"/>
        <v>0</v>
      </c>
      <c r="Y183" s="268">
        <f t="shared" si="329"/>
        <v>0</v>
      </c>
      <c r="Z183" s="268">
        <f t="shared" si="329"/>
        <v>0</v>
      </c>
      <c r="AA183" s="268">
        <f t="shared" si="329"/>
        <v>0</v>
      </c>
      <c r="AB183" s="268">
        <f t="shared" si="329"/>
        <v>0</v>
      </c>
      <c r="AC183" s="268">
        <f t="shared" si="329"/>
        <v>0</v>
      </c>
      <c r="AD183" s="268">
        <f t="shared" si="329"/>
        <v>0</v>
      </c>
      <c r="AE183" s="268">
        <f t="shared" si="329"/>
        <v>0</v>
      </c>
      <c r="AF183" s="268">
        <f t="shared" si="329"/>
        <v>0</v>
      </c>
      <c r="AG183" s="268">
        <f t="shared" si="329"/>
        <v>0</v>
      </c>
      <c r="AH183" s="268">
        <f t="shared" si="329"/>
        <v>0</v>
      </c>
      <c r="AI183" s="268">
        <f t="shared" si="329"/>
        <v>0</v>
      </c>
      <c r="AJ183" s="268">
        <f t="shared" si="329"/>
        <v>0</v>
      </c>
      <c r="AK183" s="268">
        <f t="shared" ref="AK183:AL183" si="331">AK182*Scenario4AgileContingency</f>
        <v>0</v>
      </c>
      <c r="AL183" s="268">
        <f t="shared" si="331"/>
        <v>0</v>
      </c>
      <c r="AM183" s="268">
        <f t="shared" si="329"/>
        <v>0</v>
      </c>
      <c r="AN183" s="268">
        <f t="shared" si="329"/>
        <v>0</v>
      </c>
      <c r="AO183" s="268">
        <f t="shared" si="329"/>
        <v>0</v>
      </c>
      <c r="AP183" s="268">
        <f t="shared" si="329"/>
        <v>0</v>
      </c>
      <c r="AQ183" s="268">
        <f t="shared" si="329"/>
        <v>0</v>
      </c>
      <c r="AR183" s="268">
        <f t="shared" si="329"/>
        <v>0</v>
      </c>
      <c r="AS183" s="268">
        <f t="shared" si="329"/>
        <v>0</v>
      </c>
      <c r="AT183" s="268">
        <f t="shared" si="329"/>
        <v>0</v>
      </c>
      <c r="AU183" s="268">
        <f t="shared" si="329"/>
        <v>0</v>
      </c>
      <c r="AV183" s="268">
        <f t="shared" ref="AV183:AW183" si="332">AV182*Scenario4AgileContingency</f>
        <v>0</v>
      </c>
      <c r="AW183" s="268">
        <f t="shared" si="332"/>
        <v>0</v>
      </c>
      <c r="AX183" s="268">
        <f t="shared" si="329"/>
        <v>0</v>
      </c>
      <c r="AY183" s="268">
        <f t="shared" si="329"/>
        <v>0</v>
      </c>
      <c r="AZ183" s="268">
        <f t="shared" si="329"/>
        <v>0</v>
      </c>
      <c r="BA183" s="268">
        <f t="shared" si="329"/>
        <v>0</v>
      </c>
      <c r="BB183" s="268">
        <f t="shared" si="329"/>
        <v>0</v>
      </c>
      <c r="BC183" s="268">
        <f t="shared" si="329"/>
        <v>0</v>
      </c>
      <c r="BD183" s="268">
        <f t="shared" si="329"/>
        <v>0</v>
      </c>
      <c r="BE183" s="268">
        <f t="shared" si="329"/>
        <v>0</v>
      </c>
      <c r="BF183" s="268">
        <f t="shared" si="329"/>
        <v>0</v>
      </c>
      <c r="BG183" s="268">
        <f t="shared" si="329"/>
        <v>0</v>
      </c>
      <c r="BH183" s="268">
        <f t="shared" si="329"/>
        <v>0</v>
      </c>
      <c r="BI183" s="268">
        <f t="shared" si="329"/>
        <v>0</v>
      </c>
      <c r="BJ183" s="268">
        <f t="shared" si="329"/>
        <v>0</v>
      </c>
      <c r="BK183" s="268">
        <f t="shared" si="329"/>
        <v>0</v>
      </c>
      <c r="BL183" s="130"/>
      <c r="BM183" s="126"/>
      <c r="BN183" s="266"/>
      <c r="BO183" s="269"/>
      <c r="BR183" s="271"/>
      <c r="BS183" s="271"/>
      <c r="BT183" s="271"/>
      <c r="BU183" s="271"/>
    </row>
    <row r="184" spans="1:73" s="270" customFormat="1" ht="12" hidden="1" customHeight="1" x14ac:dyDescent="0.25">
      <c r="A184" s="120"/>
      <c r="B184" s="146"/>
      <c r="C184" s="290"/>
      <c r="D184" s="21"/>
      <c r="E184" s="266" t="s">
        <v>563</v>
      </c>
      <c r="F184" s="266"/>
      <c r="G184" s="266"/>
      <c r="H184" s="267"/>
      <c r="I184" s="268">
        <f t="shared" ref="I184:AQ184" si="333">IF(Scenario4Warranty=AgileWarrantyDefault,(IF(I$8=AgileIteration_Warranty,(I181*5*Scenario4Utilisation),0)),(IF(I$8=AgileIteration_Warranty,0,(I182*Scenario4Warranty))))</f>
        <v>0</v>
      </c>
      <c r="J184" s="268">
        <f t="shared" si="333"/>
        <v>0</v>
      </c>
      <c r="K184" s="268">
        <f t="shared" si="333"/>
        <v>0</v>
      </c>
      <c r="L184" s="268">
        <f t="shared" si="333"/>
        <v>0</v>
      </c>
      <c r="M184" s="268">
        <f t="shared" si="333"/>
        <v>0</v>
      </c>
      <c r="N184" s="268">
        <f t="shared" si="333"/>
        <v>0</v>
      </c>
      <c r="O184" s="268">
        <f t="shared" si="333"/>
        <v>0</v>
      </c>
      <c r="P184" s="268">
        <f t="shared" ref="P184" si="334">IF(Scenario4Warranty=AgileWarrantyDefault,(IF(P$8=AgileIteration_Warranty,(P181*5*Scenario4Utilisation),0)),(IF(P$8=AgileIteration_Warranty,0,(P182*Scenario4Warranty))))</f>
        <v>0</v>
      </c>
      <c r="Q184" s="268">
        <f t="shared" si="333"/>
        <v>0</v>
      </c>
      <c r="R184" s="268">
        <f t="shared" si="333"/>
        <v>0</v>
      </c>
      <c r="S184" s="268">
        <f t="shared" si="333"/>
        <v>0</v>
      </c>
      <c r="T184" s="268">
        <f t="shared" si="333"/>
        <v>0</v>
      </c>
      <c r="U184" s="268">
        <f t="shared" si="333"/>
        <v>0</v>
      </c>
      <c r="V184" s="268">
        <f t="shared" si="333"/>
        <v>0</v>
      </c>
      <c r="W184" s="268">
        <f t="shared" si="333"/>
        <v>0</v>
      </c>
      <c r="X184" s="268">
        <f t="shared" si="333"/>
        <v>0</v>
      </c>
      <c r="Y184" s="268">
        <f t="shared" si="333"/>
        <v>0</v>
      </c>
      <c r="Z184" s="268">
        <f t="shared" si="333"/>
        <v>0</v>
      </c>
      <c r="AA184" s="268">
        <f t="shared" si="333"/>
        <v>0</v>
      </c>
      <c r="AB184" s="268">
        <f t="shared" si="333"/>
        <v>0</v>
      </c>
      <c r="AC184" s="268">
        <f t="shared" si="333"/>
        <v>0</v>
      </c>
      <c r="AD184" s="268">
        <f t="shared" si="333"/>
        <v>0</v>
      </c>
      <c r="AE184" s="268">
        <f t="shared" si="333"/>
        <v>0</v>
      </c>
      <c r="AF184" s="268">
        <f t="shared" si="333"/>
        <v>0</v>
      </c>
      <c r="AG184" s="268">
        <f t="shared" si="333"/>
        <v>0</v>
      </c>
      <c r="AH184" s="268">
        <f t="shared" si="333"/>
        <v>0</v>
      </c>
      <c r="AI184" s="268">
        <f t="shared" si="333"/>
        <v>0</v>
      </c>
      <c r="AJ184" s="268">
        <f t="shared" si="333"/>
        <v>0</v>
      </c>
      <c r="AK184" s="268">
        <f t="shared" ref="AK184:AL184" si="335">IF(Scenario4Warranty=AgileWarrantyDefault,(IF(AK$8=AgileIteration_Warranty,(AK181*5*Scenario4Utilisation),0)),(IF(AK$8=AgileIteration_Warranty,0,(AK182*Scenario4Warranty))))</f>
        <v>0</v>
      </c>
      <c r="AL184" s="268">
        <f t="shared" si="335"/>
        <v>0</v>
      </c>
      <c r="AM184" s="268">
        <f t="shared" si="333"/>
        <v>0</v>
      </c>
      <c r="AN184" s="268">
        <f t="shared" si="333"/>
        <v>0</v>
      </c>
      <c r="AO184" s="268">
        <f t="shared" si="333"/>
        <v>0</v>
      </c>
      <c r="AP184" s="268">
        <f t="shared" si="333"/>
        <v>0</v>
      </c>
      <c r="AQ184" s="268">
        <f t="shared" si="333"/>
        <v>0</v>
      </c>
      <c r="AR184" s="268">
        <f t="shared" ref="AR184:BK184" si="336">IF(Scenario4Warranty=AgileWarrantyDefault,(IF(AR$8=AgileIteration_Warranty,(AR181*5*Scenario4Utilisation),0)),(IF(AR$8=AgileIteration_Warranty,0,(AR182*Scenario4Warranty))))</f>
        <v>0</v>
      </c>
      <c r="AS184" s="268">
        <f t="shared" si="336"/>
        <v>0</v>
      </c>
      <c r="AT184" s="268">
        <f t="shared" si="336"/>
        <v>0</v>
      </c>
      <c r="AU184" s="268">
        <f t="shared" si="336"/>
        <v>0</v>
      </c>
      <c r="AV184" s="268">
        <f t="shared" ref="AV184:AW184" si="337">IF(Scenario4Warranty=AgileWarrantyDefault,(IF(AV$8=AgileIteration_Warranty,(AV181*5*Scenario4Utilisation),0)),(IF(AV$8=AgileIteration_Warranty,0,(AV182*Scenario4Warranty))))</f>
        <v>0</v>
      </c>
      <c r="AW184" s="268">
        <f t="shared" si="337"/>
        <v>0</v>
      </c>
      <c r="AX184" s="268">
        <f t="shared" si="336"/>
        <v>0</v>
      </c>
      <c r="AY184" s="268">
        <f t="shared" si="336"/>
        <v>0</v>
      </c>
      <c r="AZ184" s="268">
        <f t="shared" si="336"/>
        <v>0</v>
      </c>
      <c r="BA184" s="268">
        <f t="shared" si="336"/>
        <v>0</v>
      </c>
      <c r="BB184" s="268">
        <f t="shared" si="336"/>
        <v>0</v>
      </c>
      <c r="BC184" s="268">
        <f t="shared" si="336"/>
        <v>0</v>
      </c>
      <c r="BD184" s="268">
        <f t="shared" si="336"/>
        <v>0</v>
      </c>
      <c r="BE184" s="268">
        <f t="shared" si="336"/>
        <v>0</v>
      </c>
      <c r="BF184" s="268">
        <f t="shared" si="336"/>
        <v>0</v>
      </c>
      <c r="BG184" s="268">
        <f t="shared" si="336"/>
        <v>0</v>
      </c>
      <c r="BH184" s="268">
        <f t="shared" si="336"/>
        <v>0</v>
      </c>
      <c r="BI184" s="268">
        <f t="shared" si="336"/>
        <v>0</v>
      </c>
      <c r="BJ184" s="268">
        <f t="shared" si="336"/>
        <v>0</v>
      </c>
      <c r="BK184" s="268">
        <f t="shared" si="336"/>
        <v>0</v>
      </c>
      <c r="BL184" s="130"/>
      <c r="BM184" s="126"/>
      <c r="BN184" s="266"/>
      <c r="BO184" s="269"/>
      <c r="BR184" s="271"/>
      <c r="BS184" s="271"/>
      <c r="BT184" s="271"/>
      <c r="BU184" s="271"/>
    </row>
    <row r="185" spans="1:73" ht="11.25" customHeight="1" x14ac:dyDescent="0.25">
      <c r="D185" s="140"/>
      <c r="E185" s="151" t="s">
        <v>96</v>
      </c>
      <c r="F185" s="151"/>
      <c r="G185" s="151"/>
      <c r="H185" s="150"/>
      <c r="I185" s="189">
        <f t="shared" ref="I185:AN185" si="338">IF( I$8=AgileIteration_Dev, SUMIFS( I12:I179, $B12:$B179, "scrum", $D12:$D179, ScrumRoleScrumDeveloper ), 0 )*5*Scenario4AgileDeveloperCUTCapacity*Scenario4Utilisation</f>
        <v>0</v>
      </c>
      <c r="J185" s="189">
        <f t="shared" si="338"/>
        <v>0</v>
      </c>
      <c r="K185" s="189">
        <f t="shared" si="338"/>
        <v>0</v>
      </c>
      <c r="L185" s="189">
        <f t="shared" si="338"/>
        <v>0</v>
      </c>
      <c r="M185" s="189">
        <f t="shared" si="338"/>
        <v>0</v>
      </c>
      <c r="N185" s="189">
        <f t="shared" si="338"/>
        <v>0</v>
      </c>
      <c r="O185" s="189">
        <f t="shared" si="338"/>
        <v>0</v>
      </c>
      <c r="P185" s="189">
        <f t="shared" si="338"/>
        <v>0</v>
      </c>
      <c r="Q185" s="189">
        <f t="shared" si="338"/>
        <v>0</v>
      </c>
      <c r="R185" s="189">
        <f t="shared" si="338"/>
        <v>0</v>
      </c>
      <c r="S185" s="189">
        <f t="shared" si="338"/>
        <v>0</v>
      </c>
      <c r="T185" s="189">
        <f t="shared" si="338"/>
        <v>0</v>
      </c>
      <c r="U185" s="189">
        <f t="shared" si="338"/>
        <v>0</v>
      </c>
      <c r="V185" s="189">
        <f t="shared" si="338"/>
        <v>0</v>
      </c>
      <c r="W185" s="189">
        <f t="shared" si="338"/>
        <v>0</v>
      </c>
      <c r="X185" s="189">
        <f t="shared" si="338"/>
        <v>0</v>
      </c>
      <c r="Y185" s="189">
        <f t="shared" si="338"/>
        <v>0</v>
      </c>
      <c r="Z185" s="189">
        <f t="shared" si="338"/>
        <v>0</v>
      </c>
      <c r="AA185" s="189">
        <f t="shared" si="338"/>
        <v>0</v>
      </c>
      <c r="AB185" s="189">
        <f t="shared" si="338"/>
        <v>0</v>
      </c>
      <c r="AC185" s="189">
        <f t="shared" si="338"/>
        <v>0</v>
      </c>
      <c r="AD185" s="189">
        <f t="shared" si="338"/>
        <v>0</v>
      </c>
      <c r="AE185" s="189">
        <f t="shared" si="338"/>
        <v>0</v>
      </c>
      <c r="AF185" s="189">
        <f t="shared" si="338"/>
        <v>0</v>
      </c>
      <c r="AG185" s="189">
        <f t="shared" si="338"/>
        <v>0</v>
      </c>
      <c r="AH185" s="189">
        <f t="shared" si="338"/>
        <v>0</v>
      </c>
      <c r="AI185" s="189">
        <f t="shared" si="338"/>
        <v>0</v>
      </c>
      <c r="AJ185" s="189">
        <f t="shared" si="338"/>
        <v>0</v>
      </c>
      <c r="AK185" s="189">
        <f t="shared" si="338"/>
        <v>0</v>
      </c>
      <c r="AL185" s="189">
        <f t="shared" si="338"/>
        <v>0</v>
      </c>
      <c r="AM185" s="189">
        <f t="shared" si="338"/>
        <v>0</v>
      </c>
      <c r="AN185" s="189">
        <f t="shared" si="338"/>
        <v>0</v>
      </c>
      <c r="AO185" s="189">
        <f t="shared" ref="AO185:BK185" si="339">IF( AO$8=AgileIteration_Dev, SUMIFS( AO12:AO179, $B12:$B179, "scrum", $D12:$D179, ScrumRoleScrumDeveloper ), 0 )*5*Scenario4AgileDeveloperCUTCapacity*Scenario4Utilisation</f>
        <v>0</v>
      </c>
      <c r="AP185" s="189">
        <f t="shared" si="339"/>
        <v>0</v>
      </c>
      <c r="AQ185" s="189">
        <f t="shared" si="339"/>
        <v>0</v>
      </c>
      <c r="AR185" s="189">
        <f t="shared" si="339"/>
        <v>0</v>
      </c>
      <c r="AS185" s="189">
        <f t="shared" si="339"/>
        <v>0</v>
      </c>
      <c r="AT185" s="189">
        <f t="shared" si="339"/>
        <v>0</v>
      </c>
      <c r="AU185" s="189">
        <f t="shared" si="339"/>
        <v>0</v>
      </c>
      <c r="AV185" s="189">
        <f t="shared" si="339"/>
        <v>0</v>
      </c>
      <c r="AW185" s="189">
        <f t="shared" si="339"/>
        <v>0</v>
      </c>
      <c r="AX185" s="189">
        <f t="shared" si="339"/>
        <v>0</v>
      </c>
      <c r="AY185" s="189">
        <f t="shared" si="339"/>
        <v>0</v>
      </c>
      <c r="AZ185" s="189">
        <f t="shared" si="339"/>
        <v>0</v>
      </c>
      <c r="BA185" s="189">
        <f t="shared" si="339"/>
        <v>0</v>
      </c>
      <c r="BB185" s="189">
        <f t="shared" si="339"/>
        <v>0</v>
      </c>
      <c r="BC185" s="189">
        <f t="shared" si="339"/>
        <v>0</v>
      </c>
      <c r="BD185" s="189">
        <f t="shared" si="339"/>
        <v>0</v>
      </c>
      <c r="BE185" s="189">
        <f t="shared" si="339"/>
        <v>0</v>
      </c>
      <c r="BF185" s="189">
        <f t="shared" si="339"/>
        <v>0</v>
      </c>
      <c r="BG185" s="189">
        <f t="shared" si="339"/>
        <v>0</v>
      </c>
      <c r="BH185" s="189">
        <f t="shared" si="339"/>
        <v>0</v>
      </c>
      <c r="BI185" s="189">
        <f t="shared" si="339"/>
        <v>0</v>
      </c>
      <c r="BJ185" s="189">
        <f t="shared" si="339"/>
        <v>0</v>
      </c>
      <c r="BK185" s="189">
        <f t="shared" si="339"/>
        <v>0</v>
      </c>
      <c r="BL185" s="130"/>
      <c r="BM185" s="199"/>
      <c r="BN185" s="151" t="str">
        <f>E183</f>
        <v>Contingency</v>
      </c>
      <c r="BO185" s="191">
        <f>SUM(I183:BM183)</f>
        <v>0</v>
      </c>
    </row>
    <row r="186" spans="1:73" ht="11.25" customHeight="1" x14ac:dyDescent="0.25">
      <c r="D186" s="3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130"/>
      <c r="BM186" s="187"/>
      <c r="BN186" s="151" t="str">
        <f>E184</f>
        <v>Warranty</v>
      </c>
      <c r="BO186" s="191">
        <f>SUM(I184:BM184)</f>
        <v>0</v>
      </c>
    </row>
    <row r="187" spans="1:73" ht="11.25" customHeight="1" x14ac:dyDescent="0.25">
      <c r="D187" s="119" t="s">
        <v>715</v>
      </c>
      <c r="E187" s="119" t="str">
        <f>ScrumRoleProductOwner</f>
        <v>Product Owners</v>
      </c>
      <c r="F187" s="119"/>
      <c r="G187" s="119"/>
      <c r="H187" s="119"/>
      <c r="I187" s="190">
        <f t="shared" ref="I187:AN187" si="340">SUMIF($D12:$D180,ScrumRoleProductOwner,I12:I180)</f>
        <v>0</v>
      </c>
      <c r="J187" s="190">
        <f t="shared" si="340"/>
        <v>0</v>
      </c>
      <c r="K187" s="190">
        <f t="shared" si="340"/>
        <v>0</v>
      </c>
      <c r="L187" s="190">
        <f t="shared" si="340"/>
        <v>0</v>
      </c>
      <c r="M187" s="190">
        <f t="shared" si="340"/>
        <v>0</v>
      </c>
      <c r="N187" s="190">
        <f t="shared" si="340"/>
        <v>0</v>
      </c>
      <c r="O187" s="190">
        <f t="shared" si="340"/>
        <v>0</v>
      </c>
      <c r="P187" s="190">
        <f t="shared" si="340"/>
        <v>0</v>
      </c>
      <c r="Q187" s="190">
        <f t="shared" si="340"/>
        <v>0</v>
      </c>
      <c r="R187" s="190">
        <f t="shared" si="340"/>
        <v>0</v>
      </c>
      <c r="S187" s="190">
        <f t="shared" si="340"/>
        <v>0</v>
      </c>
      <c r="T187" s="190">
        <f t="shared" si="340"/>
        <v>0</v>
      </c>
      <c r="U187" s="190">
        <f t="shared" si="340"/>
        <v>0</v>
      </c>
      <c r="V187" s="190">
        <f t="shared" si="340"/>
        <v>0</v>
      </c>
      <c r="W187" s="190">
        <f t="shared" si="340"/>
        <v>0</v>
      </c>
      <c r="X187" s="190">
        <f t="shared" si="340"/>
        <v>0</v>
      </c>
      <c r="Y187" s="190">
        <f t="shared" si="340"/>
        <v>0</v>
      </c>
      <c r="Z187" s="190">
        <f t="shared" si="340"/>
        <v>0</v>
      </c>
      <c r="AA187" s="190">
        <f t="shared" si="340"/>
        <v>0</v>
      </c>
      <c r="AB187" s="190">
        <f t="shared" si="340"/>
        <v>0</v>
      </c>
      <c r="AC187" s="190">
        <f t="shared" si="340"/>
        <v>0</v>
      </c>
      <c r="AD187" s="190">
        <f t="shared" si="340"/>
        <v>0</v>
      </c>
      <c r="AE187" s="190">
        <f t="shared" si="340"/>
        <v>0</v>
      </c>
      <c r="AF187" s="190">
        <f t="shared" si="340"/>
        <v>0</v>
      </c>
      <c r="AG187" s="190">
        <f t="shared" si="340"/>
        <v>0</v>
      </c>
      <c r="AH187" s="190">
        <f t="shared" si="340"/>
        <v>0</v>
      </c>
      <c r="AI187" s="190">
        <f t="shared" si="340"/>
        <v>0</v>
      </c>
      <c r="AJ187" s="190">
        <f t="shared" si="340"/>
        <v>0</v>
      </c>
      <c r="AK187" s="190">
        <f t="shared" si="340"/>
        <v>0</v>
      </c>
      <c r="AL187" s="190">
        <f t="shared" si="340"/>
        <v>0</v>
      </c>
      <c r="AM187" s="190">
        <f t="shared" si="340"/>
        <v>0</v>
      </c>
      <c r="AN187" s="190">
        <f t="shared" si="340"/>
        <v>0</v>
      </c>
      <c r="AO187" s="190">
        <f t="shared" ref="AO187:BK187" si="341">SUMIF($D12:$D180,ScrumRoleProductOwner,AO12:AO180)</f>
        <v>0</v>
      </c>
      <c r="AP187" s="190">
        <f t="shared" si="341"/>
        <v>0</v>
      </c>
      <c r="AQ187" s="190">
        <f t="shared" si="341"/>
        <v>0</v>
      </c>
      <c r="AR187" s="190">
        <f t="shared" si="341"/>
        <v>0</v>
      </c>
      <c r="AS187" s="190">
        <f t="shared" si="341"/>
        <v>0</v>
      </c>
      <c r="AT187" s="190">
        <f t="shared" si="341"/>
        <v>0</v>
      </c>
      <c r="AU187" s="190">
        <f t="shared" si="341"/>
        <v>0</v>
      </c>
      <c r="AV187" s="190">
        <f t="shared" si="341"/>
        <v>0</v>
      </c>
      <c r="AW187" s="190">
        <f t="shared" si="341"/>
        <v>0</v>
      </c>
      <c r="AX187" s="190">
        <f t="shared" si="341"/>
        <v>0</v>
      </c>
      <c r="AY187" s="190">
        <f t="shared" si="341"/>
        <v>0</v>
      </c>
      <c r="AZ187" s="190">
        <f t="shared" si="341"/>
        <v>0</v>
      </c>
      <c r="BA187" s="190">
        <f t="shared" si="341"/>
        <v>0</v>
      </c>
      <c r="BB187" s="190">
        <f t="shared" si="341"/>
        <v>0</v>
      </c>
      <c r="BC187" s="190">
        <f t="shared" si="341"/>
        <v>0</v>
      </c>
      <c r="BD187" s="190">
        <f t="shared" si="341"/>
        <v>0</v>
      </c>
      <c r="BE187" s="190">
        <f t="shared" si="341"/>
        <v>0</v>
      </c>
      <c r="BF187" s="190">
        <f t="shared" si="341"/>
        <v>0</v>
      </c>
      <c r="BG187" s="190">
        <f t="shared" si="341"/>
        <v>0</v>
      </c>
      <c r="BH187" s="190">
        <f t="shared" si="341"/>
        <v>0</v>
      </c>
      <c r="BI187" s="190">
        <f t="shared" si="341"/>
        <v>0</v>
      </c>
      <c r="BJ187" s="190">
        <f t="shared" si="341"/>
        <v>0</v>
      </c>
      <c r="BK187" s="190">
        <f t="shared" si="341"/>
        <v>0</v>
      </c>
      <c r="BL187" s="130"/>
      <c r="BM187" s="187"/>
      <c r="BN187" s="151"/>
      <c r="BO187" s="131"/>
    </row>
    <row r="188" spans="1:73" ht="11.25" customHeight="1" x14ac:dyDescent="0.25">
      <c r="D188" s="119" t="s">
        <v>713</v>
      </c>
      <c r="E188" s="119" t="str">
        <f>ScrumRoleScrumMaster</f>
        <v>Scrum Masters</v>
      </c>
      <c r="F188" s="119"/>
      <c r="G188" s="119"/>
      <c r="H188" s="119"/>
      <c r="I188" s="190">
        <f t="shared" ref="I188:AN188" si="342">SUMIF($D12:$D180,ScrumRoleScrumMaster,I12:I180)</f>
        <v>0</v>
      </c>
      <c r="J188" s="190">
        <f t="shared" si="342"/>
        <v>0</v>
      </c>
      <c r="K188" s="190">
        <f t="shared" si="342"/>
        <v>0</v>
      </c>
      <c r="L188" s="190">
        <f t="shared" si="342"/>
        <v>0</v>
      </c>
      <c r="M188" s="190">
        <f t="shared" si="342"/>
        <v>0</v>
      </c>
      <c r="N188" s="190">
        <f t="shared" si="342"/>
        <v>0</v>
      </c>
      <c r="O188" s="190">
        <f t="shared" si="342"/>
        <v>0</v>
      </c>
      <c r="P188" s="190">
        <f t="shared" si="342"/>
        <v>0</v>
      </c>
      <c r="Q188" s="190">
        <f t="shared" si="342"/>
        <v>0</v>
      </c>
      <c r="R188" s="190">
        <f t="shared" si="342"/>
        <v>0</v>
      </c>
      <c r="S188" s="190">
        <f t="shared" si="342"/>
        <v>0</v>
      </c>
      <c r="T188" s="190">
        <f t="shared" si="342"/>
        <v>0</v>
      </c>
      <c r="U188" s="190">
        <f t="shared" si="342"/>
        <v>0</v>
      </c>
      <c r="V188" s="190">
        <f t="shared" si="342"/>
        <v>0</v>
      </c>
      <c r="W188" s="190">
        <f t="shared" si="342"/>
        <v>0</v>
      </c>
      <c r="X188" s="190">
        <f t="shared" si="342"/>
        <v>0</v>
      </c>
      <c r="Y188" s="190">
        <f t="shared" si="342"/>
        <v>0</v>
      </c>
      <c r="Z188" s="190">
        <f t="shared" si="342"/>
        <v>0</v>
      </c>
      <c r="AA188" s="190">
        <f t="shared" si="342"/>
        <v>0</v>
      </c>
      <c r="AB188" s="190">
        <f t="shared" si="342"/>
        <v>0</v>
      </c>
      <c r="AC188" s="190">
        <f t="shared" si="342"/>
        <v>0</v>
      </c>
      <c r="AD188" s="190">
        <f t="shared" si="342"/>
        <v>0</v>
      </c>
      <c r="AE188" s="190">
        <f t="shared" si="342"/>
        <v>0</v>
      </c>
      <c r="AF188" s="190">
        <f t="shared" si="342"/>
        <v>0</v>
      </c>
      <c r="AG188" s="190">
        <f t="shared" si="342"/>
        <v>0</v>
      </c>
      <c r="AH188" s="190">
        <f t="shared" si="342"/>
        <v>0</v>
      </c>
      <c r="AI188" s="190">
        <f t="shared" si="342"/>
        <v>0</v>
      </c>
      <c r="AJ188" s="190">
        <f t="shared" si="342"/>
        <v>0</v>
      </c>
      <c r="AK188" s="190">
        <f t="shared" si="342"/>
        <v>0</v>
      </c>
      <c r="AL188" s="190">
        <f t="shared" si="342"/>
        <v>0</v>
      </c>
      <c r="AM188" s="190">
        <f t="shared" si="342"/>
        <v>0</v>
      </c>
      <c r="AN188" s="190">
        <f t="shared" si="342"/>
        <v>0</v>
      </c>
      <c r="AO188" s="190">
        <f t="shared" ref="AO188:BK188" si="343">SUMIF($D12:$D180,ScrumRoleScrumMaster,AO12:AO180)</f>
        <v>0</v>
      </c>
      <c r="AP188" s="190">
        <f t="shared" si="343"/>
        <v>0</v>
      </c>
      <c r="AQ188" s="190">
        <f t="shared" si="343"/>
        <v>0</v>
      </c>
      <c r="AR188" s="190">
        <f t="shared" si="343"/>
        <v>0</v>
      </c>
      <c r="AS188" s="190">
        <f t="shared" si="343"/>
        <v>0</v>
      </c>
      <c r="AT188" s="190">
        <f t="shared" si="343"/>
        <v>0</v>
      </c>
      <c r="AU188" s="190">
        <f t="shared" si="343"/>
        <v>0</v>
      </c>
      <c r="AV188" s="190">
        <f t="shared" si="343"/>
        <v>0</v>
      </c>
      <c r="AW188" s="190">
        <f t="shared" si="343"/>
        <v>0</v>
      </c>
      <c r="AX188" s="190">
        <f t="shared" si="343"/>
        <v>0</v>
      </c>
      <c r="AY188" s="190">
        <f t="shared" si="343"/>
        <v>0</v>
      </c>
      <c r="AZ188" s="190">
        <f t="shared" si="343"/>
        <v>0</v>
      </c>
      <c r="BA188" s="190">
        <f t="shared" si="343"/>
        <v>0</v>
      </c>
      <c r="BB188" s="190">
        <f t="shared" si="343"/>
        <v>0</v>
      </c>
      <c r="BC188" s="190">
        <f t="shared" si="343"/>
        <v>0</v>
      </c>
      <c r="BD188" s="190">
        <f t="shared" si="343"/>
        <v>0</v>
      </c>
      <c r="BE188" s="190">
        <f t="shared" si="343"/>
        <v>0</v>
      </c>
      <c r="BF188" s="190">
        <f t="shared" si="343"/>
        <v>0</v>
      </c>
      <c r="BG188" s="190">
        <f t="shared" si="343"/>
        <v>0</v>
      </c>
      <c r="BH188" s="190">
        <f t="shared" si="343"/>
        <v>0</v>
      </c>
      <c r="BI188" s="190">
        <f t="shared" si="343"/>
        <v>0</v>
      </c>
      <c r="BJ188" s="190">
        <f t="shared" si="343"/>
        <v>0</v>
      </c>
      <c r="BK188" s="190">
        <f t="shared" si="343"/>
        <v>0</v>
      </c>
      <c r="BL188" s="130"/>
      <c r="BN188" s="681" t="s">
        <v>716</v>
      </c>
      <c r="BO188" s="682">
        <f>SUM(BO182:BO186)</f>
        <v>0</v>
      </c>
    </row>
    <row r="189" spans="1:73" ht="11.25" customHeight="1" x14ac:dyDescent="0.25">
      <c r="D189" s="141"/>
      <c r="E189" s="119" t="str">
        <f>ScrumRoleScrumDeveloper</f>
        <v>Scrum Developers</v>
      </c>
      <c r="F189" s="119"/>
      <c r="G189" s="119"/>
      <c r="H189" s="119"/>
      <c r="I189" s="190">
        <f t="shared" ref="I189:AN189" si="344">SUMIF($D12:$D180,ScrumRoleScrumDeveloper,I12:I180)+SUMIF($D12:$D180,ScrumRoleScrumDevTechLead,I12:I180)</f>
        <v>0</v>
      </c>
      <c r="J189" s="190">
        <f t="shared" si="344"/>
        <v>0</v>
      </c>
      <c r="K189" s="190">
        <f t="shared" si="344"/>
        <v>0</v>
      </c>
      <c r="L189" s="190">
        <f t="shared" si="344"/>
        <v>0</v>
      </c>
      <c r="M189" s="190">
        <f t="shared" si="344"/>
        <v>0</v>
      </c>
      <c r="N189" s="190">
        <f t="shared" si="344"/>
        <v>0</v>
      </c>
      <c r="O189" s="190">
        <f t="shared" si="344"/>
        <v>0</v>
      </c>
      <c r="P189" s="190">
        <f t="shared" si="344"/>
        <v>0</v>
      </c>
      <c r="Q189" s="190">
        <f t="shared" si="344"/>
        <v>0</v>
      </c>
      <c r="R189" s="190">
        <f t="shared" si="344"/>
        <v>0</v>
      </c>
      <c r="S189" s="190">
        <f t="shared" si="344"/>
        <v>0</v>
      </c>
      <c r="T189" s="190">
        <f t="shared" si="344"/>
        <v>0</v>
      </c>
      <c r="U189" s="190">
        <f t="shared" si="344"/>
        <v>0</v>
      </c>
      <c r="V189" s="190">
        <f t="shared" si="344"/>
        <v>0</v>
      </c>
      <c r="W189" s="190">
        <f t="shared" si="344"/>
        <v>0</v>
      </c>
      <c r="X189" s="190">
        <f t="shared" si="344"/>
        <v>0</v>
      </c>
      <c r="Y189" s="190">
        <f t="shared" si="344"/>
        <v>0</v>
      </c>
      <c r="Z189" s="190">
        <f t="shared" si="344"/>
        <v>0</v>
      </c>
      <c r="AA189" s="190">
        <f t="shared" si="344"/>
        <v>0</v>
      </c>
      <c r="AB189" s="190">
        <f t="shared" si="344"/>
        <v>0</v>
      </c>
      <c r="AC189" s="190">
        <f t="shared" si="344"/>
        <v>0</v>
      </c>
      <c r="AD189" s="190">
        <f t="shared" si="344"/>
        <v>0</v>
      </c>
      <c r="AE189" s="190">
        <f t="shared" si="344"/>
        <v>0</v>
      </c>
      <c r="AF189" s="190">
        <f t="shared" si="344"/>
        <v>0</v>
      </c>
      <c r="AG189" s="190">
        <f t="shared" si="344"/>
        <v>0</v>
      </c>
      <c r="AH189" s="190">
        <f t="shared" si="344"/>
        <v>0</v>
      </c>
      <c r="AI189" s="190">
        <f t="shared" si="344"/>
        <v>0</v>
      </c>
      <c r="AJ189" s="190">
        <f t="shared" si="344"/>
        <v>0</v>
      </c>
      <c r="AK189" s="190">
        <f t="shared" si="344"/>
        <v>0</v>
      </c>
      <c r="AL189" s="190">
        <f t="shared" si="344"/>
        <v>0</v>
      </c>
      <c r="AM189" s="190">
        <f t="shared" si="344"/>
        <v>0</v>
      </c>
      <c r="AN189" s="190">
        <f t="shared" si="344"/>
        <v>0</v>
      </c>
      <c r="AO189" s="190">
        <f t="shared" ref="AO189:BK189" si="345">SUMIF($D12:$D180,ScrumRoleScrumDeveloper,AO12:AO180)+SUMIF($D12:$D180,ScrumRoleScrumDevTechLead,AO12:AO180)</f>
        <v>0</v>
      </c>
      <c r="AP189" s="190">
        <f t="shared" si="345"/>
        <v>0</v>
      </c>
      <c r="AQ189" s="190">
        <f t="shared" si="345"/>
        <v>0</v>
      </c>
      <c r="AR189" s="190">
        <f t="shared" si="345"/>
        <v>0</v>
      </c>
      <c r="AS189" s="190">
        <f t="shared" si="345"/>
        <v>0</v>
      </c>
      <c r="AT189" s="190">
        <f t="shared" si="345"/>
        <v>0</v>
      </c>
      <c r="AU189" s="190">
        <f t="shared" si="345"/>
        <v>0</v>
      </c>
      <c r="AV189" s="190">
        <f t="shared" si="345"/>
        <v>0</v>
      </c>
      <c r="AW189" s="190">
        <f t="shared" si="345"/>
        <v>0</v>
      </c>
      <c r="AX189" s="190">
        <f t="shared" si="345"/>
        <v>0</v>
      </c>
      <c r="AY189" s="190">
        <f t="shared" si="345"/>
        <v>0</v>
      </c>
      <c r="AZ189" s="190">
        <f t="shared" si="345"/>
        <v>0</v>
      </c>
      <c r="BA189" s="190">
        <f t="shared" si="345"/>
        <v>0</v>
      </c>
      <c r="BB189" s="190">
        <f t="shared" si="345"/>
        <v>0</v>
      </c>
      <c r="BC189" s="190">
        <f t="shared" si="345"/>
        <v>0</v>
      </c>
      <c r="BD189" s="190">
        <f t="shared" si="345"/>
        <v>0</v>
      </c>
      <c r="BE189" s="190">
        <f t="shared" si="345"/>
        <v>0</v>
      </c>
      <c r="BF189" s="190">
        <f t="shared" si="345"/>
        <v>0</v>
      </c>
      <c r="BG189" s="190">
        <f t="shared" si="345"/>
        <v>0</v>
      </c>
      <c r="BH189" s="190">
        <f t="shared" si="345"/>
        <v>0</v>
      </c>
      <c r="BI189" s="190">
        <f t="shared" si="345"/>
        <v>0</v>
      </c>
      <c r="BJ189" s="190">
        <f t="shared" si="345"/>
        <v>0</v>
      </c>
      <c r="BK189" s="190">
        <f t="shared" si="345"/>
        <v>0</v>
      </c>
      <c r="BL189" s="130"/>
      <c r="BN189" s="681"/>
      <c r="BO189" s="682"/>
    </row>
    <row r="190" spans="1:73" ht="11.25" customHeight="1" x14ac:dyDescent="0.25">
      <c r="D190" s="141"/>
      <c r="E190" s="119" t="str">
        <f>ScrumRoleTester</f>
        <v>Scrum Testers</v>
      </c>
      <c r="F190" s="119"/>
      <c r="G190" s="119"/>
      <c r="H190" s="119"/>
      <c r="I190" s="190">
        <f t="shared" ref="I190:AN190" si="346">SUMIF($D12:$D180,ScrumRoleTester,I12:I180)</f>
        <v>0</v>
      </c>
      <c r="J190" s="190">
        <f t="shared" si="346"/>
        <v>0</v>
      </c>
      <c r="K190" s="190">
        <f t="shared" si="346"/>
        <v>0</v>
      </c>
      <c r="L190" s="190">
        <f t="shared" si="346"/>
        <v>0</v>
      </c>
      <c r="M190" s="190">
        <f t="shared" si="346"/>
        <v>0</v>
      </c>
      <c r="N190" s="190">
        <f t="shared" si="346"/>
        <v>0</v>
      </c>
      <c r="O190" s="190">
        <f t="shared" si="346"/>
        <v>0</v>
      </c>
      <c r="P190" s="190">
        <f t="shared" si="346"/>
        <v>0</v>
      </c>
      <c r="Q190" s="190">
        <f t="shared" si="346"/>
        <v>0</v>
      </c>
      <c r="R190" s="190">
        <f t="shared" si="346"/>
        <v>0</v>
      </c>
      <c r="S190" s="190">
        <f t="shared" si="346"/>
        <v>0</v>
      </c>
      <c r="T190" s="190">
        <f t="shared" si="346"/>
        <v>0</v>
      </c>
      <c r="U190" s="190">
        <f t="shared" si="346"/>
        <v>0</v>
      </c>
      <c r="V190" s="190">
        <f t="shared" si="346"/>
        <v>0</v>
      </c>
      <c r="W190" s="190">
        <f t="shared" si="346"/>
        <v>0</v>
      </c>
      <c r="X190" s="190">
        <f t="shared" si="346"/>
        <v>0</v>
      </c>
      <c r="Y190" s="190">
        <f t="shared" si="346"/>
        <v>0</v>
      </c>
      <c r="Z190" s="190">
        <f t="shared" si="346"/>
        <v>0</v>
      </c>
      <c r="AA190" s="190">
        <f t="shared" si="346"/>
        <v>0</v>
      </c>
      <c r="AB190" s="190">
        <f t="shared" si="346"/>
        <v>0</v>
      </c>
      <c r="AC190" s="190">
        <f t="shared" si="346"/>
        <v>0</v>
      </c>
      <c r="AD190" s="190">
        <f t="shared" si="346"/>
        <v>0</v>
      </c>
      <c r="AE190" s="190">
        <f t="shared" si="346"/>
        <v>0</v>
      </c>
      <c r="AF190" s="190">
        <f t="shared" si="346"/>
        <v>0</v>
      </c>
      <c r="AG190" s="190">
        <f t="shared" si="346"/>
        <v>0</v>
      </c>
      <c r="AH190" s="190">
        <f t="shared" si="346"/>
        <v>0</v>
      </c>
      <c r="AI190" s="190">
        <f t="shared" si="346"/>
        <v>0</v>
      </c>
      <c r="AJ190" s="190">
        <f t="shared" si="346"/>
        <v>0</v>
      </c>
      <c r="AK190" s="190">
        <f t="shared" si="346"/>
        <v>0</v>
      </c>
      <c r="AL190" s="190">
        <f t="shared" si="346"/>
        <v>0</v>
      </c>
      <c r="AM190" s="190">
        <f t="shared" si="346"/>
        <v>0</v>
      </c>
      <c r="AN190" s="190">
        <f t="shared" si="346"/>
        <v>0</v>
      </c>
      <c r="AO190" s="190">
        <f t="shared" ref="AO190:BK190" si="347">SUMIF($D12:$D180,ScrumRoleTester,AO12:AO180)</f>
        <v>0</v>
      </c>
      <c r="AP190" s="190">
        <f t="shared" si="347"/>
        <v>0</v>
      </c>
      <c r="AQ190" s="190">
        <f t="shared" si="347"/>
        <v>0</v>
      </c>
      <c r="AR190" s="190">
        <f t="shared" si="347"/>
        <v>0</v>
      </c>
      <c r="AS190" s="190">
        <f t="shared" si="347"/>
        <v>0</v>
      </c>
      <c r="AT190" s="190">
        <f t="shared" si="347"/>
        <v>0</v>
      </c>
      <c r="AU190" s="190">
        <f t="shared" si="347"/>
        <v>0</v>
      </c>
      <c r="AV190" s="190">
        <f t="shared" si="347"/>
        <v>0</v>
      </c>
      <c r="AW190" s="190">
        <f t="shared" si="347"/>
        <v>0</v>
      </c>
      <c r="AX190" s="190">
        <f t="shared" si="347"/>
        <v>0</v>
      </c>
      <c r="AY190" s="190">
        <f t="shared" si="347"/>
        <v>0</v>
      </c>
      <c r="AZ190" s="190">
        <f t="shared" si="347"/>
        <v>0</v>
      </c>
      <c r="BA190" s="190">
        <f t="shared" si="347"/>
        <v>0</v>
      </c>
      <c r="BB190" s="190">
        <f t="shared" si="347"/>
        <v>0</v>
      </c>
      <c r="BC190" s="190">
        <f t="shared" si="347"/>
        <v>0</v>
      </c>
      <c r="BD190" s="190">
        <f t="shared" si="347"/>
        <v>0</v>
      </c>
      <c r="BE190" s="190">
        <f t="shared" si="347"/>
        <v>0</v>
      </c>
      <c r="BF190" s="190">
        <f t="shared" si="347"/>
        <v>0</v>
      </c>
      <c r="BG190" s="190">
        <f t="shared" si="347"/>
        <v>0</v>
      </c>
      <c r="BH190" s="190">
        <f t="shared" si="347"/>
        <v>0</v>
      </c>
      <c r="BI190" s="190">
        <f t="shared" si="347"/>
        <v>0</v>
      </c>
      <c r="BJ190" s="190">
        <f t="shared" si="347"/>
        <v>0</v>
      </c>
      <c r="BK190" s="190">
        <f t="shared" si="347"/>
        <v>0</v>
      </c>
      <c r="BL190" s="130"/>
      <c r="BN190" s="136"/>
      <c r="BO190" s="137"/>
    </row>
    <row r="191" spans="1:73" ht="11.25" customHeight="1" x14ac:dyDescent="0.25">
      <c r="D191" s="31"/>
      <c r="E191" s="81"/>
      <c r="F191" s="81"/>
      <c r="G191" s="81"/>
      <c r="BN191" s="136"/>
      <c r="BO191" s="137"/>
    </row>
    <row r="192" spans="1:73" ht="11.25" customHeight="1" x14ac:dyDescent="0.25">
      <c r="BN192" s="136"/>
      <c r="BO192" s="137"/>
    </row>
    <row r="193" spans="9:67" ht="11.25" customHeight="1" x14ac:dyDescent="0.25">
      <c r="I193" s="497"/>
      <c r="J193" s="497"/>
      <c r="K193" s="497"/>
      <c r="L193" s="497"/>
      <c r="M193" s="497"/>
      <c r="N193" s="497"/>
      <c r="O193" s="497"/>
      <c r="P193" s="497"/>
      <c r="Q193" s="497"/>
      <c r="R193" s="497"/>
      <c r="S193" s="497"/>
      <c r="T193" s="497"/>
      <c r="U193" s="497"/>
      <c r="V193" s="497"/>
      <c r="W193" s="497"/>
      <c r="X193" s="497"/>
      <c r="Y193" s="497"/>
      <c r="Z193" s="497"/>
      <c r="AA193" s="497"/>
      <c r="AB193" s="497"/>
      <c r="AC193" s="497"/>
      <c r="AD193" s="497"/>
      <c r="AE193" s="497"/>
      <c r="AF193" s="497"/>
      <c r="AG193" s="497"/>
      <c r="AH193" s="497"/>
      <c r="AI193" s="497"/>
      <c r="AJ193" s="497"/>
      <c r="AK193" s="497"/>
      <c r="AL193" s="497"/>
      <c r="AM193" s="497"/>
      <c r="AN193" s="497"/>
      <c r="AO193" s="497"/>
      <c r="AP193" s="497"/>
      <c r="AQ193" s="497"/>
      <c r="AR193" s="497"/>
      <c r="AS193" s="497"/>
      <c r="AT193" s="497"/>
      <c r="AU193" s="497"/>
      <c r="AV193" s="497"/>
      <c r="AW193" s="497"/>
      <c r="AX193" s="497"/>
      <c r="AY193" s="497"/>
      <c r="AZ193" s="497"/>
      <c r="BA193" s="497"/>
      <c r="BB193" s="497"/>
      <c r="BC193" s="497"/>
      <c r="BD193" s="497"/>
      <c r="BE193" s="497"/>
      <c r="BF193" s="497"/>
      <c r="BG193" s="497"/>
      <c r="BH193" s="497"/>
      <c r="BI193" s="497"/>
      <c r="BJ193" s="497"/>
      <c r="BK193" s="497"/>
      <c r="BN193" s="136"/>
      <c r="BO193" s="137"/>
    </row>
    <row r="194" spans="9:67" ht="11.25" customHeight="1" x14ac:dyDescent="0.25"/>
    <row r="195" spans="9:67" ht="11.25" customHeight="1" x14ac:dyDescent="0.25">
      <c r="BO195" s="138"/>
    </row>
    <row r="196" spans="9:67" ht="11.25" customHeight="1" x14ac:dyDescent="0.25"/>
    <row r="197" spans="9:67" ht="11.25" customHeight="1" x14ac:dyDescent="0.25"/>
    <row r="198" spans="9:67" ht="11.25" customHeight="1" x14ac:dyDescent="0.25"/>
    <row r="199" spans="9:67" ht="11.25" customHeight="1" x14ac:dyDescent="0.25"/>
    <row r="200" spans="9:67" ht="11.25" customHeight="1" x14ac:dyDescent="0.25"/>
    <row r="201" spans="9:67" ht="11.25" customHeight="1" x14ac:dyDescent="0.25"/>
    <row r="202" spans="9:67" ht="11.25" customHeight="1" x14ac:dyDescent="0.25"/>
    <row r="203" spans="9:67" ht="11.25" customHeight="1" x14ac:dyDescent="0.25"/>
    <row r="204" spans="9:67" ht="11.25" customHeight="1" x14ac:dyDescent="0.25"/>
    <row r="205" spans="9:67" ht="11.25" customHeight="1" x14ac:dyDescent="0.25"/>
    <row r="206" spans="9:67" ht="11.25" customHeight="1" x14ac:dyDescent="0.25"/>
    <row r="207" spans="9:67" ht="11.25" customHeight="1" x14ac:dyDescent="0.25"/>
    <row r="208" spans="9:67"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sheetData>
  <sheetProtection sheet="1" objects="1" scenarios="1" formatCells="0" formatColumns="0" formatRows="0" insertHyperlinks="0" autoFilter="0"/>
  <protectedRanges>
    <protectedRange sqref="BR11:BR179" name="Range3"/>
    <protectedRange sqref="A11:BL179" name="Range1"/>
    <protectedRange sqref="E2:H4" name="Range2"/>
  </protectedRanges>
  <mergeCells count="6">
    <mergeCell ref="C5:C7"/>
    <mergeCell ref="D1:E1"/>
    <mergeCell ref="BN181:BO181"/>
    <mergeCell ref="BN188:BN189"/>
    <mergeCell ref="BO188:BO189"/>
    <mergeCell ref="BN8:BQ8"/>
  </mergeCells>
  <conditionalFormatting sqref="E4:G4">
    <cfRule type="cellIs" dxfId="21" priority="24" operator="equal">
      <formula>AgileWarrantyDefault</formula>
    </cfRule>
  </conditionalFormatting>
  <conditionalFormatting sqref="E3:G3">
    <cfRule type="cellIs" dxfId="20" priority="23" operator="equal">
      <formula>AgileContingencyDefault</formula>
    </cfRule>
  </conditionalFormatting>
  <conditionalFormatting sqref="E2:G2">
    <cfRule type="cellIs" dxfId="19" priority="22" operator="notEqual">
      <formula>AgileDeveloperCUTCapacityDefault</formula>
    </cfRule>
  </conditionalFormatting>
  <conditionalFormatting sqref="E6:G7">
    <cfRule type="expression" dxfId="18" priority="10">
      <formula>$E$6&gt;$E$7</formula>
    </cfRule>
    <cfRule type="expression" dxfId="17" priority="11">
      <formula>$E$6&lt;=$E$7</formula>
    </cfRule>
  </conditionalFormatting>
  <conditionalFormatting sqref="BL180:BL187 AK187:AL190 AV187:AW190 I187:BK187 I188:BL190 P187:P190">
    <cfRule type="expression" dxfId="16" priority="8">
      <formula>INT(I180)&lt;&gt;I180</formula>
    </cfRule>
  </conditionalFormatting>
  <conditionalFormatting sqref="C1:C1048576">
    <cfRule type="containsText" dxfId="15" priority="6" operator="containsText" text="SET Agile Resource Role">
      <formula>NOT(ISERROR(SEARCH("SET Agile Resource Role",C1)))</formula>
    </cfRule>
  </conditionalFormatting>
  <conditionalFormatting sqref="I7:BL8">
    <cfRule type="cellIs" dxfId="14" priority="2" operator="equal">
      <formula>AgileIteration_E2E</formula>
    </cfRule>
    <cfRule type="cellIs" dxfId="13" priority="4" operator="equal">
      <formula>AgileIteration_PPT</formula>
    </cfRule>
    <cfRule type="cellIs" dxfId="12" priority="5" operator="equal">
      <formula>AgileIteration_ORT</formula>
    </cfRule>
  </conditionalFormatting>
  <conditionalFormatting sqref="F1:G1048576">
    <cfRule type="containsText" dxfId="11" priority="1" operator="containsText" text="SU Resource Role">
      <formula>NOT(ISERROR(SEARCH("SU Resource Role",F1)))</formula>
    </cfRule>
  </conditionalFormatting>
  <dataValidations count="8">
    <dataValidation type="list" allowBlank="1" showInputMessage="1" showErrorMessage="1" sqref="E54:E57 E64:E65 E102:E111 E94:E100 F179:G179 E59 E12:E27 E156:E166 E132:E142 E144:E154 E42:E43 E129:E130 E124:E127 E29:E32 E61:E62 E38:E40 E67:E68 E86:E92 E78:E84 E70:E76 E50:E52 E45:E48 E113:E122 E168:E179 E34:E36" xr:uid="{00000000-0002-0000-0800-000000000000}">
      <formula1>AgileResourceLocations</formula1>
    </dataValidation>
    <dataValidation type="list" allowBlank="1" showInputMessage="1" showErrorMessage="1" sqref="D59 D54:D57 D64:D65 D12:D27 D156:D166 D102:D111 D94:D100 D132:D142 D144:D154 D42:D43 D129:D130 D124:D127 D29:D32 D61:D62 D38:D40 D67:D68 D86:D92 D78:D84 D70:D76 D50:D52 D45:D48 D113:D122 D168:D179 D34:D36" xr:uid="{00000000-0002-0000-0800-000001000000}">
      <formula1>AgileRoles</formula1>
    </dataValidation>
    <dataValidation type="decimal" allowBlank="1" showInputMessage="1" showErrorMessage="1" sqref="E2:G4" xr:uid="{00000000-0002-0000-0800-000004000000}">
      <formula1>0</formula1>
      <formula2>1</formula2>
    </dataValidation>
    <dataValidation type="list" allowBlank="1" showInputMessage="1" showErrorMessage="1" sqref="C156:C166 C102:C111 C12:C27 C94:C100 C64:C65 C54:C57 C59 C132:C142 C144:C154 C42:C43 C129:C130 C124:C127 C29:C32 C61:C62 C38:C40 C67:C68 C86:C92 C78:C84 C70:C76 C50:C52 C45:C48 C113:C122 C168:C178 C34:C36" xr:uid="{6117B687-F4EC-4BEE-9143-09BDC1C61D46}">
      <formula1>TTSRoles</formula1>
    </dataValidation>
    <dataValidation type="list" allowBlank="1" showInputMessage="1" showErrorMessage="1" sqref="F59 F54:F57 F64:F65 F94:F100 F102:F111 F156:F166 F132:F142 F144:F154 F42:F43 F12:F27 F129:F130 F124:F127 F29:F32 F61:F62 F38:F40 F67:F68 F86:F92 F78:F84 F70:F76 F50:F52 F45:F48 F113:F122 F168:F178 F34:F36" xr:uid="{42296724-6F75-4693-B87D-BF00E9E97059}">
      <formula1>SolutionUnit</formula1>
    </dataValidation>
    <dataValidation type="list" allowBlank="1" showInputMessage="1" showErrorMessage="1" sqref="I7:BL7" xr:uid="{00000000-0002-0000-0800-000002000000}">
      <formula1>AgileIterationTypeSecondary</formula1>
    </dataValidation>
    <dataValidation type="list" showInputMessage="1" showErrorMessage="1" sqref="I8:BL8" xr:uid="{00000000-0002-0000-0800-000003000000}">
      <formula1>AgileIterationTypes</formula1>
    </dataValidation>
    <dataValidation type="custom" allowBlank="1" showInputMessage="1" showErrorMessage="1" errorTitle="Number of Resources" error="You must enter a number of resources._x000a__x000a_The value you entered is not a number._x000a_" sqref="I11:BK178" xr:uid="{00000000-0002-0000-08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100" operator="equal" id="{83D974EA-0B05-405B-A95A-37106ADCBF4F}">
            <xm:f>Parameters!$A$168</xm:f>
            <x14:dxf>
              <fill>
                <patternFill>
                  <bgColor theme="9"/>
                </patternFill>
              </fill>
            </x14:dxf>
          </x14:cfRule>
          <x14:cfRule type="cellIs" priority="101" operator="equal" id="{E595E72A-6899-4E9A-8506-2D53B71AD49E}">
            <xm:f>Parameters!$A$152</xm:f>
            <x14:dxf>
              <fill>
                <patternFill>
                  <bgColor rgb="FFD07876"/>
                </patternFill>
              </fill>
            </x14:dxf>
          </x14:cfRule>
          <x14:cfRule type="cellIs" priority="102" operator="equal" id="{5A008456-46B5-4B52-8751-59CBF2AC5E68}">
            <xm:f>Parameters!$A$158</xm:f>
            <x14:dxf>
              <fill>
                <patternFill>
                  <bgColor theme="9" tint="0.39994506668294322"/>
                </patternFill>
              </fill>
            </x14:dxf>
          </x14:cfRule>
          <x14:cfRule type="cellIs" priority="103" operator="equal" id="{679CA87B-91E7-4DA8-94D9-AA06FB0D3087}">
            <xm:f>Parameters!$A$150</xm:f>
            <x14:dxf>
              <fill>
                <patternFill>
                  <bgColor rgb="FFE6B8B7"/>
                </patternFill>
              </fill>
            </x14:dxf>
          </x14:cfRule>
          <x14:cfRule type="cellIs" priority="104" operator="equal" id="{DDE5176B-141E-4FEE-B53A-E92ADAEA1ED9}">
            <xm:f>Parameters!$A$151</xm:f>
            <x14:dxf>
              <fill>
                <patternFill>
                  <bgColor rgb="FFDA9694"/>
                </patternFill>
              </fill>
            </x14:dxf>
          </x14:cfRule>
          <x14:cfRule type="cellIs" priority="105" operator="equal" id="{63C80703-048E-46DC-A6C8-44BF547682A0}">
            <xm:f>Parameters!$A$153</xm:f>
            <x14:dxf>
              <fill>
                <patternFill>
                  <bgColor rgb="FFE6B8B7"/>
                </patternFill>
              </fill>
            </x14:dxf>
          </x14:cfRule>
          <x14:cfRule type="cellIs" priority="106" operator="equal" id="{4A49B083-541B-433D-A837-60C17EECA05C}">
            <xm:f>Parameters!$A$155</xm:f>
            <x14:dxf>
              <fill>
                <patternFill>
                  <bgColor rgb="FFCCC0DA"/>
                </patternFill>
              </fill>
            </x14:dxf>
          </x14:cfRule>
          <x14:cfRule type="cellIs" priority="107" operator="equal" id="{E6AAA707-C39D-475A-B2C4-D295D9E175A8}">
            <xm:f>Parameters!$A$156</xm:f>
            <x14:dxf>
              <fill>
                <patternFill>
                  <bgColor rgb="FFB1A0C7"/>
                </patternFill>
              </fill>
            </x14:dxf>
          </x14:cfRule>
          <x14:cfRule type="cellIs" priority="108" operator="equal" id="{87877125-7488-4197-AE6A-A0F9695A7B9E}">
            <xm:f>Parameters!$A$159</xm:f>
            <x14:dxf>
              <fill>
                <patternFill>
                  <bgColor theme="9"/>
                </patternFill>
              </fill>
            </x14:dxf>
          </x14:cfRule>
          <x14:cfRule type="cellIs" priority="109" operator="equal" id="{C9BD76C3-68BE-442C-B722-3095FE0CF17E}">
            <xm:f>Parameters!$A$161</xm:f>
            <x14:dxf>
              <fill>
                <patternFill>
                  <bgColor theme="5" tint="0.59996337778862885"/>
                </patternFill>
              </fill>
            </x14:dxf>
          </x14:cfRule>
          <x14:cfRule type="cellIs" priority="110" operator="equal" id="{E08F4568-902E-45E2-A9D2-7148BEC0C4BA}">
            <xm:f>Parameters!$A$163</xm:f>
            <x14:dxf>
              <fill>
                <patternFill>
                  <bgColor theme="4" tint="0.59996337778862885"/>
                </patternFill>
              </fill>
            </x14:dxf>
          </x14:cfRule>
          <xm:sqref>I7:BL8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utProfileSheet"/>
  <dimension ref="A1:Y19"/>
  <sheetViews>
    <sheetView showGridLines="0" defaultGridColor="0" topLeftCell="C1" colorId="55" zoomScale="90" zoomScaleNormal="90" zoomScaleSheetLayoutView="90" workbookViewId="0">
      <selection activeCell="P15" sqref="P15"/>
    </sheetView>
  </sheetViews>
  <sheetFormatPr defaultColWidth="9.28515625" defaultRowHeight="15" x14ac:dyDescent="0.25"/>
  <cols>
    <col min="1" max="1" width="3.5703125" style="43" customWidth="1"/>
    <col min="2" max="2" width="4.42578125" style="43" customWidth="1"/>
    <col min="3" max="3" width="12.5703125" style="43" customWidth="1"/>
    <col min="4" max="6" width="10.5703125" style="43" customWidth="1"/>
    <col min="7" max="7" width="11.42578125" style="43" customWidth="1"/>
    <col min="8" max="8" width="10.5703125" style="43" customWidth="1"/>
    <col min="9" max="9" width="9.28515625" style="43"/>
    <col min="10" max="10" width="4.42578125" style="43" customWidth="1"/>
    <col min="11" max="11" width="12" style="43" customWidth="1"/>
    <col min="12" max="14" width="10.5703125" style="43" customWidth="1"/>
    <col min="15" max="15" width="11.42578125" style="43" customWidth="1"/>
    <col min="16" max="16" width="10.5703125" style="43" customWidth="1"/>
    <col min="17" max="17" width="3.5703125" style="43" customWidth="1"/>
    <col min="18" max="18" width="9.28515625" style="43"/>
    <col min="19" max="19" width="19.5703125" style="43" bestFit="1" customWidth="1"/>
    <col min="20" max="21" width="10.42578125" style="43" bestFit="1" customWidth="1"/>
    <col min="22" max="22" width="8.5703125" style="43" bestFit="1" customWidth="1"/>
    <col min="23" max="23" width="12.5703125" style="43" bestFit="1" customWidth="1"/>
    <col min="24" max="24" width="10.7109375" style="43" bestFit="1" customWidth="1"/>
    <col min="25" max="16384" width="9.28515625" style="43"/>
  </cols>
  <sheetData>
    <row r="1" spans="1:25" customFormat="1" ht="83.1" customHeight="1" x14ac:dyDescent="0.25">
      <c r="A1" s="54"/>
      <c r="B1" s="699" t="str">
        <f>Customer &amp; CHAR(10) &amp; Project</f>
        <v>Optus
BoSS Proposal</v>
      </c>
      <c r="C1" s="699"/>
      <c r="D1" s="699"/>
      <c r="E1" s="699"/>
      <c r="F1" s="54"/>
      <c r="G1" s="54"/>
      <c r="H1" s="54"/>
      <c r="I1" s="54"/>
      <c r="J1" s="54"/>
      <c r="K1" s="54"/>
      <c r="L1" s="54"/>
      <c r="M1" s="54"/>
      <c r="N1" s="54"/>
      <c r="O1" s="54"/>
      <c r="P1" s="54"/>
      <c r="Q1" s="54"/>
      <c r="R1" s="54"/>
      <c r="S1" s="54"/>
      <c r="T1" s="54"/>
      <c r="U1" s="54"/>
      <c r="V1" s="54"/>
      <c r="W1" s="54"/>
      <c r="X1" s="54"/>
    </row>
    <row r="2" spans="1:25" ht="15.75" x14ac:dyDescent="0.25">
      <c r="B2" s="705" t="str">
        <f>"Scenario: " &amp; ScenarioSelected</f>
        <v>Scenario: Phase 1</v>
      </c>
      <c r="C2" s="705"/>
      <c r="D2" s="705"/>
      <c r="E2" s="705"/>
      <c r="F2" s="705"/>
      <c r="G2" s="705"/>
      <c r="H2" s="705"/>
      <c r="J2" s="712"/>
      <c r="K2" s="712"/>
      <c r="L2" s="712"/>
      <c r="M2" s="712"/>
      <c r="N2" s="712"/>
      <c r="O2" s="712"/>
      <c r="P2" s="712"/>
    </row>
    <row r="3" spans="1:25" ht="6.75" customHeight="1" x14ac:dyDescent="0.25">
      <c r="C3" s="44"/>
    </row>
    <row r="4" spans="1:25" s="45" customFormat="1" ht="18" customHeight="1" x14ac:dyDescent="0.25">
      <c r="B4" s="701" t="s">
        <v>194</v>
      </c>
      <c r="C4" s="702"/>
      <c r="D4" s="700" t="s">
        <v>738</v>
      </c>
      <c r="E4" s="700"/>
      <c r="F4" s="700"/>
      <c r="G4" s="700"/>
      <c r="H4" s="364"/>
      <c r="J4" s="713" t="s">
        <v>518</v>
      </c>
      <c r="K4" s="714"/>
      <c r="L4" s="717" t="s">
        <v>738</v>
      </c>
      <c r="M4" s="717"/>
      <c r="N4" s="717"/>
      <c r="O4" s="717"/>
      <c r="P4" s="359"/>
      <c r="S4" s="709" t="s">
        <v>739</v>
      </c>
      <c r="T4" s="710"/>
      <c r="U4" s="710"/>
      <c r="V4" s="710"/>
      <c r="W4" s="710"/>
      <c r="X4" s="711"/>
    </row>
    <row r="5" spans="1:25" s="46" customFormat="1" ht="18" customHeight="1" x14ac:dyDescent="0.25">
      <c r="B5" s="703"/>
      <c r="C5" s="704"/>
      <c r="D5" s="366" t="s">
        <v>215</v>
      </c>
      <c r="E5" s="366" t="s">
        <v>740</v>
      </c>
      <c r="F5" s="366" t="s">
        <v>320</v>
      </c>
      <c r="G5" s="366" t="s">
        <v>225</v>
      </c>
      <c r="H5" s="365" t="s">
        <v>710</v>
      </c>
      <c r="J5" s="715"/>
      <c r="K5" s="716"/>
      <c r="L5" s="362" t="s">
        <v>215</v>
      </c>
      <c r="M5" s="362" t="s">
        <v>740</v>
      </c>
      <c r="N5" s="362" t="s">
        <v>320</v>
      </c>
      <c r="O5" s="362" t="s">
        <v>225</v>
      </c>
      <c r="P5" s="360" t="s">
        <v>710</v>
      </c>
      <c r="S5" s="475" t="s">
        <v>741</v>
      </c>
      <c r="T5" s="475" t="s">
        <v>742</v>
      </c>
      <c r="U5" s="475" t="s">
        <v>743</v>
      </c>
      <c r="V5" s="475" t="s">
        <v>744</v>
      </c>
      <c r="W5" s="475" t="s">
        <v>745</v>
      </c>
      <c r="X5" s="475" t="s">
        <v>746</v>
      </c>
    </row>
    <row r="6" spans="1:25" s="46" customFormat="1" ht="18" customHeight="1" x14ac:dyDescent="0.25">
      <c r="B6" s="706" t="s">
        <v>196</v>
      </c>
      <c r="C6" s="356" t="str">
        <f>SolComp_8</f>
        <v>B&amp;A Studio</v>
      </c>
      <c r="D6" s="363">
        <f t="shared" ref="D6:G14" si="0">(IF(Scenario1Selected,SUMIFS(TotalCUTList,SolutionComponentList,$C6,Scenario1List,D$5),0)+IF(Scenario2Selected,SUMIFS(TotalCUTList,SolutionComponentList,$C6,Scenario2List,D$5),0)+IF(Scenario3Selected,SUMIFS(TotalCUTList,SolutionComponentList,$C6,Scenario3List,D$5),0)+IF(Scenario4Selected,SUMIFS(TotalCUTList,SolutionComponentList,$C6,Scenario4List,D$5),0))</f>
        <v>0</v>
      </c>
      <c r="E6" s="363">
        <f t="shared" si="0"/>
        <v>0</v>
      </c>
      <c r="F6" s="363">
        <f t="shared" si="0"/>
        <v>0</v>
      </c>
      <c r="G6" s="363">
        <f t="shared" si="0"/>
        <v>0</v>
      </c>
      <c r="H6" s="361">
        <f t="shared" ref="H6" si="1">SUM(D6:G6)</f>
        <v>0</v>
      </c>
      <c r="J6" s="706" t="s">
        <v>196</v>
      </c>
      <c r="K6" s="356" t="str">
        <f>SolComp_8</f>
        <v>B&amp;A Studio</v>
      </c>
      <c r="L6" s="363">
        <f t="shared" ref="L6:O14" si="2">(IF(Scenario1Selected,SUMIFS(TotalNonCUTList,SolutionComponentListNonCUT,$K6,Scenario1ListNonCUT,L$5),0)+IF(Scenario2Selected,SUMIFS(TotalNonCUTList,SolutionComponentListNonCUT,$K6,Scenario2ListNonCUT,L$5),0)+IF(Scenario3Selected,SUMIFS(TotalNonCUTList,SolutionComponentListNonCUT,$K6,Scenario3ListNonCUT,L$5),0)+IF(Scenario4Selected,SUMIFS(TotalNonCUTList,SolutionComponentListNonCUT,$K6,Scenario4ListNonCUT,L$5),0))</f>
        <v>250</v>
      </c>
      <c r="M6" s="363">
        <f t="shared" si="2"/>
        <v>0</v>
      </c>
      <c r="N6" s="363">
        <f t="shared" si="2"/>
        <v>0</v>
      </c>
      <c r="O6" s="363">
        <f t="shared" si="2"/>
        <v>0</v>
      </c>
      <c r="P6" s="361">
        <f t="shared" ref="P6" si="3">SUM(L6:O6)</f>
        <v>250</v>
      </c>
      <c r="S6" s="353" t="str">
        <f>AgileIteration_ScopPrep</f>
        <v>Definition Study Prep</v>
      </c>
      <c r="T6" s="354">
        <f>IF(Scenario1Selected,'Agile Top-Down (S1)'!$I$10,(IF(Scenario2Selected,'Agile Top-Down (S2)'!$I$10,(IF(Scenario3Selected,'Agile Top-Down (S3)'!$I$10,IF(Scenario4Selected,'Agile Top-Down (S4)'!$I$10,"No Scenario Selected"))))))</f>
        <v>45936</v>
      </c>
      <c r="U6" s="354">
        <f ca="1">IF(Scenario1Selected,(OFFSET(T6,0,0,1,1)+((COUNTIF('Agile Top-Down (S1)'!$I$8:$DY$8,S6)*7))-1),IF(Scenario2Selected,(OFFSET(T6,0,0,1,1)+((COUNTIF('Agile Top-Down (S2)'!$I$8:$BH$8,S6)*7))-1),IF(Scenario3Selected,(OFFSET(T6,0,0,1,1)+((COUNTIF('Agile Top-Down (S3)'!$I$8:$BH$8,S6)*7))-1),IF(Scenario4Selected,(OFFSET(T6,0,0,1,1)+((COUNTIF('Agile Top-Down (S4)'!$I$8:$BL$8,S6)*7))-1)))))</f>
        <v>45942</v>
      </c>
      <c r="V6" s="355">
        <f ca="1">(_xlfn.DAYS(U6,T6)+1)/7</f>
        <v>1</v>
      </c>
      <c r="W6" s="355">
        <f ca="1">IF(V6=0,0,(IF(Scenario1Selected,SUMIFS('Agile Top-Down (S1)'!$I$191:$DY$191,'Agile Top-Down (S1)'!$I$8:$DY$8,S6),IF(Scenario2Selected,SUMIFS('Agile Top-Down (S2)'!$I$182:$BH$182,'Agile Top-Down (S2)'!$I$8:$BH$8,S6),IF(Scenario3Selected,SUMIFS('Agile Top-Down (S3)'!$I$181:$BH$181,'Agile Top-Down (S3)'!$I$8:$BH$8,S6),IF(Scenario4Selected,SUMIFS('Agile Top-Down (S4)'!$I$181:$BL$181,'Agile Top-Down (S4)'!$I$8:$BL$8,S6),"No Scenario Selected"))))/(V6)))</f>
        <v>14.1</v>
      </c>
      <c r="X6" s="355">
        <f>IF(Scenario1Selected,SUMIFS('Agile Top-Down (S1)'!$I$192:$DY$192,'Agile Top-Down (S1)'!$I$8:$DY$8,S6),IF(Scenario2Selected,SUMIFS('Agile Top-Down (S2)'!$I$183:$BH$183,'Agile Top-Down (S2)'!$I$8:$BH$8,S6),IF(Scenario3Selected,SUMIFS('Agile Top-Down (S3)'!$I$182:$BH$182,'Agile Top-Down (S3)'!$I$8:$BH$8,S6),IF(Scenario4Selected,SUMIFS('Agile Top-Down (S4)'!$I$182:$BL$182,'Agile Top-Down (S4)'!$I$8:$BL$8,S6),"No Scenario Selected"))))</f>
        <v>59.924999999999997</v>
      </c>
    </row>
    <row r="7" spans="1:25" ht="18" customHeight="1" x14ac:dyDescent="0.25">
      <c r="B7" s="707"/>
      <c r="C7" s="356" t="str">
        <f>SolComp_1</f>
        <v>EC PE</v>
      </c>
      <c r="D7" s="363">
        <f t="shared" si="0"/>
        <v>6</v>
      </c>
      <c r="E7" s="363">
        <f t="shared" si="0"/>
        <v>0</v>
      </c>
      <c r="F7" s="363">
        <f t="shared" si="0"/>
        <v>0</v>
      </c>
      <c r="G7" s="363">
        <f t="shared" si="0"/>
        <v>0</v>
      </c>
      <c r="H7" s="361">
        <f t="shared" ref="H7:H15" si="4">SUM(D7:G7)</f>
        <v>6</v>
      </c>
      <c r="J7" s="707"/>
      <c r="K7" s="356" t="str">
        <f>SolComp_1</f>
        <v>EC PE</v>
      </c>
      <c r="L7" s="363">
        <f t="shared" si="2"/>
        <v>10</v>
      </c>
      <c r="M7" s="363">
        <f t="shared" si="2"/>
        <v>0</v>
      </c>
      <c r="N7" s="363">
        <f t="shared" si="2"/>
        <v>0</v>
      </c>
      <c r="O7" s="363">
        <f t="shared" si="2"/>
        <v>0</v>
      </c>
      <c r="P7" s="361">
        <f t="shared" ref="P7:P15" si="5">SUM(L7:O7)</f>
        <v>10</v>
      </c>
      <c r="S7" s="353" t="str">
        <f>AgileIteration_Study</f>
        <v>Definition Study</v>
      </c>
      <c r="T7" s="354">
        <f ca="1">U6+1</f>
        <v>45943</v>
      </c>
      <c r="U7" s="354">
        <f ca="1">IF(Scenario1Selected,(OFFSET(T7,0,0,1,1)+((COUNTIF('Agile Top-Down (S1)'!$I$8:$DY$8,S7)*7))-1),IF(Scenario2Selected,(OFFSET(T7,0,0,1,1)+((COUNTIF('Agile Top-Down (S2)'!$I$8:$BH$8,S7)*7))-1),IF(Scenario3Selected,(OFFSET(T7,0,0,1,1)+((COUNTIF('Agile Top-Down (S3)'!$I$8:$BH$8,S7)*7))-1),IF(Scenario4Selected,(OFFSET(T7,0,0,1,1)+((COUNTIF('Agile Top-Down (S4)'!$I$8:$BL$8,S7)*7))-1)))))</f>
        <v>46005</v>
      </c>
      <c r="V7" s="355">
        <f t="shared" ref="V7:V18" ca="1" si="6">(_xlfn.DAYS(U7,T7)+1)/7</f>
        <v>9</v>
      </c>
      <c r="W7" s="355">
        <f ca="1">IF(V7=0,0,(IF(Scenario1Selected,SUMIFS('Agile Top-Down (S1)'!$I$191:$DY$191,'Agile Top-Down (S1)'!$I$8:$DY$8,S7),IF(Scenario2Selected,SUMIFS('Agile Top-Down (S2)'!$I$182:$BH$182,'Agile Top-Down (S2)'!$I$8:$BH$8,S7),IF(Scenario3Selected,SUMIFS('Agile Top-Down (S3)'!$I$181:$BH$181,'Agile Top-Down (S3)'!$I$8:$BH$8,S7),IF(Scenario4Selected,SUMIFS('Agile Top-Down (S4)'!$I$181:$BL$181,'Agile Top-Down (S4)'!$I$8:$BL$8,S7),"No Scenario Selected"))))/(V7)))</f>
        <v>15.905555555555553</v>
      </c>
      <c r="X7" s="355">
        <f>IF(Scenario1Selected,SUMIFS('Agile Top-Down (S1)'!$I$192:$DY$192,'Agile Top-Down (S1)'!$I$8:$DY$8,S7),IF(Scenario2Selected,SUMIFS('Agile Top-Down (S2)'!$I$183:$BH$183,'Agile Top-Down (S2)'!$I$8:$BH$8,S7),IF(Scenario3Selected,SUMIFS('Agile Top-Down (S3)'!$I$182:$BH$182,'Agile Top-Down (S3)'!$I$8:$BH$8,S7),IF(Scenario4Selected,SUMIFS('Agile Top-Down (S4)'!$I$182:$BL$182,'Agile Top-Down (S4)'!$I$8:$BL$8,S7),"No Scenario Selected"))))</f>
        <v>608.38749999999993</v>
      </c>
    </row>
    <row r="8" spans="1:25" ht="18" customHeight="1" x14ac:dyDescent="0.25">
      <c r="B8" s="707"/>
      <c r="C8" s="357" t="str">
        <f>SolComp_2</f>
        <v>EC CB</v>
      </c>
      <c r="D8" s="363">
        <f t="shared" si="0"/>
        <v>106</v>
      </c>
      <c r="E8" s="363">
        <f t="shared" si="0"/>
        <v>0</v>
      </c>
      <c r="F8" s="363">
        <f t="shared" si="0"/>
        <v>0</v>
      </c>
      <c r="G8" s="363">
        <f t="shared" si="0"/>
        <v>0</v>
      </c>
      <c r="H8" s="361">
        <f t="shared" si="4"/>
        <v>106</v>
      </c>
      <c r="J8" s="707"/>
      <c r="K8" s="357" t="str">
        <f>SolComp_2</f>
        <v>EC CB</v>
      </c>
      <c r="L8" s="363">
        <f t="shared" si="2"/>
        <v>140</v>
      </c>
      <c r="M8" s="363">
        <f t="shared" si="2"/>
        <v>0</v>
      </c>
      <c r="N8" s="363">
        <f t="shared" si="2"/>
        <v>0</v>
      </c>
      <c r="O8" s="363">
        <f t="shared" si="2"/>
        <v>0</v>
      </c>
      <c r="P8" s="361">
        <f t="shared" si="5"/>
        <v>140</v>
      </c>
      <c r="S8" s="353" t="str">
        <f>AgileIteration_PropSub</f>
        <v>Proposal Submission</v>
      </c>
      <c r="T8" s="354">
        <f ca="1">U7+1</f>
        <v>46006</v>
      </c>
      <c r="U8" s="354">
        <f ca="1">IF(Scenario1Selected,(OFFSET(T8,0,0,1,1)+((COUNTIF('Agile Top-Down (S1)'!$I$8:$DY$8,S8)*7))-1),IF(Scenario2Selected,(OFFSET(T8,0,0,1,1)+((COUNTIF('Agile Top-Down (S2)'!$I$8:$BH$8,S8)*7))-1),IF(Scenario3Selected,(OFFSET(T8,0,0,1,1)+((COUNTIF('Agile Top-Down (S3)'!$I$8:$BH$8,S8)*7))-1),IF(Scenario4Selected,(OFFSET(T8,0,0,1,1)+((COUNTIF('Agile Top-Down (S4)'!$I$8:$BL$8,S8)*7))-1)))))</f>
        <v>46012</v>
      </c>
      <c r="V8" s="355">
        <f t="shared" ca="1" si="6"/>
        <v>1</v>
      </c>
      <c r="W8" s="355">
        <f ca="1">IF(V8=0,0,(IF(Scenario1Selected,SUMIFS('Agile Top-Down (S1)'!$I$191:$DY$191,'Agile Top-Down (S1)'!$I$8:$DY$8,S8),IF(Scenario2Selected,SUMIFS('Agile Top-Down (S2)'!$I$182:$BH$182,'Agile Top-Down (S2)'!$I$8:$BH$8,S8),IF(Scenario3Selected,SUMIFS('Agile Top-Down (S3)'!$I$181:$BH$181,'Agile Top-Down (S3)'!$I$8:$BH$8,S8),IF(Scenario4Selected,SUMIFS('Agile Top-Down (S4)'!$I$181:$BL$181,'Agile Top-Down (S4)'!$I$8:$BL$8,S8),"No Scenario Selected"))))/(V8)))</f>
        <v>43.6</v>
      </c>
      <c r="X8" s="355">
        <f>IF(Scenario1Selected,SUMIFS('Agile Top-Down (S1)'!$I$192:$DY$192,'Agile Top-Down (S1)'!$I$8:$DY$8,S8),IF(Scenario2Selected,SUMIFS('Agile Top-Down (S2)'!$I$183:$BH$183,'Agile Top-Down (S2)'!$I$8:$BH$8,S8),IF(Scenario3Selected,SUMIFS('Agile Top-Down (S3)'!$I$182:$BH$182,'Agile Top-Down (S3)'!$I$8:$BH$8,S8),IF(Scenario4Selected,SUMIFS('Agile Top-Down (S4)'!$I$182:$BL$182,'Agile Top-Down (S4)'!$I$8:$BL$8,S8),"No Scenario Selected"))))</f>
        <v>185.29999999999998</v>
      </c>
    </row>
    <row r="9" spans="1:25" ht="18" customHeight="1" x14ac:dyDescent="0.25">
      <c r="B9" s="707"/>
      <c r="C9" s="357" t="str">
        <f>SolComp_9</f>
        <v>EC CC</v>
      </c>
      <c r="D9" s="363">
        <f>(IF(Scenario1Selected,SUMIFS(TotalCUTList,SolutionComponentList,$C9,Scenario1List,D$5),0)+IF(Scenario2Selected,SUMIFS(TotalCUTList,SolutionComponentList,$C9,Scenario2List,D$5),0)+IF(Scenario3Selected,SUMIFS(TotalCUTList,SolutionComponentList,$C9,Scenario3List,D$5),0)+IF(Scenario4Selected,SUMIFS(TotalCUTList,SolutionComponentList,$C9,Scenario4List,D$5),0))</f>
        <v>5</v>
      </c>
      <c r="E9" s="363">
        <f>(IF(Scenario1Selected,SUMIFS(TotalCUTList,SolutionComponentList,$C9,Scenario1List,E$5),0)+IF(Scenario2Selected,SUMIFS(TotalCUTList,SolutionComponentList,$C9,Scenario2List,E$5),0)+IF(Scenario3Selected,SUMIFS(TotalCUTList,SolutionComponentList,$C9,Scenario3List,E$5),0)+IF(Scenario4Selected,SUMIFS(TotalCUTList,SolutionComponentList,$C9,Scenario4List,E$5),0))</f>
        <v>0</v>
      </c>
      <c r="F9" s="363">
        <f>(IF(Scenario1Selected,SUMIFS(TotalCUTList,SolutionComponentList,$C9,Scenario1List,F$5),0)+IF(Scenario2Selected,SUMIFS(TotalCUTList,SolutionComponentList,$C9,Scenario2List,F$5),0)+IF(Scenario3Selected,SUMIFS(TotalCUTList,SolutionComponentList,$C9,Scenario3List,F$5),0)+IF(Scenario4Selected,SUMIFS(TotalCUTList,SolutionComponentList,$C9,Scenario4List,F$5),0))</f>
        <v>0</v>
      </c>
      <c r="G9" s="363">
        <f>(IF(Scenario1Selected,SUMIFS(TotalCUTList,SolutionComponentList,$C9,Scenario1List,G$5),0)+IF(Scenario2Selected,SUMIFS(TotalCUTList,SolutionComponentList,$C9,Scenario2List,G$5),0)+IF(Scenario3Selected,SUMIFS(TotalCUTList,SolutionComponentList,$C9,Scenario3List,G$5),0)+IF(Scenario4Selected,SUMIFS(TotalCUTList,SolutionComponentList,$C9,Scenario4List,G$5),0))</f>
        <v>0</v>
      </c>
      <c r="H9" s="361">
        <f>SUM(D9:G9)</f>
        <v>5</v>
      </c>
      <c r="J9" s="707"/>
      <c r="K9" s="357" t="str">
        <f>SolComp_9</f>
        <v>EC CC</v>
      </c>
      <c r="L9" s="363">
        <f>(IF(Scenario1Selected,SUMIFS(TotalNonCUTList,SolutionComponentListNonCUT,$K9,Scenario1ListNonCUT,L$5),0)+IF(Scenario2Selected,SUMIFS(TotalNonCUTList,SolutionComponentListNonCUT,$K9,Scenario2ListNonCUT,L$5),0)+IF(Scenario3Selected,SUMIFS(TotalNonCUTList,SolutionComponentListNonCUT,$K9,Scenario3ListNonCUT,L$5),0)+IF(Scenario4Selected,SUMIFS(TotalNonCUTList,SolutionComponentListNonCUT,$K9,Scenario4ListNonCUT,L$5),0))</f>
        <v>0</v>
      </c>
      <c r="M9" s="363">
        <f>(IF(Scenario1Selected,SUMIFS(TotalNonCUTList,SolutionComponentListNonCUT,$K9,Scenario1ListNonCUT,M$5),0)+IF(Scenario2Selected,SUMIFS(TotalNonCUTList,SolutionComponentListNonCUT,$K9,Scenario2ListNonCUT,M$5),0)+IF(Scenario3Selected,SUMIFS(TotalNonCUTList,SolutionComponentListNonCUT,$K9,Scenario3ListNonCUT,M$5),0)+IF(Scenario4Selected,SUMIFS(TotalNonCUTList,SolutionComponentListNonCUT,$K9,Scenario4ListNonCUT,M$5),0))</f>
        <v>0</v>
      </c>
      <c r="N9" s="363">
        <f>(IF(Scenario1Selected,SUMIFS(TotalNonCUTList,SolutionComponentListNonCUT,$K9,Scenario1ListNonCUT,N$5),0)+IF(Scenario2Selected,SUMIFS(TotalNonCUTList,SolutionComponentListNonCUT,$K9,Scenario2ListNonCUT,N$5),0)+IF(Scenario3Selected,SUMIFS(TotalNonCUTList,SolutionComponentListNonCUT,$K9,Scenario3ListNonCUT,N$5),0)+IF(Scenario4Selected,SUMIFS(TotalNonCUTList,SolutionComponentListNonCUT,$K9,Scenario4ListNonCUT,N$5),0))</f>
        <v>0</v>
      </c>
      <c r="O9" s="363">
        <f>(IF(Scenario1Selected,SUMIFS(TotalNonCUTList,SolutionComponentListNonCUT,$K9,Scenario1ListNonCUT,O$5),0)+IF(Scenario2Selected,SUMIFS(TotalNonCUTList,SolutionComponentListNonCUT,$K9,Scenario2ListNonCUT,O$5),0)+IF(Scenario3Selected,SUMIFS(TotalNonCUTList,SolutionComponentListNonCUT,$K9,Scenario3ListNonCUT,O$5),0)+IF(Scenario4Selected,SUMIFS(TotalNonCUTList,SolutionComponentListNonCUT,$K9,Scenario4ListNonCUT,O$5),0))</f>
        <v>0</v>
      </c>
      <c r="P9" s="361">
        <f>SUM(L9:O9)</f>
        <v>0</v>
      </c>
      <c r="S9" s="353" t="str">
        <f>AgileIteration_Prep</f>
        <v>Prep</v>
      </c>
      <c r="T9" s="354">
        <f ca="1">U8+1</f>
        <v>46013</v>
      </c>
      <c r="U9" s="354">
        <f ca="1">IF(Scenario1Selected,(OFFSET(T9,0,0,1,1)+((COUNTIF('Agile Top-Down (S1)'!$I$8:$DY$8,S9)*7))-1),IF(Scenario2Selected,(OFFSET(T9,0,0,1,1)+((COUNTIF('Agile Top-Down (S2)'!$I$8:$BH$8,S9)*7))-1),IF(Scenario3Selected,(OFFSET(T9,0,0,1,1)+((COUNTIF('Agile Top-Down (S3)'!$I$8:$BH$8,S9)*7))-1),IF(Scenario4Selected,(OFFSET(T9,0,0,1,1)+((COUNTIF('Agile Top-Down (S4)'!$I$8:$BL$8,S9)*7))-1)))))</f>
        <v>46019</v>
      </c>
      <c r="V9" s="355">
        <f t="shared" ca="1" si="6"/>
        <v>1</v>
      </c>
      <c r="W9" s="355">
        <f ca="1">IF(V9=0,0,(IF(Scenario1Selected,SUMIFS('Agile Top-Down (S1)'!$I$191:$DY$191,'Agile Top-Down (S1)'!$I$8:$DY$8,S9),IF(Scenario2Selected,SUMIFS('Agile Top-Down (S2)'!$I$182:$BH$182,'Agile Top-Down (S2)'!$I$8:$BH$8,S9),IF(Scenario3Selected,SUMIFS('Agile Top-Down (S3)'!$I$181:$BH$181,'Agile Top-Down (S3)'!$I$8:$BH$8,S9),IF(Scenario4Selected,SUMIFS('Agile Top-Down (S4)'!$I$181:$BL$181,'Agile Top-Down (S4)'!$I$8:$BL$8,S9),"No Scenario Selected"))))/(V9)))</f>
        <v>45.65</v>
      </c>
      <c r="X9" s="355">
        <f>IF(Scenario1Selected,SUMIFS('Agile Top-Down (S1)'!$I$192:$DY$192,'Agile Top-Down (S1)'!$I$8:$DY$8,S9),IF(Scenario2Selected,SUMIFS('Agile Top-Down (S2)'!$I$183:$BH$183,'Agile Top-Down (S2)'!$I$8:$BH$8,S9),IF(Scenario3Selected,SUMIFS('Agile Top-Down (S3)'!$I$182:$BH$182,'Agile Top-Down (S3)'!$I$8:$BH$8,S9),IF(Scenario4Selected,SUMIFS('Agile Top-Down (S4)'!$I$182:$BL$182,'Agile Top-Down (S4)'!$I$8:$BL$8,S9),"No Scenario Selected"))))</f>
        <v>194.01249999999999</v>
      </c>
    </row>
    <row r="10" spans="1:25" ht="18" customHeight="1" x14ac:dyDescent="0.25">
      <c r="B10" s="707"/>
      <c r="C10" s="357" t="str">
        <f>SolComp_3</f>
        <v>EC CM</v>
      </c>
      <c r="D10" s="363">
        <f t="shared" si="0"/>
        <v>0</v>
      </c>
      <c r="E10" s="363">
        <f t="shared" si="0"/>
        <v>0</v>
      </c>
      <c r="F10" s="363">
        <f t="shared" si="0"/>
        <v>0</v>
      </c>
      <c r="G10" s="363">
        <f t="shared" si="0"/>
        <v>0</v>
      </c>
      <c r="H10" s="361">
        <f t="shared" si="4"/>
        <v>0</v>
      </c>
      <c r="J10" s="707"/>
      <c r="K10" s="357" t="str">
        <f>SolComp_3</f>
        <v>EC CM</v>
      </c>
      <c r="L10" s="363">
        <f t="shared" si="2"/>
        <v>0</v>
      </c>
      <c r="M10" s="363">
        <f t="shared" si="2"/>
        <v>0</v>
      </c>
      <c r="N10" s="363">
        <f t="shared" si="2"/>
        <v>0</v>
      </c>
      <c r="O10" s="363">
        <f t="shared" si="2"/>
        <v>0</v>
      </c>
      <c r="P10" s="361">
        <f t="shared" si="5"/>
        <v>0</v>
      </c>
      <c r="S10" s="353" t="str">
        <f>AgileIteration_Dev</f>
        <v>Dev</v>
      </c>
      <c r="T10" s="354">
        <f ca="1">U9+1</f>
        <v>46020</v>
      </c>
      <c r="U10" s="515">
        <f ca="1">IF(Scenario1Selected,(OFFSET(T10,0,0,1,1)+((COUNTIF('Agile Top-Down (S1)'!$I$8:$DY$8,S10)*7))-1),IF(Scenario2Selected,(OFFSET(T10,0,0,1,1)+((COUNTIF('Agile Top-Down (S2)'!$I$8:$BH$8,S10)*7))-1),IF(Scenario3Selected,(OFFSET(T10,0,0,1,1)+((COUNTIF('Agile Top-Down (S3)'!$I$8:$BH$8,S10)*7))-1),IF(Scenario4Selected,(OFFSET(T10,0,0,1,1)+((COUNTIF('Agile Top-Down (S4)'!$I$8:$BL$8,S10)*7))-1)))))</f>
        <v>46201</v>
      </c>
      <c r="V10" s="355">
        <f ca="1">(_xlfn.DAYS(U10,T10)+1)/7</f>
        <v>26</v>
      </c>
      <c r="W10" s="355">
        <f ca="1">IF(V10=0,0,(IF(Scenario1Selected,SUMIFS('Agile Top-Down (S1)'!$I$191:$DY$191,'Agile Top-Down (S1)'!$I$8:$DY$8,S10),IF(Scenario2Selected,SUMIFS('Agile Top-Down (S2)'!$I$182:$BH$182,'Agile Top-Down (S2)'!$I$8:$BH$8,S10),IF(Scenario3Selected,SUMIFS('Agile Top-Down (S3)'!$I$181:$BH$181,'Agile Top-Down (S3)'!$I$8:$BH$8,S10),IF(Scenario4Selected,SUMIFS('Agile Top-Down (S4)'!$I$181:$BL$181,'Agile Top-Down (S4)'!$I$8:$BL$8,S10),"No Scenario Selected"))))/(V10)))</f>
        <v>40.361538461538444</v>
      </c>
      <c r="X10" s="355">
        <f>IF(Scenario1Selected,SUMIFS('Agile Top-Down (S1)'!$I$192:$DY$192,'Agile Top-Down (S1)'!$I$8:$DY$8,S10),IF(Scenario2Selected,SUMIFS('Agile Top-Down (S2)'!$I$183:$BH$183,'Agile Top-Down (S2)'!$I$8:$BH$8,S10),IF(Scenario3Selected,SUMIFS('Agile Top-Down (S3)'!$I$182:$BH$182,'Agile Top-Down (S3)'!$I$8:$BH$8,S10),IF(Scenario4Selected,SUMIFS('Agile Top-Down (S4)'!$I$182:$BL$182,'Agile Top-Down (S4)'!$I$8:$BL$8,S10),"No Scenario Selected"))))</f>
        <v>4459.9499999999971</v>
      </c>
    </row>
    <row r="11" spans="1:25" ht="18" customHeight="1" x14ac:dyDescent="0.25">
      <c r="B11" s="707"/>
      <c r="C11" s="357" t="str">
        <f>SolComp_4</f>
        <v>EC CE</v>
      </c>
      <c r="D11" s="363">
        <f t="shared" si="0"/>
        <v>0</v>
      </c>
      <c r="E11" s="363">
        <f t="shared" si="0"/>
        <v>0</v>
      </c>
      <c r="F11" s="363">
        <f t="shared" si="0"/>
        <v>0</v>
      </c>
      <c r="G11" s="363">
        <f t="shared" si="0"/>
        <v>0</v>
      </c>
      <c r="H11" s="361">
        <f t="shared" si="4"/>
        <v>0</v>
      </c>
      <c r="J11" s="707"/>
      <c r="K11" s="357" t="str">
        <f>SolComp_4</f>
        <v>EC CE</v>
      </c>
      <c r="L11" s="363">
        <f t="shared" si="2"/>
        <v>0</v>
      </c>
      <c r="M11" s="363">
        <f t="shared" si="2"/>
        <v>0</v>
      </c>
      <c r="N11" s="363">
        <f t="shared" si="2"/>
        <v>0</v>
      </c>
      <c r="O11" s="363">
        <f t="shared" si="2"/>
        <v>0</v>
      </c>
      <c r="P11" s="361">
        <f t="shared" si="5"/>
        <v>0</v>
      </c>
      <c r="S11" s="353" t="str">
        <f>AgileIteration_HIP</f>
        <v>HIP</v>
      </c>
      <c r="T11" s="515">
        <f t="shared" ref="T11:T18" ca="1" si="7">U10+1</f>
        <v>46202</v>
      </c>
      <c r="U11" s="354">
        <f ca="1">IF(Scenario1Selected,(OFFSET(T11,0,0,1,1)+((COUNTIF('Agile Top-Down (S1)'!$I$8:$DY$8,S11)*7))-1),IF(Scenario2Selected,(OFFSET(T11,0,0,1,1)+((COUNTIF('Agile Top-Down (S2)'!$I$8:$BH$8,S11)*7))-1),IF(Scenario3Selected,(OFFSET(T11,0,0,1,1)+((COUNTIF('Agile Top-Down (S3)'!$I$8:$BH$8,S11)*7))-1),IF(Scenario4Selected,(OFFSET(T11,0,0,1,1)+((COUNTIF('Agile Top-Down (S4)'!$I$8:$BL$8,S11)*7))-1)))))</f>
        <v>46313</v>
      </c>
      <c r="V11" s="355">
        <f t="shared" ca="1" si="6"/>
        <v>16</v>
      </c>
      <c r="W11" s="355">
        <f ca="1">IF(V11=0,0,(IF(Scenario1Selected,SUMIFS('Agile Top-Down (S1)'!$I$191:$DY$191,'Agile Top-Down (S1)'!$I$8:$DY$8,S11),IF(Scenario2Selected,SUMIFS('Agile Top-Down (S2)'!$I$182:$BH$182,'Agile Top-Down (S2)'!$I$8:$BH$8,S11),IF(Scenario3Selected,SUMIFS('Agile Top-Down (S3)'!$I$181:$BH$181,'Agile Top-Down (S3)'!$I$8:$BH$8,S11),IF(Scenario4Selected,SUMIFS('Agile Top-Down (S4)'!$I$181:$BL$181,'Agile Top-Down (S4)'!$I$8:$BL$8,S11),"No Scenario Selected"))))/(V11)))</f>
        <v>42.931249999999984</v>
      </c>
      <c r="X11" s="355">
        <f>IF(Scenario1Selected,SUMIFS('Agile Top-Down (S1)'!$I$192:$DY$192,'Agile Top-Down (S1)'!$I$8:$DY$8,S11),IF(Scenario2Selected,SUMIFS('Agile Top-Down (S2)'!$I$183:$BH$183,'Agile Top-Down (S2)'!$I$8:$BH$8,S11),IF(Scenario3Selected,SUMIFS('Agile Top-Down (S3)'!$I$182:$BH$182,'Agile Top-Down (S3)'!$I$8:$BH$8,S11),IF(Scenario4Selected,SUMIFS('Agile Top-Down (S4)'!$I$182:$BL$182,'Agile Top-Down (S4)'!$I$8:$BL$8,S11),"No Scenario Selected"))))</f>
        <v>2919.3249999999989</v>
      </c>
    </row>
    <row r="12" spans="1:25" ht="18" customHeight="1" x14ac:dyDescent="0.25">
      <c r="B12" s="707"/>
      <c r="C12" s="357" t="str">
        <f>SolComp_5</f>
        <v>OTH</v>
      </c>
      <c r="D12" s="363">
        <f t="shared" si="0"/>
        <v>0</v>
      </c>
      <c r="E12" s="363">
        <f t="shared" si="0"/>
        <v>0</v>
      </c>
      <c r="F12" s="363">
        <f t="shared" si="0"/>
        <v>0</v>
      </c>
      <c r="G12" s="363">
        <f t="shared" si="0"/>
        <v>0</v>
      </c>
      <c r="H12" s="361">
        <f t="shared" si="4"/>
        <v>0</v>
      </c>
      <c r="J12" s="707"/>
      <c r="K12" s="357" t="str">
        <f>SolComp_5</f>
        <v>OTH</v>
      </c>
      <c r="L12" s="363">
        <f t="shared" si="2"/>
        <v>0</v>
      </c>
      <c r="M12" s="363">
        <f t="shared" si="2"/>
        <v>0</v>
      </c>
      <c r="N12" s="363">
        <f t="shared" si="2"/>
        <v>0</v>
      </c>
      <c r="O12" s="363">
        <f t="shared" si="2"/>
        <v>0</v>
      </c>
      <c r="P12" s="361">
        <f t="shared" ref="P12:P14" si="8">SUM(L12:O12)</f>
        <v>0</v>
      </c>
      <c r="S12" s="353" t="str">
        <f>AgileIteration_E2E</f>
        <v>E2E</v>
      </c>
      <c r="T12" s="354">
        <f t="shared" ca="1" si="7"/>
        <v>46314</v>
      </c>
      <c r="U12" s="354">
        <f ca="1">IF(Scenario1Selected,(OFFSET(T12,0,0,1,1)+((COUNTIF('Agile Top-Down (S1)'!$I$8:$DY$8,S12)*7))-1),IF(Scenario2Selected,(OFFSET(T12,0,0,1,1)+((COUNTIF('Agile Top-Down (S2)'!$I$8:$BH$8,S12)*7))-1),IF(Scenario3Selected,(OFFSET(T12,0,0,1,1)+((COUNTIF('Agile Top-Down (S3)'!$I$8:$BH$8,S12)*7))-1),IF(Scenario4Selected,(OFFSET(T12,0,0,1,1)+((COUNTIF('Agile Top-Down (S4)'!$I$8:$BL$8,S12)*7))-1)))))</f>
        <v>46313</v>
      </c>
      <c r="V12" s="355">
        <f t="shared" ca="1" si="6"/>
        <v>0</v>
      </c>
      <c r="W12" s="355">
        <f ca="1">IF(V12=0,0,(IF(Scenario1Selected,SUMIFS('Agile Top-Down (S1)'!$I$191:$DY$191,'Agile Top-Down (S1)'!$I$8:$DY$8,S12),IF(Scenario2Selected,SUMIFS('Agile Top-Down (S2)'!$I$182:$BH$182,'Agile Top-Down (S2)'!$I$8:$BH$8,S12),IF(Scenario3Selected,SUMIFS('Agile Top-Down (S3)'!$I$181:$BH$181,'Agile Top-Down (S3)'!$I$8:$BH$8,S12),IF(Scenario4Selected,SUMIFS('Agile Top-Down (S4)'!$I$181:$BL$181,'Agile Top-Down (S4)'!$I$8:$BL$8,S12),"No Scenario Selected"))))/(V12)))</f>
        <v>0</v>
      </c>
      <c r="X12" s="355">
        <f>IF(Scenario1Selected,SUMIFS('Agile Top-Down (S1)'!$I$192:$DY$192,'Agile Top-Down (S1)'!$I$8:$DY$8,S12),IF(Scenario2Selected,SUMIFS('Agile Top-Down (S2)'!$I$183:$BH$183,'Agile Top-Down (S2)'!$I$8:$BH$8,S12),IF(Scenario3Selected,SUMIFS('Agile Top-Down (S3)'!$I$182:$BH$182,'Agile Top-Down (S3)'!$I$8:$BH$8,S12),IF(Scenario4Selected,SUMIFS('Agile Top-Down (S4)'!$I$182:$BL$182,'Agile Top-Down (S4)'!$I$8:$BL$8,S12),"No Scenario Selected"))))</f>
        <v>0</v>
      </c>
    </row>
    <row r="13" spans="1:25" ht="18" customHeight="1" x14ac:dyDescent="0.25">
      <c r="B13" s="707"/>
      <c r="C13" s="357" t="str">
        <f>SolComp_6</f>
        <v>INT</v>
      </c>
      <c r="D13" s="363">
        <f t="shared" si="0"/>
        <v>378</v>
      </c>
      <c r="E13" s="363">
        <f t="shared" si="0"/>
        <v>0</v>
      </c>
      <c r="F13" s="363">
        <f t="shared" si="0"/>
        <v>0</v>
      </c>
      <c r="G13" s="363">
        <f t="shared" si="0"/>
        <v>0</v>
      </c>
      <c r="H13" s="361">
        <f t="shared" si="4"/>
        <v>378</v>
      </c>
      <c r="J13" s="707"/>
      <c r="K13" s="357" t="str">
        <f>SolComp_6</f>
        <v>INT</v>
      </c>
      <c r="L13" s="363">
        <f t="shared" si="2"/>
        <v>506</v>
      </c>
      <c r="M13" s="363">
        <f t="shared" si="2"/>
        <v>0</v>
      </c>
      <c r="N13" s="363">
        <f t="shared" si="2"/>
        <v>0</v>
      </c>
      <c r="O13" s="363">
        <f t="shared" si="2"/>
        <v>0</v>
      </c>
      <c r="P13" s="361">
        <f t="shared" si="8"/>
        <v>506</v>
      </c>
      <c r="S13" s="353" t="str">
        <f>AgileIteration_SIT</f>
        <v>SIT</v>
      </c>
      <c r="T13" s="354">
        <f ca="1">U12+1</f>
        <v>46314</v>
      </c>
      <c r="U13" s="354">
        <f ca="1">IF(Scenario1Selected,(OFFSET(T13,0,0,1,1)+((COUNTIF('Agile Top-Down (S1)'!$I$8:$DY$8,S13)*7))-1),IF(Scenario2Selected,(OFFSET(T13,0,0,1,1)+((COUNTIF('Agile Top-Down (S2)'!$I$8:$BH$8,S13)*7))-1),IF(Scenario3Selected,(OFFSET(T13,0,0,1,1)+((COUNTIF('Agile Top-Down (S3)'!$I$8:$BH$8,S13)*7))-1),IF(Scenario4Selected,(OFFSET(T13,0,0,1,1)+((COUNTIF('Agile Top-Down (S4)'!$I$8:$BL$8,S13)*7))-1)))))</f>
        <v>46341</v>
      </c>
      <c r="V13" s="355">
        <f t="shared" ca="1" si="6"/>
        <v>4</v>
      </c>
      <c r="W13" s="355">
        <f ca="1">IF(V13=0,0,(IF(Scenario1Selected,SUMIFS('Agile Top-Down (S1)'!$I$191:$DY$191,'Agile Top-Down (S1)'!$I$8:$DY$8,S13),IF(Scenario2Selected,SUMIFS('Agile Top-Down (S2)'!$I$182:$BH$182,'Agile Top-Down (S2)'!$I$8:$BH$8,S13),IF(Scenario3Selected,SUMIFS('Agile Top-Down (S3)'!$I$181:$BH$181,'Agile Top-Down (S3)'!$I$8:$BH$8,S13),IF(Scenario4Selected,SUMIFS('Agile Top-Down (S4)'!$I$181:$BL$181,'Agile Top-Down (S4)'!$I$8:$BL$8,S13),"No Scenario Selected"))))/(V13)))</f>
        <v>51.35</v>
      </c>
      <c r="X13" s="355">
        <f>IF(Scenario1Selected,SUMIFS('Agile Top-Down (S1)'!$I$192:$DY$192,'Agile Top-Down (S1)'!$I$8:$DY$8,S13),IF(Scenario2Selected,SUMIFS('Agile Top-Down (S2)'!$I$183:$BH$183,'Agile Top-Down (S2)'!$I$8:$BH$8,S13),IF(Scenario3Selected,SUMIFS('Agile Top-Down (S3)'!$I$182:$BH$182,'Agile Top-Down (S3)'!$I$8:$BH$8,S13),IF(Scenario4Selected,SUMIFS('Agile Top-Down (S4)'!$I$182:$BL$182,'Agile Top-Down (S4)'!$I$8:$BL$8,S13),"No Scenario Selected"))))</f>
        <v>872.94999999999993</v>
      </c>
    </row>
    <row r="14" spans="1:25" ht="18" customHeight="1" x14ac:dyDescent="0.25">
      <c r="B14" s="708"/>
      <c r="C14" s="358" t="str">
        <f>SolComp_7</f>
        <v>RPT</v>
      </c>
      <c r="D14" s="363">
        <f t="shared" si="0"/>
        <v>0</v>
      </c>
      <c r="E14" s="363">
        <f t="shared" si="0"/>
        <v>0</v>
      </c>
      <c r="F14" s="363">
        <f t="shared" si="0"/>
        <v>0</v>
      </c>
      <c r="G14" s="363">
        <f t="shared" si="0"/>
        <v>0</v>
      </c>
      <c r="H14" s="361">
        <f t="shared" si="4"/>
        <v>0</v>
      </c>
      <c r="J14" s="708"/>
      <c r="K14" s="358" t="str">
        <f>SolComp_7</f>
        <v>RPT</v>
      </c>
      <c r="L14" s="363">
        <f t="shared" si="2"/>
        <v>0</v>
      </c>
      <c r="M14" s="363">
        <f t="shared" si="2"/>
        <v>0</v>
      </c>
      <c r="N14" s="363">
        <f t="shared" si="2"/>
        <v>0</v>
      </c>
      <c r="O14" s="363">
        <f t="shared" si="2"/>
        <v>0</v>
      </c>
      <c r="P14" s="361">
        <f t="shared" si="8"/>
        <v>0</v>
      </c>
      <c r="R14" s="47"/>
      <c r="S14" s="353" t="str">
        <f>AgileIteration_UAT</f>
        <v>UAT</v>
      </c>
      <c r="T14" s="354">
        <f t="shared" ca="1" si="7"/>
        <v>46342</v>
      </c>
      <c r="U14" s="354">
        <f ca="1">IF(Scenario1Selected,(OFFSET(T14,0,0,1,1)+((COUNTIF('Agile Top-Down (S1)'!$I$8:$DY$8,S14)*7))-1),IF(Scenario2Selected,(OFFSET(T14,0,0,1,1)+((COUNTIF('Agile Top-Down (S2)'!$I$8:$BH$8,S14)*7))-1),IF(Scenario3Selected,(OFFSET(T14,0,0,1,1)+((COUNTIF('Agile Top-Down (S3)'!$I$8:$BH$8,S14)*7))-1),IF(Scenario4Selected,(OFFSET(T14,0,0,1,1)+((COUNTIF('Agile Top-Down (S4)'!$I$8:$BL$8,S14)*7))-1)))))</f>
        <v>46383</v>
      </c>
      <c r="V14" s="355">
        <f t="shared" ca="1" si="6"/>
        <v>6</v>
      </c>
      <c r="W14" s="355">
        <f ca="1">IF(V14=0,0,(IF(Scenario1Selected,SUMIFS('Agile Top-Down (S1)'!$I$191:$DY$191,'Agile Top-Down (S1)'!$I$8:$DY$8,S14),IF(Scenario2Selected,SUMIFS('Agile Top-Down (S2)'!$I$182:$BH$182,'Agile Top-Down (S2)'!$I$8:$BH$8,S14),IF(Scenario3Selected,SUMIFS('Agile Top-Down (S3)'!$I$181:$BH$181,'Agile Top-Down (S3)'!$I$8:$BH$8,S14),IF(Scenario4Selected,SUMIFS('Agile Top-Down (S4)'!$I$181:$BL$181,'Agile Top-Down (S4)'!$I$8:$BL$8,S14),"No Scenario Selected"))))/(V14)))</f>
        <v>50.766666666666673</v>
      </c>
      <c r="X14" s="355">
        <f>IF(Scenario1Selected,SUMIFS('Agile Top-Down (S1)'!$I$192:$DY$192,'Agile Top-Down (S1)'!$I$8:$DY$8,S14),IF(Scenario2Selected,SUMIFS('Agile Top-Down (S2)'!$I$183:$BH$183,'Agile Top-Down (S2)'!$I$8:$BH$8,S14),IF(Scenario3Selected,SUMIFS('Agile Top-Down (S3)'!$I$182:$BH$182,'Agile Top-Down (S3)'!$I$8:$BH$8,S14),IF(Scenario4Selected,SUMIFS('Agile Top-Down (S4)'!$I$182:$BL$182,'Agile Top-Down (S4)'!$I$8:$BL$8,S14),"No Scenario Selected"))))</f>
        <v>1294.55</v>
      </c>
      <c r="Y14" s="47"/>
    </row>
    <row r="15" spans="1:25" s="47" customFormat="1" ht="18" customHeight="1" x14ac:dyDescent="0.25">
      <c r="B15" s="697" t="s">
        <v>710</v>
      </c>
      <c r="C15" s="698"/>
      <c r="D15" s="452">
        <f>SUM(D6:D14)</f>
        <v>495</v>
      </c>
      <c r="E15" s="452">
        <f>SUM(E6:E14)</f>
        <v>0</v>
      </c>
      <c r="F15" s="452">
        <f>SUM(F6:F14)</f>
        <v>0</v>
      </c>
      <c r="G15" s="452">
        <f>SUM(G6:G14)</f>
        <v>0</v>
      </c>
      <c r="H15" s="349">
        <f t="shared" si="4"/>
        <v>495</v>
      </c>
      <c r="J15" s="697" t="s">
        <v>710</v>
      </c>
      <c r="K15" s="698"/>
      <c r="L15" s="452">
        <f>SUM(L6:L14)</f>
        <v>906</v>
      </c>
      <c r="M15" s="452">
        <f>SUM(M6:M14)</f>
        <v>0</v>
      </c>
      <c r="N15" s="452">
        <f>SUM(N6:N14)</f>
        <v>0</v>
      </c>
      <c r="O15" s="452">
        <f>SUM(O6:O14)</f>
        <v>0</v>
      </c>
      <c r="P15" s="349">
        <f t="shared" si="5"/>
        <v>906</v>
      </c>
      <c r="R15" s="43"/>
      <c r="S15" s="353" t="str">
        <f>AgileIteration_ORT</f>
        <v>ORT</v>
      </c>
      <c r="T15" s="354">
        <f t="shared" ca="1" si="7"/>
        <v>46384</v>
      </c>
      <c r="U15" s="354">
        <f ca="1">IF(Scenario1Selected,(OFFSET(T15,0,0,1,1)+((COUNTIF('Agile Top-Down (S1)'!$I$8:$DY$8,S15)*7))-1),IF(Scenario2Selected,(OFFSET(T15,0,0,1,1)+((COUNTIF('Agile Top-Down (S2)'!$I$8:$BH$8,S15)*7))-1),IF(Scenario3Selected,(OFFSET(T15,0,0,1,1)+((COUNTIF('Agile Top-Down (S3)'!$I$8:$BH$8,S15)*7))-1),IF(Scenario4Selected,(OFFSET(T15,0,0,1,1)+((COUNTIF('Agile Top-Down (S4)'!$I$8:$BL$8,S15)*7))-1)))))</f>
        <v>46551</v>
      </c>
      <c r="V15" s="355">
        <f t="shared" ca="1" si="6"/>
        <v>24</v>
      </c>
      <c r="W15" s="355">
        <f ca="1">IF(V15=0,0,(IF(Scenario1Selected,SUMIFS('Agile Top-Down (S1)'!$I$191:$DY$191,'Agile Top-Down (S1)'!$I$8:$DY$8,S15),IF(Scenario2Selected,SUMIFS('Agile Top-Down (S2)'!$I$182:$BH$182,'Agile Top-Down (S2)'!$I$8:$BH$8,S15),IF(Scenario3Selected,SUMIFS('Agile Top-Down (S3)'!$I$181:$BH$181,'Agile Top-Down (S3)'!$I$8:$BH$8,S15),IF(Scenario4Selected,SUMIFS('Agile Top-Down (S4)'!$I$181:$BL$181,'Agile Top-Down (S4)'!$I$8:$BL$8,S15),"No Scenario Selected"))))/(V15)))</f>
        <v>27.629166666666666</v>
      </c>
      <c r="X15" s="355">
        <f>IF(Scenario1Selected,SUMIFS('Agile Top-Down (S1)'!$I$192:$DY$192,'Agile Top-Down (S1)'!$I$8:$DY$8,S15),IF(Scenario2Selected,SUMIFS('Agile Top-Down (S2)'!$I$183:$BH$183,'Agile Top-Down (S2)'!$I$8:$BH$8,S15),IF(Scenario3Selected,SUMIFS('Agile Top-Down (S3)'!$I$182:$BH$182,'Agile Top-Down (S3)'!$I$8:$BH$8,S15),IF(Scenario4Selected,SUMIFS('Agile Top-Down (S4)'!$I$182:$BL$182,'Agile Top-Down (S4)'!$I$8:$BL$8,S15),"No Scenario Selected"))))</f>
        <v>2818.1750000000002</v>
      </c>
      <c r="Y15" s="43"/>
    </row>
    <row r="16" spans="1:25" ht="14.25" customHeight="1" x14ac:dyDescent="0.25">
      <c r="D16" s="694" t="str">
        <f>INDEX(ScenarioTagNames,1,(IF(Scenario1Selected,1,IF(Scenario2Selected,2,IF(Scenario3Selected,3,IF(Scenario4Selected,4,0))))))</f>
        <v>&lt;Scn1 Tag A&gt;</v>
      </c>
      <c r="E16" s="694" t="str">
        <f>INDEX(ScenarioTagNames,2,(IF(Scenario1Selected,1,IF(Scenario2Selected,2,IF(Scenario3Selected,3,IF(Scenario4Selected,4,0))))))</f>
        <v>&lt;Scn1 Tag B&gt;</v>
      </c>
      <c r="F16" s="694" t="str">
        <f>INDEX(ScenarioTagNames,3,(IF(Scenario1Selected,1,IF(Scenario2Selected,2,IF(Scenario3Selected,3,IF(Scenario4Selected,4,0))))))</f>
        <v>&lt;Scn1 Tag C&gt;</v>
      </c>
      <c r="G16" s="694" t="str">
        <f>INDEX(ScenarioTagNames,4,(IF(Scenario1Selected,1,IF(Scenario2Selected,2,IF(Scenario3Selected,3,IF(Scenario4Selected,4,0))))))</f>
        <v>&lt;Scn1 Tag D&gt;</v>
      </c>
      <c r="H16" s="453"/>
      <c r="I16" s="453"/>
      <c r="L16" s="694" t="str">
        <f>INDEX(ScenarioTagNames,1,(IF(Scenario1Selected,1,IF(Scenario2Selected,2,IF(Scenario3Selected,3,IF(Scenario4Selected,4,0))))))</f>
        <v>&lt;Scn1 Tag A&gt;</v>
      </c>
      <c r="M16" s="694" t="str">
        <f>INDEX(ScenarioTagNames,2,(IF(Scenario1Selected,1,IF(Scenario2Selected,2,IF(Scenario3Selected,3,IF(Scenario4Selected,4,0))))))</f>
        <v>&lt;Scn1 Tag B&gt;</v>
      </c>
      <c r="N16" s="694" t="str">
        <f>INDEX(ScenarioTagNames,3,(IF(Scenario1Selected,1,IF(Scenario2Selected,2,IF(Scenario3Selected,3,IF(Scenario4Selected,4,0))))))</f>
        <v>&lt;Scn1 Tag C&gt;</v>
      </c>
      <c r="O16" s="694" t="str">
        <f>INDEX(ScenarioTagNames,4,(IF(Scenario1Selected,1,IF(Scenario2Selected,2,IF(Scenario3Selected,3,IF(Scenario4Selected,4,0))))))</f>
        <v>&lt;Scn1 Tag D&gt;</v>
      </c>
      <c r="S16" s="353" t="s">
        <v>580</v>
      </c>
      <c r="T16" s="354">
        <f t="shared" ca="1" si="7"/>
        <v>46552</v>
      </c>
      <c r="U16" s="354">
        <f ca="1">IF(Scenario1Selected,(OFFSET(T16,0,0,1,1)+((COUNTIF('Agile Top-Down (S1)'!$I$8:$DY$8,S16)*7))-1),IF(Scenario2Selected,(OFFSET(T16,0,0,1,1)+((COUNTIF('Agile Top-Down (S2)'!$I$8:$BH$8,S16)*7))-1),IF(Scenario3Selected,(OFFSET(T16,0,0,1,1)+((COUNTIF('Agile Top-Down (S3)'!$I$8:$BH$8,S16)*7))-1),IF(Scenario4Selected,(OFFSET(T16,0,0,1,1)+((COUNTIF('Agile Top-Down (S4)'!$I$8:$BL$8,S16)*7))-1)))))</f>
        <v>46558</v>
      </c>
      <c r="V16" s="355">
        <f t="shared" ca="1" si="6"/>
        <v>1</v>
      </c>
      <c r="W16" s="355">
        <f ca="1">IF(V16=0,0,(IF(Scenario1Selected,SUMIFS('Agile Top-Down (S1)'!$I$191:$DY$191,'Agile Top-Down (S1)'!$I$8:$DY$8,S16),IF(Scenario2Selected,SUMIFS('Agile Top-Down (S2)'!$I$182:$BH$182,'Agile Top-Down (S2)'!$I$8:$BH$8,S16),IF(Scenario3Selected,SUMIFS('Agile Top-Down (S3)'!$I$181:$BH$181,'Agile Top-Down (S3)'!$I$8:$BH$8,S16),IF(Scenario4Selected,SUMIFS('Agile Top-Down (S4)'!$I$181:$BL$181,'Agile Top-Down (S4)'!$I$8:$BL$8,S16),"No Scenario Selected"))))/(V16)))</f>
        <v>42.1</v>
      </c>
      <c r="X16" s="355">
        <f>IF(Scenario1Selected,SUMIFS('Agile Top-Down (S1)'!$I$192:$DY$192,'Agile Top-Down (S1)'!$I$8:$DY$8,S16),IF(Scenario2Selected,SUMIFS('Agile Top-Down (S2)'!$I$183:$BH$183,'Agile Top-Down (S2)'!$I$8:$BH$8,S16),IF(Scenario3Selected,SUMIFS('Agile Top-Down (S3)'!$I$182:$BH$182,'Agile Top-Down (S3)'!$I$8:$BH$8,S16),IF(Scenario4Selected,SUMIFS('Agile Top-Down (S4)'!$I$182:$BL$182,'Agile Top-Down (S4)'!$I$8:$BL$8,S16),"No Scenario Selected"))))</f>
        <v>178.92499999999998</v>
      </c>
    </row>
    <row r="17" spans="4:25" ht="15" customHeight="1" x14ac:dyDescent="0.25">
      <c r="D17" s="695"/>
      <c r="E17" s="695"/>
      <c r="F17" s="695"/>
      <c r="G17" s="695"/>
      <c r="H17" s="454"/>
      <c r="I17" s="454"/>
      <c r="L17" s="695"/>
      <c r="M17" s="695"/>
      <c r="N17" s="695"/>
      <c r="O17" s="695"/>
      <c r="S17" s="353" t="str">
        <f>AgileIteration_PPT</f>
        <v>PPT</v>
      </c>
      <c r="T17" s="354">
        <f t="shared" ca="1" si="7"/>
        <v>46559</v>
      </c>
      <c r="U17" s="354">
        <f ca="1">IF(Scenario1Selected,(OFFSET(T17,0,0,1,1)+((COUNTIF('Agile Top-Down (S1)'!$I$8:$DY$8,S17)*7))-1),IF(Scenario2Selected,(OFFSET(T17,0,0,1,1)+((COUNTIF('Agile Top-Down (S2)'!$I$8:$BH$8,S17)*7))-1),IF(Scenario3Selected,(OFFSET(T17,0,0,1,1)+((COUNTIF('Agile Top-Down (S3)'!$I$8:$BH$8,S17)*7))-1),IF(Scenario4Selected,(OFFSET(T17,0,0,1,1)+((COUNTIF('Agile Top-Down (S4)'!$I$8:$BL$8,S17)*7))-1)))))</f>
        <v>46628</v>
      </c>
      <c r="V17" s="355">
        <f t="shared" ca="1" si="6"/>
        <v>10</v>
      </c>
      <c r="W17" s="355">
        <f ca="1">IF(V17=0,0,(IF(Scenario1Selected,SUMIFS('Agile Top-Down (S1)'!$I$191:$DY$191,'Agile Top-Down (S1)'!$I$8:$DY$8,S17),IF(Scenario2Selected,SUMIFS('Agile Top-Down (S2)'!$I$182:$BH$182,'Agile Top-Down (S2)'!$I$8:$BH$8,S17),IF(Scenario3Selected,SUMIFS('Agile Top-Down (S3)'!$I$181:$BH$181,'Agile Top-Down (S3)'!$I$8:$BH$8,S17),IF(Scenario4Selected,SUMIFS('Agile Top-Down (S4)'!$I$181:$BL$181,'Agile Top-Down (S4)'!$I$8:$BL$8,S17),"No Scenario Selected"))))/(V17)))</f>
        <v>44.900000000000013</v>
      </c>
      <c r="X17" s="355">
        <f>IF(Scenario1Selected,SUMIFS('Agile Top-Down (S1)'!$I$192:$DY$192,'Agile Top-Down (S1)'!$I$8:$DY$8,S17),IF(Scenario2Selected,SUMIFS('Agile Top-Down (S2)'!$I$183:$BH$183,'Agile Top-Down (S2)'!$I$8:$BH$8,S17),IF(Scenario3Selected,SUMIFS('Agile Top-Down (S3)'!$I$182:$BH$182,'Agile Top-Down (S3)'!$I$8:$BH$8,S17),IF(Scenario4Selected,SUMIFS('Agile Top-Down (S4)'!$I$182:$BL$182,'Agile Top-Down (S4)'!$I$8:$BL$8,S17),"No Scenario Selected"))))</f>
        <v>1908.2499999999998</v>
      </c>
      <c r="Y17"/>
    </row>
    <row r="18" spans="4:25" ht="15" customHeight="1" x14ac:dyDescent="0.25">
      <c r="D18" s="696"/>
      <c r="E18" s="696"/>
      <c r="F18" s="696"/>
      <c r="G18" s="696"/>
      <c r="H18" s="454"/>
      <c r="I18" s="454"/>
      <c r="L18" s="696"/>
      <c r="M18" s="696"/>
      <c r="N18" s="696"/>
      <c r="O18" s="696"/>
      <c r="S18" s="353" t="str">
        <f>AgileIteration_Warranty</f>
        <v>Warranty</v>
      </c>
      <c r="T18" s="354">
        <f t="shared" ca="1" si="7"/>
        <v>46629</v>
      </c>
      <c r="U18" s="354">
        <f ca="1">IF(Scenario1Selected,(OFFSET(T18,0,0,1,1)+((COUNTIF('Agile Top-Down (S1)'!$I$8:$DY$8,S18)*7))-1),IF(Scenario2Selected,(OFFSET(T18,0,0,1,1)+((COUNTIF('Agile Top-Down (S2)'!$I$8:$BH$8,S18)*7))-1),IF(Scenario3Selected,(OFFSET(T18,0,0,1,1)+((COUNTIF('Agile Top-Down (S3)'!$I$8:$BH$8,S18)*7))-1),IF(Scenario4Selected,(OFFSET(T18,0,0,1,1)+((COUNTIF('Agile Top-Down (S4)'!$I$8:$BL$8,S18)*7))-1)))))</f>
        <v>46719</v>
      </c>
      <c r="V18" s="355">
        <f t="shared" ca="1" si="6"/>
        <v>13</v>
      </c>
      <c r="W18" s="355">
        <f ca="1">IF(V18=0,0,(IF(Scenario1Selected,SUMIFS('Agile Top-Down (S1)'!$I$191:$DY$191,'Agile Top-Down (S1)'!$I$8:$DY$8,S18),IF(Scenario2Selected,SUMIFS('Agile Top-Down (S2)'!$I$182:$BH$182,'Agile Top-Down (S2)'!$I$8:$BH$8,S18),IF(Scenario3Selected,SUMIFS('Agile Top-Down (S3)'!$I$181:$BH$181,'Agile Top-Down (S3)'!$I$8:$BH$8,S18),IF(Scenario4Selected,SUMIFS('Agile Top-Down (S4)'!$I$181:$BL$181,'Agile Top-Down (S4)'!$I$8:$BL$8,S18),"No Scenario Selected"))))/(V18)))</f>
        <v>7.9115384615384636</v>
      </c>
      <c r="X18" s="355">
        <f>IF(Scenario1Selected,SUMIFS('Agile Top-Down (S1)'!$I$192:$DY$192,'Agile Top-Down (S1)'!$I$8:$DY$8,S18),IF(Scenario2Selected,SUMIFS('Agile Top-Down (S2)'!$I$183:$BH$183,'Agile Top-Down (S2)'!$I$8:$BH$8,S18),IF(Scenario3Selected,SUMIFS('Agile Top-Down (S3)'!$I$182:$BH$182,'Agile Top-Down (S3)'!$I$8:$BH$8,S18),IF(Scenario4Selected,SUMIFS('Agile Top-Down (S4)'!$I$182:$BL$182,'Agile Top-Down (S4)'!$I$8:$BL$8,S18),"No Scenario Selected"))))</f>
        <v>0</v>
      </c>
    </row>
    <row r="19" spans="4:25" x14ac:dyDescent="0.25">
      <c r="S19" s="476" t="s">
        <v>747</v>
      </c>
      <c r="T19" s="350">
        <f>T6</f>
        <v>45936</v>
      </c>
      <c r="U19" s="350">
        <f ca="1">U18</f>
        <v>46719</v>
      </c>
      <c r="V19" s="351">
        <f ca="1">(_xlfn.DAYS(U19,T19)+1)/7</f>
        <v>112</v>
      </c>
      <c r="W19" s="352">
        <f ca="1">SUM(W6:W18)/COUNT(W6:W18)</f>
        <v>32.861978139381989</v>
      </c>
      <c r="X19" s="352">
        <f>SUM(X6:X18)</f>
        <v>15499.749999999996</v>
      </c>
    </row>
  </sheetData>
  <sheetProtection sheet="1" objects="1" scenarios="1" formatCells="0" formatColumns="0" formatRows="0"/>
  <mergeCells count="20">
    <mergeCell ref="S4:X4"/>
    <mergeCell ref="J15:K15"/>
    <mergeCell ref="J2:P2"/>
    <mergeCell ref="J4:K5"/>
    <mergeCell ref="L4:O4"/>
    <mergeCell ref="J6:J14"/>
    <mergeCell ref="B15:C15"/>
    <mergeCell ref="B1:E1"/>
    <mergeCell ref="D4:G4"/>
    <mergeCell ref="B4:C5"/>
    <mergeCell ref="B2:H2"/>
    <mergeCell ref="B6:B14"/>
    <mergeCell ref="M16:M18"/>
    <mergeCell ref="N16:N18"/>
    <mergeCell ref="O16:O18"/>
    <mergeCell ref="D16:D18"/>
    <mergeCell ref="E16:E18"/>
    <mergeCell ref="F16:F18"/>
    <mergeCell ref="G16:G18"/>
    <mergeCell ref="L16:L18"/>
  </mergeCell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A00D1-A6C2-4EEF-9ABA-CB1691D2F975}">
  <sheetPr codeName="Domain_BRKDN">
    <tabColor theme="9" tint="0.39997558519241921"/>
  </sheetPr>
  <dimension ref="A1:S19"/>
  <sheetViews>
    <sheetView showGridLines="0" defaultGridColor="0" colorId="55" zoomScale="90" zoomScaleNormal="90" workbookViewId="0">
      <selection activeCell="A4" sqref="A4:G4"/>
    </sheetView>
  </sheetViews>
  <sheetFormatPr defaultColWidth="10.42578125" defaultRowHeight="15" x14ac:dyDescent="0.25"/>
  <cols>
    <col min="1" max="1" width="8.5703125" customWidth="1"/>
    <col min="2" max="2" width="7" customWidth="1"/>
    <col min="3" max="3" width="17.42578125" bestFit="1" customWidth="1"/>
    <col min="4" max="4" width="8.42578125" bestFit="1" customWidth="1"/>
    <col min="5" max="5" width="21.42578125" bestFit="1" customWidth="1"/>
    <col min="6" max="6" width="16.42578125" customWidth="1"/>
    <col min="7" max="7" width="12.5703125" customWidth="1"/>
    <col min="8" max="8" width="9.7109375" customWidth="1"/>
    <col min="10" max="10" width="8.5703125" bestFit="1" customWidth="1"/>
    <col min="11" max="11" width="13.7109375" customWidth="1"/>
    <col min="12" max="12" width="13.5703125" customWidth="1"/>
    <col min="13" max="13" width="14.42578125" bestFit="1" customWidth="1"/>
    <col min="14" max="14" width="16.28515625" customWidth="1"/>
    <col min="15" max="15" width="16.5703125" customWidth="1"/>
    <col min="16" max="16" width="14.42578125" bestFit="1" customWidth="1"/>
    <col min="17" max="17" width="15.5703125" customWidth="1"/>
    <col min="18" max="18" width="5.7109375" customWidth="1"/>
    <col min="19" max="19" width="27" customWidth="1"/>
  </cols>
  <sheetData>
    <row r="1" spans="1:19" ht="15" customHeight="1" x14ac:dyDescent="0.25">
      <c r="A1" s="54"/>
      <c r="B1" s="658" t="str">
        <f>Customer &amp; CHAR(10) &amp; Project</f>
        <v>Optus
BoSS Proposal</v>
      </c>
      <c r="C1" s="658"/>
      <c r="D1" s="658"/>
      <c r="E1" s="721"/>
      <c r="F1" s="54"/>
      <c r="G1" s="54"/>
      <c r="H1" s="54"/>
      <c r="I1" s="54"/>
      <c r="J1" s="724" t="s">
        <v>748</v>
      </c>
      <c r="K1" s="724"/>
      <c r="L1" t="b">
        <v>0</v>
      </c>
      <c r="M1" s="54"/>
    </row>
    <row r="2" spans="1:19" ht="22.5" customHeight="1" x14ac:dyDescent="0.25">
      <c r="A2" s="54"/>
      <c r="B2" s="658"/>
      <c r="C2" s="658"/>
      <c r="D2" s="658"/>
      <c r="E2" s="721"/>
      <c r="F2" s="54"/>
      <c r="G2" s="54"/>
      <c r="H2" s="54"/>
      <c r="I2" s="54"/>
      <c r="J2" s="724" t="s">
        <v>749</v>
      </c>
      <c r="K2" s="724"/>
      <c r="L2" t="b">
        <v>0</v>
      </c>
      <c r="M2" s="54"/>
    </row>
    <row r="3" spans="1:19" ht="18.75" customHeight="1" x14ac:dyDescent="0.25">
      <c r="A3" s="720" t="s">
        <v>750</v>
      </c>
      <c r="B3" s="720"/>
      <c r="C3" s="720"/>
      <c r="D3" s="720"/>
      <c r="E3" s="720"/>
      <c r="F3" s="720"/>
      <c r="G3" s="720"/>
      <c r="H3" s="720"/>
      <c r="I3" s="720"/>
      <c r="J3" s="720"/>
      <c r="K3" s="720"/>
      <c r="L3" s="720"/>
      <c r="M3" s="720"/>
    </row>
    <row r="4" spans="1:19" x14ac:dyDescent="0.25">
      <c r="A4" s="722" t="s">
        <v>751</v>
      </c>
      <c r="B4" s="723"/>
      <c r="C4" s="723"/>
      <c r="D4" s="723"/>
      <c r="E4" s="723"/>
      <c r="F4" s="723"/>
      <c r="G4" s="723"/>
    </row>
    <row r="6" spans="1:19" x14ac:dyDescent="0.25">
      <c r="C6" s="719" t="s">
        <v>752</v>
      </c>
      <c r="D6" s="719"/>
      <c r="E6" s="719"/>
      <c r="F6" s="719"/>
      <c r="G6" s="719"/>
      <c r="H6" s="719"/>
      <c r="I6" s="719"/>
      <c r="J6" s="719"/>
      <c r="K6" s="478"/>
      <c r="L6" s="719" t="s">
        <v>753</v>
      </c>
      <c r="M6" s="719"/>
      <c r="N6" s="719"/>
      <c r="O6" s="719"/>
      <c r="P6" s="719"/>
      <c r="Q6" s="719"/>
      <c r="R6" s="478"/>
      <c r="S6" s="607" t="s">
        <v>754</v>
      </c>
    </row>
    <row r="7" spans="1:19" ht="30" x14ac:dyDescent="0.25">
      <c r="C7" s="607" t="s">
        <v>587</v>
      </c>
      <c r="D7" s="607" t="s">
        <v>755</v>
      </c>
      <c r="E7" s="607" t="s">
        <v>591</v>
      </c>
      <c r="F7" s="607" t="s">
        <v>746</v>
      </c>
      <c r="G7" s="607" t="s">
        <v>562</v>
      </c>
      <c r="H7" s="607" t="s">
        <v>563</v>
      </c>
      <c r="I7" s="607" t="s">
        <v>756</v>
      </c>
      <c r="J7" s="607" t="s">
        <v>757</v>
      </c>
      <c r="K7" s="478"/>
      <c r="L7" s="607" t="s">
        <v>758</v>
      </c>
      <c r="M7" s="607" t="s">
        <v>759</v>
      </c>
      <c r="N7" s="607" t="s">
        <v>760</v>
      </c>
      <c r="O7" s="607" t="s">
        <v>761</v>
      </c>
      <c r="P7" s="607" t="s">
        <v>762</v>
      </c>
      <c r="Q7" s="607" t="s">
        <v>763</v>
      </c>
      <c r="R7" s="478"/>
      <c r="S7" s="607">
        <v>16484</v>
      </c>
    </row>
    <row r="8" spans="1:19" x14ac:dyDescent="0.25">
      <c r="C8" s="608"/>
      <c r="D8" s="608"/>
      <c r="E8" s="608" t="s">
        <v>637</v>
      </c>
      <c r="F8" s="608">
        <v>153</v>
      </c>
      <c r="G8" s="608">
        <v>30.6</v>
      </c>
      <c r="H8" s="608">
        <v>0</v>
      </c>
      <c r="I8" s="609">
        <f t="shared" ref="I8:I18" si="0">SUM(F8:H8)</f>
        <v>183.6</v>
      </c>
      <c r="J8" s="620">
        <f>I8/I19</f>
        <v>9.0809147339943625E-3</v>
      </c>
      <c r="L8" s="622" t="s">
        <v>764</v>
      </c>
      <c r="M8" s="622">
        <v>1</v>
      </c>
      <c r="N8" s="633">
        <v>0</v>
      </c>
      <c r="O8" s="622">
        <v>0</v>
      </c>
      <c r="P8" s="633">
        <v>0</v>
      </c>
      <c r="Q8" s="634">
        <v>0</v>
      </c>
      <c r="S8" s="635" t="s">
        <v>765</v>
      </c>
    </row>
    <row r="9" spans="1:19" x14ac:dyDescent="0.25">
      <c r="C9" s="608"/>
      <c r="D9" s="608"/>
      <c r="E9" s="608" t="s">
        <v>640</v>
      </c>
      <c r="F9" s="608">
        <v>915.875</v>
      </c>
      <c r="G9" s="608">
        <v>183.17500000000001</v>
      </c>
      <c r="H9" s="608">
        <v>8.5</v>
      </c>
      <c r="I9" s="609">
        <f t="shared" si="0"/>
        <v>1107.55</v>
      </c>
      <c r="J9" s="620">
        <f>I9/I19</f>
        <v>5.4779777307382663E-2</v>
      </c>
      <c r="L9" s="568"/>
      <c r="M9" s="568"/>
      <c r="N9" s="568"/>
      <c r="O9" s="568"/>
      <c r="P9" s="568"/>
      <c r="Q9" s="568"/>
    </row>
    <row r="10" spans="1:19" x14ac:dyDescent="0.25">
      <c r="C10" s="608"/>
      <c r="D10" s="608"/>
      <c r="E10" s="608" t="s">
        <v>702</v>
      </c>
      <c r="F10" s="608">
        <v>7399.25</v>
      </c>
      <c r="G10" s="608">
        <v>1479.8500000000001</v>
      </c>
      <c r="H10" s="608">
        <v>165.75</v>
      </c>
      <c r="I10" s="609">
        <f t="shared" si="0"/>
        <v>9044.85</v>
      </c>
      <c r="J10" s="620">
        <f>I10/I19</f>
        <v>0.44736117446497237</v>
      </c>
    </row>
    <row r="11" spans="1:19" x14ac:dyDescent="0.25">
      <c r="C11" s="608"/>
      <c r="D11" s="608"/>
      <c r="E11" s="608" t="s">
        <v>663</v>
      </c>
      <c r="F11" s="608">
        <v>21.25</v>
      </c>
      <c r="G11" s="608">
        <v>4.25</v>
      </c>
      <c r="H11" s="608">
        <v>0</v>
      </c>
      <c r="I11" s="609">
        <f t="shared" si="0"/>
        <v>25.5</v>
      </c>
      <c r="J11" s="620">
        <f>I11/I19</f>
        <v>1.2612381574992173E-3</v>
      </c>
    </row>
    <row r="12" spans="1:19" x14ac:dyDescent="0.25">
      <c r="C12" s="608"/>
      <c r="D12" s="608"/>
      <c r="E12" s="608" t="s">
        <v>674</v>
      </c>
      <c r="F12" s="608">
        <v>123.25</v>
      </c>
      <c r="G12" s="608">
        <v>24.650000000000002</v>
      </c>
      <c r="H12" s="608">
        <v>0</v>
      </c>
      <c r="I12" s="609">
        <f t="shared" si="0"/>
        <v>147.9</v>
      </c>
      <c r="J12" s="620">
        <f>I12/I19</f>
        <v>7.3151813134954601E-3</v>
      </c>
    </row>
    <row r="13" spans="1:19" x14ac:dyDescent="0.25">
      <c r="C13" s="608"/>
      <c r="D13" s="608"/>
      <c r="E13" s="608" t="s">
        <v>653</v>
      </c>
      <c r="F13" s="608">
        <v>1321.75</v>
      </c>
      <c r="G13" s="608">
        <v>264.35000000000002</v>
      </c>
      <c r="H13" s="608">
        <v>27.625</v>
      </c>
      <c r="I13" s="609">
        <f t="shared" si="0"/>
        <v>1613.7249999999999</v>
      </c>
      <c r="J13" s="620">
        <f>I13/I19</f>
        <v>7.9815354733742128E-2</v>
      </c>
    </row>
    <row r="14" spans="1:19" x14ac:dyDescent="0.25">
      <c r="C14" s="608"/>
      <c r="D14" s="608"/>
      <c r="E14" s="608" t="s">
        <v>627</v>
      </c>
      <c r="F14" s="608">
        <v>1691.5</v>
      </c>
      <c r="G14" s="608">
        <v>338.3</v>
      </c>
      <c r="H14" s="608">
        <v>124.3125</v>
      </c>
      <c r="I14" s="609">
        <f t="shared" si="0"/>
        <v>2154.1125000000002</v>
      </c>
      <c r="J14" s="620">
        <f>I14/I19</f>
        <v>0.10654309335474638</v>
      </c>
    </row>
    <row r="15" spans="1:19" x14ac:dyDescent="0.25">
      <c r="C15" s="608"/>
      <c r="D15" s="608"/>
      <c r="E15" s="608" t="s">
        <v>594</v>
      </c>
      <c r="F15" s="608">
        <v>1689.375</v>
      </c>
      <c r="G15" s="608">
        <v>337.875</v>
      </c>
      <c r="H15" s="608">
        <v>83.3</v>
      </c>
      <c r="I15" s="609">
        <f t="shared" si="0"/>
        <v>2110.5500000000002</v>
      </c>
      <c r="J15" s="620">
        <f>I15/I19</f>
        <v>0.10438847816901854</v>
      </c>
    </row>
    <row r="16" spans="1:19" x14ac:dyDescent="0.25">
      <c r="C16" s="608"/>
      <c r="D16" s="608"/>
      <c r="E16" s="608" t="s">
        <v>612</v>
      </c>
      <c r="F16" s="608">
        <v>2017.2625</v>
      </c>
      <c r="G16" s="608">
        <v>403.45249999999999</v>
      </c>
      <c r="H16" s="608">
        <v>27.625</v>
      </c>
      <c r="I16" s="609">
        <f t="shared" si="0"/>
        <v>2448.34</v>
      </c>
      <c r="J16" s="620">
        <f>I16/I19</f>
        <v>0.12109567962869151</v>
      </c>
    </row>
    <row r="17" spans="3:10" x14ac:dyDescent="0.25">
      <c r="C17" s="608"/>
      <c r="D17" s="608"/>
      <c r="E17" s="608" t="s">
        <v>666</v>
      </c>
      <c r="F17" s="608">
        <v>1066.75</v>
      </c>
      <c r="G17" s="608">
        <v>213.35000000000002</v>
      </c>
      <c r="H17" s="608">
        <v>0</v>
      </c>
      <c r="I17" s="609">
        <f t="shared" si="0"/>
        <v>1280.0999999999999</v>
      </c>
      <c r="J17" s="620">
        <f>I17/I19</f>
        <v>6.331415550646069E-2</v>
      </c>
    </row>
    <row r="18" spans="3:10" x14ac:dyDescent="0.25">
      <c r="C18" s="608"/>
      <c r="D18" s="608"/>
      <c r="E18" s="608" t="s">
        <v>683</v>
      </c>
      <c r="F18" s="608">
        <v>85</v>
      </c>
      <c r="G18" s="608">
        <v>17</v>
      </c>
      <c r="H18" s="608">
        <v>0</v>
      </c>
      <c r="I18" s="609">
        <f t="shared" si="0"/>
        <v>102</v>
      </c>
      <c r="J18" s="620">
        <f>I18/I19</f>
        <v>5.044952629996869E-3</v>
      </c>
    </row>
    <row r="19" spans="3:10" x14ac:dyDescent="0.25">
      <c r="C19" s="718" t="s">
        <v>766</v>
      </c>
      <c r="D19" s="718"/>
      <c r="E19" s="718"/>
      <c r="F19" s="632">
        <f>SUM(F8:F18)</f>
        <v>16484.262500000001</v>
      </c>
      <c r="G19" s="632">
        <f>SUM(G8:G18)</f>
        <v>3296.8525000000004</v>
      </c>
      <c r="H19" s="632">
        <f>SUM(H8:H18)</f>
        <v>437.11250000000001</v>
      </c>
      <c r="I19" s="632">
        <f>SUM(I8:I18)</f>
        <v>20218.227499999997</v>
      </c>
      <c r="J19" s="620">
        <f>SUM(J8:J18)</f>
        <v>1.0000000000000002</v>
      </c>
    </row>
  </sheetData>
  <sheetProtection sheet="1" objects="1" scenarios="1" formatCells="0" formatColumns="0" formatRows="0" sort="0" autoFilter="0"/>
  <mergeCells count="8">
    <mergeCell ref="C19:E19"/>
    <mergeCell ref="L6:Q6"/>
    <mergeCell ref="C6:J6"/>
    <mergeCell ref="A3:M3"/>
    <mergeCell ref="B1:E2"/>
    <mergeCell ref="A4:G4"/>
    <mergeCell ref="J1:K1"/>
    <mergeCell ref="J2:K2"/>
  </mergeCells>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DDAA-5AC8-4A4A-A31D-19C480F0E76F}">
  <sheetPr codeName="TTSSheet">
    <tabColor theme="9" tint="0.39997558519241921"/>
  </sheetPr>
  <dimension ref="A1:R49"/>
  <sheetViews>
    <sheetView showGridLines="0" defaultGridColor="0" topLeftCell="B1" colorId="55" zoomScaleNormal="10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699" t="str">
        <f>Customer &amp; CHAR(10) &amp; Project</f>
        <v>Optus
BoSS Proposal</v>
      </c>
      <c r="C1" s="699"/>
      <c r="D1" s="699"/>
      <c r="E1" s="699"/>
      <c r="F1" s="723"/>
      <c r="G1" s="723"/>
      <c r="H1" s="727" t="s">
        <v>767</v>
      </c>
      <c r="I1" s="727"/>
      <c r="J1" s="727"/>
      <c r="K1" s="727"/>
      <c r="L1" s="727"/>
      <c r="M1" s="727"/>
    </row>
    <row r="2" spans="1:18" ht="15" customHeight="1" x14ac:dyDescent="0.25">
      <c r="A2" s="280"/>
      <c r="B2" s="725"/>
      <c r="C2" s="725"/>
      <c r="D2" s="725"/>
      <c r="E2" s="725"/>
      <c r="F2" s="726"/>
      <c r="G2" s="726"/>
      <c r="H2" s="727"/>
      <c r="I2" s="727"/>
      <c r="J2" s="727"/>
      <c r="K2" s="727"/>
      <c r="L2" s="727"/>
      <c r="M2" s="727"/>
    </row>
    <row r="3" spans="1:18" ht="24.75" customHeight="1" x14ac:dyDescent="0.25">
      <c r="A3" s="728" t="s">
        <v>768</v>
      </c>
      <c r="B3" s="729"/>
      <c r="C3" s="729"/>
      <c r="D3" s="729"/>
      <c r="E3" s="729"/>
      <c r="F3" s="729"/>
      <c r="G3" s="729"/>
      <c r="H3" s="728"/>
      <c r="I3" s="728"/>
      <c r="J3" s="728"/>
      <c r="K3" s="728"/>
      <c r="L3" s="728"/>
      <c r="M3" s="728"/>
    </row>
    <row r="4" spans="1:18" ht="15.75" x14ac:dyDescent="0.25">
      <c r="A4" s="526"/>
      <c r="B4" s="730" t="s">
        <v>751</v>
      </c>
      <c r="C4" s="723"/>
      <c r="D4" s="723"/>
      <c r="E4" s="723"/>
      <c r="F4" s="723"/>
      <c r="G4" s="723"/>
      <c r="H4" s="723"/>
    </row>
    <row r="6" spans="1:18" ht="30" x14ac:dyDescent="0.25">
      <c r="B6" s="719" t="s">
        <v>769</v>
      </c>
      <c r="C6" s="719"/>
      <c r="D6" s="719"/>
      <c r="E6" s="719"/>
      <c r="F6" s="719"/>
      <c r="G6" s="719"/>
      <c r="H6" s="719"/>
      <c r="I6" s="478"/>
      <c r="J6" s="731" t="s">
        <v>770</v>
      </c>
      <c r="K6" s="731" t="s">
        <v>771</v>
      </c>
      <c r="L6" s="478"/>
      <c r="M6" s="719" t="s">
        <v>772</v>
      </c>
      <c r="N6" s="719"/>
      <c r="O6" s="719"/>
      <c r="P6" s="719"/>
      <c r="Q6" s="478"/>
      <c r="R6" s="607" t="s">
        <v>754</v>
      </c>
    </row>
    <row r="7" spans="1:18" ht="30" x14ac:dyDescent="0.25">
      <c r="B7" s="607" t="s">
        <v>773</v>
      </c>
      <c r="C7" s="607" t="s">
        <v>587</v>
      </c>
      <c r="D7" s="607" t="s">
        <v>755</v>
      </c>
      <c r="E7" s="607" t="s">
        <v>746</v>
      </c>
      <c r="F7" s="607" t="s">
        <v>562</v>
      </c>
      <c r="G7" s="607" t="s">
        <v>563</v>
      </c>
      <c r="H7" s="607" t="s">
        <v>720</v>
      </c>
      <c r="I7" s="478"/>
      <c r="J7" s="732"/>
      <c r="K7" s="732"/>
      <c r="L7" s="478"/>
      <c r="M7" s="607" t="s">
        <v>590</v>
      </c>
      <c r="N7" s="607" t="s">
        <v>589</v>
      </c>
      <c r="O7" s="618" t="s">
        <v>192</v>
      </c>
      <c r="P7" s="619" t="s">
        <v>774</v>
      </c>
      <c r="Q7" s="478"/>
      <c r="R7" s="580">
        <v>16486</v>
      </c>
    </row>
    <row r="8" spans="1:18" x14ac:dyDescent="0.25">
      <c r="B8" s="608" t="s">
        <v>597</v>
      </c>
      <c r="C8" s="608" t="s">
        <v>602</v>
      </c>
      <c r="D8" s="608" t="s">
        <v>596</v>
      </c>
      <c r="E8" s="608">
        <v>225.25</v>
      </c>
      <c r="F8" s="608">
        <v>45.050000000000004</v>
      </c>
      <c r="G8" s="608">
        <v>0</v>
      </c>
      <c r="H8" s="609">
        <f t="shared" ref="H8:H29" si="0">SUM(E8:G8)</f>
        <v>270.3</v>
      </c>
      <c r="J8" s="615">
        <v>1206.683940271791</v>
      </c>
      <c r="K8" s="614">
        <f t="shared" ref="K8:K29" si="1">(H8*J8)</f>
        <v>326166.66905546514</v>
      </c>
      <c r="M8" s="608" t="s">
        <v>597</v>
      </c>
      <c r="N8" s="608" t="s">
        <v>596</v>
      </c>
      <c r="O8" s="615">
        <v>531.67500000000018</v>
      </c>
      <c r="P8" s="620">
        <v>3.2249332972429538E-2</v>
      </c>
      <c r="R8" s="616" t="s">
        <v>765</v>
      </c>
    </row>
    <row r="9" spans="1:18" x14ac:dyDescent="0.25">
      <c r="B9" s="608" t="s">
        <v>597</v>
      </c>
      <c r="C9" s="608" t="s">
        <v>775</v>
      </c>
      <c r="D9" s="608" t="s">
        <v>596</v>
      </c>
      <c r="E9" s="608">
        <v>306.42500000000018</v>
      </c>
      <c r="F9" s="608">
        <v>61.285000000000039</v>
      </c>
      <c r="G9" s="608">
        <v>11.049999999999999</v>
      </c>
      <c r="H9" s="609">
        <f t="shared" si="0"/>
        <v>378.76000000000022</v>
      </c>
      <c r="J9" s="615">
        <v>1359.7377886344091</v>
      </c>
      <c r="K9" s="614">
        <f t="shared" si="1"/>
        <v>515014.28482316906</v>
      </c>
      <c r="M9" s="608" t="s">
        <v>597</v>
      </c>
      <c r="N9" s="608" t="s">
        <v>600</v>
      </c>
      <c r="O9" s="615">
        <v>545.69999999999982</v>
      </c>
      <c r="P9" s="620">
        <v>3.3100034801438444E-2</v>
      </c>
    </row>
    <row r="10" spans="1:18" x14ac:dyDescent="0.25">
      <c r="B10" s="608" t="s">
        <v>597</v>
      </c>
      <c r="C10" s="608" t="s">
        <v>618</v>
      </c>
      <c r="D10" s="608" t="s">
        <v>600</v>
      </c>
      <c r="E10" s="608">
        <v>545.69999999999982</v>
      </c>
      <c r="F10" s="608">
        <v>109.13999999999996</v>
      </c>
      <c r="G10" s="608">
        <v>36.125</v>
      </c>
      <c r="H10" s="609">
        <f t="shared" si="0"/>
        <v>690.9649999999998</v>
      </c>
      <c r="J10" s="615">
        <v>343.26383737730703</v>
      </c>
      <c r="K10" s="614">
        <f t="shared" si="1"/>
        <v>237183.29739341087</v>
      </c>
      <c r="M10" s="608" t="s">
        <v>776</v>
      </c>
      <c r="N10" s="608" t="s">
        <v>600</v>
      </c>
      <c r="O10" s="615">
        <v>266.04999999999995</v>
      </c>
      <c r="P10" s="620">
        <v>1.6137555907866412E-2</v>
      </c>
    </row>
    <row r="11" spans="1:18" x14ac:dyDescent="0.25">
      <c r="B11" s="608" t="s">
        <v>776</v>
      </c>
      <c r="C11" s="608" t="s">
        <v>625</v>
      </c>
      <c r="D11" s="608" t="s">
        <v>600</v>
      </c>
      <c r="E11" s="608">
        <v>266.04999999999995</v>
      </c>
      <c r="F11" s="608">
        <v>53.209999999999987</v>
      </c>
      <c r="G11" s="608">
        <v>0</v>
      </c>
      <c r="H11" s="609">
        <f t="shared" si="0"/>
        <v>319.25999999999993</v>
      </c>
      <c r="J11" s="615">
        <v>94.881462702005351</v>
      </c>
      <c r="K11" s="614">
        <f t="shared" si="1"/>
        <v>30291.855782242223</v>
      </c>
      <c r="M11" s="608" t="s">
        <v>607</v>
      </c>
      <c r="N11" s="608" t="s">
        <v>596</v>
      </c>
      <c r="O11" s="615">
        <v>1589.5</v>
      </c>
      <c r="P11" s="620">
        <v>9.6412873954345668E-2</v>
      </c>
    </row>
    <row r="12" spans="1:18" x14ac:dyDescent="0.25">
      <c r="B12" s="608" t="s">
        <v>607</v>
      </c>
      <c r="C12" s="608" t="s">
        <v>613</v>
      </c>
      <c r="D12" s="608" t="s">
        <v>596</v>
      </c>
      <c r="E12" s="608">
        <v>454.75</v>
      </c>
      <c r="F12" s="608">
        <v>90.95</v>
      </c>
      <c r="G12" s="608">
        <v>36.125</v>
      </c>
      <c r="H12" s="609">
        <f t="shared" si="0"/>
        <v>581.82500000000005</v>
      </c>
      <c r="J12" s="615">
        <v>842.91265719201783</v>
      </c>
      <c r="K12" s="614">
        <f t="shared" si="1"/>
        <v>490427.65677074582</v>
      </c>
      <c r="M12" s="608" t="s">
        <v>607</v>
      </c>
      <c r="N12" s="608" t="s">
        <v>676</v>
      </c>
      <c r="O12" s="615">
        <v>123.25</v>
      </c>
      <c r="P12" s="620">
        <v>7.4758645579572841E-3</v>
      </c>
    </row>
    <row r="13" spans="1:18" x14ac:dyDescent="0.25">
      <c r="B13" s="608" t="s">
        <v>607</v>
      </c>
      <c r="C13" s="608" t="s">
        <v>613</v>
      </c>
      <c r="D13" s="608" t="s">
        <v>676</v>
      </c>
      <c r="E13" s="608">
        <v>123.25</v>
      </c>
      <c r="F13" s="608">
        <v>24.650000000000002</v>
      </c>
      <c r="G13" s="608">
        <v>0</v>
      </c>
      <c r="H13" s="609">
        <f t="shared" si="0"/>
        <v>147.9</v>
      </c>
      <c r="J13" s="615">
        <v>933.84018120420308</v>
      </c>
      <c r="K13" s="614">
        <f t="shared" si="1"/>
        <v>138114.96280010164</v>
      </c>
      <c r="M13" s="608" t="s">
        <v>607</v>
      </c>
      <c r="N13" s="608" t="s">
        <v>600</v>
      </c>
      <c r="O13" s="615">
        <v>11696.2125</v>
      </c>
      <c r="P13" s="620">
        <v>0.70944665712849464</v>
      </c>
    </row>
    <row r="14" spans="1:18" x14ac:dyDescent="0.25">
      <c r="B14" s="608" t="s">
        <v>607</v>
      </c>
      <c r="C14" s="608" t="s">
        <v>613</v>
      </c>
      <c r="D14" s="608" t="s">
        <v>600</v>
      </c>
      <c r="E14" s="608">
        <v>595</v>
      </c>
      <c r="F14" s="608">
        <v>119</v>
      </c>
      <c r="G14" s="608">
        <v>0</v>
      </c>
      <c r="H14" s="609">
        <f t="shared" si="0"/>
        <v>714</v>
      </c>
      <c r="J14" s="615">
        <v>390.52144316711843</v>
      </c>
      <c r="K14" s="614">
        <f t="shared" si="1"/>
        <v>278832.31042132259</v>
      </c>
      <c r="M14" s="608" t="s">
        <v>627</v>
      </c>
      <c r="N14" s="608" t="s">
        <v>596</v>
      </c>
      <c r="O14" s="615">
        <v>722.5</v>
      </c>
      <c r="P14" s="620">
        <v>4.3824033615611664E-2</v>
      </c>
    </row>
    <row r="15" spans="1:18" x14ac:dyDescent="0.25">
      <c r="B15" s="608" t="s">
        <v>607</v>
      </c>
      <c r="C15" s="608" t="s">
        <v>658</v>
      </c>
      <c r="D15" s="608" t="s">
        <v>600</v>
      </c>
      <c r="E15" s="608">
        <v>1164.5</v>
      </c>
      <c r="F15" s="608">
        <v>232.90000000000003</v>
      </c>
      <c r="G15" s="608">
        <v>27.625</v>
      </c>
      <c r="H15" s="609">
        <f t="shared" si="0"/>
        <v>1425.0250000000001</v>
      </c>
      <c r="J15" s="615">
        <v>255.19856551855153</v>
      </c>
      <c r="K15" s="614">
        <f t="shared" si="1"/>
        <v>363664.3358280739</v>
      </c>
      <c r="M15" s="608" t="s">
        <v>627</v>
      </c>
      <c r="N15" s="608" t="s">
        <v>600</v>
      </c>
      <c r="O15" s="615">
        <v>969</v>
      </c>
      <c r="P15" s="620">
        <v>5.8775762731526231E-2</v>
      </c>
    </row>
    <row r="16" spans="1:18" x14ac:dyDescent="0.25">
      <c r="B16" s="608" t="s">
        <v>607</v>
      </c>
      <c r="C16" s="608" t="s">
        <v>602</v>
      </c>
      <c r="D16" s="608" t="s">
        <v>600</v>
      </c>
      <c r="E16" s="608">
        <v>225.25</v>
      </c>
      <c r="F16" s="608">
        <v>45.050000000000004</v>
      </c>
      <c r="G16" s="608">
        <v>0</v>
      </c>
      <c r="H16" s="609">
        <f t="shared" si="0"/>
        <v>270.3</v>
      </c>
      <c r="J16" s="615">
        <v>635.52198191116645</v>
      </c>
      <c r="K16" s="614">
        <f t="shared" si="1"/>
        <v>171781.59171058831</v>
      </c>
      <c r="M16" s="608" t="s">
        <v>609</v>
      </c>
      <c r="N16" s="608" t="s">
        <v>600</v>
      </c>
      <c r="O16" s="615">
        <v>42.5</v>
      </c>
      <c r="P16" s="620">
        <v>2.5778843303300978E-3</v>
      </c>
    </row>
    <row r="17" spans="2:16" x14ac:dyDescent="0.25">
      <c r="B17" s="608" t="s">
        <v>607</v>
      </c>
      <c r="C17" s="608" t="s">
        <v>707</v>
      </c>
      <c r="D17" s="608" t="s">
        <v>600</v>
      </c>
      <c r="E17" s="608">
        <v>837.25</v>
      </c>
      <c r="F17" s="608">
        <v>167.45</v>
      </c>
      <c r="G17" s="608">
        <v>55.25</v>
      </c>
      <c r="H17" s="609">
        <f t="shared" si="0"/>
        <v>1059.95</v>
      </c>
      <c r="J17" s="615">
        <v>219.93846100522521</v>
      </c>
      <c r="K17" s="614">
        <f t="shared" si="1"/>
        <v>233123.77174248846</v>
      </c>
      <c r="M17" s="610" t="s">
        <v>710</v>
      </c>
      <c r="N17" s="610"/>
      <c r="O17" s="611">
        <f>SUM(O7:O16)</f>
        <v>16486.387500000001</v>
      </c>
      <c r="P17" s="621">
        <f>SUM(P7:P16)</f>
        <v>1</v>
      </c>
    </row>
    <row r="18" spans="2:16" x14ac:dyDescent="0.25">
      <c r="B18" s="608" t="s">
        <v>607</v>
      </c>
      <c r="C18" s="608" t="s">
        <v>604</v>
      </c>
      <c r="D18" s="608" t="s">
        <v>596</v>
      </c>
      <c r="E18" s="608">
        <v>454.75</v>
      </c>
      <c r="F18" s="608">
        <v>90.95</v>
      </c>
      <c r="G18" s="608">
        <v>0</v>
      </c>
      <c r="H18" s="609">
        <f t="shared" si="0"/>
        <v>545.70000000000005</v>
      </c>
      <c r="J18" s="615">
        <v>829.15117956111271</v>
      </c>
      <c r="K18" s="614">
        <f t="shared" si="1"/>
        <v>452467.79868649924</v>
      </c>
    </row>
    <row r="19" spans="2:16" x14ac:dyDescent="0.25">
      <c r="B19" s="608" t="s">
        <v>607</v>
      </c>
      <c r="C19" s="608" t="s">
        <v>604</v>
      </c>
      <c r="D19" s="608" t="s">
        <v>600</v>
      </c>
      <c r="E19" s="608">
        <v>442</v>
      </c>
      <c r="F19" s="608">
        <v>88.4</v>
      </c>
      <c r="G19" s="608">
        <v>0</v>
      </c>
      <c r="H19" s="609">
        <f t="shared" si="0"/>
        <v>530.4</v>
      </c>
      <c r="J19" s="615">
        <v>329.5887546245807</v>
      </c>
      <c r="K19" s="614">
        <f t="shared" si="1"/>
        <v>174813.8754528776</v>
      </c>
      <c r="M19" s="733" t="s">
        <v>777</v>
      </c>
      <c r="N19" s="734"/>
      <c r="O19" s="734"/>
    </row>
    <row r="20" spans="2:16" x14ac:dyDescent="0.25">
      <c r="B20" s="608" t="s">
        <v>607</v>
      </c>
      <c r="C20" s="608" t="s">
        <v>685</v>
      </c>
      <c r="D20" s="608" t="s">
        <v>600</v>
      </c>
      <c r="E20" s="608">
        <v>391</v>
      </c>
      <c r="F20" s="608">
        <v>78.2</v>
      </c>
      <c r="G20" s="608">
        <v>0</v>
      </c>
      <c r="H20" s="609">
        <f t="shared" si="0"/>
        <v>469.2</v>
      </c>
      <c r="J20" s="615">
        <v>182.86589937819792</v>
      </c>
      <c r="K20" s="614">
        <f t="shared" si="1"/>
        <v>85800.679988250457</v>
      </c>
      <c r="M20" s="613" t="s">
        <v>590</v>
      </c>
      <c r="N20" s="613" t="s">
        <v>778</v>
      </c>
      <c r="O20" s="623" t="s">
        <v>779</v>
      </c>
    </row>
    <row r="21" spans="2:16" x14ac:dyDescent="0.25">
      <c r="B21" s="608" t="s">
        <v>607</v>
      </c>
      <c r="C21" s="608" t="s">
        <v>618</v>
      </c>
      <c r="D21" s="608" t="s">
        <v>600</v>
      </c>
      <c r="E21" s="608">
        <v>1069.0875000000001</v>
      </c>
      <c r="F21" s="608">
        <v>213.8175</v>
      </c>
      <c r="G21" s="608">
        <v>27.625</v>
      </c>
      <c r="H21" s="609">
        <f t="shared" si="0"/>
        <v>1310.5300000000002</v>
      </c>
      <c r="J21" s="615">
        <v>343.26383737730703</v>
      </c>
      <c r="K21" s="614">
        <f t="shared" si="1"/>
        <v>449857.55679808225</v>
      </c>
      <c r="M21" s="608" t="s">
        <v>607</v>
      </c>
      <c r="N21" s="608" t="s">
        <v>780</v>
      </c>
      <c r="O21" s="620">
        <v>0.12773173166827784</v>
      </c>
    </row>
    <row r="22" spans="2:16" x14ac:dyDescent="0.25">
      <c r="B22" s="608" t="s">
        <v>607</v>
      </c>
      <c r="C22" s="608" t="s">
        <v>659</v>
      </c>
      <c r="D22" s="608" t="s">
        <v>600</v>
      </c>
      <c r="E22" s="608">
        <v>2885.75</v>
      </c>
      <c r="F22" s="608">
        <v>577.15000000000009</v>
      </c>
      <c r="G22" s="608">
        <v>0</v>
      </c>
      <c r="H22" s="609">
        <f t="shared" si="0"/>
        <v>3462.9</v>
      </c>
      <c r="J22" s="615">
        <v>115.53118168973789</v>
      </c>
      <c r="K22" s="614">
        <f t="shared" si="1"/>
        <v>400072.92907339334</v>
      </c>
      <c r="M22" s="608" t="s">
        <v>607</v>
      </c>
      <c r="N22" s="608" t="s">
        <v>781</v>
      </c>
      <c r="O22" s="620">
        <v>0.87226826833172211</v>
      </c>
    </row>
    <row r="23" spans="2:16" x14ac:dyDescent="0.25">
      <c r="B23" s="608" t="s">
        <v>607</v>
      </c>
      <c r="C23" s="608" t="s">
        <v>635</v>
      </c>
      <c r="D23" s="608" t="s">
        <v>600</v>
      </c>
      <c r="E23" s="608">
        <v>1334.5</v>
      </c>
      <c r="F23" s="608">
        <v>266.89999999999998</v>
      </c>
      <c r="G23" s="608">
        <v>55.25</v>
      </c>
      <c r="H23" s="609">
        <f t="shared" si="0"/>
        <v>1656.65</v>
      </c>
      <c r="J23" s="615">
        <v>238.7361719150004</v>
      </c>
      <c r="K23" s="614">
        <f t="shared" si="1"/>
        <v>395502.2792029854</v>
      </c>
      <c r="M23" s="610" t="s">
        <v>710</v>
      </c>
      <c r="N23" s="610"/>
      <c r="O23" s="621">
        <f>SUM(O20:O22)</f>
        <v>1</v>
      </c>
    </row>
    <row r="24" spans="2:16" x14ac:dyDescent="0.25">
      <c r="B24" s="608" t="s">
        <v>607</v>
      </c>
      <c r="C24" s="608" t="s">
        <v>660</v>
      </c>
      <c r="D24" s="608" t="s">
        <v>600</v>
      </c>
      <c r="E24" s="608">
        <v>1632</v>
      </c>
      <c r="F24" s="608">
        <v>326.40000000000003</v>
      </c>
      <c r="G24" s="608">
        <v>0</v>
      </c>
      <c r="H24" s="609">
        <f t="shared" si="0"/>
        <v>1958.4</v>
      </c>
      <c r="J24" s="615">
        <v>101.68799298890667</v>
      </c>
      <c r="K24" s="614">
        <f t="shared" si="1"/>
        <v>199145.76546947483</v>
      </c>
    </row>
    <row r="25" spans="2:16" x14ac:dyDescent="0.25">
      <c r="B25" s="608" t="s">
        <v>607</v>
      </c>
      <c r="C25" s="608" t="s">
        <v>651</v>
      </c>
      <c r="D25" s="608" t="s">
        <v>600</v>
      </c>
      <c r="E25" s="608">
        <v>884</v>
      </c>
      <c r="F25" s="608">
        <v>176.8</v>
      </c>
      <c r="G25" s="608">
        <v>55.25</v>
      </c>
      <c r="H25" s="609">
        <f t="shared" si="0"/>
        <v>1116.05</v>
      </c>
      <c r="J25" s="615">
        <v>188.73032113404275</v>
      </c>
      <c r="K25" s="614">
        <f t="shared" si="1"/>
        <v>210632.47490164841</v>
      </c>
    </row>
    <row r="26" spans="2:16" x14ac:dyDescent="0.25">
      <c r="B26" s="608" t="s">
        <v>627</v>
      </c>
      <c r="C26" s="608" t="s">
        <v>630</v>
      </c>
      <c r="D26" s="608" t="s">
        <v>596</v>
      </c>
      <c r="E26" s="608">
        <v>722.5</v>
      </c>
      <c r="F26" s="608">
        <v>144.5</v>
      </c>
      <c r="G26" s="608">
        <v>110.5</v>
      </c>
      <c r="H26" s="609">
        <f t="shared" si="0"/>
        <v>977.5</v>
      </c>
      <c r="J26" s="615">
        <v>0</v>
      </c>
      <c r="K26" s="614">
        <f t="shared" si="1"/>
        <v>0</v>
      </c>
    </row>
    <row r="27" spans="2:16" x14ac:dyDescent="0.25">
      <c r="B27" s="608" t="s">
        <v>627</v>
      </c>
      <c r="C27" s="608" t="s">
        <v>630</v>
      </c>
      <c r="D27" s="608" t="s">
        <v>600</v>
      </c>
      <c r="E27" s="608">
        <v>544</v>
      </c>
      <c r="F27" s="608">
        <v>108.80000000000001</v>
      </c>
      <c r="G27" s="608">
        <v>0</v>
      </c>
      <c r="H27" s="609">
        <f t="shared" si="0"/>
        <v>652.79999999999995</v>
      </c>
      <c r="J27" s="615">
        <v>117.85066644309744</v>
      </c>
      <c r="K27" s="614">
        <f t="shared" si="1"/>
        <v>76932.915054053999</v>
      </c>
    </row>
    <row r="28" spans="2:16" x14ac:dyDescent="0.25">
      <c r="B28" s="608" t="s">
        <v>627</v>
      </c>
      <c r="C28" s="608" t="s">
        <v>628</v>
      </c>
      <c r="D28" s="608" t="s">
        <v>600</v>
      </c>
      <c r="E28" s="608">
        <v>425</v>
      </c>
      <c r="F28" s="608">
        <v>85</v>
      </c>
      <c r="G28" s="608">
        <v>13.8125</v>
      </c>
      <c r="H28" s="609">
        <f t="shared" si="0"/>
        <v>523.8125</v>
      </c>
      <c r="J28" s="615">
        <v>197.58193704886185</v>
      </c>
      <c r="K28" s="614">
        <f t="shared" si="1"/>
        <v>103495.88840040694</v>
      </c>
    </row>
    <row r="29" spans="2:16" x14ac:dyDescent="0.25">
      <c r="B29" s="608" t="s">
        <v>609</v>
      </c>
      <c r="C29" s="608" t="s">
        <v>602</v>
      </c>
      <c r="D29" s="608" t="s">
        <v>600</v>
      </c>
      <c r="E29" s="608">
        <v>42.5</v>
      </c>
      <c r="F29" s="608">
        <v>8.5</v>
      </c>
      <c r="G29" s="608">
        <v>0</v>
      </c>
      <c r="H29" s="609">
        <f t="shared" si="0"/>
        <v>51</v>
      </c>
      <c r="J29" s="615">
        <v>635.52198191116645</v>
      </c>
      <c r="K29" s="614">
        <f t="shared" si="1"/>
        <v>32411.621077469488</v>
      </c>
    </row>
    <row r="30" spans="2:16" x14ac:dyDescent="0.25">
      <c r="B30" s="735" t="s">
        <v>782</v>
      </c>
      <c r="C30" s="736"/>
      <c r="D30" s="610"/>
      <c r="E30" s="611">
        <f>SUM(E8:E29)</f>
        <v>15570.512500000001</v>
      </c>
      <c r="F30" s="611">
        <f>SUM(F8:F29)</f>
        <v>3114.1025000000009</v>
      </c>
      <c r="G30" s="611">
        <f>SUM(G8:G29)</f>
        <v>428.61250000000001</v>
      </c>
      <c r="H30" s="611">
        <f>SUM(H8:H29)</f>
        <v>19113.227499999997</v>
      </c>
    </row>
    <row r="32" spans="2:16" x14ac:dyDescent="0.25">
      <c r="B32" s="737" t="s">
        <v>783</v>
      </c>
      <c r="C32" s="738"/>
      <c r="D32" s="738"/>
      <c r="E32" s="738"/>
      <c r="F32" s="738"/>
      <c r="G32" s="738"/>
      <c r="H32" s="739"/>
    </row>
    <row r="33" spans="2:11" x14ac:dyDescent="0.25">
      <c r="B33" s="613" t="s">
        <v>773</v>
      </c>
      <c r="C33" s="613" t="s">
        <v>587</v>
      </c>
      <c r="D33" s="613" t="s">
        <v>755</v>
      </c>
      <c r="E33" s="613" t="s">
        <v>746</v>
      </c>
      <c r="F33" s="613" t="s">
        <v>562</v>
      </c>
      <c r="G33" s="613" t="s">
        <v>563</v>
      </c>
      <c r="H33" s="613" t="s">
        <v>720</v>
      </c>
    </row>
    <row r="34" spans="2:11" x14ac:dyDescent="0.25">
      <c r="B34" s="608" t="s">
        <v>607</v>
      </c>
      <c r="C34" s="608" t="s">
        <v>604</v>
      </c>
      <c r="D34" s="608" t="s">
        <v>600</v>
      </c>
      <c r="E34" s="608">
        <v>74.375</v>
      </c>
      <c r="F34" s="608">
        <v>14.875</v>
      </c>
      <c r="G34" s="608">
        <v>0</v>
      </c>
      <c r="H34" s="609">
        <f>SUM(E34:G34)</f>
        <v>89.25</v>
      </c>
      <c r="J34" s="615">
        <v>329.5887546245807</v>
      </c>
      <c r="K34" s="614">
        <f>(H34*J34)</f>
        <v>29415.796350243829</v>
      </c>
    </row>
    <row r="35" spans="2:11" x14ac:dyDescent="0.25">
      <c r="B35" s="608" t="s">
        <v>607</v>
      </c>
      <c r="C35" s="608" t="s">
        <v>659</v>
      </c>
      <c r="D35" s="608" t="s">
        <v>596</v>
      </c>
      <c r="E35" s="608">
        <v>306</v>
      </c>
      <c r="F35" s="608">
        <v>61.2</v>
      </c>
      <c r="G35" s="608">
        <v>4.25</v>
      </c>
      <c r="H35" s="609">
        <f>SUM(E35:G35)</f>
        <v>371.45</v>
      </c>
      <c r="J35" s="615">
        <v>438.14046557264618</v>
      </c>
      <c r="K35" s="614">
        <f>(H35*J35)</f>
        <v>162747.27593695943</v>
      </c>
    </row>
    <row r="36" spans="2:11" x14ac:dyDescent="0.25">
      <c r="B36" s="608" t="s">
        <v>607</v>
      </c>
      <c r="C36" s="608" t="s">
        <v>635</v>
      </c>
      <c r="D36" s="608" t="s">
        <v>596</v>
      </c>
      <c r="E36" s="608">
        <v>374</v>
      </c>
      <c r="F36" s="608">
        <v>74.8</v>
      </c>
      <c r="G36" s="608">
        <v>4.25</v>
      </c>
      <c r="H36" s="609">
        <f>SUM(E36:G36)</f>
        <v>453.05</v>
      </c>
      <c r="J36" s="615">
        <v>593.21402097472856</v>
      </c>
      <c r="K36" s="614">
        <f>(H36*J36)</f>
        <v>268755.61220260075</v>
      </c>
    </row>
    <row r="37" spans="2:11" x14ac:dyDescent="0.25">
      <c r="B37" s="608" t="s">
        <v>607</v>
      </c>
      <c r="C37" s="608" t="s">
        <v>635</v>
      </c>
      <c r="D37" s="608" t="s">
        <v>600</v>
      </c>
      <c r="E37" s="608">
        <v>108.375</v>
      </c>
      <c r="F37" s="608">
        <v>21.675000000000001</v>
      </c>
      <c r="G37" s="608">
        <v>0</v>
      </c>
      <c r="H37" s="609">
        <f>SUM(E37:G37)</f>
        <v>130.05000000000001</v>
      </c>
      <c r="J37" s="615">
        <v>238.7361719150004</v>
      </c>
      <c r="K37" s="614">
        <f>(H37*J37)</f>
        <v>31047.639157545804</v>
      </c>
    </row>
    <row r="38" spans="2:11" x14ac:dyDescent="0.25">
      <c r="B38" s="608" t="s">
        <v>607</v>
      </c>
      <c r="C38" s="608" t="s">
        <v>651</v>
      </c>
      <c r="D38" s="608" t="s">
        <v>600</v>
      </c>
      <c r="E38" s="608">
        <v>53.125</v>
      </c>
      <c r="F38" s="608">
        <v>10.625</v>
      </c>
      <c r="G38" s="608">
        <v>0</v>
      </c>
      <c r="H38" s="609">
        <f>SUM(E38:G38)</f>
        <v>63.75</v>
      </c>
      <c r="J38" s="615">
        <v>188.73032113404275</v>
      </c>
      <c r="K38" s="614">
        <f>(H38*J38)</f>
        <v>12031.557972295226</v>
      </c>
    </row>
    <row r="39" spans="2:11" x14ac:dyDescent="0.25">
      <c r="B39" s="735" t="s">
        <v>784</v>
      </c>
      <c r="C39" s="736"/>
      <c r="D39" s="617"/>
      <c r="E39" s="611">
        <f>SUM(E34:E38)</f>
        <v>915.875</v>
      </c>
      <c r="F39" s="611">
        <f>SUM(F34:F38)</f>
        <v>183.17500000000001</v>
      </c>
      <c r="G39" s="611">
        <f>SUM(G34:G38)</f>
        <v>8.5</v>
      </c>
      <c r="H39" s="611">
        <f>SUM(H34:H38)</f>
        <v>1107.55</v>
      </c>
    </row>
    <row r="41" spans="2:11" x14ac:dyDescent="0.25">
      <c r="B41" s="737" t="s">
        <v>785</v>
      </c>
      <c r="C41" s="738"/>
      <c r="D41" s="738"/>
      <c r="E41" s="738"/>
      <c r="F41" s="738"/>
      <c r="G41" s="738"/>
      <c r="H41" s="739"/>
    </row>
    <row r="42" spans="2:11" x14ac:dyDescent="0.25">
      <c r="B42" s="613" t="s">
        <v>773</v>
      </c>
      <c r="C42" s="613" t="s">
        <v>587</v>
      </c>
      <c r="D42" s="613" t="s">
        <v>755</v>
      </c>
      <c r="E42" s="613" t="s">
        <v>746</v>
      </c>
      <c r="F42" s="613" t="s">
        <v>562</v>
      </c>
      <c r="G42" s="613" t="s">
        <v>563</v>
      </c>
      <c r="H42" s="613" t="s">
        <v>720</v>
      </c>
      <c r="J42" s="608"/>
      <c r="K42" s="641">
        <f>SUM(K8:K41)</f>
        <v>5869732.4020523941</v>
      </c>
    </row>
    <row r="43" spans="2:11" x14ac:dyDescent="0.25">
      <c r="B43" s="735" t="s">
        <v>786</v>
      </c>
      <c r="C43" s="736"/>
      <c r="D43" s="617"/>
      <c r="E43" s="611"/>
      <c r="F43" s="611"/>
      <c r="G43" s="611"/>
      <c r="H43" s="611"/>
      <c r="J43" s="608"/>
      <c r="K43" s="640"/>
    </row>
    <row r="46" spans="2:11" x14ac:dyDescent="0.25">
      <c r="F46" s="733" t="s">
        <v>753</v>
      </c>
      <c r="G46" s="733"/>
      <c r="H46" s="733"/>
      <c r="I46" s="733"/>
      <c r="J46" s="733"/>
    </row>
    <row r="47" spans="2:11" x14ac:dyDescent="0.25">
      <c r="F47" s="612" t="s">
        <v>758</v>
      </c>
      <c r="G47" s="612" t="s">
        <v>759</v>
      </c>
      <c r="H47" s="612" t="s">
        <v>760</v>
      </c>
      <c r="I47" s="612" t="s">
        <v>762</v>
      </c>
      <c r="J47" s="612" t="s">
        <v>763</v>
      </c>
    </row>
    <row r="48" spans="2:11" x14ac:dyDescent="0.25">
      <c r="F48" s="622" t="s">
        <v>764</v>
      </c>
      <c r="G48" s="622">
        <v>1</v>
      </c>
      <c r="H48" s="633">
        <v>0</v>
      </c>
      <c r="I48" s="633">
        <v>0</v>
      </c>
      <c r="J48" s="633">
        <v>0</v>
      </c>
    </row>
    <row r="49" spans="6:10" x14ac:dyDescent="0.25">
      <c r="F49" s="568"/>
      <c r="G49" s="568"/>
      <c r="H49" s="568"/>
      <c r="I49" s="568"/>
      <c r="J49" s="568"/>
    </row>
  </sheetData>
  <sheetProtection sheet="1" objects="1" scenarios="1" formatCells="0" formatColumns="0" formatRows="0" sort="0" autoFilter="0"/>
  <mergeCells count="15">
    <mergeCell ref="F46:J46"/>
    <mergeCell ref="M19:O19"/>
    <mergeCell ref="B30:C30"/>
    <mergeCell ref="B32:H32"/>
    <mergeCell ref="B41:H41"/>
    <mergeCell ref="B39:C39"/>
    <mergeCell ref="B43:C43"/>
    <mergeCell ref="B1:G2"/>
    <mergeCell ref="H1:M2"/>
    <mergeCell ref="A3:M3"/>
    <mergeCell ref="B4:H4"/>
    <mergeCell ref="B6:H6"/>
    <mergeCell ref="M6:P6"/>
    <mergeCell ref="J6:J7"/>
    <mergeCell ref="K6:K7"/>
  </mergeCells>
  <pageMargins left="0.7" right="0.7" top="0.75" bottom="0.75" header="0.3" footer="0.3"/>
  <pageSetup orientation="portrait" horizontalDpi="360" verticalDpi="36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05BAB-1AA7-40EB-AA66-3D26ECDA13F6}">
  <sheetPr codeName="TTSConsolidateSheet">
    <tabColor theme="9" tint="0.39997558519241921"/>
  </sheetPr>
  <dimension ref="A1:R68"/>
  <sheetViews>
    <sheetView showGridLines="0" defaultGridColor="0" topLeftCell="B1" colorId="55" zoomScale="90" zoomScaleNormal="9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699" t="str">
        <f>Customer &amp; CHAR(10) &amp; Project</f>
        <v>Optus
BoSS Proposal</v>
      </c>
      <c r="C1" s="699"/>
      <c r="D1" s="699"/>
      <c r="E1" s="699"/>
      <c r="F1" s="723"/>
      <c r="G1" s="723"/>
      <c r="H1" s="727" t="s">
        <v>787</v>
      </c>
      <c r="I1" s="727"/>
      <c r="J1" s="727"/>
      <c r="K1" s="727"/>
      <c r="L1" s="727"/>
      <c r="M1" s="727"/>
    </row>
    <row r="2" spans="1:18" ht="15" customHeight="1" x14ac:dyDescent="0.25">
      <c r="A2" s="280"/>
      <c r="B2" s="725"/>
      <c r="C2" s="725"/>
      <c r="D2" s="725"/>
      <c r="E2" s="725"/>
      <c r="F2" s="726"/>
      <c r="G2" s="726"/>
      <c r="H2" s="727"/>
      <c r="I2" s="727"/>
      <c r="J2" s="727"/>
      <c r="K2" s="727"/>
      <c r="L2" s="727"/>
      <c r="M2" s="727"/>
    </row>
    <row r="3" spans="1:18" ht="24.75" customHeight="1" x14ac:dyDescent="0.25">
      <c r="A3" s="728" t="s">
        <v>768</v>
      </c>
      <c r="B3" s="729"/>
      <c r="C3" s="729"/>
      <c r="D3" s="729"/>
      <c r="E3" s="729"/>
      <c r="F3" s="729"/>
      <c r="G3" s="729"/>
      <c r="H3" s="728"/>
      <c r="I3" s="728"/>
      <c r="J3" s="728"/>
      <c r="K3" s="728"/>
      <c r="L3" s="728"/>
      <c r="M3" s="728"/>
    </row>
    <row r="4" spans="1:18" ht="15.75" x14ac:dyDescent="0.25">
      <c r="A4" s="526"/>
      <c r="B4" s="740" t="s">
        <v>788</v>
      </c>
      <c r="C4" s="723"/>
      <c r="D4" s="723"/>
      <c r="E4" s="723"/>
      <c r="F4" s="723"/>
      <c r="G4" s="723"/>
      <c r="H4" s="723"/>
    </row>
    <row r="6" spans="1:18" x14ac:dyDescent="0.25">
      <c r="B6" s="478"/>
      <c r="C6" s="478"/>
      <c r="D6" s="478"/>
      <c r="E6" s="478"/>
      <c r="F6" s="478"/>
      <c r="G6" s="478"/>
      <c r="H6" s="478"/>
      <c r="I6" s="478"/>
      <c r="J6" s="478"/>
      <c r="K6" s="478"/>
      <c r="L6" s="478"/>
      <c r="M6" s="478"/>
      <c r="N6" s="478"/>
      <c r="O6" s="478"/>
      <c r="P6" s="478"/>
      <c r="Q6" s="478"/>
      <c r="R6" s="478"/>
    </row>
    <row r="7" spans="1:18" x14ac:dyDescent="0.25">
      <c r="B7" s="478"/>
      <c r="C7" s="478"/>
      <c r="D7" s="478"/>
      <c r="E7" s="478"/>
      <c r="F7" s="478"/>
      <c r="G7" s="478"/>
      <c r="H7" s="478"/>
      <c r="I7" s="478"/>
      <c r="J7" s="478"/>
      <c r="K7" s="478"/>
      <c r="L7" s="478"/>
      <c r="M7" s="478"/>
      <c r="N7" s="478"/>
      <c r="O7" s="478"/>
      <c r="P7" s="478"/>
      <c r="Q7" s="478"/>
      <c r="R7" s="478"/>
    </row>
    <row r="67" spans="2:2" x14ac:dyDescent="0.25">
      <c r="B67" s="568"/>
    </row>
    <row r="68" spans="2:2" x14ac:dyDescent="0.25">
      <c r="B68" s="568"/>
    </row>
  </sheetData>
  <sheetProtection sheet="1" objects="1" scenarios="1" formatCells="0" formatColumns="0" formatRows="0" sort="0" autoFilter="0"/>
  <mergeCells count="4">
    <mergeCell ref="B1:G2"/>
    <mergeCell ref="H1:M2"/>
    <mergeCell ref="A3:M3"/>
    <mergeCell ref="B4:H4"/>
  </mergeCells>
  <pageMargins left="0.7" right="0.7" top="0.75" bottom="0.75" header="0.3" footer="0.3"/>
  <pageSetup orientation="portrait" horizontalDpi="360" verticalDpi="36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87974-AB5F-4F18-B5F8-EF4F042F6816}">
  <sheetPr codeName="TTSSegregateSheet">
    <tabColor theme="9" tint="0.39997558519241921"/>
  </sheetPr>
  <dimension ref="A1:R7"/>
  <sheetViews>
    <sheetView showGridLines="0" defaultGridColor="0" topLeftCell="B1" colorId="55" zoomScaleNormal="10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699" t="str">
        <f>Customer &amp; CHAR(10) &amp; Project</f>
        <v>Optus
BoSS Proposal</v>
      </c>
      <c r="C1" s="699"/>
      <c r="D1" s="699"/>
      <c r="E1" s="699"/>
      <c r="F1" s="723"/>
      <c r="G1" s="723"/>
      <c r="H1" s="727" t="s">
        <v>767</v>
      </c>
      <c r="I1" s="727"/>
      <c r="J1" s="727"/>
      <c r="K1" s="727"/>
      <c r="L1" s="727"/>
      <c r="M1" s="727"/>
    </row>
    <row r="2" spans="1:18" ht="15" customHeight="1" x14ac:dyDescent="0.25">
      <c r="A2" s="280"/>
      <c r="B2" s="725"/>
      <c r="C2" s="725"/>
      <c r="D2" s="725"/>
      <c r="E2" s="725"/>
      <c r="F2" s="726"/>
      <c r="G2" s="726"/>
      <c r="H2" s="727"/>
      <c r="I2" s="727"/>
      <c r="J2" s="727"/>
      <c r="K2" s="727"/>
      <c r="L2" s="727"/>
      <c r="M2" s="727"/>
    </row>
    <row r="3" spans="1:18" ht="24.75" customHeight="1" x14ac:dyDescent="0.25">
      <c r="A3" s="728" t="s">
        <v>768</v>
      </c>
      <c r="B3" s="729"/>
      <c r="C3" s="729"/>
      <c r="D3" s="729"/>
      <c r="E3" s="729"/>
      <c r="F3" s="729"/>
      <c r="G3" s="729"/>
      <c r="H3" s="728"/>
      <c r="I3" s="728"/>
      <c r="J3" s="728"/>
      <c r="K3" s="728"/>
      <c r="L3" s="728"/>
      <c r="M3" s="728"/>
    </row>
    <row r="4" spans="1:18" ht="15.75" x14ac:dyDescent="0.25">
      <c r="A4" s="526"/>
      <c r="B4" s="740" t="s">
        <v>788</v>
      </c>
      <c r="C4" s="723"/>
      <c r="D4" s="723"/>
      <c r="E4" s="723"/>
      <c r="F4" s="723"/>
      <c r="G4" s="723"/>
      <c r="H4" s="723"/>
    </row>
    <row r="6" spans="1:18" x14ac:dyDescent="0.25">
      <c r="B6" s="478"/>
      <c r="C6" s="478"/>
      <c r="D6" s="478"/>
      <c r="E6" s="478"/>
      <c r="F6" s="478"/>
      <c r="G6" s="478"/>
      <c r="H6" s="478"/>
      <c r="I6" s="478"/>
      <c r="J6" s="478"/>
      <c r="K6" s="478"/>
      <c r="L6" s="478"/>
      <c r="M6" s="478"/>
      <c r="N6" s="478"/>
      <c r="O6" s="478"/>
      <c r="P6" s="478"/>
      <c r="Q6" s="478"/>
      <c r="R6" s="478"/>
    </row>
    <row r="7" spans="1:18" x14ac:dyDescent="0.25">
      <c r="B7" s="478"/>
      <c r="C7" s="478"/>
      <c r="D7" s="478"/>
      <c r="E7" s="478"/>
      <c r="F7" s="478"/>
      <c r="G7" s="478"/>
      <c r="H7" s="478"/>
      <c r="I7" s="478"/>
      <c r="J7" s="478"/>
      <c r="K7" s="478"/>
      <c r="L7" s="478"/>
      <c r="M7" s="478"/>
      <c r="N7" s="478"/>
      <c r="O7" s="478"/>
      <c r="P7" s="478"/>
      <c r="Q7" s="478"/>
      <c r="R7" s="478"/>
    </row>
  </sheetData>
  <sheetProtection sheet="1" objects="1" scenarios="1" formatCells="0" formatColumns="0" formatRows="0" sort="0" autoFilter="0"/>
  <mergeCells count="4">
    <mergeCell ref="B1:G2"/>
    <mergeCell ref="A3:M3"/>
    <mergeCell ref="H1:M2"/>
    <mergeCell ref="B4:H4"/>
  </mergeCells>
  <pageMargins left="0.7" right="0.7" top="0.75" bottom="0.75" header="0.3" footer="0.3"/>
  <pageSetup orientation="portrait" horizontalDpi="360" verticalDpi="36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ED746-A716-45F6-87BB-79E6774CF49B}">
  <sheetPr codeName="ProformaSheet">
    <tabColor theme="9" tint="0.39997558519241921"/>
  </sheetPr>
  <dimension ref="A1:U7"/>
  <sheetViews>
    <sheetView showGridLines="0" zoomScale="90" zoomScaleNormal="90" workbookViewId="0">
      <selection activeCell="A5" sqref="A5:G5"/>
    </sheetView>
  </sheetViews>
  <sheetFormatPr defaultColWidth="9.28515625" defaultRowHeight="15" x14ac:dyDescent="0.25"/>
  <cols>
    <col min="2" max="2" width="13.5703125" customWidth="1"/>
    <col min="3" max="3" width="19.7109375" bestFit="1" customWidth="1"/>
    <col min="4" max="4" width="22.42578125" customWidth="1"/>
    <col min="5" max="5" width="10" bestFit="1" customWidth="1"/>
    <col min="6" max="6" width="9" bestFit="1" customWidth="1"/>
    <col min="7" max="7" width="24.42578125" customWidth="1"/>
    <col min="8" max="8" width="15.42578125" customWidth="1"/>
    <col min="9" max="9" width="10.42578125" customWidth="1"/>
    <col min="10" max="16" width="7.42578125" bestFit="1" customWidth="1"/>
    <col min="17" max="17" width="6" bestFit="1" customWidth="1"/>
    <col min="18" max="18" width="8.7109375" customWidth="1"/>
    <col min="19" max="54" width="9.42578125" bestFit="1" customWidth="1"/>
    <col min="55" max="55" width="0" hidden="1" customWidth="1"/>
    <col min="56" max="56" width="9.42578125" bestFit="1" customWidth="1"/>
  </cols>
  <sheetData>
    <row r="1" spans="1:21" ht="23.25" customHeight="1" x14ac:dyDescent="0.25">
      <c r="A1" s="744" t="str">
        <f>Customer &amp; CHAR(10) &amp; Project</f>
        <v>Optus
BoSS Proposal</v>
      </c>
      <c r="B1" s="745"/>
      <c r="C1" s="745"/>
      <c r="D1" s="745"/>
      <c r="E1" s="746"/>
      <c r="F1" s="488"/>
      <c r="G1" s="488"/>
      <c r="H1" s="747" t="s">
        <v>789</v>
      </c>
      <c r="I1" s="750" t="s">
        <v>790</v>
      </c>
      <c r="J1" s="750"/>
      <c r="K1" s="755" t="str">
        <f>ProformaDefaultSelectedDisplay</f>
        <v>Person_Days</v>
      </c>
      <c r="L1" s="755"/>
      <c r="M1" s="477"/>
      <c r="N1" s="501"/>
      <c r="O1" s="486"/>
      <c r="P1" s="486"/>
      <c r="Q1" s="486"/>
      <c r="R1" s="486"/>
      <c r="S1" s="486"/>
      <c r="T1" s="486"/>
      <c r="U1" s="486"/>
    </row>
    <row r="2" spans="1:21" ht="15" customHeight="1" x14ac:dyDescent="0.25">
      <c r="A2" s="744"/>
      <c r="B2" s="745"/>
      <c r="C2" s="745"/>
      <c r="D2" s="745"/>
      <c r="E2" s="746"/>
      <c r="F2" s="488"/>
      <c r="G2" s="488"/>
      <c r="H2" s="748"/>
      <c r="I2" s="756" t="s">
        <v>791</v>
      </c>
      <c r="J2" s="756"/>
      <c r="K2" s="757">
        <f>ProformaDefaultDaysPerMonth</f>
        <v>22</v>
      </c>
      <c r="L2" s="757"/>
      <c r="M2" s="479"/>
      <c r="N2" s="501"/>
      <c r="O2" s="487"/>
      <c r="P2" s="487"/>
      <c r="Q2" s="487"/>
      <c r="R2" s="487"/>
      <c r="S2" s="486"/>
      <c r="T2" s="486"/>
      <c r="U2" s="486"/>
    </row>
    <row r="3" spans="1:21" ht="25.5" customHeight="1" x14ac:dyDescent="0.25">
      <c r="A3" s="744"/>
      <c r="B3" s="745"/>
      <c r="C3" s="745"/>
      <c r="D3" s="745"/>
      <c r="E3" s="746"/>
      <c r="F3" s="488"/>
      <c r="G3" s="488"/>
      <c r="H3" s="748"/>
      <c r="I3" s="758" t="s">
        <v>792</v>
      </c>
      <c r="J3" s="758"/>
      <c r="K3" s="759" t="s">
        <v>793</v>
      </c>
      <c r="L3" s="759"/>
      <c r="M3" s="479"/>
      <c r="N3" s="501"/>
      <c r="O3" s="487"/>
      <c r="P3" s="487"/>
      <c r="Q3" s="487"/>
      <c r="R3" s="487"/>
      <c r="S3" s="486"/>
      <c r="T3" s="486"/>
      <c r="U3" s="486"/>
    </row>
    <row r="4" spans="1:21" ht="15.75" customHeight="1" thickBot="1" x14ac:dyDescent="0.3">
      <c r="A4" s="751" t="s">
        <v>794</v>
      </c>
      <c r="B4" s="752"/>
      <c r="C4" s="752"/>
      <c r="D4" s="752"/>
      <c r="E4" s="752"/>
      <c r="F4" s="752"/>
      <c r="G4" s="752"/>
      <c r="H4" s="749"/>
      <c r="I4" s="753" t="s">
        <v>795</v>
      </c>
      <c r="J4" s="753"/>
      <c r="K4" s="753"/>
      <c r="L4" s="753"/>
      <c r="M4" s="753"/>
      <c r="N4" s="754"/>
      <c r="O4" s="487"/>
      <c r="P4" s="487"/>
      <c r="Q4" s="487"/>
      <c r="R4" s="487"/>
      <c r="S4" s="486"/>
      <c r="T4" s="486"/>
      <c r="U4" s="486"/>
    </row>
    <row r="5" spans="1:21" x14ac:dyDescent="0.25">
      <c r="A5" s="741" t="s">
        <v>788</v>
      </c>
      <c r="B5" s="742"/>
      <c r="C5" s="742"/>
      <c r="D5" s="742"/>
      <c r="E5" s="743"/>
      <c r="F5" s="743"/>
      <c r="G5" s="743"/>
      <c r="H5" s="479"/>
      <c r="I5" s="479"/>
      <c r="J5" s="479"/>
      <c r="K5" s="479"/>
      <c r="L5" s="479"/>
      <c r="M5" s="479"/>
      <c r="N5" s="479"/>
    </row>
    <row r="7" spans="1:21" x14ac:dyDescent="0.25">
      <c r="A7" s="603" t="s">
        <v>796</v>
      </c>
      <c r="B7" s="603" t="s">
        <v>755</v>
      </c>
      <c r="C7" s="603" t="s">
        <v>587</v>
      </c>
      <c r="D7" s="604" t="s">
        <v>720</v>
      </c>
      <c r="E7" s="604">
        <v>1</v>
      </c>
      <c r="F7" s="604">
        <v>2</v>
      </c>
      <c r="G7" s="604">
        <v>3</v>
      </c>
      <c r="H7" s="604">
        <v>4</v>
      </c>
      <c r="I7" s="604">
        <v>5</v>
      </c>
      <c r="J7" s="604">
        <v>6</v>
      </c>
      <c r="K7" s="604">
        <v>7</v>
      </c>
      <c r="L7" s="604">
        <v>8</v>
      </c>
      <c r="M7" s="604">
        <v>9</v>
      </c>
      <c r="N7" s="604">
        <v>10</v>
      </c>
      <c r="O7" s="604">
        <v>11</v>
      </c>
      <c r="P7" s="604">
        <v>12</v>
      </c>
      <c r="Q7" s="605"/>
      <c r="R7" s="605" t="s">
        <v>770</v>
      </c>
    </row>
  </sheetData>
  <sheetProtection sheet="1" objects="1" scenarios="1" formatCells="0" formatColumns="0" formatRows="0" sort="0"/>
  <dataConsolidate/>
  <mergeCells count="11">
    <mergeCell ref="A5:G5"/>
    <mergeCell ref="A1:E3"/>
    <mergeCell ref="H1:H4"/>
    <mergeCell ref="I1:J1"/>
    <mergeCell ref="A4:G4"/>
    <mergeCell ref="I4:N4"/>
    <mergeCell ref="K1:L1"/>
    <mergeCell ref="I2:J2"/>
    <mergeCell ref="K2:L2"/>
    <mergeCell ref="I3:J3"/>
    <mergeCell ref="K3:L3"/>
  </mergeCells>
  <pageMargins left="0.7" right="0.7" top="0.75" bottom="0.75" header="0.3" footer="0.3"/>
  <pageSetup orientation="portrait" horizontalDpi="360" verticalDpi="36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A5592-8656-4C27-A7D1-7E0705E94587}">
  <sheetPr codeName="ProformaSheetSeg">
    <tabColor theme="9" tint="0.39997558519241921"/>
  </sheetPr>
  <dimension ref="A1:U5"/>
  <sheetViews>
    <sheetView showGridLines="0" zoomScale="80" zoomScaleNormal="80" workbookViewId="0">
      <selection activeCell="A5" sqref="A5:G5"/>
    </sheetView>
  </sheetViews>
  <sheetFormatPr defaultColWidth="9.28515625" defaultRowHeight="15" x14ac:dyDescent="0.25"/>
  <cols>
    <col min="2" max="2" width="13.5703125" customWidth="1"/>
    <col min="3" max="3" width="19.7109375" bestFit="1" customWidth="1"/>
    <col min="4" max="5" width="9.7109375" bestFit="1" customWidth="1"/>
    <col min="6" max="6" width="8.7109375" bestFit="1" customWidth="1"/>
    <col min="7" max="7" width="7.42578125" bestFit="1" customWidth="1"/>
    <col min="8" max="8" width="15.42578125" customWidth="1"/>
    <col min="9" max="9" width="10.42578125" customWidth="1"/>
    <col min="10" max="14" width="7.42578125" bestFit="1" customWidth="1"/>
    <col min="15" max="16" width="7.28515625" bestFit="1" customWidth="1"/>
    <col min="17" max="17" width="6" bestFit="1" customWidth="1"/>
    <col min="18" max="18" width="8.7109375" customWidth="1"/>
    <col min="19" max="54" width="9.42578125" bestFit="1" customWidth="1"/>
    <col min="55" max="55" width="0" hidden="1" customWidth="1"/>
    <col min="56" max="56" width="9.42578125" bestFit="1" customWidth="1"/>
  </cols>
  <sheetData>
    <row r="1" spans="1:21" ht="23.25" customHeight="1" x14ac:dyDescent="0.25">
      <c r="A1" s="744" t="str">
        <f>Customer &amp; CHAR(10) &amp; Project</f>
        <v>Optus
BoSS Proposal</v>
      </c>
      <c r="B1" s="745"/>
      <c r="C1" s="745"/>
      <c r="D1" s="745"/>
      <c r="E1" s="746"/>
      <c r="F1" s="488"/>
      <c r="G1" s="488"/>
      <c r="H1" s="747" t="s">
        <v>789</v>
      </c>
      <c r="I1" s="750" t="s">
        <v>790</v>
      </c>
      <c r="J1" s="750"/>
      <c r="K1" s="755" t="str">
        <f>ProformaDefaultSelectedDisplay</f>
        <v>Person_Days</v>
      </c>
      <c r="L1" s="755"/>
      <c r="M1" s="477"/>
      <c r="N1" s="501"/>
      <c r="O1" s="486"/>
      <c r="P1" s="486"/>
      <c r="Q1" s="486"/>
      <c r="R1" s="486"/>
      <c r="S1" s="486"/>
      <c r="T1" s="486"/>
      <c r="U1" s="486"/>
    </row>
    <row r="2" spans="1:21" ht="15" customHeight="1" x14ac:dyDescent="0.25">
      <c r="A2" s="744"/>
      <c r="B2" s="745"/>
      <c r="C2" s="745"/>
      <c r="D2" s="745"/>
      <c r="E2" s="746"/>
      <c r="F2" s="488"/>
      <c r="G2" s="488"/>
      <c r="H2" s="748"/>
      <c r="I2" s="756" t="s">
        <v>791</v>
      </c>
      <c r="J2" s="756"/>
      <c r="K2" s="757">
        <f>ProformaDefaultDaysPerMonth</f>
        <v>22</v>
      </c>
      <c r="L2" s="757"/>
      <c r="M2" s="479"/>
      <c r="N2" s="501"/>
      <c r="O2" s="487"/>
      <c r="P2" s="487"/>
      <c r="Q2" s="487"/>
      <c r="R2" s="487"/>
      <c r="S2" s="486"/>
      <c r="T2" s="486"/>
      <c r="U2" s="486"/>
    </row>
    <row r="3" spans="1:21" ht="25.5" customHeight="1" x14ac:dyDescent="0.25">
      <c r="A3" s="744"/>
      <c r="B3" s="745"/>
      <c r="C3" s="745"/>
      <c r="D3" s="745"/>
      <c r="E3" s="746"/>
      <c r="F3" s="488"/>
      <c r="G3" s="488"/>
      <c r="H3" s="748"/>
      <c r="I3" s="758" t="s">
        <v>792</v>
      </c>
      <c r="J3" s="758"/>
      <c r="K3" s="759" t="s">
        <v>793</v>
      </c>
      <c r="L3" s="759"/>
      <c r="M3" s="479"/>
      <c r="N3" s="501"/>
      <c r="O3" s="487"/>
      <c r="P3" s="487"/>
      <c r="Q3" s="487"/>
      <c r="R3" s="487"/>
      <c r="S3" s="486"/>
      <c r="T3" s="486"/>
      <c r="U3" s="486"/>
    </row>
    <row r="4" spans="1:21" ht="15.75" customHeight="1" thickBot="1" x14ac:dyDescent="0.3">
      <c r="A4" s="751" t="s">
        <v>794</v>
      </c>
      <c r="B4" s="752"/>
      <c r="C4" s="752"/>
      <c r="D4" s="752"/>
      <c r="E4" s="752"/>
      <c r="F4" s="752"/>
      <c r="G4" s="752"/>
      <c r="H4" s="749"/>
      <c r="I4" s="753" t="s">
        <v>795</v>
      </c>
      <c r="J4" s="753"/>
      <c r="K4" s="753"/>
      <c r="L4" s="753"/>
      <c r="M4" s="753"/>
      <c r="N4" s="754"/>
      <c r="O4" s="487"/>
      <c r="P4" s="487"/>
      <c r="Q4" s="487"/>
      <c r="R4" s="487"/>
      <c r="S4" s="486"/>
      <c r="T4" s="486"/>
      <c r="U4" s="486"/>
    </row>
    <row r="5" spans="1:21" x14ac:dyDescent="0.25">
      <c r="A5" s="741" t="s">
        <v>788</v>
      </c>
      <c r="B5" s="742"/>
      <c r="C5" s="742"/>
      <c r="D5" s="742"/>
      <c r="E5" s="743"/>
      <c r="F5" s="743"/>
      <c r="G5" s="743"/>
      <c r="H5" s="479"/>
      <c r="I5" s="479"/>
      <c r="J5" s="479"/>
      <c r="K5" s="479"/>
      <c r="L5" s="479"/>
      <c r="M5" s="479"/>
      <c r="N5" s="479"/>
    </row>
  </sheetData>
  <sheetProtection autoFilter="0"/>
  <dataConsolidate/>
  <mergeCells count="11">
    <mergeCell ref="A5:G5"/>
    <mergeCell ref="I3:J3"/>
    <mergeCell ref="I2:J2"/>
    <mergeCell ref="K1:L1"/>
    <mergeCell ref="K2:L2"/>
    <mergeCell ref="K3:L3"/>
    <mergeCell ref="A4:G4"/>
    <mergeCell ref="I4:N4"/>
    <mergeCell ref="I1:J1"/>
    <mergeCell ref="A1:E3"/>
    <mergeCell ref="H1:H4"/>
  </mergeCells>
  <pageMargins left="0.7" right="0.7" top="0.75" bottom="0.75" header="0.3" footer="0.3"/>
  <pageSetup orientation="portrait" horizontalDpi="360" verticalDpi="36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72C87-7B75-43EB-9E47-26CEB3C4DCBD}">
  <sheetPr codeName="ResourceCostValues">
    <tabColor rgb="FFFF5050"/>
  </sheetPr>
  <dimension ref="A1:AH330"/>
  <sheetViews>
    <sheetView showGridLines="0" topLeftCell="A100" zoomScale="70" zoomScaleNormal="70" workbookViewId="0">
      <selection activeCell="B127" sqref="B127:Y183"/>
    </sheetView>
  </sheetViews>
  <sheetFormatPr defaultColWidth="9.28515625" defaultRowHeight="15" zeroHeight="1" x14ac:dyDescent="0.25"/>
  <cols>
    <col min="1" max="1" width="10" style="272" customWidth="1"/>
    <col min="2" max="2" width="12.7109375" style="272" customWidth="1"/>
    <col min="3" max="3" width="10.7109375" style="272" customWidth="1"/>
    <col min="4" max="4" width="9.42578125" style="272" customWidth="1"/>
    <col min="5" max="5" width="8.7109375" style="272" bestFit="1" customWidth="1"/>
    <col min="6" max="6" width="11" style="272" customWidth="1"/>
    <col min="7" max="7" width="11.5703125" style="272" customWidth="1"/>
    <col min="8" max="8" width="14.42578125" style="272" customWidth="1"/>
    <col min="9" max="9" width="12.5703125" style="272" customWidth="1"/>
    <col min="10" max="10" width="18.28515625" style="272" customWidth="1"/>
    <col min="11" max="11" width="15.42578125" style="272" customWidth="1"/>
    <col min="12" max="12" width="10" style="272" customWidth="1"/>
    <col min="13" max="13" width="9.7109375" style="272" customWidth="1"/>
    <col min="14" max="14" width="10.5703125" style="272" customWidth="1"/>
    <col min="15" max="15" width="18.42578125" style="272" customWidth="1"/>
    <col min="16" max="17" width="16.5703125" style="272" customWidth="1"/>
    <col min="18" max="20" width="12.28515625" style="273" customWidth="1"/>
    <col min="21" max="21" width="12.7109375" style="272" customWidth="1"/>
    <col min="22" max="22" width="15.28515625" style="272" customWidth="1"/>
    <col min="23" max="23" width="15.7109375" style="272" customWidth="1"/>
    <col min="24" max="24" width="16.5703125" style="272" customWidth="1"/>
    <col min="25" max="25" width="15.5703125" style="272" customWidth="1"/>
    <col min="26" max="26" width="16.42578125" style="272" customWidth="1"/>
    <col min="27" max="27" width="13.5703125" style="272" customWidth="1"/>
    <col min="28" max="28" width="4.5703125" style="272" customWidth="1"/>
    <col min="29" max="29" width="11.28515625" style="272" customWidth="1"/>
    <col min="30" max="30" width="9.28515625" style="272" customWidth="1"/>
    <col min="31" max="31" width="21.7109375" style="272" customWidth="1"/>
    <col min="32" max="33" width="9.28515625" style="272"/>
    <col min="34" max="34" width="10.42578125" style="272" customWidth="1"/>
    <col min="35" max="16384" width="9.28515625" style="272"/>
  </cols>
  <sheetData>
    <row r="1" spans="1:34" ht="26.25" x14ac:dyDescent="0.4">
      <c r="A1" s="774" t="s">
        <v>797</v>
      </c>
      <c r="B1" s="775"/>
      <c r="C1" s="775"/>
      <c r="D1" s="775"/>
      <c r="E1" s="775"/>
      <c r="F1" s="775"/>
      <c r="G1" s="775"/>
      <c r="H1" s="775"/>
      <c r="I1" s="775"/>
      <c r="J1" s="775"/>
      <c r="K1" s="775"/>
      <c r="L1" s="775"/>
      <c r="M1" s="775"/>
      <c r="N1" s="775"/>
      <c r="O1" s="775"/>
      <c r="P1" s="775"/>
      <c r="Q1" s="775"/>
      <c r="R1" s="775"/>
      <c r="S1" s="775"/>
      <c r="T1" s="775"/>
      <c r="U1" s="775"/>
      <c r="V1" s="775"/>
      <c r="W1" s="775"/>
      <c r="X1" s="775"/>
      <c r="Y1" s="775"/>
      <c r="Z1" s="576"/>
    </row>
    <row r="2" spans="1:34" ht="30" hidden="1" customHeight="1" x14ac:dyDescent="0.25">
      <c r="B2" s="786" t="s">
        <v>798</v>
      </c>
      <c r="C2" s="786"/>
      <c r="D2" s="786"/>
      <c r="E2" s="786"/>
      <c r="F2" s="786"/>
      <c r="G2" s="786"/>
      <c r="H2" s="786"/>
      <c r="I2" s="786"/>
      <c r="J2" s="786"/>
      <c r="K2" s="786"/>
      <c r="L2" s="786"/>
      <c r="M2" s="786"/>
      <c r="N2" s="786"/>
      <c r="O2" s="786"/>
      <c r="P2" s="786"/>
      <c r="Q2" s="786"/>
      <c r="R2" s="786"/>
      <c r="S2" s="274"/>
      <c r="T2" s="274"/>
      <c r="U2" s="274"/>
    </row>
    <row r="3" spans="1:34" ht="49.5" customHeight="1" x14ac:dyDescent="0.25">
      <c r="B3" s="466" t="s">
        <v>589</v>
      </c>
      <c r="C3" s="467" t="s">
        <v>658</v>
      </c>
      <c r="D3" s="467" t="s">
        <v>602</v>
      </c>
      <c r="E3" s="467" t="s">
        <v>613</v>
      </c>
      <c r="F3" s="467" t="s">
        <v>799</v>
      </c>
      <c r="G3" s="467" t="s">
        <v>800</v>
      </c>
      <c r="H3" s="467" t="s">
        <v>801</v>
      </c>
      <c r="I3" s="467" t="s">
        <v>802</v>
      </c>
      <c r="J3" s="467" t="s">
        <v>604</v>
      </c>
      <c r="K3" s="467" t="s">
        <v>707</v>
      </c>
      <c r="L3" s="467" t="s">
        <v>803</v>
      </c>
      <c r="M3" s="467" t="s">
        <v>804</v>
      </c>
      <c r="N3" s="467" t="s">
        <v>685</v>
      </c>
      <c r="O3" s="467" t="s">
        <v>805</v>
      </c>
      <c r="P3" s="467" t="s">
        <v>775</v>
      </c>
      <c r="Q3" s="467" t="s">
        <v>806</v>
      </c>
      <c r="R3" s="467" t="s">
        <v>618</v>
      </c>
      <c r="S3" s="467" t="s">
        <v>635</v>
      </c>
      <c r="T3" s="467" t="s">
        <v>659</v>
      </c>
      <c r="U3" s="467" t="s">
        <v>807</v>
      </c>
      <c r="V3" s="467" t="s">
        <v>625</v>
      </c>
      <c r="W3" s="467" t="s">
        <v>628</v>
      </c>
      <c r="X3" s="467" t="s">
        <v>630</v>
      </c>
      <c r="Y3" s="467" t="s">
        <v>651</v>
      </c>
      <c r="Z3" s="467" t="s">
        <v>660</v>
      </c>
      <c r="AA3" s="273"/>
      <c r="AB3" s="273"/>
      <c r="AC3" s="273"/>
      <c r="AD3" s="273"/>
      <c r="AE3" s="273"/>
      <c r="AH3" s="272">
        <v>1</v>
      </c>
    </row>
    <row r="4" spans="1:34" x14ac:dyDescent="0.25">
      <c r="B4" s="468" t="s">
        <v>808</v>
      </c>
      <c r="C4" s="469">
        <f t="shared" ref="C4:Z4" si="0">IF(C127=0,9999,C127/$D67)</f>
        <v>46.489197530864196</v>
      </c>
      <c r="D4" s="469">
        <f t="shared" si="0"/>
        <v>46.489197530864196</v>
      </c>
      <c r="E4" s="469">
        <f t="shared" si="0"/>
        <v>46.489197530864196</v>
      </c>
      <c r="F4" s="469">
        <f t="shared" si="0"/>
        <v>46.489197530864196</v>
      </c>
      <c r="G4" s="469">
        <f t="shared" si="0"/>
        <v>46.489197530864196</v>
      </c>
      <c r="H4" s="469">
        <f t="shared" si="0"/>
        <v>46.489197530864196</v>
      </c>
      <c r="I4" s="469">
        <f t="shared" si="0"/>
        <v>46.489197530864196</v>
      </c>
      <c r="J4" s="469">
        <f t="shared" si="0"/>
        <v>46.489197530864196</v>
      </c>
      <c r="K4" s="469">
        <f t="shared" si="0"/>
        <v>46.489197530864196</v>
      </c>
      <c r="L4" s="469">
        <f t="shared" si="0"/>
        <v>46.489197530864196</v>
      </c>
      <c r="M4" s="469">
        <f t="shared" si="0"/>
        <v>46.489197530864196</v>
      </c>
      <c r="N4" s="469">
        <f t="shared" si="0"/>
        <v>46.489197530864196</v>
      </c>
      <c r="O4" s="469">
        <f t="shared" si="0"/>
        <v>46.489197530864196</v>
      </c>
      <c r="P4" s="469">
        <f t="shared" si="0"/>
        <v>46.489197530864196</v>
      </c>
      <c r="Q4" s="469">
        <f t="shared" si="0"/>
        <v>46.489197530864196</v>
      </c>
      <c r="R4" s="469">
        <f t="shared" si="0"/>
        <v>46.489197530864196</v>
      </c>
      <c r="S4" s="469">
        <f t="shared" si="0"/>
        <v>46.489197530864196</v>
      </c>
      <c r="T4" s="469">
        <f t="shared" si="0"/>
        <v>46.489197530864196</v>
      </c>
      <c r="U4" s="469">
        <f t="shared" si="0"/>
        <v>46.489197530864196</v>
      </c>
      <c r="V4" s="469">
        <f t="shared" si="0"/>
        <v>46.489197530864196</v>
      </c>
      <c r="W4" s="469">
        <f t="shared" si="0"/>
        <v>46.489197530864196</v>
      </c>
      <c r="X4" s="469">
        <f t="shared" si="0"/>
        <v>46.489197530864196</v>
      </c>
      <c r="Y4" s="469">
        <f t="shared" si="0"/>
        <v>46.489197530864196</v>
      </c>
      <c r="Z4" s="469">
        <f t="shared" si="0"/>
        <v>46.489197530864196</v>
      </c>
      <c r="AA4" s="504"/>
      <c r="AB4" s="504"/>
      <c r="AC4" s="504"/>
      <c r="AD4" s="275"/>
      <c r="AE4" s="760" t="s">
        <v>809</v>
      </c>
      <c r="AF4" s="761"/>
      <c r="AH4" s="272">
        <v>1</v>
      </c>
    </row>
    <row r="5" spans="1:34" ht="20.25" customHeight="1" x14ac:dyDescent="0.25">
      <c r="B5" s="468" t="s">
        <v>810</v>
      </c>
      <c r="C5" s="469">
        <f t="shared" ref="C5" si="1">IF(C128=0,9999,C128/$D68)</f>
        <v>30.54269547325103</v>
      </c>
      <c r="D5" s="469">
        <f t="shared" ref="D5:S5" si="2">IF(D128=0,9999,D128/$D68)</f>
        <v>38.541666666666664</v>
      </c>
      <c r="E5" s="469">
        <f t="shared" si="2"/>
        <v>34.079218106995889</v>
      </c>
      <c r="F5" s="469">
        <f t="shared" si="2"/>
        <v>25.565843621399175</v>
      </c>
      <c r="G5" s="469">
        <f t="shared" si="2"/>
        <v>25.565843621399175</v>
      </c>
      <c r="H5" s="469">
        <f t="shared" si="2"/>
        <v>29.642489711934157</v>
      </c>
      <c r="I5" s="469">
        <f t="shared" si="2"/>
        <v>22.530864197530867</v>
      </c>
      <c r="J5" s="469">
        <f t="shared" si="2"/>
        <v>25.565843621399175</v>
      </c>
      <c r="K5" s="469">
        <f t="shared" si="2"/>
        <v>34.979423868312757</v>
      </c>
      <c r="L5" s="469">
        <f t="shared" si="2"/>
        <v>25.565843621399175</v>
      </c>
      <c r="M5" s="469">
        <f t="shared" si="2"/>
        <v>25.565843621399175</v>
      </c>
      <c r="N5" s="469">
        <f t="shared" si="2"/>
        <v>27.983539094650208</v>
      </c>
      <c r="O5" s="469">
        <f t="shared" si="2"/>
        <v>25.565843621399175</v>
      </c>
      <c r="P5" s="469">
        <f t="shared" si="2"/>
        <v>25.565843621399175</v>
      </c>
      <c r="Q5" s="469">
        <f t="shared" si="2"/>
        <v>25.565843621399175</v>
      </c>
      <c r="R5" s="469">
        <f t="shared" si="2"/>
        <v>25.565843621399175</v>
      </c>
      <c r="S5" s="469">
        <f t="shared" si="2"/>
        <v>23.996913580246911</v>
      </c>
      <c r="T5" s="469">
        <f t="shared" ref="T5" si="3">IF(T128=0,9999,T128/$D68)</f>
        <v>16.486625514403293</v>
      </c>
      <c r="U5" s="469">
        <f t="shared" ref="U5" si="4">IF(U128=0,9999,U128/$D68)</f>
        <v>25.565843621399175</v>
      </c>
      <c r="V5" s="469">
        <f t="shared" ref="V5" si="5">IF(V128=0,9999,V128/$D68)</f>
        <v>18.016975308641975</v>
      </c>
      <c r="W5" s="469">
        <f t="shared" ref="W5" si="6">IF(W128=0,9999,W128/$D68)</f>
        <v>25.488683127572017</v>
      </c>
      <c r="X5" s="469">
        <f t="shared" ref="X5" si="7">IF(X128=0,9999,X128/$D68)</f>
        <v>16.010802469135804</v>
      </c>
      <c r="Y5" s="469">
        <f t="shared" ref="Y5" si="8">IF(Y128=0,9999,Y128/$D68)</f>
        <v>24.781378600823047</v>
      </c>
      <c r="Z5" s="469">
        <f t="shared" ref="Z5" si="9">IF(Z128=0,9999,Z128/$D68)</f>
        <v>16.435185185185183</v>
      </c>
      <c r="AA5" s="504"/>
      <c r="AB5" s="504"/>
      <c r="AC5" s="504"/>
      <c r="AD5" s="275"/>
      <c r="AE5" s="506" t="s">
        <v>658</v>
      </c>
      <c r="AF5" s="506">
        <v>3</v>
      </c>
      <c r="AH5" s="272">
        <v>1</v>
      </c>
    </row>
    <row r="6" spans="1:34" ht="27" customHeight="1" x14ac:dyDescent="0.25">
      <c r="B6" s="468" t="s">
        <v>811</v>
      </c>
      <c r="C6" s="469">
        <f t="shared" ref="C6" si="10">IF(C129=0,9999,C129/$D69)</f>
        <v>9999</v>
      </c>
      <c r="D6" s="469">
        <f t="shared" ref="D6:S6" si="11">IF(D129=0,9999,D129/$D69)</f>
        <v>152.75971290487516</v>
      </c>
      <c r="E6" s="469">
        <f t="shared" si="11"/>
        <v>128.08111195779554</v>
      </c>
      <c r="F6" s="469">
        <f t="shared" si="11"/>
        <v>9999</v>
      </c>
      <c r="G6" s="469">
        <f t="shared" si="11"/>
        <v>9999</v>
      </c>
      <c r="H6" s="469">
        <f t="shared" si="11"/>
        <v>9999</v>
      </c>
      <c r="I6" s="469">
        <f t="shared" si="11"/>
        <v>9999</v>
      </c>
      <c r="J6" s="469">
        <f t="shared" si="11"/>
        <v>126.83195876956036</v>
      </c>
      <c r="K6" s="469">
        <f t="shared" si="11"/>
        <v>76.794334603777159</v>
      </c>
      <c r="L6" s="469">
        <f t="shared" si="11"/>
        <v>136.78404401561201</v>
      </c>
      <c r="M6" s="469">
        <f t="shared" si="11"/>
        <v>9999</v>
      </c>
      <c r="N6" s="469">
        <f t="shared" si="11"/>
        <v>9999</v>
      </c>
      <c r="O6" s="469">
        <f t="shared" si="11"/>
        <v>9999</v>
      </c>
      <c r="P6" s="469">
        <f t="shared" si="11"/>
        <v>199.61909803598019</v>
      </c>
      <c r="Q6" s="469">
        <f t="shared" si="11"/>
        <v>9999</v>
      </c>
      <c r="R6" s="469">
        <f t="shared" si="11"/>
        <v>158.1109019664097</v>
      </c>
      <c r="S6" s="469">
        <f t="shared" si="11"/>
        <v>9999</v>
      </c>
      <c r="T6" s="469">
        <f t="shared" ref="T6" si="12">IF(T129=0,9999,T129/$D69)</f>
        <v>9999</v>
      </c>
      <c r="U6" s="469">
        <f t="shared" ref="U6" si="13">IF(U129=0,9999,U129/$D69)</f>
        <v>46.005589090692546</v>
      </c>
      <c r="V6" s="469">
        <f t="shared" ref="V6" si="14">IF(V129=0,9999,V129/$D69)</f>
        <v>9999</v>
      </c>
      <c r="W6" s="469">
        <f t="shared" ref="W6" si="15">IF(W129=0,9999,W129/$D69)</f>
        <v>9999</v>
      </c>
      <c r="X6" s="469">
        <f t="shared" ref="X6" si="16">IF(X129=0,9999,X129/$D69)</f>
        <v>9999</v>
      </c>
      <c r="Y6" s="469">
        <f t="shared" ref="Y6" si="17">IF(Y129=0,9999,Y129/$D69)</f>
        <v>9999</v>
      </c>
      <c r="Z6" s="469">
        <f t="shared" ref="Z6" si="18">IF(Z129=0,9999,Z129/$D69)</f>
        <v>9999</v>
      </c>
      <c r="AA6" s="504"/>
      <c r="AB6" s="504"/>
      <c r="AC6" s="504"/>
      <c r="AD6" s="275"/>
      <c r="AE6" s="506" t="s">
        <v>602</v>
      </c>
      <c r="AF6" s="506">
        <v>4</v>
      </c>
      <c r="AH6" s="272">
        <v>1</v>
      </c>
    </row>
    <row r="7" spans="1:34" ht="12.75" customHeight="1" x14ac:dyDescent="0.25">
      <c r="B7" s="468" t="s">
        <v>596</v>
      </c>
      <c r="C7" s="469">
        <f t="shared" ref="C7" si="19">IF(C130=0,9999,C130/$D70)</f>
        <v>9999</v>
      </c>
      <c r="D7" s="469">
        <f t="shared" ref="D7:S7" si="20">IF(D130=0,9999,D130/$D70)</f>
        <v>150.83549253397388</v>
      </c>
      <c r="E7" s="469">
        <f t="shared" si="20"/>
        <v>105.36408214900223</v>
      </c>
      <c r="F7" s="469">
        <f t="shared" si="20"/>
        <v>9999</v>
      </c>
      <c r="G7" s="469">
        <f t="shared" si="20"/>
        <v>9999</v>
      </c>
      <c r="H7" s="469">
        <f t="shared" si="20"/>
        <v>78.543290991565726</v>
      </c>
      <c r="I7" s="469">
        <f t="shared" si="20"/>
        <v>52.222108342830076</v>
      </c>
      <c r="J7" s="469">
        <f t="shared" si="20"/>
        <v>103.64389744513909</v>
      </c>
      <c r="K7" s="469">
        <f t="shared" si="20"/>
        <v>9999</v>
      </c>
      <c r="L7" s="469">
        <f t="shared" si="20"/>
        <v>108.45022277265886</v>
      </c>
      <c r="M7" s="469">
        <f t="shared" si="20"/>
        <v>9999</v>
      </c>
      <c r="N7" s="469">
        <f t="shared" si="20"/>
        <v>9999</v>
      </c>
      <c r="O7" s="469">
        <f t="shared" si="20"/>
        <v>9999</v>
      </c>
      <c r="P7" s="469">
        <f t="shared" si="20"/>
        <v>169.96722357930113</v>
      </c>
      <c r="Q7" s="469">
        <f t="shared" si="20"/>
        <v>9999</v>
      </c>
      <c r="R7" s="469">
        <f t="shared" si="20"/>
        <v>105.33078031406269</v>
      </c>
      <c r="S7" s="469">
        <f t="shared" si="20"/>
        <v>74.151752621841069</v>
      </c>
      <c r="T7" s="469">
        <f t="shared" ref="T7" si="21">IF(T130=0,9999,T130/$D70)</f>
        <v>54.767558196580772</v>
      </c>
      <c r="U7" s="469">
        <f t="shared" ref="U7" si="22">IF(U130=0,9999,U130/$D70)</f>
        <v>9999</v>
      </c>
      <c r="V7" s="469">
        <f t="shared" ref="V7" si="23">IF(V130=0,9999,V130/$D70)</f>
        <v>9999</v>
      </c>
      <c r="W7" s="469">
        <f t="shared" ref="W7" si="24">IF(W130=0,9999,W130/$D70)</f>
        <v>87.934921457978518</v>
      </c>
      <c r="X7" s="469">
        <f t="shared" ref="X7" si="25">IF(X130=0,9999,X130/$D70)</f>
        <v>9999</v>
      </c>
      <c r="Y7" s="469">
        <f t="shared" ref="Y7" si="26">IF(Y130=0,9999,Y130/$D70)</f>
        <v>9999</v>
      </c>
      <c r="Z7" s="469">
        <f t="shared" ref="Z7" si="27">IF(Z130=0,9999,Z130/$D70)</f>
        <v>9999</v>
      </c>
      <c r="AA7" s="504"/>
      <c r="AB7" s="504"/>
      <c r="AC7" s="504"/>
      <c r="AD7" s="275"/>
      <c r="AE7" s="506" t="s">
        <v>613</v>
      </c>
      <c r="AF7" s="506">
        <v>5</v>
      </c>
      <c r="AH7" s="272">
        <v>1</v>
      </c>
    </row>
    <row r="8" spans="1:34" ht="12.75" customHeight="1" x14ac:dyDescent="0.25">
      <c r="B8" s="468" t="s">
        <v>812</v>
      </c>
      <c r="C8" s="469">
        <f t="shared" ref="C8" si="28">IF(C131=0,9999,C131/$D71)</f>
        <v>9999</v>
      </c>
      <c r="D8" s="469">
        <f t="shared" ref="D8:S8" si="29">IF(D131=0,9999,D131/$D71)</f>
        <v>97.358248352771099</v>
      </c>
      <c r="E8" s="469">
        <f t="shared" si="29"/>
        <v>75.721477741898454</v>
      </c>
      <c r="F8" s="469">
        <f t="shared" si="29"/>
        <v>9999</v>
      </c>
      <c r="G8" s="469">
        <f t="shared" si="29"/>
        <v>9999</v>
      </c>
      <c r="H8" s="469">
        <f t="shared" si="29"/>
        <v>9999</v>
      </c>
      <c r="I8" s="469">
        <f t="shared" si="29"/>
        <v>9999</v>
      </c>
      <c r="J8" s="469">
        <f t="shared" si="29"/>
        <v>63.735126328222393</v>
      </c>
      <c r="K8" s="469">
        <f t="shared" si="29"/>
        <v>43.592963192348421</v>
      </c>
      <c r="L8" s="469">
        <f t="shared" si="29"/>
        <v>50.215122810945545</v>
      </c>
      <c r="M8" s="469">
        <f t="shared" si="29"/>
        <v>9999</v>
      </c>
      <c r="N8" s="469">
        <f t="shared" si="29"/>
        <v>9999</v>
      </c>
      <c r="O8" s="469">
        <f t="shared" si="29"/>
        <v>9999</v>
      </c>
      <c r="P8" s="469">
        <f t="shared" si="29"/>
        <v>168.38966431186051</v>
      </c>
      <c r="Q8" s="469">
        <f t="shared" si="29"/>
        <v>9999</v>
      </c>
      <c r="R8" s="469">
        <f t="shared" si="29"/>
        <v>64.740391202891416</v>
      </c>
      <c r="S8" s="469">
        <f t="shared" si="29"/>
        <v>39.18498797101946</v>
      </c>
      <c r="T8" s="469">
        <f t="shared" ref="T8" si="30">IF(T131=0,9999,T131/$D71)</f>
        <v>18.872665191581838</v>
      </c>
      <c r="U8" s="469">
        <f t="shared" ref="U8" si="31">IF(U131=0,9999,U131/$D71)</f>
        <v>27.708998195309125</v>
      </c>
      <c r="V8" s="469">
        <f t="shared" ref="V8" si="32">IF(V131=0,9999,V131/$D71)</f>
        <v>19.650370925269563</v>
      </c>
      <c r="W8" s="469">
        <f t="shared" ref="W8" si="33">IF(W131=0,9999,W131/$D71)</f>
        <v>9999</v>
      </c>
      <c r="X8" s="469">
        <f t="shared" ref="X8" si="34">IF(X131=0,9999,X131/$D71)</f>
        <v>9999</v>
      </c>
      <c r="Y8" s="469">
        <f t="shared" ref="Y8" si="35">IF(Y131=0,9999,Y131/$D71)</f>
        <v>30.023311626662032</v>
      </c>
      <c r="Z8" s="469">
        <f t="shared" ref="Z8" si="36">IF(Z131=0,9999,Z131/$D71)</f>
        <v>22.366511723761562</v>
      </c>
      <c r="AA8" s="504"/>
      <c r="AB8" s="504"/>
      <c r="AC8" s="504"/>
      <c r="AD8" s="275"/>
      <c r="AE8" s="505" t="s">
        <v>799</v>
      </c>
      <c r="AF8" s="505">
        <v>6</v>
      </c>
      <c r="AH8" s="272">
        <v>1</v>
      </c>
    </row>
    <row r="9" spans="1:34" ht="12.75" customHeight="1" x14ac:dyDescent="0.25">
      <c r="B9" s="468" t="s">
        <v>813</v>
      </c>
      <c r="C9" s="469">
        <f t="shared" ref="C9" si="37">IF(C132=0,9999,C132/$D72)</f>
        <v>89.87347198491257</v>
      </c>
      <c r="D9" s="469">
        <f t="shared" ref="D9:S9" si="38">IF(D132=0,9999,D132/$D72)</f>
        <v>134.31396628440382</v>
      </c>
      <c r="E9" s="469">
        <f t="shared" si="38"/>
        <v>105.76243181028538</v>
      </c>
      <c r="F9" s="469">
        <f t="shared" si="38"/>
        <v>9999</v>
      </c>
      <c r="G9" s="469">
        <f t="shared" si="38"/>
        <v>9999</v>
      </c>
      <c r="H9" s="469">
        <f t="shared" si="38"/>
        <v>9999</v>
      </c>
      <c r="I9" s="469">
        <f t="shared" si="38"/>
        <v>9999</v>
      </c>
      <c r="J9" s="469">
        <f t="shared" si="38"/>
        <v>107.921185994765</v>
      </c>
      <c r="K9" s="469">
        <f t="shared" si="38"/>
        <v>81.007515521504175</v>
      </c>
      <c r="L9" s="469">
        <f t="shared" si="38"/>
        <v>99.533397742157391</v>
      </c>
      <c r="M9" s="469">
        <f t="shared" si="38"/>
        <v>9999</v>
      </c>
      <c r="N9" s="469">
        <f t="shared" si="38"/>
        <v>68.36174239707421</v>
      </c>
      <c r="O9" s="469">
        <f t="shared" si="38"/>
        <v>9999</v>
      </c>
      <c r="P9" s="469">
        <f t="shared" si="38"/>
        <v>163.30724340134213</v>
      </c>
      <c r="Q9" s="469">
        <f t="shared" si="38"/>
        <v>9999</v>
      </c>
      <c r="R9" s="469">
        <f t="shared" si="38"/>
        <v>109.63614281526851</v>
      </c>
      <c r="S9" s="469">
        <f t="shared" si="38"/>
        <v>86.787883308341137</v>
      </c>
      <c r="T9" s="469">
        <f t="shared" ref="T9" si="39">IF(T132=0,9999,T132/$D72)</f>
        <v>56.140473615553226</v>
      </c>
      <c r="U9" s="469">
        <f t="shared" ref="U9" si="40">IF(U132=0,9999,U132/$D72)</f>
        <v>72.451255023583585</v>
      </c>
      <c r="V9" s="469">
        <f t="shared" ref="V9" si="41">IF(V132=0,9999,V132/$D72)</f>
        <v>9999</v>
      </c>
      <c r="W9" s="469">
        <f t="shared" ref="W9" si="42">IF(W132=0,9999,W132/$D72)</f>
        <v>78.609085377666091</v>
      </c>
      <c r="X9" s="469">
        <f t="shared" ref="X9" si="43">IF(X132=0,9999,X132/$D72)</f>
        <v>9999</v>
      </c>
      <c r="Y9" s="469">
        <f t="shared" ref="Y9" si="44">IF(Y132=0,9999,Y132/$D72)</f>
        <v>9999</v>
      </c>
      <c r="Z9" s="469">
        <f t="shared" ref="Z9" si="45">IF(Z132=0,9999,Z132/$D72)</f>
        <v>9999</v>
      </c>
      <c r="AA9" s="504"/>
      <c r="AB9" s="504"/>
      <c r="AC9" s="504"/>
      <c r="AD9" s="275"/>
      <c r="AE9" s="505" t="s">
        <v>800</v>
      </c>
      <c r="AF9" s="505">
        <v>7</v>
      </c>
      <c r="AH9" s="272">
        <v>1</v>
      </c>
    </row>
    <row r="10" spans="1:34" ht="12.75" customHeight="1" x14ac:dyDescent="0.25">
      <c r="B10" s="468" t="s">
        <v>814</v>
      </c>
      <c r="C10" s="469">
        <f t="shared" ref="C10" si="46">IF(C133=0,9999,C133/$D73)</f>
        <v>9999</v>
      </c>
      <c r="D10" s="469">
        <f t="shared" ref="D10:S10" si="47">IF(D133=0,9999,D133/$D73)</f>
        <v>81.35623655031165</v>
      </c>
      <c r="E10" s="469">
        <f t="shared" si="47"/>
        <v>63.546654199116801</v>
      </c>
      <c r="F10" s="469">
        <f t="shared" si="47"/>
        <v>9999</v>
      </c>
      <c r="G10" s="469">
        <f t="shared" si="47"/>
        <v>9999</v>
      </c>
      <c r="H10" s="469">
        <f t="shared" si="47"/>
        <v>28.668523221406353</v>
      </c>
      <c r="I10" s="469">
        <f t="shared" si="47"/>
        <v>13.934858239507003</v>
      </c>
      <c r="J10" s="469">
        <f t="shared" si="47"/>
        <v>9999</v>
      </c>
      <c r="K10" s="469">
        <f t="shared" si="47"/>
        <v>31.935973266338973</v>
      </c>
      <c r="L10" s="469">
        <f t="shared" si="47"/>
        <v>38.19071576366899</v>
      </c>
      <c r="M10" s="469">
        <f t="shared" si="47"/>
        <v>9999</v>
      </c>
      <c r="N10" s="469">
        <f t="shared" si="47"/>
        <v>9999</v>
      </c>
      <c r="O10" s="469">
        <f t="shared" si="47"/>
        <v>9999</v>
      </c>
      <c r="P10" s="469">
        <f t="shared" si="47"/>
        <v>101.34355592787912</v>
      </c>
      <c r="Q10" s="469">
        <f t="shared" si="47"/>
        <v>9999</v>
      </c>
      <c r="R10" s="469">
        <f t="shared" si="47"/>
        <v>65.297880585634147</v>
      </c>
      <c r="S10" s="469">
        <f t="shared" si="47"/>
        <v>53.011435677384853</v>
      </c>
      <c r="T10" s="469">
        <f t="shared" ref="T10" si="48">IF(T133=0,9999,T133/$D73)</f>
        <v>22.189425138937651</v>
      </c>
      <c r="U10" s="469">
        <f t="shared" ref="U10" si="49">IF(U133=0,9999,U133/$D73)</f>
        <v>19.643934538579394</v>
      </c>
      <c r="V10" s="469">
        <f t="shared" ref="V10" si="50">IF(V133=0,9999,V133/$D73)</f>
        <v>9999</v>
      </c>
      <c r="W10" s="469">
        <f t="shared" ref="W10" si="51">IF(W133=0,9999,W133/$D73)</f>
        <v>34.925418267685046</v>
      </c>
      <c r="X10" s="469">
        <f t="shared" ref="X10" si="52">IF(X133=0,9999,X133/$D73)</f>
        <v>23.155230228877208</v>
      </c>
      <c r="Y10" s="469">
        <f t="shared" ref="Y10" si="53">IF(Y133=0,9999,Y133/$D73)</f>
        <v>58.840662630597087</v>
      </c>
      <c r="Z10" s="469">
        <f t="shared" ref="Z10" si="54">IF(Z133=0,9999,Z133/$D73)</f>
        <v>21.792727164569772</v>
      </c>
      <c r="AA10" s="504"/>
      <c r="AB10" s="504"/>
      <c r="AC10" s="504"/>
      <c r="AD10" s="275"/>
      <c r="AE10" s="505" t="s">
        <v>801</v>
      </c>
      <c r="AF10" s="505">
        <v>8</v>
      </c>
      <c r="AH10" s="272">
        <v>1</v>
      </c>
    </row>
    <row r="11" spans="1:34" ht="12.75" customHeight="1" x14ac:dyDescent="0.25">
      <c r="B11" s="468" t="s">
        <v>815</v>
      </c>
      <c r="C11" s="469">
        <f t="shared" ref="C11" si="55">IF(C134=0,9999,C134/$D74)</f>
        <v>9999</v>
      </c>
      <c r="D11" s="469">
        <f t="shared" ref="D11:S11" si="56">IF(D134=0,9999,D134/$D74)</f>
        <v>9999</v>
      </c>
      <c r="E11" s="469">
        <f t="shared" si="56"/>
        <v>9999</v>
      </c>
      <c r="F11" s="469">
        <f t="shared" si="56"/>
        <v>9999</v>
      </c>
      <c r="G11" s="469">
        <f t="shared" si="56"/>
        <v>9999</v>
      </c>
      <c r="H11" s="469">
        <f t="shared" si="56"/>
        <v>9999</v>
      </c>
      <c r="I11" s="469">
        <f t="shared" si="56"/>
        <v>9999</v>
      </c>
      <c r="J11" s="469">
        <f t="shared" si="56"/>
        <v>9999</v>
      </c>
      <c r="K11" s="469">
        <f t="shared" si="56"/>
        <v>9999</v>
      </c>
      <c r="L11" s="469">
        <f t="shared" si="56"/>
        <v>87.00644405389572</v>
      </c>
      <c r="M11" s="469">
        <f t="shared" si="56"/>
        <v>96.789689513766845</v>
      </c>
      <c r="N11" s="469">
        <f t="shared" si="56"/>
        <v>96.789689513766845</v>
      </c>
      <c r="O11" s="469">
        <f t="shared" si="56"/>
        <v>9999</v>
      </c>
      <c r="P11" s="469">
        <f t="shared" si="56"/>
        <v>9999</v>
      </c>
      <c r="Q11" s="469">
        <f t="shared" si="56"/>
        <v>9999</v>
      </c>
      <c r="R11" s="469">
        <f t="shared" si="56"/>
        <v>9999</v>
      </c>
      <c r="S11" s="469">
        <f t="shared" si="56"/>
        <v>9999</v>
      </c>
      <c r="T11" s="469">
        <f t="shared" ref="T11" si="57">IF(T134=0,9999,T134/$D74)</f>
        <v>9999</v>
      </c>
      <c r="U11" s="469">
        <f t="shared" ref="U11" si="58">IF(U134=0,9999,U134/$D74)</f>
        <v>9999</v>
      </c>
      <c r="V11" s="469">
        <f t="shared" ref="V11" si="59">IF(V134=0,9999,V134/$D74)</f>
        <v>9999</v>
      </c>
      <c r="W11" s="469">
        <f t="shared" ref="W11" si="60">IF(W134=0,9999,W134/$D74)</f>
        <v>9999</v>
      </c>
      <c r="X11" s="469">
        <f t="shared" ref="X11" si="61">IF(X134=0,9999,X134/$D74)</f>
        <v>9999</v>
      </c>
      <c r="Y11" s="469">
        <f t="shared" ref="Y11" si="62">IF(Y134=0,9999,Y134/$D74)</f>
        <v>9999</v>
      </c>
      <c r="Z11" s="469">
        <f t="shared" ref="Z11" si="63">IF(Z134=0,9999,Z134/$D74)</f>
        <v>9999</v>
      </c>
      <c r="AA11" s="504"/>
      <c r="AB11" s="504"/>
      <c r="AC11" s="504"/>
      <c r="AD11" s="275"/>
      <c r="AE11" s="505" t="s">
        <v>802</v>
      </c>
      <c r="AF11" s="505">
        <v>9</v>
      </c>
      <c r="AH11" s="272">
        <v>1</v>
      </c>
    </row>
    <row r="12" spans="1:34" ht="12.75" customHeight="1" x14ac:dyDescent="0.25">
      <c r="B12" s="468" t="s">
        <v>816</v>
      </c>
      <c r="C12" s="469">
        <f t="shared" ref="C12" si="64">IF(C135=0,9999,C135/$D75)</f>
        <v>9999</v>
      </c>
      <c r="D12" s="469">
        <f t="shared" ref="D12:S12" si="65">IF(D135=0,9999,D135/$D75)</f>
        <v>9999</v>
      </c>
      <c r="E12" s="469">
        <f t="shared" si="65"/>
        <v>9999</v>
      </c>
      <c r="F12" s="469">
        <f t="shared" si="65"/>
        <v>9999</v>
      </c>
      <c r="G12" s="469">
        <f t="shared" si="65"/>
        <v>9999</v>
      </c>
      <c r="H12" s="469">
        <f t="shared" si="65"/>
        <v>9999</v>
      </c>
      <c r="I12" s="469">
        <f t="shared" si="65"/>
        <v>9999</v>
      </c>
      <c r="J12" s="469">
        <f t="shared" si="65"/>
        <v>9999</v>
      </c>
      <c r="K12" s="469">
        <f t="shared" si="65"/>
        <v>9999</v>
      </c>
      <c r="L12" s="469">
        <f t="shared" si="65"/>
        <v>77.994241139207375</v>
      </c>
      <c r="M12" s="469">
        <f t="shared" si="65"/>
        <v>9999</v>
      </c>
      <c r="N12" s="469">
        <f t="shared" si="65"/>
        <v>9999</v>
      </c>
      <c r="O12" s="469">
        <f t="shared" si="65"/>
        <v>9999</v>
      </c>
      <c r="P12" s="469">
        <f t="shared" si="65"/>
        <v>9999</v>
      </c>
      <c r="Q12" s="469">
        <f t="shared" si="65"/>
        <v>9999</v>
      </c>
      <c r="R12" s="469">
        <f t="shared" si="65"/>
        <v>9999</v>
      </c>
      <c r="S12" s="469">
        <f t="shared" si="65"/>
        <v>9999</v>
      </c>
      <c r="T12" s="469">
        <f t="shared" ref="T12" si="66">IF(T135=0,9999,T135/$D75)</f>
        <v>9999</v>
      </c>
      <c r="U12" s="469">
        <f t="shared" ref="U12" si="67">IF(U135=0,9999,U135/$D75)</f>
        <v>9999</v>
      </c>
      <c r="V12" s="469">
        <f t="shared" ref="V12" si="68">IF(V135=0,9999,V135/$D75)</f>
        <v>9999</v>
      </c>
      <c r="W12" s="469">
        <f t="shared" ref="W12" si="69">IF(W135=0,9999,W135/$D75)</f>
        <v>9999</v>
      </c>
      <c r="X12" s="469">
        <f t="shared" ref="X12" si="70">IF(X135=0,9999,X135/$D75)</f>
        <v>9999</v>
      </c>
      <c r="Y12" s="469">
        <f t="shared" ref="Y12" si="71">IF(Y135=0,9999,Y135/$D75)</f>
        <v>9999</v>
      </c>
      <c r="Z12" s="469">
        <f t="shared" ref="Z12" si="72">IF(Z135=0,9999,Z135/$D75)</f>
        <v>9999</v>
      </c>
      <c r="AA12" s="504"/>
      <c r="AB12" s="504"/>
      <c r="AC12" s="504"/>
      <c r="AD12" s="275"/>
      <c r="AE12" s="505" t="s">
        <v>604</v>
      </c>
      <c r="AF12" s="505">
        <v>10</v>
      </c>
      <c r="AH12" s="272">
        <v>1</v>
      </c>
    </row>
    <row r="13" spans="1:34" ht="12.75" customHeight="1" x14ac:dyDescent="0.25">
      <c r="B13" s="468" t="s">
        <v>817</v>
      </c>
      <c r="C13" s="469">
        <f t="shared" ref="C13" si="73">IF(C136=0,9999,C136/$D76)</f>
        <v>9999</v>
      </c>
      <c r="D13" s="469">
        <f t="shared" ref="D13:S13" si="74">IF(D136=0,9999,D136/$D76)</f>
        <v>160.50740381717969</v>
      </c>
      <c r="E13" s="469">
        <f t="shared" si="74"/>
        <v>102.2864524802206</v>
      </c>
      <c r="F13" s="469">
        <f t="shared" si="74"/>
        <v>9999</v>
      </c>
      <c r="G13" s="469">
        <f t="shared" si="74"/>
        <v>9999</v>
      </c>
      <c r="H13" s="469">
        <f t="shared" si="74"/>
        <v>9999</v>
      </c>
      <c r="I13" s="469">
        <f t="shared" si="74"/>
        <v>9999</v>
      </c>
      <c r="J13" s="469">
        <f t="shared" si="74"/>
        <v>130.80309899682396</v>
      </c>
      <c r="K13" s="469">
        <f t="shared" si="74"/>
        <v>9999</v>
      </c>
      <c r="L13" s="469">
        <f t="shared" si="74"/>
        <v>127.73823627968041</v>
      </c>
      <c r="M13" s="469">
        <f t="shared" si="74"/>
        <v>9999</v>
      </c>
      <c r="N13" s="469">
        <f t="shared" si="74"/>
        <v>9999</v>
      </c>
      <c r="O13" s="469">
        <f t="shared" si="74"/>
        <v>9999</v>
      </c>
      <c r="P13" s="469">
        <f t="shared" si="74"/>
        <v>9999</v>
      </c>
      <c r="Q13" s="469">
        <f t="shared" si="74"/>
        <v>9999</v>
      </c>
      <c r="R13" s="469">
        <f t="shared" si="74"/>
        <v>117.3559898244973</v>
      </c>
      <c r="S13" s="469">
        <f t="shared" si="74"/>
        <v>9999</v>
      </c>
      <c r="T13" s="469">
        <f t="shared" ref="T13" si="75">IF(T136=0,9999,T136/$D76)</f>
        <v>9999</v>
      </c>
      <c r="U13" s="469">
        <f t="shared" ref="U13" si="76">IF(U136=0,9999,U136/$D76)</f>
        <v>9999</v>
      </c>
      <c r="V13" s="469">
        <f t="shared" ref="V13" si="77">IF(V136=0,9999,V136/$D76)</f>
        <v>9999</v>
      </c>
      <c r="W13" s="469">
        <f t="shared" ref="W13" si="78">IF(W136=0,9999,W136/$D76)</f>
        <v>9999</v>
      </c>
      <c r="X13" s="469">
        <f t="shared" ref="X13" si="79">IF(X136=0,9999,X136/$D76)</f>
        <v>9999</v>
      </c>
      <c r="Y13" s="469">
        <f t="shared" ref="Y13" si="80">IF(Y136=0,9999,Y136/$D76)</f>
        <v>9999</v>
      </c>
      <c r="Z13" s="469">
        <f t="shared" ref="Z13" si="81">IF(Z136=0,9999,Z136/$D76)</f>
        <v>9999</v>
      </c>
      <c r="AA13" s="504"/>
      <c r="AB13" s="504"/>
      <c r="AC13" s="504"/>
      <c r="AD13" s="275"/>
      <c r="AE13" s="505" t="s">
        <v>707</v>
      </c>
      <c r="AF13" s="505">
        <v>11</v>
      </c>
      <c r="AH13" s="272">
        <v>1</v>
      </c>
    </row>
    <row r="14" spans="1:34" ht="12.75" customHeight="1" x14ac:dyDescent="0.25">
      <c r="B14" s="468" t="s">
        <v>818</v>
      </c>
      <c r="C14" s="469">
        <f t="shared" ref="C14" si="82">IF(C137=0,9999,C137/$D77)</f>
        <v>9999</v>
      </c>
      <c r="D14" s="469">
        <f t="shared" ref="D14:S14" si="83">IF(D137=0,9999,D137/$D77)</f>
        <v>9999</v>
      </c>
      <c r="E14" s="469">
        <f t="shared" si="83"/>
        <v>9999</v>
      </c>
      <c r="F14" s="469">
        <f t="shared" si="83"/>
        <v>9999</v>
      </c>
      <c r="G14" s="469">
        <f t="shared" si="83"/>
        <v>9999</v>
      </c>
      <c r="H14" s="469">
        <f t="shared" si="83"/>
        <v>9999</v>
      </c>
      <c r="I14" s="469">
        <f t="shared" si="83"/>
        <v>9999</v>
      </c>
      <c r="J14" s="469">
        <f t="shared" si="83"/>
        <v>9999</v>
      </c>
      <c r="K14" s="469">
        <f t="shared" si="83"/>
        <v>9999</v>
      </c>
      <c r="L14" s="469">
        <f t="shared" si="83"/>
        <v>185.58584568459293</v>
      </c>
      <c r="M14" s="469">
        <f t="shared" si="83"/>
        <v>9999</v>
      </c>
      <c r="N14" s="469">
        <f t="shared" si="83"/>
        <v>9999</v>
      </c>
      <c r="O14" s="469">
        <f t="shared" si="83"/>
        <v>9999</v>
      </c>
      <c r="P14" s="469">
        <f t="shared" si="83"/>
        <v>200.91370568833636</v>
      </c>
      <c r="Q14" s="469">
        <f t="shared" si="83"/>
        <v>9999</v>
      </c>
      <c r="R14" s="469">
        <f t="shared" si="83"/>
        <v>177.92191568272122</v>
      </c>
      <c r="S14" s="469">
        <f t="shared" si="83"/>
        <v>9999</v>
      </c>
      <c r="T14" s="469">
        <f t="shared" ref="T14" si="84">IF(T137=0,9999,T137/$D77)</f>
        <v>9999</v>
      </c>
      <c r="U14" s="469">
        <f t="shared" ref="U14" si="85">IF(U137=0,9999,U137/$D77)</f>
        <v>9999</v>
      </c>
      <c r="V14" s="469">
        <f t="shared" ref="V14" si="86">IF(V137=0,9999,V137/$D77)</f>
        <v>9999</v>
      </c>
      <c r="W14" s="469">
        <f t="shared" ref="W14" si="87">IF(W137=0,9999,W137/$D77)</f>
        <v>9999</v>
      </c>
      <c r="X14" s="469">
        <f t="shared" ref="X14" si="88">IF(X137=0,9999,X137/$D77)</f>
        <v>9999</v>
      </c>
      <c r="Y14" s="469">
        <f t="shared" ref="Y14" si="89">IF(Y137=0,9999,Y137/$D77)</f>
        <v>9999</v>
      </c>
      <c r="Z14" s="469">
        <f t="shared" ref="Z14" si="90">IF(Z137=0,9999,Z137/$D77)</f>
        <v>9999</v>
      </c>
      <c r="AA14" s="504"/>
      <c r="AB14" s="504"/>
      <c r="AC14" s="504"/>
      <c r="AD14" s="275"/>
      <c r="AE14" s="505" t="s">
        <v>803</v>
      </c>
      <c r="AF14" s="505">
        <v>12</v>
      </c>
      <c r="AH14" s="272">
        <v>1</v>
      </c>
    </row>
    <row r="15" spans="1:34" ht="12.75" customHeight="1" x14ac:dyDescent="0.25">
      <c r="B15" s="468" t="s">
        <v>819</v>
      </c>
      <c r="C15" s="469">
        <f t="shared" ref="C15" si="91">IF(C138=0,9999,C138/$D78)</f>
        <v>9999</v>
      </c>
      <c r="D15" s="469">
        <f t="shared" ref="D15:S15" si="92">IF(D138=0,9999,D138/$D78)</f>
        <v>190.07964991533703</v>
      </c>
      <c r="E15" s="469">
        <f t="shared" si="92"/>
        <v>137.15220901379982</v>
      </c>
      <c r="F15" s="469">
        <f t="shared" si="92"/>
        <v>9999</v>
      </c>
      <c r="G15" s="469">
        <f t="shared" si="92"/>
        <v>9999</v>
      </c>
      <c r="H15" s="469">
        <f t="shared" si="92"/>
        <v>9999</v>
      </c>
      <c r="I15" s="469">
        <f t="shared" si="92"/>
        <v>58.452649392272356</v>
      </c>
      <c r="J15" s="469">
        <f t="shared" si="92"/>
        <v>130.5641322297576</v>
      </c>
      <c r="K15" s="469">
        <f t="shared" si="92"/>
        <v>116.2459266767975</v>
      </c>
      <c r="L15" s="469">
        <f t="shared" si="92"/>
        <v>154.58969742474861</v>
      </c>
      <c r="M15" s="469">
        <f t="shared" si="92"/>
        <v>9999</v>
      </c>
      <c r="N15" s="469">
        <f t="shared" si="92"/>
        <v>9999</v>
      </c>
      <c r="O15" s="469">
        <f t="shared" si="92"/>
        <v>9999</v>
      </c>
      <c r="P15" s="469">
        <f t="shared" si="92"/>
        <v>242.29718380733405</v>
      </c>
      <c r="Q15" s="469">
        <f t="shared" si="92"/>
        <v>9999</v>
      </c>
      <c r="R15" s="469">
        <f t="shared" si="92"/>
        <v>147.98889054371176</v>
      </c>
      <c r="S15" s="469">
        <f t="shared" si="92"/>
        <v>86.169011551235414</v>
      </c>
      <c r="T15" s="469">
        <f t="shared" ref="T15" si="93">IF(T138=0,9999,T138/$D78)</f>
        <v>75.297165743314011</v>
      </c>
      <c r="U15" s="469">
        <f t="shared" ref="U15" si="94">IF(U138=0,9999,U138/$D78)</f>
        <v>9999</v>
      </c>
      <c r="V15" s="469">
        <f t="shared" ref="V15" si="95">IF(V138=0,9999,V138/$D78)</f>
        <v>9999</v>
      </c>
      <c r="W15" s="469">
        <f t="shared" ref="W15" si="96">IF(W138=0,9999,W138/$D78)</f>
        <v>102.96841308190976</v>
      </c>
      <c r="X15" s="469">
        <f t="shared" ref="X15" si="97">IF(X138=0,9999,X138/$D78)</f>
        <v>73.63384580747983</v>
      </c>
      <c r="Y15" s="469">
        <f t="shared" ref="Y15" si="98">IF(Y138=0,9999,Y138/$D78)</f>
        <v>9999</v>
      </c>
      <c r="Z15" s="469">
        <f t="shared" ref="Z15" si="99">IF(Z138=0,9999,Z138/$D78)</f>
        <v>9999</v>
      </c>
      <c r="AA15" s="504"/>
      <c r="AB15" s="504"/>
      <c r="AC15" s="504"/>
      <c r="AD15" s="275"/>
      <c r="AE15" s="505" t="s">
        <v>804</v>
      </c>
      <c r="AF15" s="505">
        <v>13</v>
      </c>
      <c r="AH15" s="272">
        <v>1</v>
      </c>
    </row>
    <row r="16" spans="1:34" ht="12.75" customHeight="1" x14ac:dyDescent="0.25">
      <c r="B16" s="468" t="s">
        <v>820</v>
      </c>
      <c r="C16" s="469">
        <f t="shared" ref="C16" si="100">IF(C139=0,9999,C139/$D79)</f>
        <v>9999</v>
      </c>
      <c r="D16" s="469">
        <f t="shared" ref="D16:S16" si="101">IF(D139=0,9999,D139/$D79)</f>
        <v>9999</v>
      </c>
      <c r="E16" s="469">
        <f t="shared" si="101"/>
        <v>37.357068019434251</v>
      </c>
      <c r="F16" s="469">
        <f t="shared" si="101"/>
        <v>9999</v>
      </c>
      <c r="G16" s="469">
        <f t="shared" si="101"/>
        <v>9999</v>
      </c>
      <c r="H16" s="469">
        <f t="shared" si="101"/>
        <v>21.272762400130333</v>
      </c>
      <c r="I16" s="469">
        <f t="shared" si="101"/>
        <v>12.762581086438857</v>
      </c>
      <c r="J16" s="469">
        <f t="shared" si="101"/>
        <v>9999</v>
      </c>
      <c r="K16" s="469">
        <f t="shared" si="101"/>
        <v>9999</v>
      </c>
      <c r="L16" s="469">
        <f t="shared" si="101"/>
        <v>16.849846209816125</v>
      </c>
      <c r="M16" s="469">
        <f t="shared" si="101"/>
        <v>9999</v>
      </c>
      <c r="N16" s="469">
        <f t="shared" si="101"/>
        <v>9999</v>
      </c>
      <c r="O16" s="469">
        <f t="shared" si="101"/>
        <v>9999</v>
      </c>
      <c r="P16" s="469">
        <f t="shared" si="101"/>
        <v>76.372682904471361</v>
      </c>
      <c r="Q16" s="469">
        <f t="shared" si="101"/>
        <v>9.2374737424670812</v>
      </c>
      <c r="R16" s="469">
        <f t="shared" si="101"/>
        <v>26.305429738323731</v>
      </c>
      <c r="S16" s="469">
        <f t="shared" si="101"/>
        <v>9999</v>
      </c>
      <c r="T16" s="469">
        <f t="shared" ref="T16" si="102">IF(T139=0,9999,T139/$D79)</f>
        <v>13.940698813492048</v>
      </c>
      <c r="U16" s="469">
        <f t="shared" ref="U16" si="103">IF(U139=0,9999,U139/$D79)</f>
        <v>9999</v>
      </c>
      <c r="V16" s="469">
        <f t="shared" ref="V16" si="104">IF(V139=0,9999,V139/$D79)</f>
        <v>9999</v>
      </c>
      <c r="W16" s="469">
        <f t="shared" ref="W16" si="105">IF(W139=0,9999,W139/$D79)</f>
        <v>9999</v>
      </c>
      <c r="X16" s="469">
        <f t="shared" ref="X16" si="106">IF(X139=0,9999,X139/$D79)</f>
        <v>14.108495189518724</v>
      </c>
      <c r="Y16" s="469">
        <f t="shared" ref="Y16" si="107">IF(Y139=0,9999,Y139/$D79)</f>
        <v>17.037885248499926</v>
      </c>
      <c r="Z16" s="469">
        <f t="shared" ref="Z16" si="108">IF(Z139=0,9999,Z139/$D79)</f>
        <v>9.3519705794097945</v>
      </c>
      <c r="AA16" s="504"/>
      <c r="AB16" s="504"/>
      <c r="AC16" s="504"/>
      <c r="AD16" s="275"/>
      <c r="AE16" s="505" t="s">
        <v>685</v>
      </c>
      <c r="AF16" s="505">
        <v>14</v>
      </c>
      <c r="AH16" s="272">
        <v>1</v>
      </c>
    </row>
    <row r="17" spans="2:34" ht="12.75" customHeight="1" x14ac:dyDescent="0.25">
      <c r="B17" s="468" t="s">
        <v>676</v>
      </c>
      <c r="C17" s="469">
        <f t="shared" ref="C17" si="109">IF(C140=0,9999,C140/$D80)</f>
        <v>9999</v>
      </c>
      <c r="D17" s="469">
        <f t="shared" ref="D17:S17" si="110">IF(D140=0,9999,D140/$D80)</f>
        <v>132.27525593692013</v>
      </c>
      <c r="E17" s="469">
        <f t="shared" si="110"/>
        <v>124.51202416056041</v>
      </c>
      <c r="F17" s="469">
        <f t="shared" si="110"/>
        <v>9999</v>
      </c>
      <c r="G17" s="469">
        <f t="shared" si="110"/>
        <v>9999</v>
      </c>
      <c r="H17" s="469">
        <f t="shared" si="110"/>
        <v>9999</v>
      </c>
      <c r="I17" s="469">
        <f t="shared" si="110"/>
        <v>9999</v>
      </c>
      <c r="J17" s="469">
        <f t="shared" si="110"/>
        <v>125.36492729015438</v>
      </c>
      <c r="K17" s="469">
        <f t="shared" si="110"/>
        <v>80.286921289198602</v>
      </c>
      <c r="L17" s="469">
        <f t="shared" si="110"/>
        <v>127.02751579495633</v>
      </c>
      <c r="M17" s="469">
        <f t="shared" si="110"/>
        <v>9999</v>
      </c>
      <c r="N17" s="469">
        <f t="shared" si="110"/>
        <v>9999</v>
      </c>
      <c r="O17" s="469">
        <f t="shared" si="110"/>
        <v>9999</v>
      </c>
      <c r="P17" s="469">
        <f t="shared" si="110"/>
        <v>162.5450599143638</v>
      </c>
      <c r="Q17" s="469">
        <f t="shared" si="110"/>
        <v>9999</v>
      </c>
      <c r="R17" s="469">
        <f t="shared" si="110"/>
        <v>106.23756058597395</v>
      </c>
      <c r="S17" s="469">
        <f t="shared" si="110"/>
        <v>86.9754455081911</v>
      </c>
      <c r="T17" s="469">
        <f t="shared" ref="T17" si="111">IF(T140=0,9999,T140/$D80)</f>
        <v>9999</v>
      </c>
      <c r="U17" s="469">
        <f t="shared" ref="U17" si="112">IF(U140=0,9999,U140/$D80)</f>
        <v>9999</v>
      </c>
      <c r="V17" s="469">
        <f t="shared" ref="V17" si="113">IF(V140=0,9999,V140/$D80)</f>
        <v>9999</v>
      </c>
      <c r="W17" s="469">
        <f t="shared" ref="W17" si="114">IF(W140=0,9999,W140/$D80)</f>
        <v>110.09078180061822</v>
      </c>
      <c r="X17" s="469">
        <f t="shared" ref="X17" si="115">IF(X140=0,9999,X140/$D80)</f>
        <v>9999</v>
      </c>
      <c r="Y17" s="469">
        <f t="shared" ref="Y17" si="116">IF(Y140=0,9999,Y140/$D80)</f>
        <v>9999</v>
      </c>
      <c r="Z17" s="469">
        <f t="shared" ref="Z17" si="117">IF(Z140=0,9999,Z140/$D80)</f>
        <v>9999</v>
      </c>
      <c r="AA17" s="504"/>
      <c r="AB17" s="504"/>
      <c r="AC17" s="504"/>
      <c r="AD17" s="275"/>
      <c r="AE17" s="505" t="s">
        <v>805</v>
      </c>
      <c r="AF17" s="505">
        <v>15</v>
      </c>
      <c r="AH17" s="272">
        <v>1</v>
      </c>
    </row>
    <row r="18" spans="2:34" ht="12.75" customHeight="1" x14ac:dyDescent="0.25">
      <c r="B18" s="468" t="s">
        <v>600</v>
      </c>
      <c r="C18" s="469">
        <f t="shared" ref="C18" si="118">IF(C141=0,9999,C141/$D81)</f>
        <v>31.899820689818942</v>
      </c>
      <c r="D18" s="469">
        <f t="shared" ref="D18:S18" si="119">IF(D141=0,9999,D141/$D81)</f>
        <v>79.440247738895806</v>
      </c>
      <c r="E18" s="469">
        <f t="shared" si="119"/>
        <v>48.815180395889804</v>
      </c>
      <c r="F18" s="469">
        <f t="shared" si="119"/>
        <v>9999</v>
      </c>
      <c r="G18" s="469">
        <f t="shared" si="119"/>
        <v>8.6622067968744609</v>
      </c>
      <c r="H18" s="469">
        <f t="shared" si="119"/>
        <v>14.775038500285518</v>
      </c>
      <c r="I18" s="469">
        <f t="shared" si="119"/>
        <v>14.293489131308149</v>
      </c>
      <c r="J18" s="469">
        <f t="shared" si="119"/>
        <v>41.198594328072588</v>
      </c>
      <c r="K18" s="469">
        <f t="shared" si="119"/>
        <v>27.492307625653151</v>
      </c>
      <c r="L18" s="469">
        <f t="shared" si="119"/>
        <v>23.352305928326402</v>
      </c>
      <c r="M18" s="469">
        <f t="shared" si="119"/>
        <v>31.773178430588541</v>
      </c>
      <c r="N18" s="469">
        <f t="shared" si="119"/>
        <v>22.85823742227474</v>
      </c>
      <c r="O18" s="469">
        <f t="shared" si="119"/>
        <v>9999</v>
      </c>
      <c r="P18" s="469">
        <f t="shared" si="119"/>
        <v>106.332675821612</v>
      </c>
      <c r="Q18" s="469">
        <f t="shared" si="119"/>
        <v>9999</v>
      </c>
      <c r="R18" s="469">
        <f t="shared" si="119"/>
        <v>42.907979672163378</v>
      </c>
      <c r="S18" s="469">
        <f t="shared" si="119"/>
        <v>29.84202148937505</v>
      </c>
      <c r="T18" s="469">
        <f t="shared" ref="T18" si="120">IF(T141=0,9999,T141/$D81)</f>
        <v>14.441397711217236</v>
      </c>
      <c r="U18" s="469">
        <f t="shared" ref="U18" si="121">IF(U141=0,9999,U141/$D81)</f>
        <v>22.162467412985638</v>
      </c>
      <c r="V18" s="469">
        <f t="shared" ref="V18" si="122">IF(V141=0,9999,V141/$D81)</f>
        <v>11.860182837750669</v>
      </c>
      <c r="W18" s="469">
        <f t="shared" ref="W18" si="123">IF(W141=0,9999,W141/$D81)</f>
        <v>24.697742131107731</v>
      </c>
      <c r="X18" s="469">
        <f t="shared" ref="X18" si="124">IF(X141=0,9999,X141/$D81)</f>
        <v>14.73133330538718</v>
      </c>
      <c r="Y18" s="469">
        <f t="shared" ref="Y18" si="125">IF(Y141=0,9999,Y141/$D81)</f>
        <v>23.591290141755344</v>
      </c>
      <c r="Z18" s="469">
        <f t="shared" ref="Z18" si="126">IF(Z141=0,9999,Z141/$D81)</f>
        <v>12.710999123613334</v>
      </c>
      <c r="AA18" s="504"/>
      <c r="AB18" s="504"/>
      <c r="AC18" s="504"/>
      <c r="AD18" s="275"/>
      <c r="AE18" s="505" t="s">
        <v>775</v>
      </c>
      <c r="AF18" s="505">
        <v>16</v>
      </c>
      <c r="AH18" s="272">
        <v>1</v>
      </c>
    </row>
    <row r="19" spans="2:34" ht="12.75" customHeight="1" x14ac:dyDescent="0.25">
      <c r="B19" s="468" t="s">
        <v>821</v>
      </c>
      <c r="C19" s="469">
        <f t="shared" ref="C19" si="127">IF(C142=0,9999,C142/$D82)</f>
        <v>9999</v>
      </c>
      <c r="D19" s="469">
        <f t="shared" ref="D19:S19" si="128">IF(D142=0,9999,D142/$D82)</f>
        <v>9999</v>
      </c>
      <c r="E19" s="469">
        <f t="shared" si="128"/>
        <v>9999</v>
      </c>
      <c r="F19" s="469">
        <f t="shared" si="128"/>
        <v>9999</v>
      </c>
      <c r="G19" s="469">
        <f t="shared" si="128"/>
        <v>9999</v>
      </c>
      <c r="H19" s="469">
        <f t="shared" si="128"/>
        <v>9999</v>
      </c>
      <c r="I19" s="469">
        <f t="shared" si="128"/>
        <v>9999</v>
      </c>
      <c r="J19" s="469">
        <f t="shared" si="128"/>
        <v>9999</v>
      </c>
      <c r="K19" s="469">
        <f t="shared" si="128"/>
        <v>9999</v>
      </c>
      <c r="L19" s="469">
        <f t="shared" si="128"/>
        <v>86.161688956261784</v>
      </c>
      <c r="M19" s="469">
        <f t="shared" si="128"/>
        <v>9999</v>
      </c>
      <c r="N19" s="469">
        <f t="shared" si="128"/>
        <v>9999</v>
      </c>
      <c r="O19" s="469">
        <f t="shared" si="128"/>
        <v>9999</v>
      </c>
      <c r="P19" s="469">
        <f t="shared" si="128"/>
        <v>9999</v>
      </c>
      <c r="Q19" s="469">
        <f t="shared" si="128"/>
        <v>9999</v>
      </c>
      <c r="R19" s="469">
        <f t="shared" si="128"/>
        <v>9999</v>
      </c>
      <c r="S19" s="469">
        <f t="shared" si="128"/>
        <v>9999</v>
      </c>
      <c r="T19" s="469">
        <f t="shared" ref="T19" si="129">IF(T142=0,9999,T142/$D82)</f>
        <v>9999</v>
      </c>
      <c r="U19" s="469">
        <f t="shared" ref="U19" si="130">IF(U142=0,9999,U142/$D82)</f>
        <v>9999</v>
      </c>
      <c r="V19" s="469">
        <f t="shared" ref="V19" si="131">IF(V142=0,9999,V142/$D82)</f>
        <v>9999</v>
      </c>
      <c r="W19" s="469">
        <f t="shared" ref="W19" si="132">IF(W142=0,9999,W142/$D82)</f>
        <v>9999</v>
      </c>
      <c r="X19" s="469">
        <f t="shared" ref="X19" si="133">IF(X142=0,9999,X142/$D82)</f>
        <v>9999</v>
      </c>
      <c r="Y19" s="469">
        <f t="shared" ref="Y19" si="134">IF(Y142=0,9999,Y142/$D82)</f>
        <v>9999</v>
      </c>
      <c r="Z19" s="469">
        <f t="shared" ref="Z19" si="135">IF(Z142=0,9999,Z142/$D82)</f>
        <v>9999</v>
      </c>
      <c r="AA19" s="504"/>
      <c r="AB19" s="504"/>
      <c r="AC19" s="504"/>
      <c r="AD19" s="275"/>
      <c r="AE19" s="505" t="s">
        <v>806</v>
      </c>
      <c r="AF19" s="505">
        <v>17</v>
      </c>
      <c r="AH19" s="272">
        <v>1</v>
      </c>
    </row>
    <row r="20" spans="2:34" ht="12.75" customHeight="1" x14ac:dyDescent="0.25">
      <c r="B20" s="468" t="s">
        <v>822</v>
      </c>
      <c r="C20" s="469">
        <f t="shared" ref="C20" si="136">IF(C143=0,9999,C143/$D83)</f>
        <v>9999</v>
      </c>
      <c r="D20" s="469">
        <f t="shared" ref="D20:S20" si="137">IF(D143=0,9999,D143/$D83)</f>
        <v>9999</v>
      </c>
      <c r="E20" s="469">
        <f t="shared" si="137"/>
        <v>9999</v>
      </c>
      <c r="F20" s="469">
        <f t="shared" si="137"/>
        <v>9999</v>
      </c>
      <c r="G20" s="469">
        <f t="shared" si="137"/>
        <v>9999</v>
      </c>
      <c r="H20" s="469">
        <f t="shared" si="137"/>
        <v>9999</v>
      </c>
      <c r="I20" s="469">
        <f t="shared" si="137"/>
        <v>9999</v>
      </c>
      <c r="J20" s="469">
        <f t="shared" si="137"/>
        <v>13.715099664804468</v>
      </c>
      <c r="K20" s="469">
        <f t="shared" si="137"/>
        <v>13.715099664804468</v>
      </c>
      <c r="L20" s="469">
        <f t="shared" si="137"/>
        <v>13.878374636871509</v>
      </c>
      <c r="M20" s="469">
        <f t="shared" si="137"/>
        <v>9999</v>
      </c>
      <c r="N20" s="469">
        <f t="shared" si="137"/>
        <v>9999</v>
      </c>
      <c r="O20" s="469">
        <f t="shared" si="137"/>
        <v>9999</v>
      </c>
      <c r="P20" s="469">
        <f t="shared" si="137"/>
        <v>9999</v>
      </c>
      <c r="Q20" s="469">
        <f t="shared" si="137"/>
        <v>9999</v>
      </c>
      <c r="R20" s="469">
        <f t="shared" si="137"/>
        <v>14.041649608938547</v>
      </c>
      <c r="S20" s="469">
        <f t="shared" si="137"/>
        <v>9999</v>
      </c>
      <c r="T20" s="469">
        <f t="shared" ref="T20" si="138">IF(T143=0,9999,T143/$D83)</f>
        <v>9999</v>
      </c>
      <c r="U20" s="469">
        <f t="shared" ref="U20" si="139">IF(U143=0,9999,U143/$D83)</f>
        <v>9999</v>
      </c>
      <c r="V20" s="469">
        <f t="shared" ref="V20" si="140">IF(V143=0,9999,V143/$D83)</f>
        <v>9999</v>
      </c>
      <c r="W20" s="469">
        <f t="shared" ref="W20" si="141">IF(W143=0,9999,W143/$D83)</f>
        <v>9999</v>
      </c>
      <c r="X20" s="469">
        <f t="shared" ref="X20" si="142">IF(X143=0,9999,X143/$D83)</f>
        <v>9999</v>
      </c>
      <c r="Y20" s="469">
        <f t="shared" ref="Y20" si="143">IF(Y143=0,9999,Y143/$D83)</f>
        <v>9999</v>
      </c>
      <c r="Z20" s="469">
        <f t="shared" ref="Z20" si="144">IF(Z143=0,9999,Z143/$D83)</f>
        <v>9999</v>
      </c>
      <c r="AA20" s="504"/>
      <c r="AB20" s="504"/>
      <c r="AC20" s="504"/>
      <c r="AD20" s="275"/>
      <c r="AE20" s="505" t="s">
        <v>618</v>
      </c>
      <c r="AF20" s="505">
        <v>18</v>
      </c>
      <c r="AH20" s="272">
        <v>1</v>
      </c>
    </row>
    <row r="21" spans="2:34" ht="12.75" customHeight="1" x14ac:dyDescent="0.25">
      <c r="B21" s="468" t="s">
        <v>823</v>
      </c>
      <c r="C21" s="469">
        <f t="shared" ref="C21" si="145">IF(C144=0,9999,C144/$D84)</f>
        <v>9999</v>
      </c>
      <c r="D21" s="469">
        <f t="shared" ref="D21:S21" si="146">IF(D144=0,9999,D144/$D84)</f>
        <v>9999</v>
      </c>
      <c r="E21" s="469">
        <f t="shared" si="146"/>
        <v>92.806904148913759</v>
      </c>
      <c r="F21" s="469">
        <f t="shared" si="146"/>
        <v>9999</v>
      </c>
      <c r="G21" s="469">
        <f t="shared" si="146"/>
        <v>9999</v>
      </c>
      <c r="H21" s="469">
        <f t="shared" si="146"/>
        <v>56.65026878626103</v>
      </c>
      <c r="I21" s="469">
        <f t="shared" si="146"/>
        <v>9999</v>
      </c>
      <c r="J21" s="469">
        <f t="shared" si="146"/>
        <v>72.221118980279854</v>
      </c>
      <c r="K21" s="469">
        <f t="shared" si="146"/>
        <v>58.217969917990352</v>
      </c>
      <c r="L21" s="469">
        <f t="shared" si="146"/>
        <v>54.4805298623628</v>
      </c>
      <c r="M21" s="469">
        <f t="shared" si="146"/>
        <v>40.151369284640637</v>
      </c>
      <c r="N21" s="469">
        <f t="shared" si="146"/>
        <v>9999</v>
      </c>
      <c r="O21" s="469">
        <f t="shared" si="146"/>
        <v>9999</v>
      </c>
      <c r="P21" s="469">
        <f t="shared" si="146"/>
        <v>104.35258344361819</v>
      </c>
      <c r="Q21" s="469">
        <f t="shared" si="146"/>
        <v>9999</v>
      </c>
      <c r="R21" s="469">
        <f t="shared" si="146"/>
        <v>92.860395983590365</v>
      </c>
      <c r="S21" s="469">
        <f t="shared" si="146"/>
        <v>56.869102069482622</v>
      </c>
      <c r="T21" s="469">
        <f t="shared" ref="T21" si="147">IF(T144=0,9999,T144/$D84)</f>
        <v>34.463854277942907</v>
      </c>
      <c r="U21" s="469">
        <f t="shared" ref="U21" si="148">IF(U144=0,9999,U144/$D84)</f>
        <v>9999</v>
      </c>
      <c r="V21" s="469">
        <f t="shared" ref="V21" si="149">IF(V144=0,9999,V144/$D84)</f>
        <v>9999</v>
      </c>
      <c r="W21" s="469">
        <f t="shared" ref="W21" si="150">IF(W144=0,9999,W144/$D84)</f>
        <v>50.71360970952356</v>
      </c>
      <c r="X21" s="469">
        <f t="shared" ref="X21" si="151">IF(X144=0,9999,X144/$D84)</f>
        <v>9999</v>
      </c>
      <c r="Y21" s="469">
        <f t="shared" ref="Y21" si="152">IF(Y144=0,9999,Y144/$D84)</f>
        <v>9999</v>
      </c>
      <c r="Z21" s="469">
        <f t="shared" ref="Z21" si="153">IF(Z144=0,9999,Z144/$D84)</f>
        <v>35.328418798505858</v>
      </c>
      <c r="AA21" s="504"/>
      <c r="AB21" s="504"/>
      <c r="AC21" s="504"/>
      <c r="AD21" s="275"/>
      <c r="AE21" s="505" t="s">
        <v>635</v>
      </c>
      <c r="AF21" s="505">
        <v>19</v>
      </c>
      <c r="AH21" s="272">
        <v>1</v>
      </c>
    </row>
    <row r="22" spans="2:34" ht="12.75" customHeight="1" x14ac:dyDescent="0.25">
      <c r="B22" s="468" t="s">
        <v>824</v>
      </c>
      <c r="C22" s="469">
        <f t="shared" ref="C22" si="154">IF(C145=0,9999,C145/$D85)</f>
        <v>46.30421757149994</v>
      </c>
      <c r="D22" s="469">
        <f t="shared" ref="D22:S22" si="155">IF(D145=0,9999,D145/$D85)</f>
        <v>55.315605626261657</v>
      </c>
      <c r="E22" s="469">
        <f t="shared" si="155"/>
        <v>56.538754600279503</v>
      </c>
      <c r="F22" s="469">
        <f t="shared" si="155"/>
        <v>9999</v>
      </c>
      <c r="G22" s="469">
        <f t="shared" si="155"/>
        <v>9999</v>
      </c>
      <c r="H22" s="469">
        <f t="shared" si="155"/>
        <v>26.465445442301654</v>
      </c>
      <c r="I22" s="469">
        <f t="shared" si="155"/>
        <v>22.325193285039155</v>
      </c>
      <c r="J22" s="469">
        <f t="shared" si="155"/>
        <v>46.232581250146211</v>
      </c>
      <c r="K22" s="469">
        <f t="shared" si="155"/>
        <v>32.012404711450252</v>
      </c>
      <c r="L22" s="469">
        <f t="shared" si="155"/>
        <v>38.345228615773095</v>
      </c>
      <c r="M22" s="469">
        <f t="shared" si="155"/>
        <v>9999</v>
      </c>
      <c r="N22" s="469">
        <f t="shared" si="155"/>
        <v>9999</v>
      </c>
      <c r="O22" s="469">
        <f t="shared" si="155"/>
        <v>9999</v>
      </c>
      <c r="P22" s="469">
        <f t="shared" si="155"/>
        <v>184.67401597542954</v>
      </c>
      <c r="Q22" s="469">
        <f t="shared" si="155"/>
        <v>9999</v>
      </c>
      <c r="R22" s="469">
        <f t="shared" si="155"/>
        <v>62.78447985393364</v>
      </c>
      <c r="S22" s="469">
        <f t="shared" si="155"/>
        <v>34.34475334783636</v>
      </c>
      <c r="T22" s="469">
        <f t="shared" ref="T22" si="156">IF(T145=0,9999,T145/$D85)</f>
        <v>19.255813399986028</v>
      </c>
      <c r="U22" s="469">
        <f t="shared" ref="U22" si="157">IF(U145=0,9999,U145/$D85)</f>
        <v>19.813780019250103</v>
      </c>
      <c r="V22" s="469">
        <f t="shared" ref="V22" si="158">IF(V145=0,9999,V145/$D85)</f>
        <v>16.248324397465389</v>
      </c>
      <c r="W22" s="469">
        <f t="shared" ref="W22" si="159">IF(W145=0,9999,W145/$D85)</f>
        <v>9999</v>
      </c>
      <c r="X22" s="469">
        <f t="shared" ref="X22" si="160">IF(X145=0,9999,X145/$D85)</f>
        <v>22.516344467999808</v>
      </c>
      <c r="Y22" s="469">
        <f t="shared" ref="Y22" si="161">IF(Y145=0,9999,Y145/$D85)</f>
        <v>28.188424860983304</v>
      </c>
      <c r="Z22" s="469">
        <f t="shared" ref="Z22" si="162">IF(Z145=0,9999,Z145/$D85)</f>
        <v>18.982777781344609</v>
      </c>
      <c r="AA22" s="504"/>
      <c r="AB22" s="504"/>
      <c r="AC22" s="504"/>
      <c r="AD22" s="275"/>
      <c r="AE22" s="505" t="s">
        <v>659</v>
      </c>
      <c r="AF22" s="505">
        <v>20</v>
      </c>
      <c r="AH22" s="272">
        <v>1</v>
      </c>
    </row>
    <row r="23" spans="2:34" ht="12.75" customHeight="1" x14ac:dyDescent="0.25">
      <c r="B23" s="468" t="s">
        <v>825</v>
      </c>
      <c r="C23" s="469">
        <f t="shared" ref="C23" si="163">IF(C146=0,9999,C146/$D86)</f>
        <v>9999</v>
      </c>
      <c r="D23" s="469">
        <f t="shared" ref="D23:S23" si="164">IF(D146=0,9999,D146/$D86)</f>
        <v>9999</v>
      </c>
      <c r="E23" s="469">
        <f t="shared" si="164"/>
        <v>9999</v>
      </c>
      <c r="F23" s="469">
        <f t="shared" si="164"/>
        <v>9999</v>
      </c>
      <c r="G23" s="469">
        <f t="shared" si="164"/>
        <v>9999</v>
      </c>
      <c r="H23" s="469">
        <f t="shared" si="164"/>
        <v>9999</v>
      </c>
      <c r="I23" s="469">
        <f t="shared" si="164"/>
        <v>9999</v>
      </c>
      <c r="J23" s="469">
        <f t="shared" si="164"/>
        <v>9999</v>
      </c>
      <c r="K23" s="469">
        <f t="shared" si="164"/>
        <v>9999</v>
      </c>
      <c r="L23" s="469">
        <f t="shared" si="164"/>
        <v>12.94230468075083</v>
      </c>
      <c r="M23" s="469">
        <f t="shared" si="164"/>
        <v>9999</v>
      </c>
      <c r="N23" s="469">
        <f t="shared" si="164"/>
        <v>9999</v>
      </c>
      <c r="O23" s="469">
        <f t="shared" si="164"/>
        <v>9999</v>
      </c>
      <c r="P23" s="469">
        <f t="shared" si="164"/>
        <v>9999</v>
      </c>
      <c r="Q23" s="469">
        <f t="shared" si="164"/>
        <v>9999</v>
      </c>
      <c r="R23" s="469">
        <f t="shared" si="164"/>
        <v>9999</v>
      </c>
      <c r="S23" s="469">
        <f t="shared" si="164"/>
        <v>9999</v>
      </c>
      <c r="T23" s="469">
        <f t="shared" ref="T23" si="165">IF(T146=0,9999,T146/$D86)</f>
        <v>9999</v>
      </c>
      <c r="U23" s="469">
        <f t="shared" ref="U23" si="166">IF(U146=0,9999,U146/$D86)</f>
        <v>9999</v>
      </c>
      <c r="V23" s="469">
        <f t="shared" ref="V23" si="167">IF(V146=0,9999,V146/$D86)</f>
        <v>9999</v>
      </c>
      <c r="W23" s="469">
        <f t="shared" ref="W23" si="168">IF(W146=0,9999,W146/$D86)</f>
        <v>9999</v>
      </c>
      <c r="X23" s="469">
        <f t="shared" ref="X23" si="169">IF(X146=0,9999,X146/$D86)</f>
        <v>9999</v>
      </c>
      <c r="Y23" s="469">
        <f t="shared" ref="Y23" si="170">IF(Y146=0,9999,Y146/$D86)</f>
        <v>9999</v>
      </c>
      <c r="Z23" s="469">
        <f t="shared" ref="Z23" si="171">IF(Z146=0,9999,Z146/$D86)</f>
        <v>9999</v>
      </c>
      <c r="AA23" s="504"/>
      <c r="AB23" s="504"/>
      <c r="AC23" s="504"/>
      <c r="AD23" s="275"/>
      <c r="AE23" s="505" t="s">
        <v>807</v>
      </c>
      <c r="AF23" s="505">
        <v>21</v>
      </c>
      <c r="AH23" s="272">
        <v>1</v>
      </c>
    </row>
    <row r="24" spans="2:34" ht="12.75" customHeight="1" x14ac:dyDescent="0.25">
      <c r="B24" s="468" t="s">
        <v>826</v>
      </c>
      <c r="C24" s="469">
        <f t="shared" ref="C24" si="172">IF(C147=0,9999,C147/$D87)</f>
        <v>9999</v>
      </c>
      <c r="D24" s="469">
        <f t="shared" ref="D24:S24" si="173">IF(D147=0,9999,D147/$D87)</f>
        <v>9999</v>
      </c>
      <c r="E24" s="469">
        <f t="shared" si="173"/>
        <v>9999</v>
      </c>
      <c r="F24" s="469">
        <f t="shared" si="173"/>
        <v>9999</v>
      </c>
      <c r="G24" s="469">
        <f t="shared" si="173"/>
        <v>9999</v>
      </c>
      <c r="H24" s="469">
        <f t="shared" si="173"/>
        <v>9999</v>
      </c>
      <c r="I24" s="469">
        <f t="shared" si="173"/>
        <v>9999</v>
      </c>
      <c r="J24" s="469">
        <f t="shared" si="173"/>
        <v>9999</v>
      </c>
      <c r="K24" s="469">
        <f t="shared" si="173"/>
        <v>9999</v>
      </c>
      <c r="L24" s="469">
        <f t="shared" si="173"/>
        <v>126.65456966262224</v>
      </c>
      <c r="M24" s="469">
        <f t="shared" si="173"/>
        <v>9999</v>
      </c>
      <c r="N24" s="469">
        <f t="shared" si="173"/>
        <v>9999</v>
      </c>
      <c r="O24" s="469">
        <f t="shared" si="173"/>
        <v>9999</v>
      </c>
      <c r="P24" s="469">
        <f t="shared" si="173"/>
        <v>9999</v>
      </c>
      <c r="Q24" s="469">
        <f t="shared" si="173"/>
        <v>9999</v>
      </c>
      <c r="R24" s="469">
        <f t="shared" si="173"/>
        <v>9999</v>
      </c>
      <c r="S24" s="469">
        <f t="shared" si="173"/>
        <v>9999</v>
      </c>
      <c r="T24" s="469">
        <f t="shared" ref="T24" si="174">IF(T147=0,9999,T147/$D87)</f>
        <v>9999</v>
      </c>
      <c r="U24" s="469">
        <f t="shared" ref="U24" si="175">IF(U147=0,9999,U147/$D87)</f>
        <v>9999</v>
      </c>
      <c r="V24" s="469">
        <f t="shared" ref="V24" si="176">IF(V147=0,9999,V147/$D87)</f>
        <v>9999</v>
      </c>
      <c r="W24" s="469">
        <f t="shared" ref="W24" si="177">IF(W147=0,9999,W147/$D87)</f>
        <v>9999</v>
      </c>
      <c r="X24" s="469">
        <f t="shared" ref="X24" si="178">IF(X147=0,9999,X147/$D87)</f>
        <v>9999</v>
      </c>
      <c r="Y24" s="469">
        <f t="shared" ref="Y24" si="179">IF(Y147=0,9999,Y147/$D87)</f>
        <v>9999</v>
      </c>
      <c r="Z24" s="469">
        <f t="shared" ref="Z24" si="180">IF(Z147=0,9999,Z147/$D87)</f>
        <v>9999</v>
      </c>
      <c r="AA24" s="504"/>
      <c r="AB24" s="504"/>
      <c r="AC24" s="504"/>
      <c r="AD24" s="275"/>
      <c r="AE24" s="505" t="s">
        <v>625</v>
      </c>
      <c r="AF24" s="505">
        <v>22</v>
      </c>
      <c r="AH24" s="272">
        <v>1</v>
      </c>
    </row>
    <row r="25" spans="2:34" ht="12.75" customHeight="1" x14ac:dyDescent="0.25">
      <c r="B25" s="468" t="s">
        <v>827</v>
      </c>
      <c r="C25" s="469">
        <f t="shared" ref="C25" si="181">IF(C148=0,9999,C148/$D88)</f>
        <v>9999</v>
      </c>
      <c r="D25" s="469">
        <f t="shared" ref="D25:S25" si="182">IF(D148=0,9999,D148/$D88)</f>
        <v>9999</v>
      </c>
      <c r="E25" s="469">
        <f t="shared" si="182"/>
        <v>100.12184014148652</v>
      </c>
      <c r="F25" s="469">
        <f t="shared" si="182"/>
        <v>9999</v>
      </c>
      <c r="G25" s="469">
        <f t="shared" si="182"/>
        <v>9999</v>
      </c>
      <c r="H25" s="469">
        <f t="shared" si="182"/>
        <v>9999</v>
      </c>
      <c r="I25" s="469">
        <f t="shared" si="182"/>
        <v>9999</v>
      </c>
      <c r="J25" s="469">
        <f t="shared" si="182"/>
        <v>9999</v>
      </c>
      <c r="K25" s="469">
        <f t="shared" si="182"/>
        <v>9999</v>
      </c>
      <c r="L25" s="469">
        <f t="shared" si="182"/>
        <v>105.70777688345069</v>
      </c>
      <c r="M25" s="469">
        <f t="shared" si="182"/>
        <v>9999</v>
      </c>
      <c r="N25" s="469">
        <f t="shared" si="182"/>
        <v>9999</v>
      </c>
      <c r="O25" s="469">
        <f t="shared" si="182"/>
        <v>9999</v>
      </c>
      <c r="P25" s="469">
        <f t="shared" si="182"/>
        <v>9999</v>
      </c>
      <c r="Q25" s="469">
        <f t="shared" si="182"/>
        <v>9999</v>
      </c>
      <c r="R25" s="469">
        <f t="shared" si="182"/>
        <v>111.29371362541487</v>
      </c>
      <c r="S25" s="469">
        <f t="shared" si="182"/>
        <v>9999</v>
      </c>
      <c r="T25" s="469">
        <f t="shared" ref="T25" si="183">IF(T148=0,9999,T148/$D88)</f>
        <v>9999</v>
      </c>
      <c r="U25" s="469">
        <f t="shared" ref="U25" si="184">IF(U148=0,9999,U148/$D88)</f>
        <v>9999</v>
      </c>
      <c r="V25" s="469">
        <f t="shared" ref="V25" si="185">IF(V148=0,9999,V148/$D88)</f>
        <v>9999</v>
      </c>
      <c r="W25" s="469">
        <f t="shared" ref="W25" si="186">IF(W148=0,9999,W148/$D88)</f>
        <v>9999</v>
      </c>
      <c r="X25" s="469">
        <f t="shared" ref="X25" si="187">IF(X148=0,9999,X148/$D88)</f>
        <v>9999</v>
      </c>
      <c r="Y25" s="469">
        <f t="shared" ref="Y25" si="188">IF(Y148=0,9999,Y148/$D88)</f>
        <v>9999</v>
      </c>
      <c r="Z25" s="469">
        <f t="shared" ref="Z25" si="189">IF(Z148=0,9999,Z148/$D88)</f>
        <v>9999</v>
      </c>
      <c r="AA25" s="504"/>
      <c r="AB25" s="504"/>
      <c r="AC25" s="504"/>
      <c r="AD25" s="275"/>
      <c r="AE25" s="505" t="s">
        <v>628</v>
      </c>
      <c r="AF25" s="505">
        <v>23</v>
      </c>
      <c r="AH25" s="272">
        <v>1</v>
      </c>
    </row>
    <row r="26" spans="2:34" ht="12.75" customHeight="1" x14ac:dyDescent="0.25">
      <c r="B26" s="468" t="s">
        <v>828</v>
      </c>
      <c r="C26" s="469">
        <f t="shared" ref="C26" si="190">IF(C149=0,9999,C149/$D89)</f>
        <v>9999</v>
      </c>
      <c r="D26" s="469">
        <f t="shared" ref="D26:S26" si="191">IF(D149=0,9999,D149/$D89)</f>
        <v>9999</v>
      </c>
      <c r="E26" s="469">
        <f t="shared" si="191"/>
        <v>64.350105274433943</v>
      </c>
      <c r="F26" s="469">
        <f t="shared" si="191"/>
        <v>9999</v>
      </c>
      <c r="G26" s="469">
        <f t="shared" si="191"/>
        <v>9999</v>
      </c>
      <c r="H26" s="469">
        <f t="shared" si="191"/>
        <v>50.072576816908622</v>
      </c>
      <c r="I26" s="469">
        <f t="shared" si="191"/>
        <v>26.364284412324871</v>
      </c>
      <c r="J26" s="469">
        <f t="shared" si="191"/>
        <v>72.719598899822245</v>
      </c>
      <c r="K26" s="469">
        <f t="shared" si="191"/>
        <v>39.56640135611601</v>
      </c>
      <c r="L26" s="469">
        <f t="shared" si="191"/>
        <v>58.364253888107456</v>
      </c>
      <c r="M26" s="469">
        <f t="shared" si="191"/>
        <v>9999</v>
      </c>
      <c r="N26" s="469">
        <f t="shared" si="191"/>
        <v>9999</v>
      </c>
      <c r="O26" s="469">
        <f t="shared" si="191"/>
        <v>9999</v>
      </c>
      <c r="P26" s="469">
        <f t="shared" si="191"/>
        <v>9999</v>
      </c>
      <c r="Q26" s="469">
        <f t="shared" si="191"/>
        <v>9999</v>
      </c>
      <c r="R26" s="469">
        <f t="shared" si="191"/>
        <v>61.710124773941473</v>
      </c>
      <c r="S26" s="469">
        <f t="shared" si="191"/>
        <v>9999</v>
      </c>
      <c r="T26" s="469">
        <f t="shared" ref="T26" si="192">IF(T149=0,9999,T149/$D89)</f>
        <v>9999</v>
      </c>
      <c r="U26" s="469">
        <f t="shared" ref="U26" si="193">IF(U149=0,9999,U149/$D89)</f>
        <v>9999</v>
      </c>
      <c r="V26" s="469">
        <f t="shared" ref="V26" si="194">IF(V149=0,9999,V149/$D89)</f>
        <v>9999</v>
      </c>
      <c r="W26" s="469">
        <f t="shared" ref="W26" si="195">IF(W149=0,9999,W149/$D89)</f>
        <v>9999</v>
      </c>
      <c r="X26" s="469">
        <f t="shared" ref="X26" si="196">IF(X149=0,9999,X149/$D89)</f>
        <v>9999</v>
      </c>
      <c r="Y26" s="469">
        <f t="shared" ref="Y26" si="197">IF(Y149=0,9999,Y149/$D89)</f>
        <v>9999</v>
      </c>
      <c r="Z26" s="469">
        <f t="shared" ref="Z26" si="198">IF(Z149=0,9999,Z149/$D89)</f>
        <v>9999</v>
      </c>
      <c r="AA26" s="504"/>
      <c r="AB26" s="504"/>
      <c r="AC26" s="504"/>
      <c r="AD26" s="275"/>
      <c r="AE26" s="505" t="s">
        <v>630</v>
      </c>
      <c r="AF26" s="505">
        <v>24</v>
      </c>
      <c r="AH26" s="272">
        <v>1</v>
      </c>
    </row>
    <row r="27" spans="2:34" ht="12.75" customHeight="1" x14ac:dyDescent="0.25">
      <c r="B27" s="468" t="s">
        <v>829</v>
      </c>
      <c r="C27" s="469">
        <f t="shared" ref="C27" si="199">IF(C150=0,9999,C150/$D90)</f>
        <v>9999</v>
      </c>
      <c r="D27" s="469">
        <f t="shared" ref="D27:S27" si="200">IF(D150=0,9999,D150/$D90)</f>
        <v>9999</v>
      </c>
      <c r="E27" s="469">
        <f t="shared" si="200"/>
        <v>9999</v>
      </c>
      <c r="F27" s="469">
        <f t="shared" si="200"/>
        <v>9999</v>
      </c>
      <c r="G27" s="469">
        <f t="shared" si="200"/>
        <v>9999</v>
      </c>
      <c r="H27" s="469">
        <f t="shared" si="200"/>
        <v>9999</v>
      </c>
      <c r="I27" s="469">
        <f t="shared" si="200"/>
        <v>9999</v>
      </c>
      <c r="J27" s="469">
        <f t="shared" si="200"/>
        <v>114.15904529094688</v>
      </c>
      <c r="K27" s="469">
        <f t="shared" si="200"/>
        <v>9999</v>
      </c>
      <c r="L27" s="469">
        <f t="shared" si="200"/>
        <v>114.15904529094688</v>
      </c>
      <c r="M27" s="469">
        <f t="shared" si="200"/>
        <v>9999</v>
      </c>
      <c r="N27" s="469">
        <f t="shared" si="200"/>
        <v>9999</v>
      </c>
      <c r="O27" s="469">
        <f t="shared" si="200"/>
        <v>9999</v>
      </c>
      <c r="P27" s="469">
        <f t="shared" si="200"/>
        <v>9999</v>
      </c>
      <c r="Q27" s="469">
        <f t="shared" si="200"/>
        <v>9999</v>
      </c>
      <c r="R27" s="469">
        <f t="shared" si="200"/>
        <v>9999</v>
      </c>
      <c r="S27" s="469">
        <f t="shared" si="200"/>
        <v>9999</v>
      </c>
      <c r="T27" s="469">
        <f t="shared" ref="T27" si="201">IF(T150=0,9999,T150/$D90)</f>
        <v>9999</v>
      </c>
      <c r="U27" s="469">
        <f t="shared" ref="U27" si="202">IF(U150=0,9999,U150/$D90)</f>
        <v>9999</v>
      </c>
      <c r="V27" s="469">
        <f t="shared" ref="V27" si="203">IF(V150=0,9999,V150/$D90)</f>
        <v>9999</v>
      </c>
      <c r="W27" s="469">
        <f t="shared" ref="W27" si="204">IF(W150=0,9999,W150/$D90)</f>
        <v>9999</v>
      </c>
      <c r="X27" s="469">
        <f t="shared" ref="X27" si="205">IF(X150=0,9999,X150/$D90)</f>
        <v>9999</v>
      </c>
      <c r="Y27" s="469">
        <f t="shared" ref="Y27" si="206">IF(Y150=0,9999,Y150/$D90)</f>
        <v>9999</v>
      </c>
      <c r="Z27" s="469">
        <f t="shared" ref="Z27" si="207">IF(Z150=0,9999,Z150/$D90)</f>
        <v>9999</v>
      </c>
      <c r="AA27" s="504"/>
      <c r="AB27" s="504"/>
      <c r="AC27" s="504"/>
      <c r="AD27" s="275"/>
      <c r="AE27" s="505" t="s">
        <v>651</v>
      </c>
      <c r="AF27" s="505">
        <v>25</v>
      </c>
      <c r="AH27" s="272">
        <v>1</v>
      </c>
    </row>
    <row r="28" spans="2:34" ht="12.75" customHeight="1" x14ac:dyDescent="0.25">
      <c r="B28" s="468" t="s">
        <v>830</v>
      </c>
      <c r="C28" s="469">
        <f t="shared" ref="C28" si="208">IF(C151=0,9999,C151/$D91)</f>
        <v>9999</v>
      </c>
      <c r="D28" s="469">
        <f t="shared" ref="D28:S28" si="209">IF(D151=0,9999,D151/$D91)</f>
        <v>9999</v>
      </c>
      <c r="E28" s="469">
        <f t="shared" si="209"/>
        <v>96.951440346744533</v>
      </c>
      <c r="F28" s="469">
        <f t="shared" si="209"/>
        <v>9999</v>
      </c>
      <c r="G28" s="469">
        <f t="shared" si="209"/>
        <v>9999</v>
      </c>
      <c r="H28" s="469">
        <f t="shared" si="209"/>
        <v>9999</v>
      </c>
      <c r="I28" s="469">
        <f t="shared" si="209"/>
        <v>9999</v>
      </c>
      <c r="J28" s="469">
        <f t="shared" si="209"/>
        <v>125.27229950466253</v>
      </c>
      <c r="K28" s="469">
        <f t="shared" si="209"/>
        <v>9999</v>
      </c>
      <c r="L28" s="469">
        <f t="shared" si="209"/>
        <v>116.17538777458684</v>
      </c>
      <c r="M28" s="469">
        <f t="shared" si="209"/>
        <v>9999</v>
      </c>
      <c r="N28" s="469">
        <f t="shared" si="209"/>
        <v>9999</v>
      </c>
      <c r="O28" s="469">
        <f t="shared" si="209"/>
        <v>9999</v>
      </c>
      <c r="P28" s="469">
        <f t="shared" si="209"/>
        <v>183.60158551063546</v>
      </c>
      <c r="Q28" s="469">
        <f t="shared" si="209"/>
        <v>9999</v>
      </c>
      <c r="R28" s="469">
        <f t="shared" si="209"/>
        <v>9999</v>
      </c>
      <c r="S28" s="469">
        <f t="shared" si="209"/>
        <v>9999</v>
      </c>
      <c r="T28" s="469">
        <f t="shared" ref="T28" si="210">IF(T151=0,9999,T151/$D91)</f>
        <v>9999</v>
      </c>
      <c r="U28" s="469">
        <f t="shared" ref="U28" si="211">IF(U151=0,9999,U151/$D91)</f>
        <v>9999</v>
      </c>
      <c r="V28" s="469">
        <f t="shared" ref="V28" si="212">IF(V151=0,9999,V151/$D91)</f>
        <v>9999</v>
      </c>
      <c r="W28" s="469">
        <f t="shared" ref="W28" si="213">IF(W151=0,9999,W151/$D91)</f>
        <v>59.906349703995723</v>
      </c>
      <c r="X28" s="469">
        <f t="shared" ref="X28" si="214">IF(X151=0,9999,X151/$D91)</f>
        <v>9999</v>
      </c>
      <c r="Y28" s="469">
        <f t="shared" ref="Y28" si="215">IF(Y151=0,9999,Y151/$D91)</f>
        <v>9999</v>
      </c>
      <c r="Z28" s="469">
        <f t="shared" ref="Z28" si="216">IF(Z151=0,9999,Z151/$D91)</f>
        <v>9999</v>
      </c>
      <c r="AA28" s="504"/>
      <c r="AB28" s="504"/>
      <c r="AC28" s="504"/>
      <c r="AD28" s="275"/>
      <c r="AE28" s="505" t="s">
        <v>660</v>
      </c>
      <c r="AF28" s="505">
        <v>26</v>
      </c>
      <c r="AH28" s="272">
        <v>1</v>
      </c>
    </row>
    <row r="29" spans="2:34" ht="12.75" customHeight="1" x14ac:dyDescent="0.25">
      <c r="B29" s="468" t="s">
        <v>831</v>
      </c>
      <c r="C29" s="469">
        <f t="shared" ref="C29" si="217">IF(C152=0,9999,C152/$D92)</f>
        <v>116.01404622730017</v>
      </c>
      <c r="D29" s="469">
        <f t="shared" ref="D29:S29" si="218">IF(D152=0,9999,D152/$D92)</f>
        <v>186.94877504034798</v>
      </c>
      <c r="E29" s="469">
        <f t="shared" si="218"/>
        <v>159.42477256571581</v>
      </c>
      <c r="F29" s="469">
        <f t="shared" si="218"/>
        <v>9999</v>
      </c>
      <c r="G29" s="469">
        <f t="shared" si="218"/>
        <v>9999</v>
      </c>
      <c r="H29" s="469">
        <f t="shared" si="218"/>
        <v>100.49297186302682</v>
      </c>
      <c r="I29" s="469">
        <f t="shared" si="218"/>
        <v>9999</v>
      </c>
      <c r="J29" s="469">
        <f t="shared" si="218"/>
        <v>118.30517049222404</v>
      </c>
      <c r="K29" s="469">
        <f t="shared" si="218"/>
        <v>96.604628204547836</v>
      </c>
      <c r="L29" s="469">
        <f t="shared" si="218"/>
        <v>133.48808141541204</v>
      </c>
      <c r="M29" s="469">
        <f t="shared" si="218"/>
        <v>9999</v>
      </c>
      <c r="N29" s="469">
        <f t="shared" si="218"/>
        <v>9999</v>
      </c>
      <c r="O29" s="469">
        <f t="shared" si="218"/>
        <v>9999</v>
      </c>
      <c r="P29" s="469">
        <f t="shared" si="218"/>
        <v>246.89287518586312</v>
      </c>
      <c r="Q29" s="469">
        <f t="shared" si="218"/>
        <v>9999</v>
      </c>
      <c r="R29" s="469">
        <f t="shared" si="218"/>
        <v>128.0130579949651</v>
      </c>
      <c r="S29" s="469">
        <f t="shared" si="218"/>
        <v>123.21403279036953</v>
      </c>
      <c r="T29" s="469">
        <f t="shared" ref="T29" si="219">IF(T152=0,9999,T152/$D92)</f>
        <v>86.210877787827499</v>
      </c>
      <c r="U29" s="469">
        <f t="shared" ref="U29" si="220">IF(U152=0,9999,U152/$D92)</f>
        <v>101.48388853102489</v>
      </c>
      <c r="V29" s="469">
        <f t="shared" ref="V29" si="221">IF(V152=0,9999,V152/$D92)</f>
        <v>48.032558389754897</v>
      </c>
      <c r="W29" s="469">
        <f t="shared" ref="W29" si="222">IF(W152=0,9999,W152/$D92)</f>
        <v>128.91721540685847</v>
      </c>
      <c r="X29" s="469">
        <f t="shared" ref="X29" si="223">IF(X152=0,9999,X152/$D92)</f>
        <v>94.46208916148376</v>
      </c>
      <c r="Y29" s="469">
        <f t="shared" ref="Y29" si="224">IF(Y152=0,9999,Y152/$D92)</f>
        <v>105.45949791286151</v>
      </c>
      <c r="Z29" s="469">
        <f t="shared" ref="Z29" si="225">IF(Z152=0,9999,Z152/$D92)</f>
        <v>9999</v>
      </c>
      <c r="AA29" s="504"/>
      <c r="AB29" s="504"/>
      <c r="AC29" s="504"/>
      <c r="AD29" s="275"/>
      <c r="AH29" s="272">
        <v>1</v>
      </c>
    </row>
    <row r="30" spans="2:34" ht="12.75" customHeight="1" x14ac:dyDescent="0.25">
      <c r="B30" s="468" t="s">
        <v>832</v>
      </c>
      <c r="C30" s="469">
        <f t="shared" ref="C30" si="226">IF(C153=0,9999,C153/$D93)</f>
        <v>9999</v>
      </c>
      <c r="D30" s="469">
        <f t="shared" ref="D30:S30" si="227">IF(D153=0,9999,D153/$D93)</f>
        <v>9999</v>
      </c>
      <c r="E30" s="469">
        <f t="shared" si="227"/>
        <v>9999</v>
      </c>
      <c r="F30" s="469">
        <f t="shared" si="227"/>
        <v>9999</v>
      </c>
      <c r="G30" s="469">
        <f t="shared" si="227"/>
        <v>9999</v>
      </c>
      <c r="H30" s="469">
        <f t="shared" si="227"/>
        <v>9999</v>
      </c>
      <c r="I30" s="469">
        <f t="shared" si="227"/>
        <v>9999</v>
      </c>
      <c r="J30" s="469">
        <f t="shared" si="227"/>
        <v>9999</v>
      </c>
      <c r="K30" s="469">
        <f t="shared" si="227"/>
        <v>9999</v>
      </c>
      <c r="L30" s="469">
        <f t="shared" si="227"/>
        <v>58.475243177102996</v>
      </c>
      <c r="M30" s="469">
        <f t="shared" si="227"/>
        <v>9999</v>
      </c>
      <c r="N30" s="469">
        <f t="shared" si="227"/>
        <v>9999</v>
      </c>
      <c r="O30" s="469">
        <f t="shared" si="227"/>
        <v>9999</v>
      </c>
      <c r="P30" s="469">
        <f t="shared" si="227"/>
        <v>9999</v>
      </c>
      <c r="Q30" s="469">
        <f t="shared" si="227"/>
        <v>9999</v>
      </c>
      <c r="R30" s="469">
        <f t="shared" si="227"/>
        <v>9999</v>
      </c>
      <c r="S30" s="469">
        <f t="shared" si="227"/>
        <v>9999</v>
      </c>
      <c r="T30" s="469">
        <f t="shared" ref="T30" si="228">IF(T153=0,9999,T153/$D93)</f>
        <v>9999</v>
      </c>
      <c r="U30" s="469">
        <f t="shared" ref="U30" si="229">IF(U153=0,9999,U153/$D93)</f>
        <v>9999</v>
      </c>
      <c r="V30" s="469">
        <f t="shared" ref="V30" si="230">IF(V153=0,9999,V153/$D93)</f>
        <v>9999</v>
      </c>
      <c r="W30" s="469">
        <f t="shared" ref="W30" si="231">IF(W153=0,9999,W153/$D93)</f>
        <v>9999</v>
      </c>
      <c r="X30" s="469">
        <f t="shared" ref="X30" si="232">IF(X153=0,9999,X153/$D93)</f>
        <v>9999</v>
      </c>
      <c r="Y30" s="469">
        <f t="shared" ref="Y30" si="233">IF(Y153=0,9999,Y153/$D93)</f>
        <v>9999</v>
      </c>
      <c r="Z30" s="469">
        <f t="shared" ref="Z30" si="234">IF(Z153=0,9999,Z153/$D93)</f>
        <v>9999</v>
      </c>
      <c r="AA30" s="504"/>
      <c r="AB30" s="504"/>
      <c r="AC30" s="504"/>
      <c r="AD30" s="275"/>
      <c r="AH30" s="272">
        <v>1</v>
      </c>
    </row>
    <row r="31" spans="2:34" ht="12.75" customHeight="1" x14ac:dyDescent="0.25">
      <c r="B31" s="468" t="s">
        <v>583</v>
      </c>
      <c r="C31" s="469">
        <f t="shared" ref="C31" si="235">IF(C154=0,9999,C154/$D94)</f>
        <v>9999</v>
      </c>
      <c r="D31" s="469">
        <f t="shared" ref="D31:S31" si="236">IF(D154=0,9999,D154/$D94)</f>
        <v>102.07613351527861</v>
      </c>
      <c r="E31" s="469">
        <f t="shared" si="236"/>
        <v>74.953167783803465</v>
      </c>
      <c r="F31" s="469">
        <f t="shared" si="236"/>
        <v>9999</v>
      </c>
      <c r="G31" s="469">
        <f t="shared" si="236"/>
        <v>9999</v>
      </c>
      <c r="H31" s="469">
        <f t="shared" si="236"/>
        <v>9999</v>
      </c>
      <c r="I31" s="469">
        <f t="shared" si="236"/>
        <v>9999</v>
      </c>
      <c r="J31" s="469">
        <f t="shared" si="236"/>
        <v>70.84078169824646</v>
      </c>
      <c r="K31" s="469">
        <f t="shared" si="236"/>
        <v>46.531086212556616</v>
      </c>
      <c r="L31" s="469">
        <f t="shared" si="236"/>
        <v>55.067819198733496</v>
      </c>
      <c r="M31" s="469">
        <f t="shared" si="236"/>
        <v>54.769900891004333</v>
      </c>
      <c r="N31" s="469">
        <f t="shared" si="236"/>
        <v>41.727501315213985</v>
      </c>
      <c r="O31" s="469">
        <f t="shared" si="236"/>
        <v>9999</v>
      </c>
      <c r="P31" s="469">
        <f t="shared" si="236"/>
        <v>130.89862759982856</v>
      </c>
      <c r="Q31" s="469">
        <f t="shared" si="236"/>
        <v>9999</v>
      </c>
      <c r="R31" s="469">
        <f t="shared" si="236"/>
        <v>65.193756800400422</v>
      </c>
      <c r="S31" s="469">
        <f t="shared" si="236"/>
        <v>48.84833177840197</v>
      </c>
      <c r="T31" s="469">
        <f t="shared" ref="T31" si="237">IF(T154=0,9999,T154/$D94)</f>
        <v>18.781476971006853</v>
      </c>
      <c r="U31" s="469">
        <f t="shared" ref="U31" si="238">IF(U154=0,9999,U154/$D94)</f>
        <v>42.777926358779354</v>
      </c>
      <c r="V31" s="469">
        <f t="shared" ref="V31" si="239">IF(V154=0,9999,V154/$D94)</f>
        <v>18.377516512281936</v>
      </c>
      <c r="W31" s="469">
        <f t="shared" ref="W31" si="240">IF(W154=0,9999,W154/$D94)</f>
        <v>9999</v>
      </c>
      <c r="X31" s="469">
        <f t="shared" ref="X31" si="241">IF(X154=0,9999,X154/$D94)</f>
        <v>34.049356129037122</v>
      </c>
      <c r="Y31" s="469">
        <f t="shared" ref="Y31" si="242">IF(Y154=0,9999,Y154/$D94)</f>
        <v>58.268393113735698</v>
      </c>
      <c r="Z31" s="469">
        <f t="shared" ref="Z31" si="243">IF(Z154=0,9999,Z154/$D94)</f>
        <v>17.136590582033595</v>
      </c>
      <c r="AA31" s="504"/>
      <c r="AB31" s="504"/>
      <c r="AC31" s="504"/>
      <c r="AD31" s="275"/>
      <c r="AH31" s="272">
        <v>1</v>
      </c>
    </row>
    <row r="32" spans="2:34" ht="12.75" customHeight="1" x14ac:dyDescent="0.25">
      <c r="B32" s="468" t="s">
        <v>833</v>
      </c>
      <c r="C32" s="469">
        <f t="shared" ref="C32" si="244">IF(C155=0,9999,C155/$D95)</f>
        <v>9999</v>
      </c>
      <c r="D32" s="469">
        <f t="shared" ref="D32:S32" si="245">IF(D155=0,9999,D155/$D95)</f>
        <v>103.19423778925578</v>
      </c>
      <c r="E32" s="469">
        <f t="shared" si="245"/>
        <v>9999</v>
      </c>
      <c r="F32" s="469">
        <f t="shared" si="245"/>
        <v>9999</v>
      </c>
      <c r="G32" s="469">
        <f t="shared" si="245"/>
        <v>9999</v>
      </c>
      <c r="H32" s="469">
        <f t="shared" si="245"/>
        <v>9999</v>
      </c>
      <c r="I32" s="469">
        <f t="shared" si="245"/>
        <v>9999</v>
      </c>
      <c r="J32" s="469">
        <f t="shared" si="245"/>
        <v>9999</v>
      </c>
      <c r="K32" s="469">
        <f t="shared" si="245"/>
        <v>9999</v>
      </c>
      <c r="L32" s="469">
        <f t="shared" si="245"/>
        <v>165.67094352944116</v>
      </c>
      <c r="M32" s="469">
        <f t="shared" si="245"/>
        <v>9999</v>
      </c>
      <c r="N32" s="469">
        <f t="shared" si="245"/>
        <v>9999</v>
      </c>
      <c r="O32" s="469">
        <f t="shared" si="245"/>
        <v>9999</v>
      </c>
      <c r="P32" s="469">
        <f t="shared" si="245"/>
        <v>222.19831829680319</v>
      </c>
      <c r="Q32" s="469">
        <f t="shared" si="245"/>
        <v>115.09289973490252</v>
      </c>
      <c r="R32" s="469">
        <f t="shared" si="245"/>
        <v>9999</v>
      </c>
      <c r="S32" s="469">
        <f t="shared" si="245"/>
        <v>9999</v>
      </c>
      <c r="T32" s="469">
        <f t="shared" ref="T32" si="246">IF(T155=0,9999,T155/$D95)</f>
        <v>9999</v>
      </c>
      <c r="U32" s="469">
        <f t="shared" ref="U32" si="247">IF(U155=0,9999,U155/$D95)</f>
        <v>9999</v>
      </c>
      <c r="V32" s="469">
        <f t="shared" ref="V32" si="248">IF(V155=0,9999,V155/$D95)</f>
        <v>9999</v>
      </c>
      <c r="W32" s="469">
        <f t="shared" ref="W32" si="249">IF(W155=0,9999,W155/$D95)</f>
        <v>9999</v>
      </c>
      <c r="X32" s="469">
        <f t="shared" ref="X32" si="250">IF(X155=0,9999,X155/$D95)</f>
        <v>9999</v>
      </c>
      <c r="Y32" s="469">
        <f t="shared" ref="Y32" si="251">IF(Y155=0,9999,Y155/$D95)</f>
        <v>9999</v>
      </c>
      <c r="Z32" s="469">
        <f t="shared" ref="Z32" si="252">IF(Z155=0,9999,Z155/$D95)</f>
        <v>9999</v>
      </c>
      <c r="AA32" s="504"/>
      <c r="AB32" s="504"/>
      <c r="AC32" s="504"/>
      <c r="AD32" s="275"/>
      <c r="AH32" s="272">
        <v>1</v>
      </c>
    </row>
    <row r="33" spans="2:34" ht="12.75" customHeight="1" x14ac:dyDescent="0.25">
      <c r="B33" s="468" t="s">
        <v>834</v>
      </c>
      <c r="C33" s="469">
        <f t="shared" ref="C33" si="253">IF(C156=0,9999,C156/$D96)</f>
        <v>9999</v>
      </c>
      <c r="D33" s="469">
        <f t="shared" ref="D33:S33" si="254">IF(D156=0,9999,D156/$D96)</f>
        <v>134.41954904366574</v>
      </c>
      <c r="E33" s="469">
        <f t="shared" si="254"/>
        <v>9999</v>
      </c>
      <c r="F33" s="469">
        <f t="shared" si="254"/>
        <v>9999</v>
      </c>
      <c r="G33" s="469">
        <f t="shared" si="254"/>
        <v>9999</v>
      </c>
      <c r="H33" s="469">
        <f t="shared" si="254"/>
        <v>9999</v>
      </c>
      <c r="I33" s="469">
        <f t="shared" si="254"/>
        <v>9999</v>
      </c>
      <c r="J33" s="469">
        <f t="shared" si="254"/>
        <v>142.05412992953009</v>
      </c>
      <c r="K33" s="469">
        <f t="shared" si="254"/>
        <v>9999</v>
      </c>
      <c r="L33" s="469">
        <f t="shared" si="254"/>
        <v>190.7351188710476</v>
      </c>
      <c r="M33" s="469">
        <f t="shared" si="254"/>
        <v>9999</v>
      </c>
      <c r="N33" s="469">
        <f t="shared" si="254"/>
        <v>9999</v>
      </c>
      <c r="O33" s="469">
        <f t="shared" si="254"/>
        <v>9999</v>
      </c>
      <c r="P33" s="469">
        <f t="shared" si="254"/>
        <v>259.81675153784516</v>
      </c>
      <c r="Q33" s="469">
        <f t="shared" si="254"/>
        <v>51.169235964713089</v>
      </c>
      <c r="R33" s="469">
        <f t="shared" si="254"/>
        <v>106.05893022692524</v>
      </c>
      <c r="S33" s="469">
        <f t="shared" si="254"/>
        <v>9999</v>
      </c>
      <c r="T33" s="469">
        <f t="shared" ref="T33" si="255">IF(T156=0,9999,T156/$D96)</f>
        <v>9999</v>
      </c>
      <c r="U33" s="469">
        <f t="shared" ref="U33" si="256">IF(U156=0,9999,U156/$D96)</f>
        <v>9999</v>
      </c>
      <c r="V33" s="469">
        <f t="shared" ref="V33" si="257">IF(V156=0,9999,V156/$D96)</f>
        <v>9999</v>
      </c>
      <c r="W33" s="469">
        <f t="shared" ref="W33" si="258">IF(W156=0,9999,W156/$D96)</f>
        <v>137.90921416769288</v>
      </c>
      <c r="X33" s="469">
        <f t="shared" ref="X33" si="259">IF(X156=0,9999,X156/$D96)</f>
        <v>9999</v>
      </c>
      <c r="Y33" s="469">
        <f t="shared" ref="Y33" si="260">IF(Y156=0,9999,Y156/$D96)</f>
        <v>9999</v>
      </c>
      <c r="Z33" s="469">
        <f t="shared" ref="Z33" si="261">IF(Z156=0,9999,Z156/$D96)</f>
        <v>9999</v>
      </c>
      <c r="AA33" s="504"/>
      <c r="AB33" s="504"/>
      <c r="AC33" s="504"/>
      <c r="AD33" s="275"/>
      <c r="AH33" s="272">
        <v>1</v>
      </c>
    </row>
    <row r="34" spans="2:34" ht="12.75" customHeight="1" x14ac:dyDescent="0.25">
      <c r="B34" s="468" t="s">
        <v>835</v>
      </c>
      <c r="C34" s="469">
        <f t="shared" ref="C34" si="262">IF(C157=0,9999,C157/$D97)</f>
        <v>9999</v>
      </c>
      <c r="D34" s="469">
        <f t="shared" ref="D34:S34" si="263">IF(D157=0,9999,D157/$D97)</f>
        <v>9999</v>
      </c>
      <c r="E34" s="469">
        <f t="shared" si="263"/>
        <v>9999</v>
      </c>
      <c r="F34" s="469">
        <f t="shared" si="263"/>
        <v>9999</v>
      </c>
      <c r="G34" s="469">
        <f t="shared" si="263"/>
        <v>9999</v>
      </c>
      <c r="H34" s="469">
        <f t="shared" si="263"/>
        <v>9999</v>
      </c>
      <c r="I34" s="469">
        <f t="shared" si="263"/>
        <v>9999</v>
      </c>
      <c r="J34" s="469">
        <f t="shared" si="263"/>
        <v>9999</v>
      </c>
      <c r="K34" s="469">
        <f t="shared" si="263"/>
        <v>9999</v>
      </c>
      <c r="L34" s="469">
        <f t="shared" si="263"/>
        <v>189.95376902680101</v>
      </c>
      <c r="M34" s="469">
        <f t="shared" si="263"/>
        <v>9999</v>
      </c>
      <c r="N34" s="469">
        <f t="shared" si="263"/>
        <v>9999</v>
      </c>
      <c r="O34" s="469">
        <f t="shared" si="263"/>
        <v>9999</v>
      </c>
      <c r="P34" s="469">
        <f t="shared" si="263"/>
        <v>215.29490744274284</v>
      </c>
      <c r="Q34" s="469">
        <f t="shared" si="263"/>
        <v>9999</v>
      </c>
      <c r="R34" s="469">
        <f t="shared" si="263"/>
        <v>9999</v>
      </c>
      <c r="S34" s="469">
        <f t="shared" si="263"/>
        <v>9999</v>
      </c>
      <c r="T34" s="469">
        <f t="shared" ref="T34" si="264">IF(T157=0,9999,T157/$D97)</f>
        <v>9999</v>
      </c>
      <c r="U34" s="469">
        <f t="shared" ref="U34" si="265">IF(U157=0,9999,U157/$D97)</f>
        <v>9999</v>
      </c>
      <c r="V34" s="469">
        <f t="shared" ref="V34" si="266">IF(V157=0,9999,V157/$D97)</f>
        <v>9999</v>
      </c>
      <c r="W34" s="469">
        <f t="shared" ref="W34" si="267">IF(W157=0,9999,W157/$D97)</f>
        <v>139.27149219491741</v>
      </c>
      <c r="X34" s="469">
        <f t="shared" ref="X34" si="268">IF(X157=0,9999,X157/$D97)</f>
        <v>9999</v>
      </c>
      <c r="Y34" s="469">
        <f t="shared" ref="Y34" si="269">IF(Y157=0,9999,Y157/$D97)</f>
        <v>9999</v>
      </c>
      <c r="Z34" s="469">
        <f t="shared" ref="Z34" si="270">IF(Z157=0,9999,Z157/$D97)</f>
        <v>9999</v>
      </c>
      <c r="AA34" s="504"/>
      <c r="AB34" s="504"/>
      <c r="AC34" s="504"/>
      <c r="AD34" s="275"/>
      <c r="AH34" s="272">
        <v>1</v>
      </c>
    </row>
    <row r="35" spans="2:34" ht="12.75" customHeight="1" x14ac:dyDescent="0.25">
      <c r="B35" s="468" t="s">
        <v>836</v>
      </c>
      <c r="C35" s="469">
        <f t="shared" ref="C35" si="271">IF(C158=0,9999,C158/$D98)</f>
        <v>9999</v>
      </c>
      <c r="D35" s="469">
        <f t="shared" ref="D35:S35" si="272">IF(D158=0,9999,D158/$D98)</f>
        <v>9999</v>
      </c>
      <c r="E35" s="469">
        <f t="shared" si="272"/>
        <v>9999</v>
      </c>
      <c r="F35" s="469">
        <f t="shared" si="272"/>
        <v>9999</v>
      </c>
      <c r="G35" s="469">
        <f t="shared" si="272"/>
        <v>9999</v>
      </c>
      <c r="H35" s="469">
        <f t="shared" si="272"/>
        <v>9999</v>
      </c>
      <c r="I35" s="469">
        <f t="shared" si="272"/>
        <v>9999</v>
      </c>
      <c r="J35" s="469">
        <f t="shared" si="272"/>
        <v>159.05514330684477</v>
      </c>
      <c r="K35" s="469">
        <f t="shared" si="272"/>
        <v>9999</v>
      </c>
      <c r="L35" s="469">
        <f t="shared" si="272"/>
        <v>180.6383547417914</v>
      </c>
      <c r="M35" s="469">
        <f t="shared" si="272"/>
        <v>9999</v>
      </c>
      <c r="N35" s="469">
        <f t="shared" si="272"/>
        <v>9999</v>
      </c>
      <c r="O35" s="469">
        <f t="shared" si="272"/>
        <v>9999</v>
      </c>
      <c r="P35" s="469">
        <f t="shared" si="272"/>
        <v>205.40222661426282</v>
      </c>
      <c r="Q35" s="469">
        <f t="shared" si="272"/>
        <v>9999</v>
      </c>
      <c r="R35" s="469">
        <f t="shared" si="272"/>
        <v>9999</v>
      </c>
      <c r="S35" s="469">
        <f t="shared" si="272"/>
        <v>9999</v>
      </c>
      <c r="T35" s="469">
        <f t="shared" ref="T35" si="273">IF(T158=0,9999,T158/$D98)</f>
        <v>9999</v>
      </c>
      <c r="U35" s="469">
        <f t="shared" ref="U35" si="274">IF(U158=0,9999,U158/$D98)</f>
        <v>9999</v>
      </c>
      <c r="V35" s="469">
        <f t="shared" ref="V35" si="275">IF(V158=0,9999,V158/$D98)</f>
        <v>9999</v>
      </c>
      <c r="W35" s="469">
        <f t="shared" ref="W35" si="276">IF(W158=0,9999,W158/$D98)</f>
        <v>127.92995055932381</v>
      </c>
      <c r="X35" s="469">
        <f t="shared" ref="X35" si="277">IF(X158=0,9999,X158/$D98)</f>
        <v>9999</v>
      </c>
      <c r="Y35" s="469">
        <f t="shared" ref="Y35" si="278">IF(Y158=0,9999,Y158/$D98)</f>
        <v>9999</v>
      </c>
      <c r="Z35" s="469">
        <f t="shared" ref="Z35" si="279">IF(Z158=0,9999,Z158/$D98)</f>
        <v>9999</v>
      </c>
      <c r="AA35" s="504"/>
      <c r="AB35" s="504"/>
      <c r="AC35" s="504"/>
      <c r="AD35" s="275"/>
      <c r="AH35" s="272">
        <v>1</v>
      </c>
    </row>
    <row r="36" spans="2:34" ht="12.75" customHeight="1" x14ac:dyDescent="0.25">
      <c r="B36" s="468" t="s">
        <v>837</v>
      </c>
      <c r="C36" s="469">
        <f t="shared" ref="C36" si="280">IF(C159=0,9999,C159/$D99)</f>
        <v>9999</v>
      </c>
      <c r="D36" s="469">
        <f t="shared" ref="D36:S36" si="281">IF(D159=0,9999,D159/$D99)</f>
        <v>9999</v>
      </c>
      <c r="E36" s="469">
        <f t="shared" si="281"/>
        <v>9999</v>
      </c>
      <c r="F36" s="469">
        <f t="shared" si="281"/>
        <v>9999</v>
      </c>
      <c r="G36" s="469">
        <f t="shared" si="281"/>
        <v>9999</v>
      </c>
      <c r="H36" s="469">
        <f t="shared" si="281"/>
        <v>9999</v>
      </c>
      <c r="I36" s="469">
        <f t="shared" si="281"/>
        <v>9999</v>
      </c>
      <c r="J36" s="469">
        <f t="shared" si="281"/>
        <v>9999</v>
      </c>
      <c r="K36" s="469">
        <f t="shared" si="281"/>
        <v>9999</v>
      </c>
      <c r="L36" s="469">
        <f t="shared" si="281"/>
        <v>64.332417850520713</v>
      </c>
      <c r="M36" s="469">
        <f t="shared" si="281"/>
        <v>9999</v>
      </c>
      <c r="N36" s="469">
        <f t="shared" si="281"/>
        <v>9999</v>
      </c>
      <c r="O36" s="469">
        <f t="shared" si="281"/>
        <v>9999</v>
      </c>
      <c r="P36" s="469">
        <f t="shared" si="281"/>
        <v>9999</v>
      </c>
      <c r="Q36" s="469">
        <f t="shared" si="281"/>
        <v>9999</v>
      </c>
      <c r="R36" s="469">
        <f t="shared" si="281"/>
        <v>9999</v>
      </c>
      <c r="S36" s="469">
        <f t="shared" si="281"/>
        <v>9999</v>
      </c>
      <c r="T36" s="469">
        <f t="shared" ref="T36" si="282">IF(T159=0,9999,T159/$D99)</f>
        <v>9999</v>
      </c>
      <c r="U36" s="469">
        <f t="shared" ref="U36" si="283">IF(U159=0,9999,U159/$D99)</f>
        <v>9999</v>
      </c>
      <c r="V36" s="469">
        <f t="shared" ref="V36" si="284">IF(V159=0,9999,V159/$D99)</f>
        <v>9999</v>
      </c>
      <c r="W36" s="469">
        <f t="shared" ref="W36" si="285">IF(W159=0,9999,W159/$D99)</f>
        <v>9999</v>
      </c>
      <c r="X36" s="469">
        <f t="shared" ref="X36" si="286">IF(X159=0,9999,X159/$D99)</f>
        <v>9999</v>
      </c>
      <c r="Y36" s="469">
        <f t="shared" ref="Y36" si="287">IF(Y159=0,9999,Y159/$D99)</f>
        <v>9999</v>
      </c>
      <c r="Z36" s="469">
        <f t="shared" ref="Z36" si="288">IF(Z159=0,9999,Z159/$D99)</f>
        <v>9999</v>
      </c>
      <c r="AA36" s="504"/>
      <c r="AB36" s="504"/>
      <c r="AC36" s="504"/>
      <c r="AD36" s="275"/>
      <c r="AH36" s="272">
        <v>1</v>
      </c>
    </row>
    <row r="37" spans="2:34" ht="12.75" customHeight="1" x14ac:dyDescent="0.25">
      <c r="B37" s="468" t="s">
        <v>838</v>
      </c>
      <c r="C37" s="469">
        <f t="shared" ref="C37" si="289">IF(C160=0,9999,C160/$D100)</f>
        <v>9999</v>
      </c>
      <c r="D37" s="469">
        <f t="shared" ref="D37:S37" si="290">IF(D160=0,9999,D160/$D100)</f>
        <v>9999</v>
      </c>
      <c r="E37" s="469">
        <f t="shared" si="290"/>
        <v>9999</v>
      </c>
      <c r="F37" s="469">
        <f t="shared" si="290"/>
        <v>9999</v>
      </c>
      <c r="G37" s="469">
        <f t="shared" si="290"/>
        <v>9999</v>
      </c>
      <c r="H37" s="469">
        <f t="shared" si="290"/>
        <v>9999</v>
      </c>
      <c r="I37" s="469">
        <f t="shared" si="290"/>
        <v>9999</v>
      </c>
      <c r="J37" s="469">
        <f t="shared" si="290"/>
        <v>9999</v>
      </c>
      <c r="K37" s="469">
        <f t="shared" si="290"/>
        <v>9999</v>
      </c>
      <c r="L37" s="469">
        <f t="shared" si="290"/>
        <v>74.612803542260068</v>
      </c>
      <c r="M37" s="469">
        <f t="shared" si="290"/>
        <v>9999</v>
      </c>
      <c r="N37" s="469">
        <f t="shared" si="290"/>
        <v>9999</v>
      </c>
      <c r="O37" s="469">
        <f t="shared" si="290"/>
        <v>9999</v>
      </c>
      <c r="P37" s="469">
        <f t="shared" si="290"/>
        <v>134.60569711655452</v>
      </c>
      <c r="Q37" s="469">
        <f t="shared" si="290"/>
        <v>14.619909967965643</v>
      </c>
      <c r="R37" s="469">
        <f t="shared" si="290"/>
        <v>9999</v>
      </c>
      <c r="S37" s="469">
        <f t="shared" si="290"/>
        <v>9999</v>
      </c>
      <c r="T37" s="469">
        <f t="shared" ref="T37" si="291">IF(T160=0,9999,T160/$D100)</f>
        <v>9999</v>
      </c>
      <c r="U37" s="469">
        <f t="shared" ref="U37" si="292">IF(U160=0,9999,U160/$D100)</f>
        <v>9999</v>
      </c>
      <c r="V37" s="469">
        <f t="shared" ref="V37" si="293">IF(V160=0,9999,V160/$D100)</f>
        <v>9999</v>
      </c>
      <c r="W37" s="469">
        <f t="shared" ref="W37" si="294">IF(W160=0,9999,W160/$D100)</f>
        <v>9999</v>
      </c>
      <c r="X37" s="469">
        <f t="shared" ref="X37" si="295">IF(X160=0,9999,X160/$D100)</f>
        <v>9999</v>
      </c>
      <c r="Y37" s="469">
        <f t="shared" ref="Y37" si="296">IF(Y160=0,9999,Y160/$D100)</f>
        <v>9999</v>
      </c>
      <c r="Z37" s="469">
        <f t="shared" ref="Z37" si="297">IF(Z160=0,9999,Z160/$D100)</f>
        <v>9999</v>
      </c>
      <c r="AA37" s="504"/>
      <c r="AB37" s="504"/>
      <c r="AC37" s="504"/>
      <c r="AD37" s="275"/>
      <c r="AH37" s="272">
        <v>1</v>
      </c>
    </row>
    <row r="38" spans="2:34" ht="12.75" customHeight="1" x14ac:dyDescent="0.25">
      <c r="B38" s="468" t="s">
        <v>839</v>
      </c>
      <c r="C38" s="469">
        <f t="shared" ref="C38" si="298">IF(C161=0,9999,C161/$D101)</f>
        <v>9999</v>
      </c>
      <c r="D38" s="469">
        <f t="shared" ref="D38:S38" si="299">IF(D161=0,9999,D161/$D101)</f>
        <v>9999</v>
      </c>
      <c r="E38" s="469">
        <f t="shared" si="299"/>
        <v>9999</v>
      </c>
      <c r="F38" s="469">
        <f t="shared" si="299"/>
        <v>9999</v>
      </c>
      <c r="G38" s="469">
        <f t="shared" si="299"/>
        <v>9999</v>
      </c>
      <c r="H38" s="469">
        <f t="shared" si="299"/>
        <v>9999</v>
      </c>
      <c r="I38" s="469">
        <f t="shared" si="299"/>
        <v>9999</v>
      </c>
      <c r="J38" s="469">
        <f t="shared" si="299"/>
        <v>9999</v>
      </c>
      <c r="K38" s="469">
        <f t="shared" si="299"/>
        <v>9999</v>
      </c>
      <c r="L38" s="469">
        <f t="shared" si="299"/>
        <v>136.85193321616873</v>
      </c>
      <c r="M38" s="469">
        <f t="shared" si="299"/>
        <v>9999</v>
      </c>
      <c r="N38" s="469">
        <f t="shared" si="299"/>
        <v>9999</v>
      </c>
      <c r="O38" s="469">
        <f t="shared" si="299"/>
        <v>9999</v>
      </c>
      <c r="P38" s="469">
        <f t="shared" si="299"/>
        <v>9999</v>
      </c>
      <c r="Q38" s="469">
        <f t="shared" si="299"/>
        <v>9999</v>
      </c>
      <c r="R38" s="469">
        <f t="shared" si="299"/>
        <v>9999</v>
      </c>
      <c r="S38" s="469">
        <f t="shared" si="299"/>
        <v>9999</v>
      </c>
      <c r="T38" s="469">
        <f t="shared" ref="T38" si="300">IF(T161=0,9999,T161/$D101)</f>
        <v>9999</v>
      </c>
      <c r="U38" s="469">
        <f t="shared" ref="U38" si="301">IF(U161=0,9999,U161/$D101)</f>
        <v>9999</v>
      </c>
      <c r="V38" s="469">
        <f t="shared" ref="V38" si="302">IF(V161=0,9999,V161/$D101)</f>
        <v>9999</v>
      </c>
      <c r="W38" s="469">
        <f t="shared" ref="W38" si="303">IF(W161=0,9999,W161/$D101)</f>
        <v>9999</v>
      </c>
      <c r="X38" s="469">
        <f t="shared" ref="X38" si="304">IF(X161=0,9999,X161/$D101)</f>
        <v>9999</v>
      </c>
      <c r="Y38" s="469">
        <f t="shared" ref="Y38" si="305">IF(Y161=0,9999,Y161/$D101)</f>
        <v>9999</v>
      </c>
      <c r="Z38" s="469">
        <f t="shared" ref="Z38" si="306">IF(Z161=0,9999,Z161/$D101)</f>
        <v>9999</v>
      </c>
      <c r="AA38" s="504"/>
      <c r="AB38" s="504"/>
      <c r="AC38" s="504"/>
      <c r="AD38" s="275"/>
      <c r="AH38" s="272">
        <v>1</v>
      </c>
    </row>
    <row r="39" spans="2:34" ht="12.75" customHeight="1" x14ac:dyDescent="0.25">
      <c r="B39" s="468" t="s">
        <v>840</v>
      </c>
      <c r="C39" s="469">
        <f t="shared" ref="C39" si="307">IF(C162=0,9999,C162/$D102)</f>
        <v>9999</v>
      </c>
      <c r="D39" s="469">
        <f t="shared" ref="D39:S39" si="308">IF(D162=0,9999,D162/$D102)</f>
        <v>9999</v>
      </c>
      <c r="E39" s="469">
        <f t="shared" si="308"/>
        <v>9999</v>
      </c>
      <c r="F39" s="469">
        <f t="shared" si="308"/>
        <v>9999</v>
      </c>
      <c r="G39" s="469">
        <f t="shared" si="308"/>
        <v>9999</v>
      </c>
      <c r="H39" s="469">
        <f t="shared" si="308"/>
        <v>9999</v>
      </c>
      <c r="I39" s="469">
        <f t="shared" si="308"/>
        <v>9999</v>
      </c>
      <c r="J39" s="469">
        <f t="shared" si="308"/>
        <v>9999</v>
      </c>
      <c r="K39" s="469">
        <f t="shared" si="308"/>
        <v>9999</v>
      </c>
      <c r="L39" s="469">
        <f t="shared" si="308"/>
        <v>280.55355798454661</v>
      </c>
      <c r="M39" s="469">
        <f t="shared" si="308"/>
        <v>9999</v>
      </c>
      <c r="N39" s="469">
        <f t="shared" si="308"/>
        <v>9999</v>
      </c>
      <c r="O39" s="469">
        <f t="shared" si="308"/>
        <v>9999</v>
      </c>
      <c r="P39" s="469">
        <f t="shared" si="308"/>
        <v>9999</v>
      </c>
      <c r="Q39" s="469">
        <f t="shared" si="308"/>
        <v>9999</v>
      </c>
      <c r="R39" s="469">
        <f t="shared" si="308"/>
        <v>9999</v>
      </c>
      <c r="S39" s="469">
        <f t="shared" si="308"/>
        <v>9999</v>
      </c>
      <c r="T39" s="469">
        <f t="shared" ref="T39" si="309">IF(T162=0,9999,T162/$D102)</f>
        <v>9999</v>
      </c>
      <c r="U39" s="469">
        <f t="shared" ref="U39" si="310">IF(U162=0,9999,U162/$D102)</f>
        <v>9999</v>
      </c>
      <c r="V39" s="469">
        <f t="shared" ref="V39" si="311">IF(V162=0,9999,V162/$D102)</f>
        <v>9999</v>
      </c>
      <c r="W39" s="469">
        <f t="shared" ref="W39" si="312">IF(W162=0,9999,W162/$D102)</f>
        <v>9999</v>
      </c>
      <c r="X39" s="469">
        <f t="shared" ref="X39" si="313">IF(X162=0,9999,X162/$D102)</f>
        <v>9999</v>
      </c>
      <c r="Y39" s="469">
        <f t="shared" ref="Y39" si="314">IF(Y162=0,9999,Y162/$D102)</f>
        <v>9999</v>
      </c>
      <c r="Z39" s="469">
        <f t="shared" ref="Z39" si="315">IF(Z162=0,9999,Z162/$D102)</f>
        <v>9999</v>
      </c>
      <c r="AA39" s="504"/>
      <c r="AB39" s="504"/>
      <c r="AC39" s="504"/>
      <c r="AD39" s="275"/>
      <c r="AH39" s="272">
        <v>1</v>
      </c>
    </row>
    <row r="40" spans="2:34" ht="12.75" customHeight="1" x14ac:dyDescent="0.25">
      <c r="B40" s="468" t="s">
        <v>841</v>
      </c>
      <c r="C40" s="469">
        <f t="shared" ref="C40" si="316">IF(C163=0,9999,C163/$D103)</f>
        <v>9999</v>
      </c>
      <c r="D40" s="469">
        <f t="shared" ref="D40:S40" si="317">IF(D163=0,9999,D163/$D103)</f>
        <v>9999</v>
      </c>
      <c r="E40" s="469">
        <f t="shared" si="317"/>
        <v>9999</v>
      </c>
      <c r="F40" s="469">
        <f t="shared" si="317"/>
        <v>9999</v>
      </c>
      <c r="G40" s="469">
        <f t="shared" si="317"/>
        <v>9999</v>
      </c>
      <c r="H40" s="469">
        <f t="shared" si="317"/>
        <v>9999</v>
      </c>
      <c r="I40" s="469">
        <f t="shared" si="317"/>
        <v>9999</v>
      </c>
      <c r="J40" s="469">
        <f t="shared" si="317"/>
        <v>9999</v>
      </c>
      <c r="K40" s="469">
        <f t="shared" si="317"/>
        <v>9999</v>
      </c>
      <c r="L40" s="469">
        <f t="shared" si="317"/>
        <v>203.81671589726696</v>
      </c>
      <c r="M40" s="469">
        <f t="shared" si="317"/>
        <v>9999</v>
      </c>
      <c r="N40" s="469">
        <f t="shared" si="317"/>
        <v>9999</v>
      </c>
      <c r="O40" s="469">
        <f t="shared" si="317"/>
        <v>9999</v>
      </c>
      <c r="P40" s="469">
        <f t="shared" si="317"/>
        <v>237.00776159469569</v>
      </c>
      <c r="Q40" s="469">
        <f t="shared" si="317"/>
        <v>9999</v>
      </c>
      <c r="R40" s="469">
        <f t="shared" si="317"/>
        <v>71.052533107551781</v>
      </c>
      <c r="S40" s="469">
        <f t="shared" si="317"/>
        <v>9999</v>
      </c>
      <c r="T40" s="469">
        <f t="shared" ref="T40" si="318">IF(T163=0,9999,T163/$D103)</f>
        <v>9999</v>
      </c>
      <c r="U40" s="469">
        <f t="shared" ref="U40" si="319">IF(U163=0,9999,U163/$D103)</f>
        <v>9999</v>
      </c>
      <c r="V40" s="469">
        <f t="shared" ref="V40" si="320">IF(V163=0,9999,V163/$D103)</f>
        <v>9999</v>
      </c>
      <c r="W40" s="469">
        <f t="shared" ref="W40" si="321">IF(W163=0,9999,W163/$D103)</f>
        <v>9999</v>
      </c>
      <c r="X40" s="469">
        <f t="shared" ref="X40" si="322">IF(X163=0,9999,X163/$D103)</f>
        <v>9999</v>
      </c>
      <c r="Y40" s="469">
        <f t="shared" ref="Y40" si="323">IF(Y163=0,9999,Y163/$D103)</f>
        <v>9999</v>
      </c>
      <c r="Z40" s="469">
        <f t="shared" ref="Z40" si="324">IF(Z163=0,9999,Z163/$D103)</f>
        <v>9999</v>
      </c>
      <c r="AA40" s="504"/>
      <c r="AB40" s="504"/>
      <c r="AC40" s="504"/>
      <c r="AD40" s="275"/>
      <c r="AH40" s="272">
        <v>1</v>
      </c>
    </row>
    <row r="41" spans="2:34" ht="12.75" customHeight="1" x14ac:dyDescent="0.25">
      <c r="B41" s="468" t="s">
        <v>842</v>
      </c>
      <c r="C41" s="469">
        <f t="shared" ref="C41" si="325">IF(C164=0,9999,C164/$D104)</f>
        <v>9999</v>
      </c>
      <c r="D41" s="469">
        <f t="shared" ref="D41:S41" si="326">IF(D164=0,9999,D164/$D104)</f>
        <v>9999</v>
      </c>
      <c r="E41" s="469">
        <f t="shared" si="326"/>
        <v>9999</v>
      </c>
      <c r="F41" s="469">
        <f t="shared" si="326"/>
        <v>9999</v>
      </c>
      <c r="G41" s="469">
        <f t="shared" si="326"/>
        <v>9999</v>
      </c>
      <c r="H41" s="469">
        <f t="shared" si="326"/>
        <v>9999</v>
      </c>
      <c r="I41" s="469">
        <f t="shared" si="326"/>
        <v>9999</v>
      </c>
      <c r="J41" s="469">
        <f t="shared" si="326"/>
        <v>294.49044522800159</v>
      </c>
      <c r="K41" s="469">
        <f t="shared" si="326"/>
        <v>194.15687707809539</v>
      </c>
      <c r="L41" s="469">
        <f t="shared" si="326"/>
        <v>291.17284411925158</v>
      </c>
      <c r="M41" s="469">
        <f t="shared" si="326"/>
        <v>9999</v>
      </c>
      <c r="N41" s="469">
        <f t="shared" si="326"/>
        <v>9999</v>
      </c>
      <c r="O41" s="469">
        <f t="shared" si="326"/>
        <v>9999</v>
      </c>
      <c r="P41" s="469">
        <f t="shared" si="326"/>
        <v>378.07005660619677</v>
      </c>
      <c r="Q41" s="469">
        <f t="shared" si="326"/>
        <v>124.17957259082215</v>
      </c>
      <c r="R41" s="469">
        <f t="shared" si="326"/>
        <v>9999</v>
      </c>
      <c r="S41" s="469">
        <f t="shared" si="326"/>
        <v>9999</v>
      </c>
      <c r="T41" s="469">
        <f t="shared" ref="T41" si="327">IF(T164=0,9999,T164/$D104)</f>
        <v>9999</v>
      </c>
      <c r="U41" s="469">
        <f t="shared" ref="U41" si="328">IF(U164=0,9999,U164/$D104)</f>
        <v>9999</v>
      </c>
      <c r="V41" s="469">
        <f t="shared" ref="V41" si="329">IF(V164=0,9999,V164/$D104)</f>
        <v>9999</v>
      </c>
      <c r="W41" s="469">
        <f t="shared" ref="W41" si="330">IF(W164=0,9999,W164/$D104)</f>
        <v>9999</v>
      </c>
      <c r="X41" s="469">
        <f t="shared" ref="X41" si="331">IF(X164=0,9999,X164/$D104)</f>
        <v>9999</v>
      </c>
      <c r="Y41" s="469">
        <f t="shared" ref="Y41" si="332">IF(Y164=0,9999,Y164/$D104)</f>
        <v>9999</v>
      </c>
      <c r="Z41" s="469">
        <f t="shared" ref="Z41" si="333">IF(Z164=0,9999,Z164/$D104)</f>
        <v>9999</v>
      </c>
      <c r="AA41" s="504"/>
      <c r="AB41" s="504"/>
      <c r="AC41" s="504"/>
      <c r="AD41" s="275"/>
      <c r="AH41" s="272">
        <v>1</v>
      </c>
    </row>
    <row r="42" spans="2:34" ht="12.75" customHeight="1" x14ac:dyDescent="0.25">
      <c r="B42" s="468" t="s">
        <v>843</v>
      </c>
      <c r="C42" s="469">
        <f t="shared" ref="C42" si="334">IF(C165=0,9999,C165/$D105)</f>
        <v>9999</v>
      </c>
      <c r="D42" s="469">
        <f t="shared" ref="D42:S42" si="335">IF(D165=0,9999,D165/$D105)</f>
        <v>9999</v>
      </c>
      <c r="E42" s="469">
        <f t="shared" si="335"/>
        <v>9999</v>
      </c>
      <c r="F42" s="469">
        <f t="shared" si="335"/>
        <v>9999</v>
      </c>
      <c r="G42" s="469">
        <f t="shared" si="335"/>
        <v>9999</v>
      </c>
      <c r="H42" s="469">
        <f t="shared" si="335"/>
        <v>9999</v>
      </c>
      <c r="I42" s="469">
        <f t="shared" si="335"/>
        <v>9999</v>
      </c>
      <c r="J42" s="469">
        <f t="shared" si="335"/>
        <v>250.21979811279448</v>
      </c>
      <c r="K42" s="469">
        <f t="shared" si="335"/>
        <v>9999</v>
      </c>
      <c r="L42" s="469">
        <f t="shared" si="335"/>
        <v>214.40700725970817</v>
      </c>
      <c r="M42" s="469">
        <f t="shared" si="335"/>
        <v>9999</v>
      </c>
      <c r="N42" s="469">
        <f t="shared" si="335"/>
        <v>9999</v>
      </c>
      <c r="O42" s="469">
        <f t="shared" si="335"/>
        <v>9999</v>
      </c>
      <c r="P42" s="469">
        <f t="shared" si="335"/>
        <v>269.64162909180624</v>
      </c>
      <c r="Q42" s="469">
        <f t="shared" si="335"/>
        <v>108.50068986633106</v>
      </c>
      <c r="R42" s="469">
        <f t="shared" si="335"/>
        <v>9999</v>
      </c>
      <c r="S42" s="469">
        <f t="shared" si="335"/>
        <v>109.62993673844754</v>
      </c>
      <c r="T42" s="469">
        <f t="shared" ref="T42" si="336">IF(T165=0,9999,T165/$D105)</f>
        <v>9999</v>
      </c>
      <c r="U42" s="469">
        <f t="shared" ref="U42" si="337">IF(U165=0,9999,U165/$D105)</f>
        <v>9999</v>
      </c>
      <c r="V42" s="469">
        <f t="shared" ref="V42" si="338">IF(V165=0,9999,V165/$D105)</f>
        <v>9999</v>
      </c>
      <c r="W42" s="469">
        <f t="shared" ref="W42" si="339">IF(W165=0,9999,W165/$D105)</f>
        <v>168.90374042892557</v>
      </c>
      <c r="X42" s="469">
        <f t="shared" ref="X42" si="340">IF(X165=0,9999,X165/$D105)</f>
        <v>9999</v>
      </c>
      <c r="Y42" s="469">
        <f t="shared" ref="Y42" si="341">IF(Y165=0,9999,Y165/$D105)</f>
        <v>9999</v>
      </c>
      <c r="Z42" s="469">
        <f t="shared" ref="Z42" si="342">IF(Z165=0,9999,Z165/$D105)</f>
        <v>9999</v>
      </c>
      <c r="AA42" s="504"/>
      <c r="AB42" s="504"/>
      <c r="AC42" s="504"/>
      <c r="AD42" s="275"/>
      <c r="AH42" s="272">
        <v>1</v>
      </c>
    </row>
    <row r="43" spans="2:34" ht="12.75" customHeight="1" x14ac:dyDescent="0.25">
      <c r="B43" s="468" t="s">
        <v>844</v>
      </c>
      <c r="C43" s="469">
        <f t="shared" ref="C43" si="343">IF(C166=0,9999,C166/$D106)</f>
        <v>9999</v>
      </c>
      <c r="D43" s="469">
        <f t="shared" ref="D43:S43" si="344">IF(D166=0,9999,D166/$D106)</f>
        <v>9999</v>
      </c>
      <c r="E43" s="469">
        <f t="shared" si="344"/>
        <v>9999</v>
      </c>
      <c r="F43" s="469">
        <f t="shared" si="344"/>
        <v>9999</v>
      </c>
      <c r="G43" s="469">
        <f t="shared" si="344"/>
        <v>9999</v>
      </c>
      <c r="H43" s="469">
        <f t="shared" si="344"/>
        <v>9999</v>
      </c>
      <c r="I43" s="469">
        <f t="shared" si="344"/>
        <v>9999</v>
      </c>
      <c r="J43" s="469">
        <f t="shared" si="344"/>
        <v>9999</v>
      </c>
      <c r="K43" s="469">
        <f t="shared" si="344"/>
        <v>9999</v>
      </c>
      <c r="L43" s="469">
        <f t="shared" si="344"/>
        <v>16.793655089872473</v>
      </c>
      <c r="M43" s="469">
        <f t="shared" si="344"/>
        <v>9999</v>
      </c>
      <c r="N43" s="469">
        <f t="shared" si="344"/>
        <v>9999</v>
      </c>
      <c r="O43" s="469">
        <f t="shared" si="344"/>
        <v>9999</v>
      </c>
      <c r="P43" s="469">
        <f t="shared" si="344"/>
        <v>9999</v>
      </c>
      <c r="Q43" s="469">
        <f t="shared" si="344"/>
        <v>9999</v>
      </c>
      <c r="R43" s="469">
        <f t="shared" si="344"/>
        <v>9999</v>
      </c>
      <c r="S43" s="469">
        <f t="shared" si="344"/>
        <v>9999</v>
      </c>
      <c r="T43" s="469">
        <f t="shared" ref="T43" si="345">IF(T166=0,9999,T166/$D106)</f>
        <v>9999</v>
      </c>
      <c r="U43" s="469">
        <f t="shared" ref="U43" si="346">IF(U166=0,9999,U166/$D106)</f>
        <v>9999</v>
      </c>
      <c r="V43" s="469">
        <f t="shared" ref="V43" si="347">IF(V166=0,9999,V166/$D106)</f>
        <v>9999</v>
      </c>
      <c r="W43" s="469">
        <f t="shared" ref="W43" si="348">IF(W166=0,9999,W166/$D106)</f>
        <v>9999</v>
      </c>
      <c r="X43" s="469">
        <f t="shared" ref="X43" si="349">IF(X166=0,9999,X166/$D106)</f>
        <v>9999</v>
      </c>
      <c r="Y43" s="469">
        <f t="shared" ref="Y43" si="350">IF(Y166=0,9999,Y166/$D106)</f>
        <v>9999</v>
      </c>
      <c r="Z43" s="469">
        <f t="shared" ref="Z43" si="351">IF(Z166=0,9999,Z166/$D106)</f>
        <v>9999</v>
      </c>
      <c r="AA43" s="504"/>
      <c r="AB43" s="504"/>
      <c r="AC43" s="504"/>
      <c r="AD43" s="275"/>
      <c r="AH43" s="272">
        <v>1</v>
      </c>
    </row>
    <row r="44" spans="2:34" ht="12.75" customHeight="1" x14ac:dyDescent="0.25">
      <c r="B44" s="468" t="s">
        <v>845</v>
      </c>
      <c r="C44" s="469">
        <f t="shared" ref="C44" si="352">IF(C167=0,9999,C167/$D107)</f>
        <v>9999</v>
      </c>
      <c r="D44" s="469">
        <f t="shared" ref="D44:S44" si="353">IF(D167=0,9999,D167/$D107)</f>
        <v>111.54880208526943</v>
      </c>
      <c r="E44" s="469">
        <f t="shared" si="353"/>
        <v>9999</v>
      </c>
      <c r="F44" s="469">
        <f t="shared" si="353"/>
        <v>9999</v>
      </c>
      <c r="G44" s="469">
        <f t="shared" si="353"/>
        <v>9999</v>
      </c>
      <c r="H44" s="469">
        <f t="shared" si="353"/>
        <v>9999</v>
      </c>
      <c r="I44" s="469">
        <f t="shared" si="353"/>
        <v>9999</v>
      </c>
      <c r="J44" s="469">
        <f t="shared" si="353"/>
        <v>170.34814731574929</v>
      </c>
      <c r="K44" s="469">
        <f t="shared" si="353"/>
        <v>9999</v>
      </c>
      <c r="L44" s="469">
        <f t="shared" si="353"/>
        <v>174.21530375811133</v>
      </c>
      <c r="M44" s="469">
        <f t="shared" si="353"/>
        <v>9999</v>
      </c>
      <c r="N44" s="469">
        <f t="shared" si="353"/>
        <v>9999</v>
      </c>
      <c r="O44" s="469">
        <f t="shared" si="353"/>
        <v>9999</v>
      </c>
      <c r="P44" s="469">
        <f t="shared" si="353"/>
        <v>306.50551669746454</v>
      </c>
      <c r="Q44" s="469">
        <f t="shared" si="353"/>
        <v>9999</v>
      </c>
      <c r="R44" s="469">
        <f t="shared" si="353"/>
        <v>9999</v>
      </c>
      <c r="S44" s="469">
        <f t="shared" si="353"/>
        <v>9999</v>
      </c>
      <c r="T44" s="469">
        <f t="shared" ref="T44" si="354">IF(T167=0,9999,T167/$D107)</f>
        <v>9999</v>
      </c>
      <c r="U44" s="469">
        <f t="shared" ref="U44" si="355">IF(U167=0,9999,U167/$D107)</f>
        <v>9999</v>
      </c>
      <c r="V44" s="469">
        <f t="shared" ref="V44" si="356">IF(V167=0,9999,V167/$D107)</f>
        <v>9999</v>
      </c>
      <c r="W44" s="469">
        <f t="shared" ref="W44" si="357">IF(W167=0,9999,W167/$D107)</f>
        <v>152.29645215006161</v>
      </c>
      <c r="X44" s="469">
        <f t="shared" ref="X44" si="358">IF(X167=0,9999,X167/$D107)</f>
        <v>9999</v>
      </c>
      <c r="Y44" s="469">
        <f t="shared" ref="Y44" si="359">IF(Y167=0,9999,Y167/$D107)</f>
        <v>9999</v>
      </c>
      <c r="Z44" s="469">
        <f t="shared" ref="Z44" si="360">IF(Z167=0,9999,Z167/$D107)</f>
        <v>9999</v>
      </c>
      <c r="AA44" s="504"/>
      <c r="AB44" s="504"/>
      <c r="AC44" s="504"/>
      <c r="AD44" s="275"/>
      <c r="AH44" s="272">
        <v>1</v>
      </c>
    </row>
    <row r="45" spans="2:34" ht="12.75" customHeight="1" x14ac:dyDescent="0.25">
      <c r="B45" s="468" t="s">
        <v>846</v>
      </c>
      <c r="C45" s="469">
        <f t="shared" ref="C45" si="361">IF(C168=0,9999,C168/$D108)</f>
        <v>9999</v>
      </c>
      <c r="D45" s="469">
        <f t="shared" ref="D45:S45" si="362">IF(D168=0,9999,D168/$D108)</f>
        <v>9999</v>
      </c>
      <c r="E45" s="469">
        <f t="shared" si="362"/>
        <v>9999</v>
      </c>
      <c r="F45" s="469">
        <f t="shared" si="362"/>
        <v>9999</v>
      </c>
      <c r="G45" s="469">
        <f t="shared" si="362"/>
        <v>9999</v>
      </c>
      <c r="H45" s="469">
        <f t="shared" si="362"/>
        <v>9999</v>
      </c>
      <c r="I45" s="469">
        <f t="shared" si="362"/>
        <v>9999</v>
      </c>
      <c r="J45" s="469">
        <f t="shared" si="362"/>
        <v>79.15234566871024</v>
      </c>
      <c r="K45" s="469">
        <f t="shared" si="362"/>
        <v>9999</v>
      </c>
      <c r="L45" s="469">
        <f t="shared" si="362"/>
        <v>72.991393131759978</v>
      </c>
      <c r="M45" s="469">
        <f t="shared" si="362"/>
        <v>9999</v>
      </c>
      <c r="N45" s="469">
        <f t="shared" si="362"/>
        <v>9999</v>
      </c>
      <c r="O45" s="469">
        <f t="shared" si="362"/>
        <v>9999</v>
      </c>
      <c r="P45" s="469">
        <f t="shared" si="362"/>
        <v>109.10789692647545</v>
      </c>
      <c r="Q45" s="469">
        <f t="shared" si="362"/>
        <v>9999</v>
      </c>
      <c r="R45" s="469">
        <f t="shared" si="362"/>
        <v>34.916331222682061</v>
      </c>
      <c r="S45" s="469">
        <f t="shared" si="362"/>
        <v>25.322762783189177</v>
      </c>
      <c r="T45" s="469">
        <f t="shared" ref="T45" si="363">IF(T168=0,9999,T168/$D108)</f>
        <v>9999</v>
      </c>
      <c r="U45" s="469">
        <f t="shared" ref="U45" si="364">IF(U168=0,9999,U168/$D108)</f>
        <v>9999</v>
      </c>
      <c r="V45" s="469">
        <f t="shared" ref="V45" si="365">IF(V168=0,9999,V168/$D108)</f>
        <v>9999</v>
      </c>
      <c r="W45" s="469">
        <f t="shared" ref="W45" si="366">IF(W168=0,9999,W168/$D108)</f>
        <v>66.222740254741097</v>
      </c>
      <c r="X45" s="469">
        <f t="shared" ref="X45" si="367">IF(X168=0,9999,X168/$D108)</f>
        <v>53.087109195999908</v>
      </c>
      <c r="Y45" s="469">
        <f t="shared" ref="Y45" si="368">IF(Y168=0,9999,Y168/$D108)</f>
        <v>9999</v>
      </c>
      <c r="Z45" s="469">
        <f t="shared" ref="Z45" si="369">IF(Z168=0,9999,Z168/$D108)</f>
        <v>10.216677245515299</v>
      </c>
      <c r="AA45" s="504"/>
      <c r="AB45" s="504"/>
      <c r="AC45" s="504"/>
      <c r="AD45" s="275"/>
      <c r="AH45" s="272">
        <v>1</v>
      </c>
    </row>
    <row r="46" spans="2:34" ht="12.75" customHeight="1" x14ac:dyDescent="0.25">
      <c r="B46" s="468" t="s">
        <v>847</v>
      </c>
      <c r="C46" s="469">
        <f t="shared" ref="C46" si="370">IF(C169=0,9999,C169/$D109)</f>
        <v>127.64718804920912</v>
      </c>
      <c r="D46" s="469">
        <f t="shared" ref="D46:S46" si="371">IF(D169=0,9999,D169/$D109)</f>
        <v>127.64718804920912</v>
      </c>
      <c r="E46" s="469">
        <f t="shared" si="371"/>
        <v>127.64718804920912</v>
      </c>
      <c r="F46" s="469">
        <f t="shared" si="371"/>
        <v>127.64718804920912</v>
      </c>
      <c r="G46" s="469">
        <f t="shared" si="371"/>
        <v>127.64718804920912</v>
      </c>
      <c r="H46" s="469">
        <f t="shared" si="371"/>
        <v>127.64718804920912</v>
      </c>
      <c r="I46" s="469">
        <f t="shared" si="371"/>
        <v>127.64718804920912</v>
      </c>
      <c r="J46" s="469">
        <f t="shared" si="371"/>
        <v>127.64718804920912</v>
      </c>
      <c r="K46" s="469">
        <f t="shared" si="371"/>
        <v>127.64718804920912</v>
      </c>
      <c r="L46" s="469">
        <f t="shared" si="371"/>
        <v>170.25483304042177</v>
      </c>
      <c r="M46" s="469">
        <f t="shared" si="371"/>
        <v>127.64718804920912</v>
      </c>
      <c r="N46" s="469">
        <f t="shared" si="371"/>
        <v>127.64718804920912</v>
      </c>
      <c r="O46" s="469">
        <f t="shared" si="371"/>
        <v>127.64718804920912</v>
      </c>
      <c r="P46" s="469">
        <f t="shared" si="371"/>
        <v>127.64718804920912</v>
      </c>
      <c r="Q46" s="469">
        <f t="shared" si="371"/>
        <v>127.64718804920912</v>
      </c>
      <c r="R46" s="469">
        <f t="shared" si="371"/>
        <v>127.64718804920912</v>
      </c>
      <c r="S46" s="469">
        <f t="shared" si="371"/>
        <v>127.64718804920912</v>
      </c>
      <c r="T46" s="469">
        <f t="shared" ref="T46" si="372">IF(T169=0,9999,T169/$D109)</f>
        <v>127.64718804920912</v>
      </c>
      <c r="U46" s="469">
        <f t="shared" ref="U46" si="373">IF(U169=0,9999,U169/$D109)</f>
        <v>127.64718804920912</v>
      </c>
      <c r="V46" s="469">
        <f t="shared" ref="V46" si="374">IF(V169=0,9999,V169/$D109)</f>
        <v>127.64718804920912</v>
      </c>
      <c r="W46" s="469">
        <f t="shared" ref="W46" si="375">IF(W169=0,9999,W169/$D109)</f>
        <v>127.64718804920912</v>
      </c>
      <c r="X46" s="469">
        <f t="shared" ref="X46" si="376">IF(X169=0,9999,X169/$D109)</f>
        <v>127.64718804920912</v>
      </c>
      <c r="Y46" s="469">
        <f t="shared" ref="Y46" si="377">IF(Y169=0,9999,Y169/$D109)</f>
        <v>127.64718804920912</v>
      </c>
      <c r="Z46" s="469">
        <f t="shared" ref="Z46" si="378">IF(Z169=0,9999,Z169/$D109)</f>
        <v>127.64718804920912</v>
      </c>
      <c r="AA46" s="504"/>
      <c r="AB46" s="504"/>
      <c r="AC46" s="504"/>
      <c r="AD46" s="275"/>
      <c r="AH46" s="272">
        <v>1</v>
      </c>
    </row>
    <row r="47" spans="2:34" ht="12.75" customHeight="1" x14ac:dyDescent="0.25">
      <c r="B47" s="468" t="s">
        <v>848</v>
      </c>
      <c r="C47" s="469">
        <f t="shared" ref="C47" si="379">IF(C170=0,9999,C170/$D110)</f>
        <v>9999</v>
      </c>
      <c r="D47" s="469">
        <f t="shared" ref="D47:S47" si="380">IF(D170=0,9999,D170/$D110)</f>
        <v>9999</v>
      </c>
      <c r="E47" s="469">
        <f t="shared" si="380"/>
        <v>9999</v>
      </c>
      <c r="F47" s="469">
        <f t="shared" si="380"/>
        <v>9999</v>
      </c>
      <c r="G47" s="469">
        <f t="shared" si="380"/>
        <v>9999</v>
      </c>
      <c r="H47" s="469">
        <f t="shared" si="380"/>
        <v>9999</v>
      </c>
      <c r="I47" s="469">
        <f t="shared" si="380"/>
        <v>9999</v>
      </c>
      <c r="J47" s="469">
        <f t="shared" si="380"/>
        <v>9999</v>
      </c>
      <c r="K47" s="469">
        <f t="shared" si="380"/>
        <v>9999</v>
      </c>
      <c r="L47" s="469">
        <f t="shared" si="380"/>
        <v>25.942524916201116</v>
      </c>
      <c r="M47" s="469">
        <f t="shared" si="380"/>
        <v>9999</v>
      </c>
      <c r="N47" s="469">
        <f t="shared" si="380"/>
        <v>9999</v>
      </c>
      <c r="O47" s="469">
        <f t="shared" si="380"/>
        <v>9999</v>
      </c>
      <c r="P47" s="469">
        <f t="shared" si="380"/>
        <v>35.19588815642458</v>
      </c>
      <c r="Q47" s="469">
        <f t="shared" si="380"/>
        <v>9999</v>
      </c>
      <c r="R47" s="469">
        <f t="shared" si="380"/>
        <v>9999</v>
      </c>
      <c r="S47" s="469">
        <f t="shared" si="380"/>
        <v>9999</v>
      </c>
      <c r="T47" s="469">
        <f t="shared" ref="T47" si="381">IF(T170=0,9999,T170/$D110)</f>
        <v>9999</v>
      </c>
      <c r="U47" s="469">
        <f t="shared" ref="U47" si="382">IF(U170=0,9999,U170/$D110)</f>
        <v>9999</v>
      </c>
      <c r="V47" s="469">
        <f t="shared" ref="V47" si="383">IF(V170=0,9999,V170/$D110)</f>
        <v>9999</v>
      </c>
      <c r="W47" s="469">
        <f t="shared" ref="W47" si="384">IF(W170=0,9999,W170/$D110)</f>
        <v>16.689161675977655</v>
      </c>
      <c r="X47" s="469">
        <f t="shared" ref="X47" si="385">IF(X170=0,9999,X170/$D110)</f>
        <v>16.689161675977655</v>
      </c>
      <c r="Y47" s="469">
        <f t="shared" ref="Y47" si="386">IF(Y170=0,9999,Y170/$D110)</f>
        <v>9999</v>
      </c>
      <c r="Z47" s="469">
        <f t="shared" ref="Z47" si="387">IF(Z170=0,9999,Z170/$D110)</f>
        <v>9999</v>
      </c>
      <c r="AA47" s="504"/>
      <c r="AB47" s="504"/>
      <c r="AC47" s="504"/>
      <c r="AD47" s="275"/>
      <c r="AH47" s="272">
        <v>1</v>
      </c>
    </row>
    <row r="48" spans="2:34" ht="12.75" customHeight="1" x14ac:dyDescent="0.25">
      <c r="B48" s="468" t="s">
        <v>849</v>
      </c>
      <c r="C48" s="469">
        <f t="shared" ref="C48" si="388">IF(C171=0,9999,C171/$D111)</f>
        <v>9999</v>
      </c>
      <c r="D48" s="469">
        <f t="shared" ref="D48:S48" si="389">IF(D171=0,9999,D171/$D111)</f>
        <v>9999</v>
      </c>
      <c r="E48" s="469">
        <f t="shared" si="389"/>
        <v>9999</v>
      </c>
      <c r="F48" s="469">
        <f t="shared" si="389"/>
        <v>9999</v>
      </c>
      <c r="G48" s="469">
        <f t="shared" si="389"/>
        <v>9999</v>
      </c>
      <c r="H48" s="469">
        <f t="shared" si="389"/>
        <v>9999</v>
      </c>
      <c r="I48" s="469">
        <f t="shared" si="389"/>
        <v>9999</v>
      </c>
      <c r="J48" s="469">
        <f t="shared" si="389"/>
        <v>9999</v>
      </c>
      <c r="K48" s="469">
        <f t="shared" si="389"/>
        <v>9999</v>
      </c>
      <c r="L48" s="469">
        <f t="shared" si="389"/>
        <v>171.31383294844207</v>
      </c>
      <c r="M48" s="469">
        <f t="shared" si="389"/>
        <v>9999</v>
      </c>
      <c r="N48" s="469">
        <f t="shared" si="389"/>
        <v>9999</v>
      </c>
      <c r="O48" s="469">
        <f t="shared" si="389"/>
        <v>9999</v>
      </c>
      <c r="P48" s="469">
        <f t="shared" si="389"/>
        <v>285.68753673962107</v>
      </c>
      <c r="Q48" s="469">
        <f t="shared" si="389"/>
        <v>9999</v>
      </c>
      <c r="R48" s="469">
        <f t="shared" si="389"/>
        <v>9999</v>
      </c>
      <c r="S48" s="469">
        <f t="shared" si="389"/>
        <v>9999</v>
      </c>
      <c r="T48" s="469">
        <f t="shared" ref="T48" si="390">IF(T171=0,9999,T171/$D111)</f>
        <v>9999</v>
      </c>
      <c r="U48" s="469">
        <f t="shared" ref="U48" si="391">IF(U171=0,9999,U171/$D111)</f>
        <v>9999</v>
      </c>
      <c r="V48" s="469">
        <f t="shared" ref="V48" si="392">IF(V171=0,9999,V171/$D111)</f>
        <v>9999</v>
      </c>
      <c r="W48" s="469">
        <f t="shared" ref="W48" si="393">IF(W171=0,9999,W171/$D111)</f>
        <v>9999</v>
      </c>
      <c r="X48" s="469">
        <f t="shared" ref="X48" si="394">IF(X171=0,9999,X171/$D111)</f>
        <v>114.12698105285257</v>
      </c>
      <c r="Y48" s="469">
        <f t="shared" ref="Y48" si="395">IF(Y171=0,9999,Y171/$D111)</f>
        <v>9999</v>
      </c>
      <c r="Z48" s="469">
        <f t="shared" ref="Z48" si="396">IF(Z171=0,9999,Z171/$D111)</f>
        <v>9999</v>
      </c>
      <c r="AA48" s="504"/>
      <c r="AB48" s="504"/>
      <c r="AC48" s="504"/>
      <c r="AD48" s="275"/>
      <c r="AH48" s="272">
        <v>1</v>
      </c>
    </row>
    <row r="49" spans="1:34" ht="12.75" customHeight="1" x14ac:dyDescent="0.25">
      <c r="B49" s="468" t="s">
        <v>850</v>
      </c>
      <c r="C49" s="469">
        <f t="shared" ref="C49" si="397">IF(C172=0,9999,C172/$D112)</f>
        <v>69.41199893814705</v>
      </c>
      <c r="D49" s="469">
        <f t="shared" ref="D49:S49" si="398">IF(D172=0,9999,D172/$D112)</f>
        <v>69.41199893814705</v>
      </c>
      <c r="E49" s="469">
        <f t="shared" si="398"/>
        <v>69.41199893814705</v>
      </c>
      <c r="F49" s="469">
        <f t="shared" si="398"/>
        <v>9999</v>
      </c>
      <c r="G49" s="469">
        <f t="shared" si="398"/>
        <v>9999</v>
      </c>
      <c r="H49" s="469">
        <f t="shared" si="398"/>
        <v>9999</v>
      </c>
      <c r="I49" s="469">
        <f t="shared" si="398"/>
        <v>9999</v>
      </c>
      <c r="J49" s="469">
        <f t="shared" si="398"/>
        <v>105.79484116449871</v>
      </c>
      <c r="K49" s="469">
        <f t="shared" si="398"/>
        <v>105.79484116449871</v>
      </c>
      <c r="L49" s="469">
        <f t="shared" si="398"/>
        <v>72.125254402265284</v>
      </c>
      <c r="M49" s="469">
        <f t="shared" si="398"/>
        <v>33.383107689584989</v>
      </c>
      <c r="N49" s="469">
        <f t="shared" si="398"/>
        <v>33.383107689584989</v>
      </c>
      <c r="O49" s="469">
        <f t="shared" si="398"/>
        <v>9999</v>
      </c>
      <c r="P49" s="469">
        <f t="shared" si="398"/>
        <v>139.66794973896114</v>
      </c>
      <c r="Q49" s="469">
        <f t="shared" si="398"/>
        <v>9999</v>
      </c>
      <c r="R49" s="469">
        <f t="shared" si="398"/>
        <v>41.197681621095469</v>
      </c>
      <c r="S49" s="469">
        <f t="shared" si="398"/>
        <v>13.929077072825413</v>
      </c>
      <c r="T49" s="469">
        <f t="shared" ref="T49" si="399">IF(T172=0,9999,T172/$D112)</f>
        <v>13.929077072825413</v>
      </c>
      <c r="U49" s="469">
        <f t="shared" ref="U49" si="400">IF(U172=0,9999,U172/$D112)</f>
        <v>9999</v>
      </c>
      <c r="V49" s="469">
        <f t="shared" ref="V49" si="401">IF(V172=0,9999,V172/$D112)</f>
        <v>9999</v>
      </c>
      <c r="W49" s="469">
        <f t="shared" ref="W49" si="402">IF(W172=0,9999,W172/$D112)</f>
        <v>61.873949208034681</v>
      </c>
      <c r="X49" s="469">
        <f t="shared" ref="X49" si="403">IF(X172=0,9999,X172/$D112)</f>
        <v>61.873949208034681</v>
      </c>
      <c r="Y49" s="469">
        <f t="shared" ref="Y49" si="404">IF(Y172=0,9999,Y172/$D112)</f>
        <v>10.444872135209273</v>
      </c>
      <c r="Z49" s="469">
        <f t="shared" ref="Z49" si="405">IF(Z172=0,9999,Z172/$D112)</f>
        <v>10.444872135209273</v>
      </c>
      <c r="AA49" s="504"/>
      <c r="AB49" s="504"/>
      <c r="AC49" s="504"/>
      <c r="AD49" s="275"/>
      <c r="AH49" s="272">
        <v>1</v>
      </c>
    </row>
    <row r="50" spans="1:34" ht="12.75" customHeight="1" x14ac:dyDescent="0.25">
      <c r="B50" s="468" t="s">
        <v>851</v>
      </c>
      <c r="C50" s="469">
        <f t="shared" ref="C50" si="406">IF(C173=0,9999,C173/$D113)</f>
        <v>9999</v>
      </c>
      <c r="D50" s="469">
        <f t="shared" ref="D50:S50" si="407">IF(D173=0,9999,D173/$D113)</f>
        <v>9999</v>
      </c>
      <c r="E50" s="469">
        <f t="shared" si="407"/>
        <v>9999</v>
      </c>
      <c r="F50" s="469">
        <f t="shared" si="407"/>
        <v>9999</v>
      </c>
      <c r="G50" s="469">
        <f t="shared" si="407"/>
        <v>9999</v>
      </c>
      <c r="H50" s="469">
        <f t="shared" si="407"/>
        <v>9999</v>
      </c>
      <c r="I50" s="469">
        <f t="shared" si="407"/>
        <v>9999</v>
      </c>
      <c r="J50" s="469">
        <f t="shared" si="407"/>
        <v>9999</v>
      </c>
      <c r="K50" s="469">
        <f t="shared" si="407"/>
        <v>9999</v>
      </c>
      <c r="L50" s="469">
        <f t="shared" si="407"/>
        <v>179.35249043968017</v>
      </c>
      <c r="M50" s="469">
        <f t="shared" si="407"/>
        <v>9999</v>
      </c>
      <c r="N50" s="469">
        <f t="shared" si="407"/>
        <v>9999</v>
      </c>
      <c r="O50" s="469">
        <f t="shared" si="407"/>
        <v>9999</v>
      </c>
      <c r="P50" s="469">
        <f t="shared" si="407"/>
        <v>225.83594316732484</v>
      </c>
      <c r="Q50" s="469">
        <f t="shared" si="407"/>
        <v>132.86903771203544</v>
      </c>
      <c r="R50" s="469">
        <f t="shared" si="407"/>
        <v>9999</v>
      </c>
      <c r="S50" s="469">
        <f t="shared" si="407"/>
        <v>9999</v>
      </c>
      <c r="T50" s="469">
        <f t="shared" ref="T50" si="408">IF(T173=0,9999,T173/$D113)</f>
        <v>9999</v>
      </c>
      <c r="U50" s="469">
        <f t="shared" ref="U50" si="409">IF(U173=0,9999,U173/$D113)</f>
        <v>9999</v>
      </c>
      <c r="V50" s="469">
        <f t="shared" ref="V50" si="410">IF(V173=0,9999,V173/$D113)</f>
        <v>9999</v>
      </c>
      <c r="W50" s="469">
        <f t="shared" ref="W50" si="411">IF(W173=0,9999,W173/$D113)</f>
        <v>9999</v>
      </c>
      <c r="X50" s="469">
        <f t="shared" ref="X50" si="412">IF(X173=0,9999,X173/$D113)</f>
        <v>9999</v>
      </c>
      <c r="Y50" s="469">
        <f t="shared" ref="Y50" si="413">IF(Y173=0,9999,Y173/$D113)</f>
        <v>9999</v>
      </c>
      <c r="Z50" s="469">
        <f t="shared" ref="Z50" si="414">IF(Z173=0,9999,Z173/$D113)</f>
        <v>9999</v>
      </c>
      <c r="AA50" s="504"/>
      <c r="AB50" s="504"/>
      <c r="AC50" s="504"/>
      <c r="AD50" s="275"/>
      <c r="AH50" s="272">
        <v>1</v>
      </c>
    </row>
    <row r="51" spans="1:34" ht="12.75" customHeight="1" x14ac:dyDescent="0.25">
      <c r="B51" s="468" t="s">
        <v>852</v>
      </c>
      <c r="C51" s="469">
        <f t="shared" ref="C51" si="415">IF(C174=0,9999,C174/$D114)</f>
        <v>9999</v>
      </c>
      <c r="D51" s="469">
        <f t="shared" ref="D51:S51" si="416">IF(D174=0,9999,D174/$D114)</f>
        <v>9999</v>
      </c>
      <c r="E51" s="469">
        <f t="shared" si="416"/>
        <v>9999</v>
      </c>
      <c r="F51" s="469">
        <f t="shared" si="416"/>
        <v>9999</v>
      </c>
      <c r="G51" s="469">
        <f t="shared" si="416"/>
        <v>9999</v>
      </c>
      <c r="H51" s="469">
        <f t="shared" si="416"/>
        <v>9999</v>
      </c>
      <c r="I51" s="469">
        <f t="shared" si="416"/>
        <v>9999</v>
      </c>
      <c r="J51" s="469">
        <f t="shared" si="416"/>
        <v>110.96468450279212</v>
      </c>
      <c r="K51" s="469">
        <f t="shared" si="416"/>
        <v>9999</v>
      </c>
      <c r="L51" s="469">
        <f t="shared" si="416"/>
        <v>71.162454032956006</v>
      </c>
      <c r="M51" s="469">
        <f t="shared" si="416"/>
        <v>9999</v>
      </c>
      <c r="N51" s="469">
        <f t="shared" si="416"/>
        <v>9999</v>
      </c>
      <c r="O51" s="469">
        <f t="shared" si="416"/>
        <v>9999</v>
      </c>
      <c r="P51" s="469">
        <f t="shared" si="416"/>
        <v>124.88090567014984</v>
      </c>
      <c r="Q51" s="469">
        <f t="shared" si="416"/>
        <v>37.724778458778218</v>
      </c>
      <c r="R51" s="469">
        <f t="shared" si="416"/>
        <v>9999</v>
      </c>
      <c r="S51" s="469">
        <f t="shared" si="416"/>
        <v>9999</v>
      </c>
      <c r="T51" s="469">
        <f t="shared" ref="T51" si="417">IF(T174=0,9999,T174/$D114)</f>
        <v>9999</v>
      </c>
      <c r="U51" s="469">
        <f t="shared" ref="U51" si="418">IF(U174=0,9999,U174/$D114)</f>
        <v>9999</v>
      </c>
      <c r="V51" s="469">
        <f t="shared" ref="V51" si="419">IF(V174=0,9999,V174/$D114)</f>
        <v>9999</v>
      </c>
      <c r="W51" s="469">
        <f t="shared" ref="W51" si="420">IF(W174=0,9999,W174/$D114)</f>
        <v>77.954798648459331</v>
      </c>
      <c r="X51" s="469">
        <f t="shared" ref="X51" si="421">IF(X174=0,9999,X174/$D114)</f>
        <v>9999</v>
      </c>
      <c r="Y51" s="469">
        <f t="shared" ref="Y51" si="422">IF(Y174=0,9999,Y174/$D114)</f>
        <v>9999</v>
      </c>
      <c r="Z51" s="469">
        <f t="shared" ref="Z51" si="423">IF(Z174=0,9999,Z174/$D114)</f>
        <v>9999</v>
      </c>
      <c r="AA51" s="504"/>
      <c r="AB51" s="504"/>
      <c r="AC51" s="504"/>
      <c r="AD51" s="275"/>
      <c r="AH51" s="272">
        <v>1</v>
      </c>
    </row>
    <row r="52" spans="1:34" ht="12.75" customHeight="1" x14ac:dyDescent="0.25">
      <c r="B52" s="468" t="s">
        <v>853</v>
      </c>
      <c r="C52" s="469">
        <f t="shared" ref="C52" si="424">IF(C175=0,9999,C175/$D115)</f>
        <v>9999</v>
      </c>
      <c r="D52" s="469">
        <f t="shared" ref="D52:S52" si="425">IF(D175=0,9999,D175/$D115)</f>
        <v>9999</v>
      </c>
      <c r="E52" s="469">
        <f t="shared" si="425"/>
        <v>9999</v>
      </c>
      <c r="F52" s="469">
        <f t="shared" si="425"/>
        <v>9999</v>
      </c>
      <c r="G52" s="469">
        <f t="shared" si="425"/>
        <v>9999</v>
      </c>
      <c r="H52" s="469">
        <f t="shared" si="425"/>
        <v>9999</v>
      </c>
      <c r="I52" s="469">
        <f t="shared" si="425"/>
        <v>9999</v>
      </c>
      <c r="J52" s="469">
        <f t="shared" si="425"/>
        <v>9999</v>
      </c>
      <c r="K52" s="469">
        <f t="shared" si="425"/>
        <v>9999</v>
      </c>
      <c r="L52" s="469">
        <f t="shared" si="425"/>
        <v>116.77364660288241</v>
      </c>
      <c r="M52" s="469">
        <f t="shared" si="425"/>
        <v>9999</v>
      </c>
      <c r="N52" s="469">
        <f t="shared" si="425"/>
        <v>9999</v>
      </c>
      <c r="O52" s="469">
        <f t="shared" si="425"/>
        <v>9999</v>
      </c>
      <c r="P52" s="469">
        <f t="shared" si="425"/>
        <v>9999</v>
      </c>
      <c r="Q52" s="469">
        <f t="shared" si="425"/>
        <v>9999</v>
      </c>
      <c r="R52" s="469">
        <f t="shared" si="425"/>
        <v>9999</v>
      </c>
      <c r="S52" s="469">
        <f t="shared" si="425"/>
        <v>9999</v>
      </c>
      <c r="T52" s="469">
        <f t="shared" ref="T52" si="426">IF(T175=0,9999,T175/$D115)</f>
        <v>9999</v>
      </c>
      <c r="U52" s="469">
        <f t="shared" ref="U52" si="427">IF(U175=0,9999,U175/$D115)</f>
        <v>9999</v>
      </c>
      <c r="V52" s="469">
        <f t="shared" ref="V52" si="428">IF(V175=0,9999,V175/$D115)</f>
        <v>9999</v>
      </c>
      <c r="W52" s="469">
        <f t="shared" ref="W52" si="429">IF(W175=0,9999,W175/$D115)</f>
        <v>9999</v>
      </c>
      <c r="X52" s="469">
        <f t="shared" ref="X52" si="430">IF(X175=0,9999,X175/$D115)</f>
        <v>9999</v>
      </c>
      <c r="Y52" s="469">
        <f t="shared" ref="Y52" si="431">IF(Y175=0,9999,Y175/$D115)</f>
        <v>9999</v>
      </c>
      <c r="Z52" s="469">
        <f t="shared" ref="Z52" si="432">IF(Z175=0,9999,Z175/$D115)</f>
        <v>9999</v>
      </c>
      <c r="AA52" s="504"/>
      <c r="AB52" s="504"/>
      <c r="AC52" s="504"/>
      <c r="AD52" s="275"/>
      <c r="AH52" s="272">
        <v>1</v>
      </c>
    </row>
    <row r="53" spans="1:34" ht="12.75" customHeight="1" x14ac:dyDescent="0.25">
      <c r="B53" s="468" t="s">
        <v>854</v>
      </c>
      <c r="C53" s="469">
        <f t="shared" ref="C53" si="433">IF(C176=0,9999,C176/$D116)</f>
        <v>9999</v>
      </c>
      <c r="D53" s="469">
        <f t="shared" ref="D53:S53" si="434">IF(D176=0,9999,D176/$D116)</f>
        <v>9999</v>
      </c>
      <c r="E53" s="469">
        <f t="shared" si="434"/>
        <v>9999</v>
      </c>
      <c r="F53" s="469">
        <f t="shared" si="434"/>
        <v>9999</v>
      </c>
      <c r="G53" s="469">
        <f t="shared" si="434"/>
        <v>9999</v>
      </c>
      <c r="H53" s="469">
        <f t="shared" si="434"/>
        <v>9999</v>
      </c>
      <c r="I53" s="469">
        <f t="shared" si="434"/>
        <v>9999</v>
      </c>
      <c r="J53" s="469">
        <f t="shared" si="434"/>
        <v>9999</v>
      </c>
      <c r="K53" s="469">
        <f t="shared" si="434"/>
        <v>9999</v>
      </c>
      <c r="L53" s="469">
        <f t="shared" si="434"/>
        <v>46.629913516123857</v>
      </c>
      <c r="M53" s="469">
        <f t="shared" si="434"/>
        <v>9999</v>
      </c>
      <c r="N53" s="469">
        <f t="shared" si="434"/>
        <v>9999</v>
      </c>
      <c r="O53" s="469">
        <f t="shared" si="434"/>
        <v>9999</v>
      </c>
      <c r="P53" s="469">
        <f t="shared" si="434"/>
        <v>9999</v>
      </c>
      <c r="Q53" s="469">
        <f t="shared" si="434"/>
        <v>9999</v>
      </c>
      <c r="R53" s="469">
        <f t="shared" si="434"/>
        <v>9999</v>
      </c>
      <c r="S53" s="469">
        <f t="shared" si="434"/>
        <v>9999</v>
      </c>
      <c r="T53" s="469">
        <f t="shared" ref="T53" si="435">IF(T176=0,9999,T176/$D116)</f>
        <v>9999</v>
      </c>
      <c r="U53" s="469">
        <f t="shared" ref="U53" si="436">IF(U176=0,9999,U176/$D116)</f>
        <v>9999</v>
      </c>
      <c r="V53" s="469">
        <f t="shared" ref="V53" si="437">IF(V176=0,9999,V176/$D116)</f>
        <v>9999</v>
      </c>
      <c r="W53" s="469">
        <f t="shared" ref="W53" si="438">IF(W176=0,9999,W176/$D116)</f>
        <v>9999</v>
      </c>
      <c r="X53" s="469">
        <f t="shared" ref="X53" si="439">IF(X176=0,9999,X176/$D116)</f>
        <v>9999</v>
      </c>
      <c r="Y53" s="469">
        <f t="shared" ref="Y53" si="440">IF(Y176=0,9999,Y176/$D116)</f>
        <v>9999</v>
      </c>
      <c r="Z53" s="469">
        <f t="shared" ref="Z53" si="441">IF(Z176=0,9999,Z176/$D116)</f>
        <v>9999</v>
      </c>
      <c r="AA53" s="504"/>
      <c r="AB53" s="504"/>
      <c r="AC53" s="504"/>
      <c r="AD53" s="275"/>
      <c r="AH53" s="272">
        <v>1</v>
      </c>
    </row>
    <row r="54" spans="1:34" ht="12.75" customHeight="1" x14ac:dyDescent="0.25">
      <c r="B54" s="468" t="s">
        <v>855</v>
      </c>
      <c r="C54" s="469">
        <f t="shared" ref="C54" si="442">IF(C177=0,9999,C177/$D117)</f>
        <v>9999</v>
      </c>
      <c r="D54" s="469">
        <f t="shared" ref="D54:S54" si="443">IF(D177=0,9999,D177/$D117)</f>
        <v>9999</v>
      </c>
      <c r="E54" s="469">
        <f t="shared" si="443"/>
        <v>9999</v>
      </c>
      <c r="F54" s="469">
        <f t="shared" si="443"/>
        <v>9999</v>
      </c>
      <c r="G54" s="469">
        <f t="shared" si="443"/>
        <v>9999</v>
      </c>
      <c r="H54" s="469">
        <f t="shared" si="443"/>
        <v>9999</v>
      </c>
      <c r="I54" s="469">
        <f t="shared" si="443"/>
        <v>9999</v>
      </c>
      <c r="J54" s="469">
        <f t="shared" si="443"/>
        <v>9999</v>
      </c>
      <c r="K54" s="469">
        <f t="shared" si="443"/>
        <v>9999</v>
      </c>
      <c r="L54" s="469">
        <f t="shared" si="443"/>
        <v>234.78659294234595</v>
      </c>
      <c r="M54" s="469">
        <f t="shared" si="443"/>
        <v>9999</v>
      </c>
      <c r="N54" s="469">
        <f t="shared" si="443"/>
        <v>9999</v>
      </c>
      <c r="O54" s="469">
        <f t="shared" si="443"/>
        <v>9999</v>
      </c>
      <c r="P54" s="469">
        <f t="shared" si="443"/>
        <v>9999</v>
      </c>
      <c r="Q54" s="469">
        <f t="shared" si="443"/>
        <v>9999</v>
      </c>
      <c r="R54" s="469">
        <f t="shared" si="443"/>
        <v>9999</v>
      </c>
      <c r="S54" s="469">
        <f t="shared" si="443"/>
        <v>9999</v>
      </c>
      <c r="T54" s="469">
        <f t="shared" ref="T54" si="444">IF(T177=0,9999,T177/$D117)</f>
        <v>9999</v>
      </c>
      <c r="U54" s="469">
        <f t="shared" ref="U54" si="445">IF(U177=0,9999,U177/$D117)</f>
        <v>9999</v>
      </c>
      <c r="V54" s="469">
        <f t="shared" ref="V54" si="446">IF(V177=0,9999,V177/$D117)</f>
        <v>9999</v>
      </c>
      <c r="W54" s="469">
        <f t="shared" ref="W54" si="447">IF(W177=0,9999,W177/$D117)</f>
        <v>9999</v>
      </c>
      <c r="X54" s="469">
        <f t="shared" ref="X54" si="448">IF(X177=0,9999,X177/$D117)</f>
        <v>9999</v>
      </c>
      <c r="Y54" s="469">
        <f t="shared" ref="Y54" si="449">IF(Y177=0,9999,Y177/$D117)</f>
        <v>9999</v>
      </c>
      <c r="Z54" s="469">
        <f t="shared" ref="Z54" si="450">IF(Z177=0,9999,Z177/$D117)</f>
        <v>9999</v>
      </c>
      <c r="AA54" s="504"/>
      <c r="AB54" s="504"/>
      <c r="AC54" s="504"/>
      <c r="AD54" s="275"/>
      <c r="AH54" s="272">
        <v>1</v>
      </c>
    </row>
    <row r="55" spans="1:34" ht="12.75" customHeight="1" x14ac:dyDescent="0.25">
      <c r="B55" s="468" t="s">
        <v>856</v>
      </c>
      <c r="C55" s="469">
        <f t="shared" ref="C55" si="451">IF(C178=0,9999,C178/$D118)</f>
        <v>9999</v>
      </c>
      <c r="D55" s="469">
        <f t="shared" ref="D55:S55" si="452">IF(D178=0,9999,D178/$D118)</f>
        <v>9999</v>
      </c>
      <c r="E55" s="469">
        <f t="shared" si="452"/>
        <v>9999</v>
      </c>
      <c r="F55" s="469">
        <f t="shared" si="452"/>
        <v>9999</v>
      </c>
      <c r="G55" s="469">
        <f t="shared" si="452"/>
        <v>9999</v>
      </c>
      <c r="H55" s="469">
        <f t="shared" si="452"/>
        <v>9999</v>
      </c>
      <c r="I55" s="469">
        <f t="shared" si="452"/>
        <v>9999</v>
      </c>
      <c r="J55" s="469">
        <f t="shared" si="452"/>
        <v>9999</v>
      </c>
      <c r="K55" s="469">
        <f t="shared" si="452"/>
        <v>9999</v>
      </c>
      <c r="L55" s="469">
        <f t="shared" si="452"/>
        <v>128.35496740077343</v>
      </c>
      <c r="M55" s="469">
        <f t="shared" si="452"/>
        <v>47.031592659036917</v>
      </c>
      <c r="N55" s="469">
        <f t="shared" si="452"/>
        <v>9999</v>
      </c>
      <c r="O55" s="469">
        <f t="shared" si="452"/>
        <v>9999</v>
      </c>
      <c r="P55" s="469">
        <f t="shared" si="452"/>
        <v>209.67834214250996</v>
      </c>
      <c r="Q55" s="469">
        <f t="shared" si="452"/>
        <v>9999</v>
      </c>
      <c r="R55" s="469">
        <f t="shared" si="452"/>
        <v>9999</v>
      </c>
      <c r="S55" s="469">
        <f t="shared" si="452"/>
        <v>9999</v>
      </c>
      <c r="T55" s="469">
        <f t="shared" ref="T55" si="453">IF(T178=0,9999,T178/$D118)</f>
        <v>9999</v>
      </c>
      <c r="U55" s="469">
        <f t="shared" ref="U55" si="454">IF(U178=0,9999,U178/$D118)</f>
        <v>9999</v>
      </c>
      <c r="V55" s="469">
        <f t="shared" ref="V55" si="455">IF(V178=0,9999,V178/$D118)</f>
        <v>9999</v>
      </c>
      <c r="W55" s="469">
        <f t="shared" ref="W55" si="456">IF(W178=0,9999,W178/$D118)</f>
        <v>9999</v>
      </c>
      <c r="X55" s="469">
        <f t="shared" ref="X55" si="457">IF(X178=0,9999,X178/$D118)</f>
        <v>9999</v>
      </c>
      <c r="Y55" s="469">
        <f t="shared" ref="Y55" si="458">IF(Y178=0,9999,Y178/$D118)</f>
        <v>9999</v>
      </c>
      <c r="Z55" s="469">
        <f t="shared" ref="Z55" si="459">IF(Z178=0,9999,Z178/$D118)</f>
        <v>9999</v>
      </c>
      <c r="AA55" s="504"/>
      <c r="AB55" s="504"/>
      <c r="AC55" s="504"/>
      <c r="AD55" s="275"/>
      <c r="AH55" s="272">
        <v>1</v>
      </c>
    </row>
    <row r="56" spans="1:34" ht="12.75" customHeight="1" x14ac:dyDescent="0.25">
      <c r="B56" s="468" t="s">
        <v>857</v>
      </c>
      <c r="C56" s="469">
        <f t="shared" ref="C56" si="460">IF(C179=0,9999,C179/$D119)</f>
        <v>9999</v>
      </c>
      <c r="D56" s="469">
        <f t="shared" ref="D56:S56" si="461">IF(D179=0,9999,D179/$D119)</f>
        <v>9999</v>
      </c>
      <c r="E56" s="469">
        <f t="shared" si="461"/>
        <v>9999</v>
      </c>
      <c r="F56" s="469">
        <f t="shared" si="461"/>
        <v>9999</v>
      </c>
      <c r="G56" s="469">
        <f t="shared" si="461"/>
        <v>9999</v>
      </c>
      <c r="H56" s="469">
        <f t="shared" si="461"/>
        <v>9999</v>
      </c>
      <c r="I56" s="469">
        <f t="shared" si="461"/>
        <v>9999</v>
      </c>
      <c r="J56" s="469">
        <f t="shared" si="461"/>
        <v>9999</v>
      </c>
      <c r="K56" s="469">
        <f t="shared" si="461"/>
        <v>9999</v>
      </c>
      <c r="L56" s="469">
        <f t="shared" si="461"/>
        <v>364.66158803632544</v>
      </c>
      <c r="M56" s="469">
        <f t="shared" si="461"/>
        <v>9999</v>
      </c>
      <c r="N56" s="469">
        <f t="shared" si="461"/>
        <v>9999</v>
      </c>
      <c r="O56" s="469">
        <f t="shared" si="461"/>
        <v>9999</v>
      </c>
      <c r="P56" s="469">
        <f t="shared" si="461"/>
        <v>9999</v>
      </c>
      <c r="Q56" s="469">
        <f t="shared" si="461"/>
        <v>9999</v>
      </c>
      <c r="R56" s="469">
        <f t="shared" si="461"/>
        <v>9999</v>
      </c>
      <c r="S56" s="469">
        <f t="shared" si="461"/>
        <v>9999</v>
      </c>
      <c r="T56" s="469">
        <f t="shared" ref="T56" si="462">IF(T179=0,9999,T179/$D119)</f>
        <v>9999</v>
      </c>
      <c r="U56" s="469">
        <f t="shared" ref="U56" si="463">IF(U179=0,9999,U179/$D119)</f>
        <v>9999</v>
      </c>
      <c r="V56" s="469">
        <f t="shared" ref="V56" si="464">IF(V179=0,9999,V179/$D119)</f>
        <v>9999</v>
      </c>
      <c r="W56" s="469">
        <f t="shared" ref="W56" si="465">IF(W179=0,9999,W179/$D119)</f>
        <v>9999</v>
      </c>
      <c r="X56" s="469">
        <f t="shared" ref="X56" si="466">IF(X179=0,9999,X179/$D119)</f>
        <v>9999</v>
      </c>
      <c r="Y56" s="469">
        <f t="shared" ref="Y56" si="467">IF(Y179=0,9999,Y179/$D119)</f>
        <v>9999</v>
      </c>
      <c r="Z56" s="469">
        <f t="shared" ref="Z56" si="468">IF(Z179=0,9999,Z179/$D119)</f>
        <v>9999</v>
      </c>
      <c r="AA56" s="504"/>
      <c r="AB56" s="504"/>
      <c r="AC56" s="504"/>
      <c r="AD56" s="275"/>
      <c r="AH56" s="272">
        <v>1</v>
      </c>
    </row>
    <row r="57" spans="1:34" ht="12.75" customHeight="1" x14ac:dyDescent="0.25">
      <c r="B57" s="468" t="s">
        <v>858</v>
      </c>
      <c r="C57" s="469">
        <f t="shared" ref="C57" si="469">IF(C180=0,9999,C180/$D120)</f>
        <v>9999</v>
      </c>
      <c r="D57" s="469">
        <f t="shared" ref="D57:S57" si="470">IF(D180=0,9999,D180/$D120)</f>
        <v>9999</v>
      </c>
      <c r="E57" s="469">
        <f t="shared" si="470"/>
        <v>9999</v>
      </c>
      <c r="F57" s="469">
        <f t="shared" si="470"/>
        <v>9999</v>
      </c>
      <c r="G57" s="469">
        <f t="shared" si="470"/>
        <v>9999</v>
      </c>
      <c r="H57" s="469">
        <f t="shared" si="470"/>
        <v>9999</v>
      </c>
      <c r="I57" s="469">
        <f t="shared" si="470"/>
        <v>9999</v>
      </c>
      <c r="J57" s="469">
        <f t="shared" si="470"/>
        <v>9999</v>
      </c>
      <c r="K57" s="469">
        <f t="shared" si="470"/>
        <v>133.14177584055309</v>
      </c>
      <c r="L57" s="469">
        <f t="shared" si="470"/>
        <v>248.70807272887097</v>
      </c>
      <c r="M57" s="469">
        <f t="shared" si="470"/>
        <v>9999</v>
      </c>
      <c r="N57" s="469">
        <f t="shared" si="470"/>
        <v>9999</v>
      </c>
      <c r="O57" s="469">
        <f t="shared" si="470"/>
        <v>9999</v>
      </c>
      <c r="P57" s="469">
        <f t="shared" si="470"/>
        <v>279.74881881748558</v>
      </c>
      <c r="Q57" s="469">
        <f t="shared" si="470"/>
        <v>178.02989308550099</v>
      </c>
      <c r="R57" s="469">
        <f t="shared" si="470"/>
        <v>9999</v>
      </c>
      <c r="S57" s="469">
        <f t="shared" si="470"/>
        <v>9999</v>
      </c>
      <c r="T57" s="469">
        <f t="shared" ref="T57" si="471">IF(T180=0,9999,T180/$D120)</f>
        <v>9999</v>
      </c>
      <c r="U57" s="469">
        <f t="shared" ref="U57" si="472">IF(U180=0,9999,U180/$D120)</f>
        <v>9999</v>
      </c>
      <c r="V57" s="469">
        <f t="shared" ref="V57" si="473">IF(V180=0,9999,V180/$D120)</f>
        <v>9999</v>
      </c>
      <c r="W57" s="469">
        <f t="shared" ref="W57" si="474">IF(W180=0,9999,W180/$D120)</f>
        <v>9999</v>
      </c>
      <c r="X57" s="469">
        <f t="shared" ref="X57" si="475">IF(X180=0,9999,X180/$D120)</f>
        <v>9999</v>
      </c>
      <c r="Y57" s="469">
        <f t="shared" ref="Y57" si="476">IF(Y180=0,9999,Y180/$D120)</f>
        <v>9999</v>
      </c>
      <c r="Z57" s="469">
        <f t="shared" ref="Z57" si="477">IF(Z180=0,9999,Z180/$D120)</f>
        <v>9999</v>
      </c>
      <c r="AA57" s="504"/>
      <c r="AB57" s="504"/>
      <c r="AC57" s="504"/>
      <c r="AD57" s="275"/>
      <c r="AH57" s="272">
        <v>1</v>
      </c>
    </row>
    <row r="58" spans="1:34" ht="12.75" customHeight="1" x14ac:dyDescent="0.25">
      <c r="B58" s="468" t="s">
        <v>859</v>
      </c>
      <c r="C58" s="469">
        <f t="shared" ref="C58" si="478">IF(C181=0,9999,C181/$D121)</f>
        <v>9999</v>
      </c>
      <c r="D58" s="469">
        <f t="shared" ref="D58:S58" si="479">IF(D181=0,9999,D181/$D121)</f>
        <v>9999</v>
      </c>
      <c r="E58" s="469">
        <f t="shared" si="479"/>
        <v>9999</v>
      </c>
      <c r="F58" s="469">
        <f t="shared" si="479"/>
        <v>9999</v>
      </c>
      <c r="G58" s="469">
        <f t="shared" si="479"/>
        <v>9999</v>
      </c>
      <c r="H58" s="469">
        <f t="shared" si="479"/>
        <v>9999</v>
      </c>
      <c r="I58" s="469">
        <f t="shared" si="479"/>
        <v>9999</v>
      </c>
      <c r="J58" s="469">
        <f t="shared" si="479"/>
        <v>9999</v>
      </c>
      <c r="K58" s="469">
        <f t="shared" si="479"/>
        <v>9999</v>
      </c>
      <c r="L58" s="469">
        <f t="shared" si="479"/>
        <v>255.86934486638376</v>
      </c>
      <c r="M58" s="469">
        <f t="shared" si="479"/>
        <v>9999</v>
      </c>
      <c r="N58" s="469">
        <f t="shared" si="479"/>
        <v>9999</v>
      </c>
      <c r="O58" s="469">
        <f t="shared" si="479"/>
        <v>9999</v>
      </c>
      <c r="P58" s="469">
        <f t="shared" si="479"/>
        <v>9999</v>
      </c>
      <c r="Q58" s="469">
        <f t="shared" si="479"/>
        <v>9999</v>
      </c>
      <c r="R58" s="469">
        <f t="shared" si="479"/>
        <v>9999</v>
      </c>
      <c r="S58" s="469">
        <f t="shared" si="479"/>
        <v>9999</v>
      </c>
      <c r="T58" s="469">
        <f t="shared" ref="T58:V60" si="480">IF(T181=0,9999,T181/$D121)</f>
        <v>9999</v>
      </c>
      <c r="U58" s="469">
        <f t="shared" si="480"/>
        <v>9999</v>
      </c>
      <c r="V58" s="469">
        <f t="shared" si="480"/>
        <v>9999</v>
      </c>
      <c r="W58" s="469">
        <f t="shared" ref="W58" si="481">IF(W181=0,9999,W181/$D121)</f>
        <v>9999</v>
      </c>
      <c r="X58" s="469">
        <f t="shared" ref="X58:Z60" si="482">IF(X181=0,9999,X181/$D121)</f>
        <v>9999</v>
      </c>
      <c r="Y58" s="469">
        <f t="shared" si="482"/>
        <v>9999</v>
      </c>
      <c r="Z58" s="469">
        <f t="shared" si="482"/>
        <v>9999</v>
      </c>
      <c r="AA58" s="504"/>
      <c r="AB58" s="504"/>
      <c r="AC58" s="504"/>
      <c r="AD58" s="275"/>
      <c r="AH58" s="272">
        <v>1</v>
      </c>
    </row>
    <row r="59" spans="1:34" ht="12.75" customHeight="1" x14ac:dyDescent="0.25">
      <c r="B59" s="468" t="s">
        <v>860</v>
      </c>
      <c r="C59" s="469">
        <f t="shared" ref="C59" si="483">IF(C182=0,9999,C182/$D122)</f>
        <v>9999</v>
      </c>
      <c r="D59" s="469">
        <f t="shared" ref="D59:S59" si="484">IF(D182=0,9999,D182/$D122)</f>
        <v>9999</v>
      </c>
      <c r="E59" s="469">
        <f t="shared" si="484"/>
        <v>163.63483331693172</v>
      </c>
      <c r="F59" s="469">
        <f t="shared" si="484"/>
        <v>9999</v>
      </c>
      <c r="G59" s="469">
        <f t="shared" si="484"/>
        <v>9999</v>
      </c>
      <c r="H59" s="469">
        <f t="shared" si="484"/>
        <v>122.58274407524408</v>
      </c>
      <c r="I59" s="469">
        <f t="shared" si="484"/>
        <v>95.304577445809059</v>
      </c>
      <c r="J59" s="469">
        <f t="shared" si="484"/>
        <v>188.86843120755265</v>
      </c>
      <c r="K59" s="469">
        <f t="shared" si="484"/>
        <v>96.586902749895017</v>
      </c>
      <c r="L59" s="469">
        <f t="shared" si="484"/>
        <v>196.67417381000209</v>
      </c>
      <c r="M59" s="469">
        <f t="shared" si="484"/>
        <v>9999</v>
      </c>
      <c r="N59" s="469">
        <f t="shared" si="484"/>
        <v>9999</v>
      </c>
      <c r="O59" s="469">
        <f t="shared" si="484"/>
        <v>9999</v>
      </c>
      <c r="P59" s="469">
        <f t="shared" si="484"/>
        <v>282.59518124979132</v>
      </c>
      <c r="Q59" s="469">
        <f t="shared" si="484"/>
        <v>145.05488687661554</v>
      </c>
      <c r="R59" s="469">
        <f t="shared" si="484"/>
        <v>110.19537977426023</v>
      </c>
      <c r="S59" s="469">
        <f t="shared" si="484"/>
        <v>9999</v>
      </c>
      <c r="T59" s="469">
        <f t="shared" si="480"/>
        <v>9999</v>
      </c>
      <c r="U59" s="469">
        <f t="shared" si="480"/>
        <v>9999</v>
      </c>
      <c r="V59" s="469">
        <f t="shared" si="480"/>
        <v>9999</v>
      </c>
      <c r="W59" s="469">
        <f t="shared" ref="W59" si="485">IF(W182=0,9999,W182/$D122)</f>
        <v>187.22791485141775</v>
      </c>
      <c r="X59" s="469">
        <f t="shared" si="482"/>
        <v>162.05141300541581</v>
      </c>
      <c r="Y59" s="469">
        <f t="shared" si="482"/>
        <v>9999</v>
      </c>
      <c r="Z59" s="469">
        <f t="shared" si="482"/>
        <v>9999</v>
      </c>
      <c r="AA59" s="504"/>
      <c r="AB59" s="504"/>
      <c r="AC59" s="504"/>
      <c r="AD59" s="275"/>
      <c r="AH59" s="272">
        <v>1</v>
      </c>
    </row>
    <row r="60" spans="1:34" ht="12.75" customHeight="1" x14ac:dyDescent="0.25">
      <c r="B60" s="468" t="s">
        <v>861</v>
      </c>
      <c r="C60" s="469">
        <f t="shared" ref="C60" si="486">IF(C183=0,9999,C183/$D123)</f>
        <v>9999</v>
      </c>
      <c r="D60" s="469">
        <f t="shared" ref="D60:S60" si="487">IF(D183=0,9999,D183/$D123)</f>
        <v>9999</v>
      </c>
      <c r="E60" s="469">
        <f t="shared" si="487"/>
        <v>9999</v>
      </c>
      <c r="F60" s="469">
        <f t="shared" si="487"/>
        <v>9999</v>
      </c>
      <c r="G60" s="469">
        <f t="shared" si="487"/>
        <v>9999</v>
      </c>
      <c r="H60" s="469">
        <f t="shared" si="487"/>
        <v>9999</v>
      </c>
      <c r="I60" s="469">
        <f t="shared" si="487"/>
        <v>9999</v>
      </c>
      <c r="J60" s="469">
        <f t="shared" si="487"/>
        <v>9999</v>
      </c>
      <c r="K60" s="469">
        <f t="shared" si="487"/>
        <v>9999</v>
      </c>
      <c r="L60" s="469">
        <f t="shared" si="487"/>
        <v>172.19281439981137</v>
      </c>
      <c r="M60" s="469">
        <f t="shared" si="487"/>
        <v>9999</v>
      </c>
      <c r="N60" s="469">
        <f t="shared" si="487"/>
        <v>9999</v>
      </c>
      <c r="O60" s="469">
        <f t="shared" si="487"/>
        <v>9999</v>
      </c>
      <c r="P60" s="469">
        <f t="shared" si="487"/>
        <v>9999</v>
      </c>
      <c r="Q60" s="469">
        <f t="shared" si="487"/>
        <v>9999</v>
      </c>
      <c r="R60" s="469">
        <f t="shared" si="487"/>
        <v>9999</v>
      </c>
      <c r="S60" s="469">
        <f t="shared" si="487"/>
        <v>9999</v>
      </c>
      <c r="T60" s="469">
        <f t="shared" si="480"/>
        <v>9999</v>
      </c>
      <c r="U60" s="469">
        <f t="shared" si="480"/>
        <v>9999</v>
      </c>
      <c r="V60" s="469">
        <f t="shared" si="480"/>
        <v>9999</v>
      </c>
      <c r="W60" s="469">
        <f t="shared" ref="W60" si="488">IF(W183=0,9999,W183/$D123)</f>
        <v>9999</v>
      </c>
      <c r="X60" s="469">
        <f t="shared" si="482"/>
        <v>9999</v>
      </c>
      <c r="Y60" s="469">
        <f t="shared" si="482"/>
        <v>9999</v>
      </c>
      <c r="Z60" s="469">
        <f t="shared" si="482"/>
        <v>9999</v>
      </c>
      <c r="AA60" s="504"/>
      <c r="AB60" s="504"/>
      <c r="AC60" s="504"/>
      <c r="AD60" s="275"/>
      <c r="AH60" s="272">
        <v>1</v>
      </c>
    </row>
    <row r="61" spans="1:34" ht="12.75" customHeight="1" x14ac:dyDescent="0.25">
      <c r="B61" s="503"/>
      <c r="C61" s="504"/>
      <c r="D61" s="504"/>
      <c r="E61" s="504"/>
      <c r="F61" s="504"/>
      <c r="G61" s="504"/>
      <c r="H61" s="504"/>
      <c r="I61" s="504"/>
      <c r="J61" s="504"/>
      <c r="K61" s="504"/>
      <c r="L61" s="504"/>
      <c r="M61" s="504"/>
      <c r="N61" s="504"/>
      <c r="O61" s="504"/>
      <c r="P61" s="504"/>
      <c r="Q61" s="504"/>
      <c r="R61" s="504"/>
      <c r="S61" s="504"/>
      <c r="T61" s="504"/>
      <c r="U61" s="275"/>
    </row>
    <row r="62" spans="1:34" ht="12.75" customHeight="1" x14ac:dyDescent="0.25">
      <c r="B62" s="503"/>
      <c r="C62" s="504"/>
      <c r="D62" s="504"/>
      <c r="E62" s="504"/>
      <c r="F62" s="504"/>
      <c r="G62" s="504"/>
      <c r="H62" s="504"/>
      <c r="I62" s="504"/>
      <c r="J62" s="504"/>
      <c r="K62" s="504"/>
      <c r="L62" s="504"/>
      <c r="M62" s="504"/>
      <c r="N62" s="504"/>
      <c r="O62" s="504"/>
      <c r="P62" s="504"/>
      <c r="Q62" s="504"/>
      <c r="R62" s="504"/>
      <c r="S62" s="504"/>
      <c r="T62" s="504"/>
      <c r="U62" s="275"/>
    </row>
    <row r="63" spans="1:34" ht="12.75" customHeight="1" x14ac:dyDescent="0.25">
      <c r="B63" s="503"/>
      <c r="C63" s="504"/>
      <c r="D63" s="504"/>
      <c r="E63" s="504"/>
      <c r="F63" s="504"/>
      <c r="G63" s="504"/>
      <c r="H63" s="504"/>
      <c r="I63" s="504"/>
      <c r="J63" s="504"/>
      <c r="K63" s="504"/>
      <c r="L63" s="504"/>
      <c r="M63" s="504"/>
      <c r="N63" s="504"/>
      <c r="O63" s="504"/>
      <c r="P63" s="504"/>
      <c r="Q63" s="504"/>
      <c r="R63" s="504"/>
      <c r="S63" s="504"/>
      <c r="T63" s="504"/>
      <c r="U63" s="275"/>
    </row>
    <row r="64" spans="1:34" ht="24" thickBot="1" x14ac:dyDescent="0.4">
      <c r="A64" s="763" t="s">
        <v>797</v>
      </c>
      <c r="B64" s="763"/>
      <c r="C64" s="763"/>
      <c r="D64" s="763"/>
      <c r="E64" s="763"/>
      <c r="F64" s="763"/>
      <c r="G64" s="763"/>
      <c r="H64" s="763"/>
      <c r="I64" s="763"/>
      <c r="J64" s="763"/>
      <c r="K64" s="763"/>
      <c r="L64" s="763"/>
      <c r="M64" s="763"/>
      <c r="N64" s="763"/>
      <c r="O64" s="763"/>
      <c r="P64" s="763"/>
      <c r="Q64" s="763"/>
      <c r="R64" s="763"/>
      <c r="S64" s="763"/>
      <c r="T64" s="763"/>
      <c r="U64" s="763"/>
      <c r="V64" s="763"/>
      <c r="W64" s="763"/>
    </row>
    <row r="65" spans="2:34" ht="12.75" customHeight="1" x14ac:dyDescent="0.25">
      <c r="B65" s="762" t="s">
        <v>862</v>
      </c>
      <c r="C65" s="762"/>
      <c r="D65" s="762"/>
      <c r="F65" s="776" t="s">
        <v>863</v>
      </c>
      <c r="G65" s="777"/>
      <c r="H65" s="777"/>
      <c r="I65" s="777"/>
      <c r="J65" s="777"/>
      <c r="K65" s="778"/>
      <c r="R65" s="272"/>
      <c r="S65" s="272"/>
      <c r="T65" s="272"/>
      <c r="AH65" s="272">
        <v>2</v>
      </c>
    </row>
    <row r="66" spans="2:34" ht="12.75" customHeight="1" x14ac:dyDescent="0.25">
      <c r="B66" s="470" t="s">
        <v>589</v>
      </c>
      <c r="C66" s="471" t="s">
        <v>864</v>
      </c>
      <c r="D66" s="471" t="s">
        <v>865</v>
      </c>
      <c r="F66" s="779"/>
      <c r="G66" s="780"/>
      <c r="H66" s="780"/>
      <c r="I66" s="780"/>
      <c r="J66" s="780"/>
      <c r="K66" s="781"/>
      <c r="O66" s="514" t="s">
        <v>866</v>
      </c>
      <c r="P66" s="514"/>
      <c r="Q66" s="514"/>
      <c r="V66" s="513" t="s">
        <v>867</v>
      </c>
      <c r="W66" s="513"/>
      <c r="AH66" s="272">
        <v>2</v>
      </c>
    </row>
    <row r="67" spans="2:34" ht="12.6" customHeight="1" x14ac:dyDescent="0.25">
      <c r="B67" s="472" t="s">
        <v>808</v>
      </c>
      <c r="C67" s="472" t="s">
        <v>808</v>
      </c>
      <c r="D67" s="472">
        <v>8</v>
      </c>
      <c r="F67" s="779"/>
      <c r="G67" s="780"/>
      <c r="H67" s="780"/>
      <c r="I67" s="780"/>
      <c r="J67" s="780"/>
      <c r="K67" s="781"/>
      <c r="O67" s="514"/>
      <c r="P67" s="514"/>
      <c r="Q67" s="514"/>
      <c r="V67" s="513"/>
      <c r="W67" s="513"/>
      <c r="AH67" s="272">
        <v>2</v>
      </c>
    </row>
    <row r="68" spans="2:34" ht="12.75" customHeight="1" x14ac:dyDescent="0.25">
      <c r="B68" s="472" t="s">
        <v>810</v>
      </c>
      <c r="C68" s="472" t="s">
        <v>810</v>
      </c>
      <c r="D68" s="472">
        <v>8</v>
      </c>
      <c r="F68" s="779"/>
      <c r="G68" s="780"/>
      <c r="H68" s="780"/>
      <c r="I68" s="780"/>
      <c r="J68" s="780"/>
      <c r="K68" s="781"/>
      <c r="O68" s="764" t="s">
        <v>868</v>
      </c>
      <c r="P68" s="764"/>
      <c r="Q68" s="569"/>
      <c r="V68" s="512"/>
      <c r="W68" s="512"/>
      <c r="AH68" s="272">
        <v>2</v>
      </c>
    </row>
    <row r="69" spans="2:34" ht="12.75" customHeight="1" x14ac:dyDescent="0.25">
      <c r="B69" s="472" t="s">
        <v>811</v>
      </c>
      <c r="C69" s="472" t="s">
        <v>869</v>
      </c>
      <c r="D69" s="472">
        <v>8</v>
      </c>
      <c r="F69" s="779"/>
      <c r="G69" s="780"/>
      <c r="H69" s="780"/>
      <c r="I69" s="780"/>
      <c r="J69" s="780"/>
      <c r="K69" s="781"/>
      <c r="O69" s="764"/>
      <c r="P69" s="764"/>
      <c r="Q69" s="569"/>
      <c r="V69" s="512"/>
      <c r="W69" s="512"/>
      <c r="AH69" s="272">
        <v>2</v>
      </c>
    </row>
    <row r="70" spans="2:34" ht="12.75" customHeight="1" thickBot="1" x14ac:dyDescent="0.3">
      <c r="B70" s="472" t="s">
        <v>596</v>
      </c>
      <c r="C70" s="472" t="s">
        <v>870</v>
      </c>
      <c r="D70" s="472">
        <v>8</v>
      </c>
      <c r="F70" s="782"/>
      <c r="G70" s="783"/>
      <c r="H70" s="783"/>
      <c r="I70" s="783"/>
      <c r="J70" s="783"/>
      <c r="K70" s="784"/>
      <c r="O70" s="764"/>
      <c r="P70" s="764"/>
      <c r="Q70" s="569"/>
      <c r="V70" s="512"/>
      <c r="W70" s="512"/>
      <c r="AH70" s="272">
        <v>2</v>
      </c>
    </row>
    <row r="71" spans="2:34" ht="12.75" customHeight="1" x14ac:dyDescent="0.25">
      <c r="B71" s="472" t="s">
        <v>812</v>
      </c>
      <c r="C71" s="472" t="s">
        <v>871</v>
      </c>
      <c r="D71" s="472">
        <v>8</v>
      </c>
      <c r="AH71" s="272">
        <v>2</v>
      </c>
    </row>
    <row r="72" spans="2:34" ht="12.75" customHeight="1" thickBot="1" x14ac:dyDescent="0.3">
      <c r="B72" s="472" t="s">
        <v>813</v>
      </c>
      <c r="C72" s="472" t="s">
        <v>872</v>
      </c>
      <c r="D72" s="472">
        <v>7.5</v>
      </c>
      <c r="AH72" s="272">
        <v>2</v>
      </c>
    </row>
    <row r="73" spans="2:34" ht="12.75" customHeight="1" x14ac:dyDescent="0.25">
      <c r="B73" s="472" t="s">
        <v>814</v>
      </c>
      <c r="C73" s="472" t="s">
        <v>873</v>
      </c>
      <c r="D73" s="472">
        <v>8</v>
      </c>
      <c r="F73" s="765" t="s">
        <v>874</v>
      </c>
      <c r="G73" s="766"/>
      <c r="H73" s="766"/>
      <c r="I73" s="766"/>
      <c r="J73" s="766"/>
      <c r="K73" s="767"/>
      <c r="N73" s="765" t="s">
        <v>875</v>
      </c>
      <c r="O73" s="766"/>
      <c r="P73" s="766"/>
      <c r="Q73" s="766"/>
      <c r="R73" s="766"/>
      <c r="S73" s="766"/>
      <c r="T73" s="766"/>
      <c r="U73" s="767"/>
      <c r="AH73" s="272">
        <v>2</v>
      </c>
    </row>
    <row r="74" spans="2:34" ht="12.75" customHeight="1" x14ac:dyDescent="0.25">
      <c r="B74" s="472" t="s">
        <v>815</v>
      </c>
      <c r="C74" s="472" t="s">
        <v>876</v>
      </c>
      <c r="D74" s="472">
        <v>7.5</v>
      </c>
      <c r="F74" s="768"/>
      <c r="G74" s="769"/>
      <c r="H74" s="769"/>
      <c r="I74" s="769"/>
      <c r="J74" s="769"/>
      <c r="K74" s="770"/>
      <c r="N74" s="768"/>
      <c r="O74" s="769"/>
      <c r="P74" s="769"/>
      <c r="Q74" s="769"/>
      <c r="R74" s="769"/>
      <c r="S74" s="769"/>
      <c r="T74" s="769"/>
      <c r="U74" s="770"/>
      <c r="AH74" s="272">
        <v>2</v>
      </c>
    </row>
    <row r="75" spans="2:34" ht="12.75" customHeight="1" x14ac:dyDescent="0.25">
      <c r="B75" s="472" t="s">
        <v>816</v>
      </c>
      <c r="C75" s="472" t="s">
        <v>877</v>
      </c>
      <c r="D75" s="472">
        <v>7.5</v>
      </c>
      <c r="F75" s="768"/>
      <c r="G75" s="769"/>
      <c r="H75" s="769"/>
      <c r="I75" s="769"/>
      <c r="J75" s="769"/>
      <c r="K75" s="770"/>
      <c r="N75" s="768"/>
      <c r="O75" s="769"/>
      <c r="P75" s="769"/>
      <c r="Q75" s="769"/>
      <c r="R75" s="769"/>
      <c r="S75" s="769"/>
      <c r="T75" s="769"/>
      <c r="U75" s="770"/>
      <c r="AH75" s="272">
        <v>2</v>
      </c>
    </row>
    <row r="76" spans="2:34" ht="12.75" customHeight="1" x14ac:dyDescent="0.25">
      <c r="B76" s="472" t="s">
        <v>817</v>
      </c>
      <c r="C76" s="472" t="s">
        <v>878</v>
      </c>
      <c r="D76" s="472">
        <v>7.5</v>
      </c>
      <c r="F76" s="768"/>
      <c r="G76" s="769"/>
      <c r="H76" s="769"/>
      <c r="I76" s="769"/>
      <c r="J76" s="769"/>
      <c r="K76" s="770"/>
      <c r="N76" s="768"/>
      <c r="O76" s="769"/>
      <c r="P76" s="769"/>
      <c r="Q76" s="769"/>
      <c r="R76" s="769"/>
      <c r="S76" s="769"/>
      <c r="T76" s="769"/>
      <c r="U76" s="770"/>
      <c r="AH76" s="272">
        <v>2</v>
      </c>
    </row>
    <row r="77" spans="2:34" ht="12.75" customHeight="1" x14ac:dyDescent="0.25">
      <c r="B77" s="472" t="s">
        <v>818</v>
      </c>
      <c r="C77" s="472" t="s">
        <v>879</v>
      </c>
      <c r="D77" s="472">
        <v>7</v>
      </c>
      <c r="F77" s="768"/>
      <c r="G77" s="769"/>
      <c r="H77" s="769"/>
      <c r="I77" s="769"/>
      <c r="J77" s="769"/>
      <c r="K77" s="770"/>
      <c r="N77" s="768"/>
      <c r="O77" s="769"/>
      <c r="P77" s="769"/>
      <c r="Q77" s="769"/>
      <c r="R77" s="769"/>
      <c r="S77" s="769"/>
      <c r="T77" s="769"/>
      <c r="U77" s="770"/>
      <c r="AH77" s="272">
        <v>2</v>
      </c>
    </row>
    <row r="78" spans="2:34" ht="12.75" customHeight="1" thickBot="1" x14ac:dyDescent="0.3">
      <c r="B78" s="472" t="s">
        <v>819</v>
      </c>
      <c r="C78" s="472" t="s">
        <v>880</v>
      </c>
      <c r="D78" s="472">
        <v>7.5</v>
      </c>
      <c r="F78" s="771"/>
      <c r="G78" s="772"/>
      <c r="H78" s="772"/>
      <c r="I78" s="772"/>
      <c r="J78" s="772"/>
      <c r="K78" s="773"/>
      <c r="N78" s="771"/>
      <c r="O78" s="772"/>
      <c r="P78" s="772"/>
      <c r="Q78" s="772"/>
      <c r="R78" s="772"/>
      <c r="S78" s="772"/>
      <c r="T78" s="772"/>
      <c r="U78" s="773"/>
      <c r="AH78" s="272">
        <v>2</v>
      </c>
    </row>
    <row r="79" spans="2:34" ht="12.75" customHeight="1" x14ac:dyDescent="0.25">
      <c r="B79" s="472" t="s">
        <v>820</v>
      </c>
      <c r="C79" s="472" t="s">
        <v>881</v>
      </c>
      <c r="D79" s="472">
        <v>8</v>
      </c>
      <c r="AH79" s="272">
        <v>2</v>
      </c>
    </row>
    <row r="80" spans="2:34" ht="12.75" customHeight="1" x14ac:dyDescent="0.25">
      <c r="B80" s="472" t="s">
        <v>676</v>
      </c>
      <c r="C80" s="472" t="s">
        <v>882</v>
      </c>
      <c r="D80" s="472">
        <v>7.5</v>
      </c>
      <c r="O80" s="563" t="s">
        <v>883</v>
      </c>
      <c r="P80" s="563" t="s">
        <v>884</v>
      </c>
      <c r="Q80" s="571"/>
      <c r="AH80" s="272">
        <v>2</v>
      </c>
    </row>
    <row r="81" spans="2:34" ht="12.75" customHeight="1" x14ac:dyDescent="0.25">
      <c r="B81" s="472" t="s">
        <v>600</v>
      </c>
      <c r="C81" s="472" t="s">
        <v>885</v>
      </c>
      <c r="D81" s="472">
        <v>8</v>
      </c>
      <c r="O81" s="562" t="s">
        <v>613</v>
      </c>
      <c r="P81" s="562" t="s">
        <v>886</v>
      </c>
      <c r="Q81" s="572"/>
      <c r="AH81" s="272">
        <v>2</v>
      </c>
    </row>
    <row r="82" spans="2:34" ht="12.75" customHeight="1" x14ac:dyDescent="0.25">
      <c r="B82" s="472" t="s">
        <v>821</v>
      </c>
      <c r="C82" s="472" t="s">
        <v>887</v>
      </c>
      <c r="D82" s="472">
        <v>7.5</v>
      </c>
      <c r="O82" s="560" t="s">
        <v>802</v>
      </c>
      <c r="P82" s="560" t="s">
        <v>802</v>
      </c>
      <c r="AH82" s="272">
        <v>2</v>
      </c>
    </row>
    <row r="83" spans="2:34" ht="12.75" customHeight="1" x14ac:dyDescent="0.25">
      <c r="B83" s="472" t="s">
        <v>822</v>
      </c>
      <c r="C83" s="472" t="s">
        <v>888</v>
      </c>
      <c r="D83" s="472">
        <v>8</v>
      </c>
      <c r="O83" s="560" t="s">
        <v>685</v>
      </c>
      <c r="P83" s="560" t="s">
        <v>889</v>
      </c>
      <c r="AH83" s="272">
        <v>2</v>
      </c>
    </row>
    <row r="84" spans="2:34" ht="12.75" customHeight="1" x14ac:dyDescent="0.25">
      <c r="B84" s="472" t="s">
        <v>823</v>
      </c>
      <c r="C84" s="472" t="s">
        <v>890</v>
      </c>
      <c r="D84" s="472">
        <v>8</v>
      </c>
      <c r="O84" s="560" t="s">
        <v>775</v>
      </c>
      <c r="P84" s="560" t="s">
        <v>891</v>
      </c>
      <c r="AH84" s="272">
        <v>2</v>
      </c>
    </row>
    <row r="85" spans="2:34" ht="12.75" customHeight="1" x14ac:dyDescent="0.25">
      <c r="B85" s="472" t="s">
        <v>824</v>
      </c>
      <c r="C85" s="472" t="s">
        <v>892</v>
      </c>
      <c r="D85" s="472">
        <v>8</v>
      </c>
      <c r="O85" s="560" t="s">
        <v>893</v>
      </c>
      <c r="P85" s="560" t="s">
        <v>894</v>
      </c>
      <c r="AH85" s="272">
        <v>2</v>
      </c>
    </row>
    <row r="86" spans="2:34" ht="12.75" customHeight="1" x14ac:dyDescent="0.25">
      <c r="B86" s="472" t="s">
        <v>825</v>
      </c>
      <c r="C86" s="472" t="s">
        <v>895</v>
      </c>
      <c r="D86" s="472">
        <v>8</v>
      </c>
      <c r="O86" s="560" t="s">
        <v>618</v>
      </c>
      <c r="P86" s="560" t="s">
        <v>896</v>
      </c>
      <c r="AH86" s="272">
        <v>2</v>
      </c>
    </row>
    <row r="87" spans="2:34" ht="12.75" customHeight="1" x14ac:dyDescent="0.25">
      <c r="B87" s="472" t="s">
        <v>826</v>
      </c>
      <c r="C87" s="472" t="s">
        <v>897</v>
      </c>
      <c r="D87" s="472">
        <v>8</v>
      </c>
      <c r="O87" s="560" t="s">
        <v>659</v>
      </c>
      <c r="P87" s="561" t="s">
        <v>898</v>
      </c>
      <c r="Q87" s="573"/>
      <c r="AH87" s="272">
        <v>2</v>
      </c>
    </row>
    <row r="88" spans="2:34" ht="12.75" customHeight="1" x14ac:dyDescent="0.25">
      <c r="B88" s="472" t="s">
        <v>827</v>
      </c>
      <c r="C88" s="472" t="s">
        <v>899</v>
      </c>
      <c r="D88" s="472">
        <v>7.5</v>
      </c>
      <c r="O88" s="560" t="s">
        <v>630</v>
      </c>
      <c r="P88" s="560" t="s">
        <v>900</v>
      </c>
      <c r="AH88" s="272">
        <v>2</v>
      </c>
    </row>
    <row r="89" spans="2:34" ht="12.75" customHeight="1" x14ac:dyDescent="0.25">
      <c r="B89" s="472" t="s">
        <v>828</v>
      </c>
      <c r="C89" s="472" t="s">
        <v>901</v>
      </c>
      <c r="D89" s="472">
        <v>8</v>
      </c>
      <c r="O89" s="560" t="s">
        <v>660</v>
      </c>
      <c r="P89" s="561" t="s">
        <v>902</v>
      </c>
      <c r="Q89" s="573"/>
      <c r="AH89" s="272">
        <v>2</v>
      </c>
    </row>
    <row r="90" spans="2:34" ht="12.75" customHeight="1" x14ac:dyDescent="0.25">
      <c r="B90" s="472" t="s">
        <v>829</v>
      </c>
      <c r="C90" s="472" t="s">
        <v>903</v>
      </c>
      <c r="D90" s="472">
        <v>7.5</v>
      </c>
      <c r="AH90" s="272">
        <v>2</v>
      </c>
    </row>
    <row r="91" spans="2:34" ht="12.75" customHeight="1" x14ac:dyDescent="0.25">
      <c r="B91" s="472" t="s">
        <v>830</v>
      </c>
      <c r="C91" s="472" t="s">
        <v>904</v>
      </c>
      <c r="D91" s="472">
        <v>8</v>
      </c>
      <c r="AH91" s="272">
        <v>2</v>
      </c>
    </row>
    <row r="92" spans="2:34" ht="12.75" customHeight="1" x14ac:dyDescent="0.25">
      <c r="B92" s="472" t="s">
        <v>831</v>
      </c>
      <c r="C92" s="472" t="s">
        <v>905</v>
      </c>
      <c r="D92" s="472">
        <v>8</v>
      </c>
      <c r="AH92" s="272">
        <v>2</v>
      </c>
    </row>
    <row r="93" spans="2:34" ht="12.75" customHeight="1" x14ac:dyDescent="0.25">
      <c r="B93" s="472" t="s">
        <v>832</v>
      </c>
      <c r="C93" s="472" t="s">
        <v>906</v>
      </c>
      <c r="D93" s="472">
        <v>8</v>
      </c>
      <c r="AH93" s="272">
        <v>2</v>
      </c>
    </row>
    <row r="94" spans="2:34" ht="12.75" customHeight="1" x14ac:dyDescent="0.25">
      <c r="B94" s="472" t="s">
        <v>583</v>
      </c>
      <c r="C94" s="472" t="s">
        <v>907</v>
      </c>
      <c r="D94" s="472">
        <v>8</v>
      </c>
      <c r="AH94" s="272">
        <v>2</v>
      </c>
    </row>
    <row r="95" spans="2:34" ht="12.75" customHeight="1" x14ac:dyDescent="0.25">
      <c r="B95" s="472" t="s">
        <v>833</v>
      </c>
      <c r="C95" s="472" t="s">
        <v>833</v>
      </c>
      <c r="D95" s="472">
        <v>8</v>
      </c>
      <c r="AH95" s="272">
        <v>2</v>
      </c>
    </row>
    <row r="96" spans="2:34" ht="12.75" customHeight="1" x14ac:dyDescent="0.25">
      <c r="B96" s="472" t="s">
        <v>834</v>
      </c>
      <c r="C96" s="472" t="s">
        <v>834</v>
      </c>
      <c r="D96" s="472">
        <v>8</v>
      </c>
      <c r="AH96" s="272">
        <v>2</v>
      </c>
    </row>
    <row r="97" spans="2:34" ht="12.75" customHeight="1" x14ac:dyDescent="0.25">
      <c r="B97" s="472" t="s">
        <v>835</v>
      </c>
      <c r="C97" s="472" t="s">
        <v>835</v>
      </c>
      <c r="D97" s="472">
        <v>8</v>
      </c>
      <c r="AH97" s="272">
        <v>2</v>
      </c>
    </row>
    <row r="98" spans="2:34" ht="12.75" customHeight="1" x14ac:dyDescent="0.25">
      <c r="B98" s="472" t="s">
        <v>836</v>
      </c>
      <c r="C98" s="472" t="s">
        <v>836</v>
      </c>
      <c r="D98" s="472">
        <v>8</v>
      </c>
      <c r="AH98" s="272">
        <v>2</v>
      </c>
    </row>
    <row r="99" spans="2:34" ht="12.75" customHeight="1" x14ac:dyDescent="0.25">
      <c r="B99" s="472" t="s">
        <v>837</v>
      </c>
      <c r="C99" s="472" t="s">
        <v>837</v>
      </c>
      <c r="D99" s="472">
        <v>8</v>
      </c>
      <c r="AH99" s="272">
        <v>2</v>
      </c>
    </row>
    <row r="100" spans="2:34" ht="12.75" customHeight="1" x14ac:dyDescent="0.25">
      <c r="B100" s="472" t="s">
        <v>838</v>
      </c>
      <c r="C100" s="472" t="s">
        <v>838</v>
      </c>
      <c r="D100" s="472">
        <v>8</v>
      </c>
      <c r="AH100" s="272">
        <v>2</v>
      </c>
    </row>
    <row r="101" spans="2:34" ht="12.75" customHeight="1" x14ac:dyDescent="0.25">
      <c r="B101" s="472" t="s">
        <v>839</v>
      </c>
      <c r="C101" s="472" t="s">
        <v>839</v>
      </c>
      <c r="D101" s="472">
        <v>8</v>
      </c>
      <c r="AH101" s="272">
        <v>2</v>
      </c>
    </row>
    <row r="102" spans="2:34" ht="12.75" customHeight="1" x14ac:dyDescent="0.25">
      <c r="B102" s="472" t="s">
        <v>840</v>
      </c>
      <c r="C102" s="472" t="s">
        <v>840</v>
      </c>
      <c r="D102" s="472">
        <v>8</v>
      </c>
      <c r="AH102" s="272">
        <v>2</v>
      </c>
    </row>
    <row r="103" spans="2:34" ht="12.75" customHeight="1" x14ac:dyDescent="0.25">
      <c r="B103" s="472" t="s">
        <v>841</v>
      </c>
      <c r="C103" s="472" t="s">
        <v>841</v>
      </c>
      <c r="D103" s="472">
        <v>8</v>
      </c>
      <c r="AH103" s="272">
        <v>2</v>
      </c>
    </row>
    <row r="104" spans="2:34" ht="12.75" customHeight="1" x14ac:dyDescent="0.25">
      <c r="B104" s="472" t="s">
        <v>842</v>
      </c>
      <c r="C104" s="472" t="s">
        <v>842</v>
      </c>
      <c r="D104" s="472">
        <v>8</v>
      </c>
      <c r="AH104" s="272">
        <v>2</v>
      </c>
    </row>
    <row r="105" spans="2:34" ht="12.75" customHeight="1" x14ac:dyDescent="0.25">
      <c r="B105" s="472" t="s">
        <v>843</v>
      </c>
      <c r="C105" s="472" t="s">
        <v>843</v>
      </c>
      <c r="D105" s="472">
        <v>8</v>
      </c>
      <c r="AH105" s="272">
        <v>2</v>
      </c>
    </row>
    <row r="106" spans="2:34" ht="12.75" customHeight="1" x14ac:dyDescent="0.25">
      <c r="B106" s="472" t="s">
        <v>844</v>
      </c>
      <c r="C106" s="472" t="s">
        <v>844</v>
      </c>
      <c r="D106" s="472">
        <v>8</v>
      </c>
      <c r="AH106" s="272">
        <v>2</v>
      </c>
    </row>
    <row r="107" spans="2:34" ht="12.75" customHeight="1" x14ac:dyDescent="0.25">
      <c r="B107" s="472" t="s">
        <v>845</v>
      </c>
      <c r="C107" s="472" t="s">
        <v>845</v>
      </c>
      <c r="D107" s="472">
        <v>8</v>
      </c>
      <c r="AH107" s="272">
        <v>2</v>
      </c>
    </row>
    <row r="108" spans="2:34" ht="12.75" customHeight="1" x14ac:dyDescent="0.25">
      <c r="B108" s="472" t="s">
        <v>846</v>
      </c>
      <c r="C108" s="472" t="s">
        <v>846</v>
      </c>
      <c r="D108" s="472">
        <v>8</v>
      </c>
      <c r="AH108" s="272">
        <v>2</v>
      </c>
    </row>
    <row r="109" spans="2:34" ht="12.75" customHeight="1" x14ac:dyDescent="0.25">
      <c r="B109" s="472" t="s">
        <v>847</v>
      </c>
      <c r="C109" s="472" t="s">
        <v>847</v>
      </c>
      <c r="D109" s="472">
        <v>8</v>
      </c>
      <c r="AH109" s="272">
        <v>2</v>
      </c>
    </row>
    <row r="110" spans="2:34" ht="12.75" customHeight="1" x14ac:dyDescent="0.25">
      <c r="B110" s="472" t="s">
        <v>848</v>
      </c>
      <c r="C110" s="472" t="s">
        <v>848</v>
      </c>
      <c r="D110" s="472">
        <v>8</v>
      </c>
      <c r="AH110" s="272">
        <v>2</v>
      </c>
    </row>
    <row r="111" spans="2:34" ht="12.75" customHeight="1" x14ac:dyDescent="0.25">
      <c r="B111" s="472" t="s">
        <v>849</v>
      </c>
      <c r="C111" s="472" t="s">
        <v>849</v>
      </c>
      <c r="D111" s="472">
        <v>8</v>
      </c>
      <c r="AH111" s="272">
        <v>2</v>
      </c>
    </row>
    <row r="112" spans="2:34" ht="12.75" customHeight="1" x14ac:dyDescent="0.25">
      <c r="B112" s="472" t="s">
        <v>850</v>
      </c>
      <c r="C112" s="472" t="s">
        <v>850</v>
      </c>
      <c r="D112" s="472">
        <v>8</v>
      </c>
      <c r="AH112" s="272">
        <v>2</v>
      </c>
    </row>
    <row r="113" spans="2:34" ht="12.75" customHeight="1" x14ac:dyDescent="0.25">
      <c r="B113" s="472" t="s">
        <v>851</v>
      </c>
      <c r="C113" s="472" t="s">
        <v>851</v>
      </c>
      <c r="D113" s="472">
        <v>8</v>
      </c>
      <c r="AH113" s="272">
        <v>2</v>
      </c>
    </row>
    <row r="114" spans="2:34" ht="12.75" customHeight="1" x14ac:dyDescent="0.25">
      <c r="B114" s="472" t="s">
        <v>852</v>
      </c>
      <c r="C114" s="472" t="s">
        <v>852</v>
      </c>
      <c r="D114" s="472">
        <v>8</v>
      </c>
      <c r="AH114" s="272">
        <v>2</v>
      </c>
    </row>
    <row r="115" spans="2:34" ht="12.75" customHeight="1" x14ac:dyDescent="0.25">
      <c r="B115" s="472" t="s">
        <v>853</v>
      </c>
      <c r="C115" s="472" t="s">
        <v>853</v>
      </c>
      <c r="D115" s="472">
        <v>8</v>
      </c>
      <c r="AH115" s="272">
        <v>2</v>
      </c>
    </row>
    <row r="116" spans="2:34" ht="12.75" customHeight="1" x14ac:dyDescent="0.25">
      <c r="B116" s="472" t="s">
        <v>854</v>
      </c>
      <c r="C116" s="472" t="s">
        <v>854</v>
      </c>
      <c r="D116" s="472">
        <v>8</v>
      </c>
      <c r="AH116" s="272">
        <v>2</v>
      </c>
    </row>
    <row r="117" spans="2:34" ht="12.75" customHeight="1" x14ac:dyDescent="0.25">
      <c r="B117" s="472" t="s">
        <v>855</v>
      </c>
      <c r="C117" s="472" t="s">
        <v>855</v>
      </c>
      <c r="D117" s="472">
        <v>8</v>
      </c>
      <c r="AH117" s="272">
        <v>2</v>
      </c>
    </row>
    <row r="118" spans="2:34" ht="12.75" customHeight="1" x14ac:dyDescent="0.25">
      <c r="B118" s="472" t="s">
        <v>856</v>
      </c>
      <c r="C118" s="472" t="s">
        <v>856</v>
      </c>
      <c r="D118" s="472">
        <v>8</v>
      </c>
      <c r="AH118" s="272">
        <v>2</v>
      </c>
    </row>
    <row r="119" spans="2:34" ht="12.75" customHeight="1" x14ac:dyDescent="0.25">
      <c r="B119" s="472" t="s">
        <v>857</v>
      </c>
      <c r="C119" s="472" t="s">
        <v>857</v>
      </c>
      <c r="D119" s="472">
        <v>8</v>
      </c>
      <c r="AH119" s="272">
        <v>2</v>
      </c>
    </row>
    <row r="120" spans="2:34" ht="12.75" customHeight="1" x14ac:dyDescent="0.25">
      <c r="B120" s="472" t="s">
        <v>858</v>
      </c>
      <c r="C120" s="472" t="s">
        <v>858</v>
      </c>
      <c r="D120" s="472">
        <v>8</v>
      </c>
      <c r="AH120" s="272">
        <v>2</v>
      </c>
    </row>
    <row r="121" spans="2:34" ht="12.75" customHeight="1" x14ac:dyDescent="0.25">
      <c r="B121" s="472" t="s">
        <v>859</v>
      </c>
      <c r="C121" s="472" t="s">
        <v>859</v>
      </c>
      <c r="D121" s="472">
        <v>8</v>
      </c>
      <c r="AH121" s="272">
        <v>2</v>
      </c>
    </row>
    <row r="122" spans="2:34" ht="12.75" customHeight="1" x14ac:dyDescent="0.25">
      <c r="B122" s="472" t="s">
        <v>860</v>
      </c>
      <c r="C122" s="472" t="s">
        <v>860</v>
      </c>
      <c r="D122" s="472">
        <v>8</v>
      </c>
      <c r="AH122" s="272">
        <v>2</v>
      </c>
    </row>
    <row r="123" spans="2:34" ht="12.75" customHeight="1" x14ac:dyDescent="0.25">
      <c r="B123" s="472" t="s">
        <v>861</v>
      </c>
      <c r="C123" s="472" t="s">
        <v>861</v>
      </c>
      <c r="D123" s="472">
        <v>8</v>
      </c>
      <c r="AH123" s="272">
        <v>2</v>
      </c>
    </row>
    <row r="124" spans="2:34" ht="12.75" customHeight="1" x14ac:dyDescent="0.25">
      <c r="B124" s="274"/>
      <c r="C124" s="274"/>
      <c r="D124" s="274"/>
      <c r="E124" s="274"/>
      <c r="F124" s="274"/>
      <c r="G124" s="274"/>
      <c r="H124" s="274"/>
      <c r="I124" s="274"/>
      <c r="J124" s="274"/>
      <c r="K124" s="274"/>
      <c r="L124" s="274"/>
      <c r="M124" s="274"/>
      <c r="N124" s="274"/>
      <c r="O124" s="274"/>
      <c r="P124" s="274"/>
      <c r="Q124" s="274"/>
      <c r="R124" s="274"/>
      <c r="S124" s="274"/>
      <c r="T124" s="274"/>
    </row>
    <row r="125" spans="2:34" ht="26.1" customHeight="1" x14ac:dyDescent="0.4">
      <c r="B125" s="785" t="s">
        <v>908</v>
      </c>
      <c r="C125" s="785"/>
      <c r="D125" s="785"/>
      <c r="E125" s="785"/>
      <c r="F125" s="785"/>
      <c r="G125" s="785"/>
      <c r="H125" s="785"/>
      <c r="I125" s="785"/>
      <c r="J125" s="785"/>
      <c r="K125" s="785"/>
      <c r="L125" s="785"/>
      <c r="M125" s="785"/>
      <c r="N125" s="785"/>
      <c r="O125" s="785"/>
      <c r="P125" s="785"/>
      <c r="Q125" s="785"/>
      <c r="R125" s="785"/>
      <c r="S125" s="570"/>
      <c r="T125" s="570"/>
    </row>
    <row r="126" spans="2:34" ht="47.25" customHeight="1" x14ac:dyDescent="0.25">
      <c r="B126" s="507" t="s">
        <v>589</v>
      </c>
      <c r="C126" s="508" t="s">
        <v>658</v>
      </c>
      <c r="D126" s="508" t="s">
        <v>602</v>
      </c>
      <c r="E126" s="508" t="s">
        <v>613</v>
      </c>
      <c r="F126" s="508" t="s">
        <v>799</v>
      </c>
      <c r="G126" s="508" t="s">
        <v>800</v>
      </c>
      <c r="H126" s="508" t="s">
        <v>801</v>
      </c>
      <c r="I126" s="508" t="s">
        <v>802</v>
      </c>
      <c r="J126" s="508" t="s">
        <v>604</v>
      </c>
      <c r="K126" s="508" t="s">
        <v>707</v>
      </c>
      <c r="L126" s="508" t="s">
        <v>803</v>
      </c>
      <c r="M126" s="508" t="s">
        <v>804</v>
      </c>
      <c r="N126" s="508" t="s">
        <v>685</v>
      </c>
      <c r="O126" s="508" t="s">
        <v>805</v>
      </c>
      <c r="P126" s="508" t="s">
        <v>775</v>
      </c>
      <c r="Q126" s="508" t="s">
        <v>806</v>
      </c>
      <c r="R126" s="508" t="s">
        <v>618</v>
      </c>
      <c r="S126" s="508" t="s">
        <v>635</v>
      </c>
      <c r="T126" s="508" t="s">
        <v>659</v>
      </c>
      <c r="U126" s="508" t="s">
        <v>807</v>
      </c>
      <c r="V126" s="508" t="s">
        <v>625</v>
      </c>
      <c r="W126" s="508" t="s">
        <v>628</v>
      </c>
      <c r="X126" s="508" t="s">
        <v>630</v>
      </c>
      <c r="Y126" s="508" t="s">
        <v>651</v>
      </c>
      <c r="Z126" s="508" t="s">
        <v>660</v>
      </c>
    </row>
    <row r="127" spans="2:34" x14ac:dyDescent="0.25">
      <c r="B127" s="474" t="s">
        <v>808</v>
      </c>
      <c r="C127" s="473">
        <v>371.91358024691357</v>
      </c>
      <c r="D127" s="473">
        <v>371.91358024691357</v>
      </c>
      <c r="E127" s="473">
        <v>371.91358024691357</v>
      </c>
      <c r="F127" s="473">
        <v>371.91358024691357</v>
      </c>
      <c r="G127" s="473">
        <v>371.91358024691357</v>
      </c>
      <c r="H127" s="473">
        <v>371.91358024691357</v>
      </c>
      <c r="I127" s="473">
        <v>371.91358024691357</v>
      </c>
      <c r="J127" s="473">
        <v>371.91358024691357</v>
      </c>
      <c r="K127" s="473">
        <v>371.91358024691357</v>
      </c>
      <c r="L127" s="473">
        <v>371.91358024691357</v>
      </c>
      <c r="M127" s="473">
        <v>371.91358024691357</v>
      </c>
      <c r="N127" s="473">
        <v>371.91358024691357</v>
      </c>
      <c r="O127" s="473">
        <v>371.91358024691357</v>
      </c>
      <c r="P127" s="473">
        <v>371.91358024691357</v>
      </c>
      <c r="Q127" s="473">
        <v>371.91358024691357</v>
      </c>
      <c r="R127" s="473">
        <v>371.91358024691357</v>
      </c>
      <c r="S127" s="473">
        <v>371.91358024691357</v>
      </c>
      <c r="T127" s="473">
        <v>371.91358024691357</v>
      </c>
      <c r="U127" s="473">
        <v>371.91358024691357</v>
      </c>
      <c r="V127" s="473">
        <v>371.91358024691357</v>
      </c>
      <c r="W127" s="473">
        <v>371.91358024691357</v>
      </c>
      <c r="X127" s="473">
        <v>371.91358024691357</v>
      </c>
      <c r="Y127" s="473">
        <v>371.91358024691357</v>
      </c>
      <c r="Z127" s="473">
        <v>371.91358024691357</v>
      </c>
      <c r="AA127" s="574"/>
      <c r="AB127" s="574"/>
      <c r="AC127" s="575"/>
      <c r="AD127" s="277"/>
    </row>
    <row r="128" spans="2:34" x14ac:dyDescent="0.25">
      <c r="B128" s="474" t="s">
        <v>810</v>
      </c>
      <c r="C128" s="473">
        <v>244.34156378600824</v>
      </c>
      <c r="D128" s="473">
        <v>308.33333333333331</v>
      </c>
      <c r="E128" s="473">
        <v>272.63374485596711</v>
      </c>
      <c r="F128" s="473">
        <v>204.5267489711934</v>
      </c>
      <c r="G128" s="473">
        <v>204.5267489711934</v>
      </c>
      <c r="H128" s="473">
        <v>237.13991769547326</v>
      </c>
      <c r="I128" s="473">
        <v>180.24691358024694</v>
      </c>
      <c r="J128" s="473">
        <v>204.5267489711934</v>
      </c>
      <c r="K128" s="473">
        <v>279.83539094650206</v>
      </c>
      <c r="L128" s="473">
        <v>204.5267489711934</v>
      </c>
      <c r="M128" s="473">
        <v>204.5267489711934</v>
      </c>
      <c r="N128" s="473">
        <v>223.86831275720166</v>
      </c>
      <c r="O128" s="473">
        <v>204.5267489711934</v>
      </c>
      <c r="P128" s="473">
        <v>204.5267489711934</v>
      </c>
      <c r="Q128" s="473">
        <v>204.5267489711934</v>
      </c>
      <c r="R128" s="473">
        <v>204.5267489711934</v>
      </c>
      <c r="S128" s="473">
        <v>191.97530864197529</v>
      </c>
      <c r="T128" s="473">
        <v>131.89300411522635</v>
      </c>
      <c r="U128" s="473">
        <v>204.5267489711934</v>
      </c>
      <c r="V128" s="473">
        <v>144.1358024691358</v>
      </c>
      <c r="W128" s="473">
        <v>203.90946502057614</v>
      </c>
      <c r="X128" s="473">
        <v>128.08641975308643</v>
      </c>
      <c r="Y128" s="473">
        <v>198.25102880658437</v>
      </c>
      <c r="Z128" s="473">
        <v>131.48148148148147</v>
      </c>
      <c r="AA128" s="574"/>
      <c r="AB128" s="574"/>
      <c r="AC128" s="575"/>
      <c r="AD128" s="277"/>
    </row>
    <row r="129" spans="2:30" x14ac:dyDescent="0.25">
      <c r="B129" s="474" t="s">
        <v>811</v>
      </c>
      <c r="C129" s="473">
        <v>0</v>
      </c>
      <c r="D129" s="473">
        <v>1222.0777032390013</v>
      </c>
      <c r="E129" s="473">
        <v>1024.6488956623643</v>
      </c>
      <c r="F129" s="473">
        <v>0</v>
      </c>
      <c r="G129" s="473">
        <v>0</v>
      </c>
      <c r="H129" s="473">
        <v>0</v>
      </c>
      <c r="I129" s="473">
        <v>0</v>
      </c>
      <c r="J129" s="473">
        <v>1014.6556701564829</v>
      </c>
      <c r="K129" s="473">
        <v>614.35467683021727</v>
      </c>
      <c r="L129" s="473">
        <v>1094.2723521248961</v>
      </c>
      <c r="M129" s="473">
        <v>0</v>
      </c>
      <c r="N129" s="473">
        <v>0</v>
      </c>
      <c r="O129" s="473">
        <v>0</v>
      </c>
      <c r="P129" s="473">
        <v>1596.9527842878415</v>
      </c>
      <c r="Q129" s="473">
        <v>0</v>
      </c>
      <c r="R129" s="473">
        <v>1264.8872157312776</v>
      </c>
      <c r="S129" s="473">
        <v>0</v>
      </c>
      <c r="T129" s="473">
        <v>0</v>
      </c>
      <c r="U129" s="473">
        <v>368.04471272554036</v>
      </c>
      <c r="V129" s="473">
        <v>0</v>
      </c>
      <c r="W129" s="473">
        <v>0</v>
      </c>
      <c r="X129" s="473">
        <v>0</v>
      </c>
      <c r="Y129" s="473">
        <v>0</v>
      </c>
      <c r="Z129" s="473">
        <v>0</v>
      </c>
      <c r="AA129" s="574"/>
      <c r="AB129" s="574"/>
      <c r="AC129" s="575"/>
      <c r="AD129" s="277"/>
    </row>
    <row r="130" spans="2:30" x14ac:dyDescent="0.25">
      <c r="B130" s="474" t="s">
        <v>596</v>
      </c>
      <c r="C130" s="473">
        <v>0</v>
      </c>
      <c r="D130" s="473">
        <v>1206.683940271791</v>
      </c>
      <c r="E130" s="473">
        <v>842.91265719201783</v>
      </c>
      <c r="F130" s="473">
        <v>0</v>
      </c>
      <c r="G130" s="473">
        <v>0</v>
      </c>
      <c r="H130" s="473">
        <v>628.34632793252581</v>
      </c>
      <c r="I130" s="473">
        <v>417.77686674264061</v>
      </c>
      <c r="J130" s="473">
        <v>829.15117956111271</v>
      </c>
      <c r="K130" s="473">
        <v>0</v>
      </c>
      <c r="L130" s="473">
        <v>867.60178218127089</v>
      </c>
      <c r="M130" s="473">
        <v>0</v>
      </c>
      <c r="N130" s="473">
        <v>0</v>
      </c>
      <c r="O130" s="473">
        <v>0</v>
      </c>
      <c r="P130" s="473">
        <v>1359.7377886344091</v>
      </c>
      <c r="Q130" s="473">
        <v>0</v>
      </c>
      <c r="R130" s="473">
        <v>842.64624251250154</v>
      </c>
      <c r="S130" s="473">
        <v>593.21402097472856</v>
      </c>
      <c r="T130" s="473">
        <v>438.14046557264618</v>
      </c>
      <c r="U130" s="473">
        <v>0</v>
      </c>
      <c r="V130" s="473">
        <v>0</v>
      </c>
      <c r="W130" s="473">
        <v>703.47937166382815</v>
      </c>
      <c r="X130" s="473">
        <v>0</v>
      </c>
      <c r="Y130" s="473">
        <v>0</v>
      </c>
      <c r="Z130" s="473">
        <v>0</v>
      </c>
      <c r="AA130" s="574"/>
      <c r="AB130" s="574"/>
      <c r="AC130" s="575"/>
      <c r="AD130" s="277"/>
    </row>
    <row r="131" spans="2:30" x14ac:dyDescent="0.25">
      <c r="B131" s="474" t="s">
        <v>812</v>
      </c>
      <c r="C131" s="473">
        <v>0</v>
      </c>
      <c r="D131" s="473">
        <v>778.86598682216879</v>
      </c>
      <c r="E131" s="473">
        <v>605.77182193518763</v>
      </c>
      <c r="F131" s="473">
        <v>0</v>
      </c>
      <c r="G131" s="473">
        <v>0</v>
      </c>
      <c r="H131" s="473">
        <v>0</v>
      </c>
      <c r="I131" s="473">
        <v>0</v>
      </c>
      <c r="J131" s="473">
        <v>509.88101062577914</v>
      </c>
      <c r="K131" s="473">
        <v>348.74370553878737</v>
      </c>
      <c r="L131" s="473">
        <v>401.72098248756436</v>
      </c>
      <c r="M131" s="473">
        <v>0</v>
      </c>
      <c r="N131" s="473">
        <v>0</v>
      </c>
      <c r="O131" s="473">
        <v>0</v>
      </c>
      <c r="P131" s="473">
        <v>1347.1173144948841</v>
      </c>
      <c r="Q131" s="473">
        <v>0</v>
      </c>
      <c r="R131" s="473">
        <v>517.92312962313133</v>
      </c>
      <c r="S131" s="473">
        <v>313.47990376815568</v>
      </c>
      <c r="T131" s="473">
        <v>150.9813215326547</v>
      </c>
      <c r="U131" s="473">
        <v>221.671985562473</v>
      </c>
      <c r="V131" s="473">
        <v>157.2029674021565</v>
      </c>
      <c r="W131" s="473">
        <v>0</v>
      </c>
      <c r="X131" s="473">
        <v>0</v>
      </c>
      <c r="Y131" s="473">
        <v>240.18649301329626</v>
      </c>
      <c r="Z131" s="473">
        <v>178.93209379009249</v>
      </c>
      <c r="AA131" s="574"/>
      <c r="AB131" s="574"/>
      <c r="AC131" s="575"/>
      <c r="AD131" s="277"/>
    </row>
    <row r="132" spans="2:30" x14ac:dyDescent="0.25">
      <c r="B132" s="474" t="s">
        <v>813</v>
      </c>
      <c r="C132" s="473">
        <v>674.05103988684425</v>
      </c>
      <c r="D132" s="473">
        <v>1007.3547471330287</v>
      </c>
      <c r="E132" s="473">
        <v>793.21823857714037</v>
      </c>
      <c r="F132" s="473">
        <v>0</v>
      </c>
      <c r="G132" s="473">
        <v>0</v>
      </c>
      <c r="H132" s="473">
        <v>0</v>
      </c>
      <c r="I132" s="473">
        <v>0</v>
      </c>
      <c r="J132" s="473">
        <v>809.40889496073748</v>
      </c>
      <c r="K132" s="473">
        <v>607.55636641128126</v>
      </c>
      <c r="L132" s="473">
        <v>746.50048306618044</v>
      </c>
      <c r="M132" s="473">
        <v>0</v>
      </c>
      <c r="N132" s="473">
        <v>512.71306797805653</v>
      </c>
      <c r="O132" s="473">
        <v>0</v>
      </c>
      <c r="P132" s="473">
        <v>1224.8043255100661</v>
      </c>
      <c r="Q132" s="473">
        <v>0</v>
      </c>
      <c r="R132" s="473">
        <v>822.2710711145138</v>
      </c>
      <c r="S132" s="473">
        <v>650.9091248125585</v>
      </c>
      <c r="T132" s="473">
        <v>421.0535521166492</v>
      </c>
      <c r="U132" s="473">
        <v>543.38441267687688</v>
      </c>
      <c r="V132" s="473">
        <v>0</v>
      </c>
      <c r="W132" s="473">
        <v>589.56814033249566</v>
      </c>
      <c r="X132" s="473">
        <v>0</v>
      </c>
      <c r="Y132" s="473">
        <v>0</v>
      </c>
      <c r="Z132" s="473">
        <v>0</v>
      </c>
      <c r="AA132" s="574"/>
      <c r="AB132" s="574"/>
      <c r="AC132" s="575"/>
      <c r="AD132" s="277"/>
    </row>
    <row r="133" spans="2:30" x14ac:dyDescent="0.25">
      <c r="B133" s="474" t="s">
        <v>814</v>
      </c>
      <c r="C133" s="473">
        <v>0</v>
      </c>
      <c r="D133" s="473">
        <v>650.8498924024932</v>
      </c>
      <c r="E133" s="473">
        <v>508.37323359293441</v>
      </c>
      <c r="F133" s="473">
        <v>0</v>
      </c>
      <c r="G133" s="473">
        <v>0</v>
      </c>
      <c r="H133" s="473">
        <v>229.34818577125083</v>
      </c>
      <c r="I133" s="473">
        <v>111.47886591605602</v>
      </c>
      <c r="J133" s="473">
        <v>0</v>
      </c>
      <c r="K133" s="473">
        <v>255.48778613071178</v>
      </c>
      <c r="L133" s="473">
        <v>305.52572610935192</v>
      </c>
      <c r="M133" s="473">
        <v>0</v>
      </c>
      <c r="N133" s="473">
        <v>0</v>
      </c>
      <c r="O133" s="473">
        <v>0</v>
      </c>
      <c r="P133" s="473">
        <v>810.74844742303299</v>
      </c>
      <c r="Q133" s="473">
        <v>0</v>
      </c>
      <c r="R133" s="473">
        <v>522.38304468507317</v>
      </c>
      <c r="S133" s="473">
        <v>424.09148541907882</v>
      </c>
      <c r="T133" s="473">
        <v>177.51540111150121</v>
      </c>
      <c r="U133" s="473">
        <v>157.15147630863515</v>
      </c>
      <c r="V133" s="473">
        <v>0</v>
      </c>
      <c r="W133" s="473">
        <v>279.40334614148037</v>
      </c>
      <c r="X133" s="473">
        <v>185.24184183101767</v>
      </c>
      <c r="Y133" s="473">
        <v>470.7253010447767</v>
      </c>
      <c r="Z133" s="473">
        <v>174.34181731655818</v>
      </c>
      <c r="AA133" s="574"/>
      <c r="AB133" s="574"/>
      <c r="AC133" s="575"/>
      <c r="AD133" s="277"/>
    </row>
    <row r="134" spans="2:30" x14ac:dyDescent="0.25">
      <c r="B134" s="474" t="s">
        <v>815</v>
      </c>
      <c r="C134" s="473">
        <v>0</v>
      </c>
      <c r="D134" s="473">
        <v>0</v>
      </c>
      <c r="E134" s="473">
        <v>0</v>
      </c>
      <c r="F134" s="473">
        <v>0</v>
      </c>
      <c r="G134" s="473">
        <v>0</v>
      </c>
      <c r="H134" s="473">
        <v>0</v>
      </c>
      <c r="I134" s="473">
        <v>0</v>
      </c>
      <c r="J134" s="473">
        <v>0</v>
      </c>
      <c r="K134" s="473">
        <v>0</v>
      </c>
      <c r="L134" s="473">
        <v>652.54833040421795</v>
      </c>
      <c r="M134" s="473">
        <v>725.9226713532513</v>
      </c>
      <c r="N134" s="473">
        <v>725.9226713532513</v>
      </c>
      <c r="O134" s="473">
        <v>0</v>
      </c>
      <c r="P134" s="473">
        <v>0</v>
      </c>
      <c r="Q134" s="473">
        <v>0</v>
      </c>
      <c r="R134" s="473">
        <v>0</v>
      </c>
      <c r="S134" s="473">
        <v>0</v>
      </c>
      <c r="T134" s="473">
        <v>0</v>
      </c>
      <c r="U134" s="473">
        <v>0</v>
      </c>
      <c r="V134" s="473">
        <v>0</v>
      </c>
      <c r="W134" s="473">
        <v>0</v>
      </c>
      <c r="X134" s="473">
        <v>0</v>
      </c>
      <c r="Y134" s="473">
        <v>0</v>
      </c>
      <c r="Z134" s="473">
        <v>0</v>
      </c>
      <c r="AA134" s="574"/>
      <c r="AB134" s="574"/>
      <c r="AC134" s="575"/>
      <c r="AD134" s="277"/>
    </row>
    <row r="135" spans="2:30" x14ac:dyDescent="0.25">
      <c r="B135" s="474" t="s">
        <v>816</v>
      </c>
      <c r="C135" s="473">
        <v>0</v>
      </c>
      <c r="D135" s="473">
        <v>0</v>
      </c>
      <c r="E135" s="473">
        <v>0</v>
      </c>
      <c r="F135" s="473">
        <v>0</v>
      </c>
      <c r="G135" s="473">
        <v>0</v>
      </c>
      <c r="H135" s="473">
        <v>0</v>
      </c>
      <c r="I135" s="473">
        <v>0</v>
      </c>
      <c r="J135" s="473">
        <v>0</v>
      </c>
      <c r="K135" s="473">
        <v>0</v>
      </c>
      <c r="L135" s="473">
        <v>584.95680854405532</v>
      </c>
      <c r="M135" s="473">
        <v>0</v>
      </c>
      <c r="N135" s="473">
        <v>0</v>
      </c>
      <c r="O135" s="473">
        <v>0</v>
      </c>
      <c r="P135" s="473">
        <v>0</v>
      </c>
      <c r="Q135" s="473">
        <v>0</v>
      </c>
      <c r="R135" s="473">
        <v>0</v>
      </c>
      <c r="S135" s="473">
        <v>0</v>
      </c>
      <c r="T135" s="473">
        <v>0</v>
      </c>
      <c r="U135" s="473">
        <v>0</v>
      </c>
      <c r="V135" s="473">
        <v>0</v>
      </c>
      <c r="W135" s="473">
        <v>0</v>
      </c>
      <c r="X135" s="473">
        <v>0</v>
      </c>
      <c r="Y135" s="473">
        <v>0</v>
      </c>
      <c r="Z135" s="473">
        <v>0</v>
      </c>
      <c r="AA135" s="574"/>
      <c r="AB135" s="574"/>
      <c r="AC135" s="575"/>
      <c r="AD135" s="277"/>
    </row>
    <row r="136" spans="2:30" x14ac:dyDescent="0.25">
      <c r="B136" s="474" t="s">
        <v>817</v>
      </c>
      <c r="C136" s="473">
        <v>0</v>
      </c>
      <c r="D136" s="473">
        <v>1203.8055286288477</v>
      </c>
      <c r="E136" s="473">
        <v>767.14839360165456</v>
      </c>
      <c r="F136" s="473">
        <v>0</v>
      </c>
      <c r="G136" s="473">
        <v>0</v>
      </c>
      <c r="H136" s="473">
        <v>0</v>
      </c>
      <c r="I136" s="473">
        <v>0</v>
      </c>
      <c r="J136" s="473">
        <v>981.02324247617969</v>
      </c>
      <c r="K136" s="473">
        <v>0</v>
      </c>
      <c r="L136" s="473">
        <v>958.03677209760303</v>
      </c>
      <c r="M136" s="473">
        <v>0</v>
      </c>
      <c r="N136" s="473">
        <v>0</v>
      </c>
      <c r="O136" s="473">
        <v>0</v>
      </c>
      <c r="P136" s="473">
        <v>0</v>
      </c>
      <c r="Q136" s="473">
        <v>0</v>
      </c>
      <c r="R136" s="473">
        <v>880.16992368372973</v>
      </c>
      <c r="S136" s="473">
        <v>0</v>
      </c>
      <c r="T136" s="473">
        <v>0</v>
      </c>
      <c r="U136" s="473">
        <v>0</v>
      </c>
      <c r="V136" s="473">
        <v>0</v>
      </c>
      <c r="W136" s="473">
        <v>0</v>
      </c>
      <c r="X136" s="473">
        <v>0</v>
      </c>
      <c r="Y136" s="473">
        <v>0</v>
      </c>
      <c r="Z136" s="473">
        <v>0</v>
      </c>
      <c r="AA136" s="574"/>
      <c r="AB136" s="574"/>
      <c r="AC136" s="575"/>
      <c r="AD136" s="277"/>
    </row>
    <row r="137" spans="2:30" x14ac:dyDescent="0.25">
      <c r="B137" s="474" t="s">
        <v>818</v>
      </c>
      <c r="C137" s="473">
        <v>0</v>
      </c>
      <c r="D137" s="473">
        <v>0</v>
      </c>
      <c r="E137" s="473">
        <v>0</v>
      </c>
      <c r="F137" s="473">
        <v>0</v>
      </c>
      <c r="G137" s="473">
        <v>0</v>
      </c>
      <c r="H137" s="473">
        <v>0</v>
      </c>
      <c r="I137" s="473">
        <v>0</v>
      </c>
      <c r="J137" s="473">
        <v>0</v>
      </c>
      <c r="K137" s="473">
        <v>0</v>
      </c>
      <c r="L137" s="473">
        <v>1299.1009197921505</v>
      </c>
      <c r="M137" s="473">
        <v>0</v>
      </c>
      <c r="N137" s="473">
        <v>0</v>
      </c>
      <c r="O137" s="473">
        <v>0</v>
      </c>
      <c r="P137" s="473">
        <v>1406.3959398183545</v>
      </c>
      <c r="Q137" s="473">
        <v>0</v>
      </c>
      <c r="R137" s="473">
        <v>1245.4534097790486</v>
      </c>
      <c r="S137" s="473">
        <v>0</v>
      </c>
      <c r="T137" s="473">
        <v>0</v>
      </c>
      <c r="U137" s="473">
        <v>0</v>
      </c>
      <c r="V137" s="473">
        <v>0</v>
      </c>
      <c r="W137" s="473">
        <v>0</v>
      </c>
      <c r="X137" s="473">
        <v>0</v>
      </c>
      <c r="Y137" s="473">
        <v>0</v>
      </c>
      <c r="Z137" s="473">
        <v>0</v>
      </c>
      <c r="AA137" s="574"/>
      <c r="AB137" s="574"/>
      <c r="AC137" s="575"/>
      <c r="AD137" s="277"/>
    </row>
    <row r="138" spans="2:30" x14ac:dyDescent="0.25">
      <c r="B138" s="474" t="s">
        <v>819</v>
      </c>
      <c r="C138" s="473">
        <v>0</v>
      </c>
      <c r="D138" s="473">
        <v>1425.5973743650277</v>
      </c>
      <c r="E138" s="473">
        <v>1028.6415676034987</v>
      </c>
      <c r="F138" s="473">
        <v>0</v>
      </c>
      <c r="G138" s="473">
        <v>0</v>
      </c>
      <c r="H138" s="473">
        <v>0</v>
      </c>
      <c r="I138" s="473">
        <v>438.39487044204265</v>
      </c>
      <c r="J138" s="473">
        <v>979.23099172318211</v>
      </c>
      <c r="K138" s="473">
        <v>871.84445007598117</v>
      </c>
      <c r="L138" s="473">
        <v>1159.4227306856146</v>
      </c>
      <c r="M138" s="473">
        <v>0</v>
      </c>
      <c r="N138" s="473">
        <v>0</v>
      </c>
      <c r="O138" s="473">
        <v>0</v>
      </c>
      <c r="P138" s="473">
        <v>1817.2288785550054</v>
      </c>
      <c r="Q138" s="473">
        <v>0</v>
      </c>
      <c r="R138" s="473">
        <v>1109.9166790778381</v>
      </c>
      <c r="S138" s="473">
        <v>646.26758663426563</v>
      </c>
      <c r="T138" s="473">
        <v>564.72874307485506</v>
      </c>
      <c r="U138" s="473">
        <v>0</v>
      </c>
      <c r="V138" s="473">
        <v>0</v>
      </c>
      <c r="W138" s="473">
        <v>772.26309811432316</v>
      </c>
      <c r="X138" s="473">
        <v>552.25384355609867</v>
      </c>
      <c r="Y138" s="473">
        <v>0</v>
      </c>
      <c r="Z138" s="473">
        <v>0</v>
      </c>
      <c r="AA138" s="574"/>
      <c r="AB138" s="574"/>
      <c r="AC138" s="575"/>
      <c r="AD138" s="277"/>
    </row>
    <row r="139" spans="2:30" x14ac:dyDescent="0.25">
      <c r="B139" s="474" t="s">
        <v>820</v>
      </c>
      <c r="C139" s="473">
        <v>0</v>
      </c>
      <c r="D139" s="473">
        <v>0</v>
      </c>
      <c r="E139" s="473">
        <v>298.85654415547401</v>
      </c>
      <c r="F139" s="473">
        <v>0</v>
      </c>
      <c r="G139" s="473">
        <v>0</v>
      </c>
      <c r="H139" s="473">
        <v>170.18209920104266</v>
      </c>
      <c r="I139" s="473">
        <v>102.10064869151086</v>
      </c>
      <c r="J139" s="473">
        <v>0</v>
      </c>
      <c r="K139" s="473">
        <v>0</v>
      </c>
      <c r="L139" s="473">
        <v>134.798769678529</v>
      </c>
      <c r="M139" s="473">
        <v>0</v>
      </c>
      <c r="N139" s="473">
        <v>0</v>
      </c>
      <c r="O139" s="473">
        <v>0</v>
      </c>
      <c r="P139" s="473">
        <v>610.98146323577089</v>
      </c>
      <c r="Q139" s="473">
        <v>73.89978993973665</v>
      </c>
      <c r="R139" s="473">
        <v>210.44343790658985</v>
      </c>
      <c r="S139" s="473">
        <v>0</v>
      </c>
      <c r="T139" s="473">
        <v>111.52559050793639</v>
      </c>
      <c r="U139" s="473">
        <v>0</v>
      </c>
      <c r="V139" s="473">
        <v>0</v>
      </c>
      <c r="W139" s="473">
        <v>0</v>
      </c>
      <c r="X139" s="473">
        <v>112.86796151614979</v>
      </c>
      <c r="Y139" s="473">
        <v>136.30308198799941</v>
      </c>
      <c r="Z139" s="473">
        <v>74.815764635278356</v>
      </c>
      <c r="AA139" s="574"/>
      <c r="AB139" s="574"/>
      <c r="AC139" s="575"/>
      <c r="AD139" s="277"/>
    </row>
    <row r="140" spans="2:30" x14ac:dyDescent="0.25">
      <c r="B140" s="474" t="s">
        <v>676</v>
      </c>
      <c r="C140" s="473">
        <v>0</v>
      </c>
      <c r="D140" s="473">
        <v>992.06441952690102</v>
      </c>
      <c r="E140" s="473">
        <v>933.84018120420308</v>
      </c>
      <c r="F140" s="473">
        <v>0</v>
      </c>
      <c r="G140" s="473">
        <v>0</v>
      </c>
      <c r="H140" s="473">
        <v>0</v>
      </c>
      <c r="I140" s="473">
        <v>0</v>
      </c>
      <c r="J140" s="473">
        <v>940.23695467615789</v>
      </c>
      <c r="K140" s="473">
        <v>602.15190966898956</v>
      </c>
      <c r="L140" s="473">
        <v>952.70636846217246</v>
      </c>
      <c r="M140" s="473">
        <v>0</v>
      </c>
      <c r="N140" s="473">
        <v>0</v>
      </c>
      <c r="O140" s="473">
        <v>0</v>
      </c>
      <c r="P140" s="473">
        <v>1219.0879493577286</v>
      </c>
      <c r="Q140" s="473">
        <v>0</v>
      </c>
      <c r="R140" s="473">
        <v>796.78170439480459</v>
      </c>
      <c r="S140" s="473">
        <v>652.31584131143325</v>
      </c>
      <c r="T140" s="473">
        <v>0</v>
      </c>
      <c r="U140" s="473">
        <v>0</v>
      </c>
      <c r="V140" s="473">
        <v>0</v>
      </c>
      <c r="W140" s="473">
        <v>825.68086350463659</v>
      </c>
      <c r="X140" s="473">
        <v>0</v>
      </c>
      <c r="Y140" s="473">
        <v>0</v>
      </c>
      <c r="Z140" s="473">
        <v>0</v>
      </c>
      <c r="AA140" s="574"/>
      <c r="AB140" s="574"/>
      <c r="AC140" s="575"/>
      <c r="AD140" s="277"/>
    </row>
    <row r="141" spans="2:30" x14ac:dyDescent="0.25">
      <c r="B141" s="474" t="s">
        <v>600</v>
      </c>
      <c r="C141" s="473">
        <v>255.19856551855153</v>
      </c>
      <c r="D141" s="473">
        <v>635.52198191116645</v>
      </c>
      <c r="E141" s="473">
        <v>390.52144316711843</v>
      </c>
      <c r="F141" s="473">
        <v>0</v>
      </c>
      <c r="G141" s="473">
        <v>69.297654374995687</v>
      </c>
      <c r="H141" s="473">
        <v>118.20030800228415</v>
      </c>
      <c r="I141" s="473">
        <v>114.34791305046519</v>
      </c>
      <c r="J141" s="473">
        <v>329.5887546245807</v>
      </c>
      <c r="K141" s="473">
        <v>219.93846100522521</v>
      </c>
      <c r="L141" s="473">
        <v>186.81844742661121</v>
      </c>
      <c r="M141" s="473">
        <v>254.18542744470832</v>
      </c>
      <c r="N141" s="473">
        <v>182.86589937819792</v>
      </c>
      <c r="O141" s="473">
        <v>0</v>
      </c>
      <c r="P141" s="473">
        <v>850.661406572896</v>
      </c>
      <c r="Q141" s="473">
        <v>0</v>
      </c>
      <c r="R141" s="473">
        <v>343.26383737730703</v>
      </c>
      <c r="S141" s="473">
        <v>238.7361719150004</v>
      </c>
      <c r="T141" s="473">
        <v>115.53118168973789</v>
      </c>
      <c r="U141" s="473">
        <v>177.2997393038851</v>
      </c>
      <c r="V141" s="473">
        <v>94.881462702005351</v>
      </c>
      <c r="W141" s="473">
        <v>197.58193704886185</v>
      </c>
      <c r="X141" s="473">
        <v>117.85066644309744</v>
      </c>
      <c r="Y141" s="473">
        <v>188.73032113404275</v>
      </c>
      <c r="Z141" s="473">
        <v>101.68799298890667</v>
      </c>
      <c r="AA141" s="574"/>
      <c r="AB141" s="574"/>
      <c r="AC141" s="575"/>
      <c r="AD141" s="277"/>
    </row>
    <row r="142" spans="2:30" x14ac:dyDescent="0.25">
      <c r="B142" s="474" t="s">
        <v>821</v>
      </c>
      <c r="C142" s="473">
        <v>0</v>
      </c>
      <c r="D142" s="473">
        <v>0</v>
      </c>
      <c r="E142" s="473">
        <v>0</v>
      </c>
      <c r="F142" s="473">
        <v>0</v>
      </c>
      <c r="G142" s="473">
        <v>0</v>
      </c>
      <c r="H142" s="473">
        <v>0</v>
      </c>
      <c r="I142" s="473">
        <v>0</v>
      </c>
      <c r="J142" s="473">
        <v>0</v>
      </c>
      <c r="K142" s="473">
        <v>0</v>
      </c>
      <c r="L142" s="473">
        <v>646.2126671719634</v>
      </c>
      <c r="M142" s="473">
        <v>0</v>
      </c>
      <c r="N142" s="473">
        <v>0</v>
      </c>
      <c r="O142" s="473">
        <v>0</v>
      </c>
      <c r="P142" s="473">
        <v>0</v>
      </c>
      <c r="Q142" s="473">
        <v>0</v>
      </c>
      <c r="R142" s="473">
        <v>0</v>
      </c>
      <c r="S142" s="473">
        <v>0</v>
      </c>
      <c r="T142" s="473">
        <v>0</v>
      </c>
      <c r="U142" s="473">
        <v>0</v>
      </c>
      <c r="V142" s="473">
        <v>0</v>
      </c>
      <c r="W142" s="473">
        <v>0</v>
      </c>
      <c r="X142" s="473">
        <v>0</v>
      </c>
      <c r="Y142" s="473">
        <v>0</v>
      </c>
      <c r="Z142" s="473">
        <v>0</v>
      </c>
      <c r="AA142" s="574"/>
      <c r="AB142" s="574"/>
      <c r="AC142" s="575"/>
      <c r="AD142" s="277"/>
    </row>
    <row r="143" spans="2:30" x14ac:dyDescent="0.25">
      <c r="B143" s="474" t="s">
        <v>822</v>
      </c>
      <c r="C143" s="473">
        <v>0</v>
      </c>
      <c r="D143" s="473">
        <v>0</v>
      </c>
      <c r="E143" s="473">
        <v>0</v>
      </c>
      <c r="F143" s="473">
        <v>0</v>
      </c>
      <c r="G143" s="473">
        <v>0</v>
      </c>
      <c r="H143" s="473">
        <v>0</v>
      </c>
      <c r="I143" s="473">
        <v>0</v>
      </c>
      <c r="J143" s="473">
        <v>109.72079731843574</v>
      </c>
      <c r="K143" s="473">
        <v>109.72079731843574</v>
      </c>
      <c r="L143" s="473">
        <v>111.02699709497207</v>
      </c>
      <c r="M143" s="473">
        <v>0</v>
      </c>
      <c r="N143" s="473">
        <v>0</v>
      </c>
      <c r="O143" s="473">
        <v>0</v>
      </c>
      <c r="P143" s="473">
        <v>0</v>
      </c>
      <c r="Q143" s="473">
        <v>0</v>
      </c>
      <c r="R143" s="473">
        <v>112.33319687150838</v>
      </c>
      <c r="S143" s="473">
        <v>0</v>
      </c>
      <c r="T143" s="473">
        <v>0</v>
      </c>
      <c r="U143" s="473">
        <v>0</v>
      </c>
      <c r="V143" s="473">
        <v>0</v>
      </c>
      <c r="W143" s="473">
        <v>0</v>
      </c>
      <c r="X143" s="473">
        <v>0</v>
      </c>
      <c r="Y143" s="473">
        <v>0</v>
      </c>
      <c r="Z143" s="473">
        <v>0</v>
      </c>
      <c r="AA143" s="574"/>
      <c r="AB143" s="574"/>
      <c r="AC143" s="575"/>
      <c r="AD143" s="277"/>
    </row>
    <row r="144" spans="2:30" x14ac:dyDescent="0.25">
      <c r="B144" s="474" t="s">
        <v>823</v>
      </c>
      <c r="C144" s="473">
        <v>0</v>
      </c>
      <c r="D144" s="473">
        <v>0</v>
      </c>
      <c r="E144" s="473">
        <v>742.45523319131007</v>
      </c>
      <c r="F144" s="473">
        <v>0</v>
      </c>
      <c r="G144" s="473">
        <v>0</v>
      </c>
      <c r="H144" s="473">
        <v>453.20215029008824</v>
      </c>
      <c r="I144" s="473">
        <v>0</v>
      </c>
      <c r="J144" s="473">
        <v>577.76895184223883</v>
      </c>
      <c r="K144" s="473">
        <v>465.74375934392282</v>
      </c>
      <c r="L144" s="473">
        <v>435.8442388989024</v>
      </c>
      <c r="M144" s="473">
        <v>321.2109542771251</v>
      </c>
      <c r="N144" s="473">
        <v>0</v>
      </c>
      <c r="O144" s="473">
        <v>0</v>
      </c>
      <c r="P144" s="473">
        <v>834.82066754894549</v>
      </c>
      <c r="Q144" s="473">
        <v>0</v>
      </c>
      <c r="R144" s="473">
        <v>742.88316786872292</v>
      </c>
      <c r="S144" s="473">
        <v>454.95281655586098</v>
      </c>
      <c r="T144" s="473">
        <v>275.71083422354326</v>
      </c>
      <c r="U144" s="473">
        <v>0</v>
      </c>
      <c r="V144" s="473">
        <v>0</v>
      </c>
      <c r="W144" s="473">
        <v>405.70887767618848</v>
      </c>
      <c r="X144" s="473">
        <v>0</v>
      </c>
      <c r="Y144" s="473">
        <v>0</v>
      </c>
      <c r="Z144" s="473">
        <v>282.62735038804686</v>
      </c>
      <c r="AA144" s="574"/>
      <c r="AB144" s="574"/>
      <c r="AC144" s="575"/>
      <c r="AD144" s="277"/>
    </row>
    <row r="145" spans="2:30" x14ac:dyDescent="0.25">
      <c r="B145" s="474" t="s">
        <v>824</v>
      </c>
      <c r="C145" s="473">
        <v>370.43374057199952</v>
      </c>
      <c r="D145" s="473">
        <v>442.52484501009326</v>
      </c>
      <c r="E145" s="473">
        <v>452.31003680223603</v>
      </c>
      <c r="F145" s="473">
        <v>0</v>
      </c>
      <c r="G145" s="473">
        <v>0</v>
      </c>
      <c r="H145" s="473">
        <v>211.72356353841323</v>
      </c>
      <c r="I145" s="473">
        <v>178.60154628031324</v>
      </c>
      <c r="J145" s="473">
        <v>369.86065000116969</v>
      </c>
      <c r="K145" s="473">
        <v>256.09923769160201</v>
      </c>
      <c r="L145" s="473">
        <v>306.76182892618476</v>
      </c>
      <c r="M145" s="473">
        <v>0</v>
      </c>
      <c r="N145" s="473">
        <v>0</v>
      </c>
      <c r="O145" s="473">
        <v>0</v>
      </c>
      <c r="P145" s="473">
        <v>1477.3921278034363</v>
      </c>
      <c r="Q145" s="473">
        <v>0</v>
      </c>
      <c r="R145" s="473">
        <v>502.27583883146912</v>
      </c>
      <c r="S145" s="473">
        <v>274.75802678269088</v>
      </c>
      <c r="T145" s="473">
        <v>154.04650719988823</v>
      </c>
      <c r="U145" s="473">
        <v>158.51024015400083</v>
      </c>
      <c r="V145" s="473">
        <v>129.98659517972311</v>
      </c>
      <c r="W145" s="473">
        <v>0</v>
      </c>
      <c r="X145" s="473">
        <v>180.13075574399846</v>
      </c>
      <c r="Y145" s="473">
        <v>225.50739888786643</v>
      </c>
      <c r="Z145" s="473">
        <v>151.86222225075687</v>
      </c>
      <c r="AA145" s="574"/>
      <c r="AB145" s="574"/>
      <c r="AC145" s="575"/>
      <c r="AD145" s="277"/>
    </row>
    <row r="146" spans="2:30" x14ac:dyDescent="0.25">
      <c r="B146" s="474" t="s">
        <v>825</v>
      </c>
      <c r="C146" s="473">
        <v>0</v>
      </c>
      <c r="D146" s="473">
        <v>0</v>
      </c>
      <c r="E146" s="473">
        <v>0</v>
      </c>
      <c r="F146" s="473">
        <v>0</v>
      </c>
      <c r="G146" s="473">
        <v>0</v>
      </c>
      <c r="H146" s="473">
        <v>0</v>
      </c>
      <c r="I146" s="473">
        <v>0</v>
      </c>
      <c r="J146" s="473">
        <v>0</v>
      </c>
      <c r="K146" s="473">
        <v>0</v>
      </c>
      <c r="L146" s="473">
        <v>103.53843744600664</v>
      </c>
      <c r="M146" s="473">
        <v>0</v>
      </c>
      <c r="N146" s="473">
        <v>0</v>
      </c>
      <c r="O146" s="473">
        <v>0</v>
      </c>
      <c r="P146" s="473">
        <v>0</v>
      </c>
      <c r="Q146" s="473">
        <v>0</v>
      </c>
      <c r="R146" s="473">
        <v>0</v>
      </c>
      <c r="S146" s="473">
        <v>0</v>
      </c>
      <c r="T146" s="473">
        <v>0</v>
      </c>
      <c r="U146" s="473">
        <v>0</v>
      </c>
      <c r="V146" s="473">
        <v>0</v>
      </c>
      <c r="W146" s="473">
        <v>0</v>
      </c>
      <c r="X146" s="473">
        <v>0</v>
      </c>
      <c r="Y146" s="473">
        <v>0</v>
      </c>
      <c r="Z146" s="473">
        <v>0</v>
      </c>
      <c r="AA146" s="574"/>
      <c r="AB146" s="574"/>
      <c r="AC146" s="575"/>
      <c r="AD146" s="277"/>
    </row>
    <row r="147" spans="2:30" x14ac:dyDescent="0.25">
      <c r="B147" s="474" t="s">
        <v>826</v>
      </c>
      <c r="C147" s="473">
        <v>0</v>
      </c>
      <c r="D147" s="473">
        <v>0</v>
      </c>
      <c r="E147" s="473">
        <v>0</v>
      </c>
      <c r="F147" s="473">
        <v>0</v>
      </c>
      <c r="G147" s="473">
        <v>0</v>
      </c>
      <c r="H147" s="473">
        <v>0</v>
      </c>
      <c r="I147" s="473">
        <v>0</v>
      </c>
      <c r="J147" s="473">
        <v>0</v>
      </c>
      <c r="K147" s="473">
        <v>0</v>
      </c>
      <c r="L147" s="473">
        <v>1013.2365573009779</v>
      </c>
      <c r="M147" s="473">
        <v>0</v>
      </c>
      <c r="N147" s="473">
        <v>0</v>
      </c>
      <c r="O147" s="473">
        <v>0</v>
      </c>
      <c r="P147" s="473">
        <v>0</v>
      </c>
      <c r="Q147" s="473">
        <v>0</v>
      </c>
      <c r="R147" s="473">
        <v>0</v>
      </c>
      <c r="S147" s="473">
        <v>0</v>
      </c>
      <c r="T147" s="473">
        <v>0</v>
      </c>
      <c r="U147" s="473">
        <v>0</v>
      </c>
      <c r="V147" s="473">
        <v>0</v>
      </c>
      <c r="W147" s="473">
        <v>0</v>
      </c>
      <c r="X147" s="473">
        <v>0</v>
      </c>
      <c r="Y147" s="473">
        <v>0</v>
      </c>
      <c r="Z147" s="473">
        <v>0</v>
      </c>
      <c r="AA147" s="574"/>
      <c r="AB147" s="574"/>
      <c r="AC147" s="575"/>
      <c r="AD147" s="277"/>
    </row>
    <row r="148" spans="2:30" x14ac:dyDescent="0.25">
      <c r="B148" s="474" t="s">
        <v>827</v>
      </c>
      <c r="C148" s="473">
        <v>0</v>
      </c>
      <c r="D148" s="473">
        <v>0</v>
      </c>
      <c r="E148" s="473">
        <v>750.91380106114889</v>
      </c>
      <c r="F148" s="473">
        <v>0</v>
      </c>
      <c r="G148" s="473">
        <v>0</v>
      </c>
      <c r="H148" s="473">
        <v>0</v>
      </c>
      <c r="I148" s="473">
        <v>0</v>
      </c>
      <c r="J148" s="473">
        <v>0</v>
      </c>
      <c r="K148" s="473">
        <v>0</v>
      </c>
      <c r="L148" s="473">
        <v>792.80832662588023</v>
      </c>
      <c r="M148" s="473">
        <v>0</v>
      </c>
      <c r="N148" s="473">
        <v>0</v>
      </c>
      <c r="O148" s="473">
        <v>0</v>
      </c>
      <c r="P148" s="473">
        <v>0</v>
      </c>
      <c r="Q148" s="473">
        <v>0</v>
      </c>
      <c r="R148" s="473">
        <v>834.70285219061145</v>
      </c>
      <c r="S148" s="473">
        <v>0</v>
      </c>
      <c r="T148" s="473">
        <v>0</v>
      </c>
      <c r="U148" s="473">
        <v>0</v>
      </c>
      <c r="V148" s="473">
        <v>0</v>
      </c>
      <c r="W148" s="473">
        <v>0</v>
      </c>
      <c r="X148" s="473">
        <v>0</v>
      </c>
      <c r="Y148" s="473">
        <v>0</v>
      </c>
      <c r="Z148" s="473">
        <v>0</v>
      </c>
      <c r="AA148" s="574"/>
      <c r="AB148" s="574"/>
      <c r="AC148" s="575"/>
      <c r="AD148" s="277"/>
    </row>
    <row r="149" spans="2:30" x14ac:dyDescent="0.25">
      <c r="B149" s="474" t="s">
        <v>828</v>
      </c>
      <c r="C149" s="473">
        <v>0</v>
      </c>
      <c r="D149" s="473">
        <v>0</v>
      </c>
      <c r="E149" s="473">
        <v>514.80084219547155</v>
      </c>
      <c r="F149" s="473">
        <v>0</v>
      </c>
      <c r="G149" s="473">
        <v>0</v>
      </c>
      <c r="H149" s="473">
        <v>400.58061453526898</v>
      </c>
      <c r="I149" s="473">
        <v>210.91427529859897</v>
      </c>
      <c r="J149" s="473">
        <v>581.75679119857796</v>
      </c>
      <c r="K149" s="473">
        <v>316.53121084892808</v>
      </c>
      <c r="L149" s="473">
        <v>466.91403110485965</v>
      </c>
      <c r="M149" s="473">
        <v>0</v>
      </c>
      <c r="N149" s="473">
        <v>0</v>
      </c>
      <c r="O149" s="473">
        <v>0</v>
      </c>
      <c r="P149" s="473">
        <v>0</v>
      </c>
      <c r="Q149" s="473">
        <v>0</v>
      </c>
      <c r="R149" s="473">
        <v>493.68099819153178</v>
      </c>
      <c r="S149" s="473">
        <v>0</v>
      </c>
      <c r="T149" s="473">
        <v>0</v>
      </c>
      <c r="U149" s="473">
        <v>0</v>
      </c>
      <c r="V149" s="473">
        <v>0</v>
      </c>
      <c r="W149" s="473">
        <v>0</v>
      </c>
      <c r="X149" s="473">
        <v>0</v>
      </c>
      <c r="Y149" s="473">
        <v>0</v>
      </c>
      <c r="Z149" s="473">
        <v>0</v>
      </c>
      <c r="AA149" s="574"/>
      <c r="AB149" s="574"/>
      <c r="AC149" s="575"/>
      <c r="AD149" s="277"/>
    </row>
    <row r="150" spans="2:30" x14ac:dyDescent="0.25">
      <c r="B150" s="474" t="s">
        <v>829</v>
      </c>
      <c r="C150" s="473">
        <v>0</v>
      </c>
      <c r="D150" s="473">
        <v>0</v>
      </c>
      <c r="E150" s="473">
        <v>0</v>
      </c>
      <c r="F150" s="473">
        <v>0</v>
      </c>
      <c r="G150" s="473">
        <v>0</v>
      </c>
      <c r="H150" s="473">
        <v>0</v>
      </c>
      <c r="I150" s="473">
        <v>0</v>
      </c>
      <c r="J150" s="473">
        <v>856.19283968210163</v>
      </c>
      <c r="K150" s="473">
        <v>0</v>
      </c>
      <c r="L150" s="473">
        <v>856.19283968210163</v>
      </c>
      <c r="M150" s="473">
        <v>0</v>
      </c>
      <c r="N150" s="473">
        <v>0</v>
      </c>
      <c r="O150" s="473">
        <v>0</v>
      </c>
      <c r="P150" s="473">
        <v>0</v>
      </c>
      <c r="Q150" s="473">
        <v>0</v>
      </c>
      <c r="R150" s="473">
        <v>0</v>
      </c>
      <c r="S150" s="473">
        <v>0</v>
      </c>
      <c r="T150" s="473">
        <v>0</v>
      </c>
      <c r="U150" s="473">
        <v>0</v>
      </c>
      <c r="V150" s="473">
        <v>0</v>
      </c>
      <c r="W150" s="473">
        <v>0</v>
      </c>
      <c r="X150" s="473">
        <v>0</v>
      </c>
      <c r="Y150" s="473">
        <v>0</v>
      </c>
      <c r="Z150" s="473">
        <v>0</v>
      </c>
      <c r="AA150" s="574"/>
      <c r="AB150" s="574"/>
      <c r="AC150" s="575"/>
      <c r="AD150" s="277"/>
    </row>
    <row r="151" spans="2:30" x14ac:dyDescent="0.25">
      <c r="B151" s="474" t="s">
        <v>830</v>
      </c>
      <c r="C151" s="473">
        <v>0</v>
      </c>
      <c r="D151" s="473">
        <v>0</v>
      </c>
      <c r="E151" s="473">
        <v>775.61152277395627</v>
      </c>
      <c r="F151" s="473">
        <v>0</v>
      </c>
      <c r="G151" s="473">
        <v>0</v>
      </c>
      <c r="H151" s="473">
        <v>0</v>
      </c>
      <c r="I151" s="473">
        <v>0</v>
      </c>
      <c r="J151" s="473">
        <v>1002.1783960373002</v>
      </c>
      <c r="K151" s="473">
        <v>0</v>
      </c>
      <c r="L151" s="473">
        <v>929.4031021966947</v>
      </c>
      <c r="M151" s="473">
        <v>0</v>
      </c>
      <c r="N151" s="473">
        <v>0</v>
      </c>
      <c r="O151" s="473">
        <v>0</v>
      </c>
      <c r="P151" s="473">
        <v>1468.8126840850837</v>
      </c>
      <c r="Q151" s="473">
        <v>0</v>
      </c>
      <c r="R151" s="473">
        <v>0</v>
      </c>
      <c r="S151" s="473">
        <v>0</v>
      </c>
      <c r="T151" s="473">
        <v>0</v>
      </c>
      <c r="U151" s="473">
        <v>0</v>
      </c>
      <c r="V151" s="473">
        <v>0</v>
      </c>
      <c r="W151" s="473">
        <v>479.25079763196578</v>
      </c>
      <c r="X151" s="473">
        <v>0</v>
      </c>
      <c r="Y151" s="473">
        <v>0</v>
      </c>
      <c r="Z151" s="473">
        <v>0</v>
      </c>
      <c r="AA151" s="574"/>
      <c r="AB151" s="574"/>
      <c r="AC151" s="575"/>
      <c r="AD151" s="277"/>
    </row>
    <row r="152" spans="2:30" x14ac:dyDescent="0.25">
      <c r="B152" s="474" t="s">
        <v>831</v>
      </c>
      <c r="C152" s="473">
        <v>928.11236981840136</v>
      </c>
      <c r="D152" s="473">
        <v>1495.5902003227839</v>
      </c>
      <c r="E152" s="473">
        <v>1275.3981805257265</v>
      </c>
      <c r="F152" s="473">
        <v>0</v>
      </c>
      <c r="G152" s="473">
        <v>0</v>
      </c>
      <c r="H152" s="473">
        <v>803.94377490421459</v>
      </c>
      <c r="I152" s="473">
        <v>0</v>
      </c>
      <c r="J152" s="473">
        <v>946.44136393779229</v>
      </c>
      <c r="K152" s="473">
        <v>772.83702563638269</v>
      </c>
      <c r="L152" s="473">
        <v>1067.9046513232963</v>
      </c>
      <c r="M152" s="473">
        <v>0</v>
      </c>
      <c r="N152" s="473">
        <v>0</v>
      </c>
      <c r="O152" s="473">
        <v>0</v>
      </c>
      <c r="P152" s="473">
        <v>1975.143001486905</v>
      </c>
      <c r="Q152" s="473">
        <v>0</v>
      </c>
      <c r="R152" s="473">
        <v>1024.1044639597208</v>
      </c>
      <c r="S152" s="473">
        <v>985.71226232295624</v>
      </c>
      <c r="T152" s="473">
        <v>689.68702230261999</v>
      </c>
      <c r="U152" s="473">
        <v>811.87110824819911</v>
      </c>
      <c r="V152" s="473">
        <v>384.26046711803917</v>
      </c>
      <c r="W152" s="473">
        <v>1031.3377232548678</v>
      </c>
      <c r="X152" s="473">
        <v>755.69671329187008</v>
      </c>
      <c r="Y152" s="473">
        <v>843.67598330289206</v>
      </c>
      <c r="Z152" s="473">
        <v>0</v>
      </c>
      <c r="AA152" s="574"/>
      <c r="AB152" s="574"/>
      <c r="AC152" s="575"/>
      <c r="AD152" s="277"/>
    </row>
    <row r="153" spans="2:30" x14ac:dyDescent="0.25">
      <c r="B153" s="474" t="s">
        <v>832</v>
      </c>
      <c r="C153" s="473">
        <v>0</v>
      </c>
      <c r="D153" s="473">
        <v>0</v>
      </c>
      <c r="E153" s="473">
        <v>0</v>
      </c>
      <c r="F153" s="473">
        <v>0</v>
      </c>
      <c r="G153" s="473">
        <v>0</v>
      </c>
      <c r="H153" s="473">
        <v>0</v>
      </c>
      <c r="I153" s="473">
        <v>0</v>
      </c>
      <c r="J153" s="473">
        <v>0</v>
      </c>
      <c r="K153" s="473">
        <v>0</v>
      </c>
      <c r="L153" s="473">
        <v>467.80194541682397</v>
      </c>
      <c r="M153" s="473">
        <v>0</v>
      </c>
      <c r="N153" s="473">
        <v>0</v>
      </c>
      <c r="O153" s="473">
        <v>0</v>
      </c>
      <c r="P153" s="473">
        <v>0</v>
      </c>
      <c r="Q153" s="473">
        <v>0</v>
      </c>
      <c r="R153" s="473">
        <v>0</v>
      </c>
      <c r="S153" s="473">
        <v>0</v>
      </c>
      <c r="T153" s="473">
        <v>0</v>
      </c>
      <c r="U153" s="473">
        <v>0</v>
      </c>
      <c r="V153" s="473">
        <v>0</v>
      </c>
      <c r="W153" s="473">
        <v>0</v>
      </c>
      <c r="X153" s="473">
        <v>0</v>
      </c>
      <c r="Y153" s="473">
        <v>0</v>
      </c>
      <c r="Z153" s="473">
        <v>0</v>
      </c>
      <c r="AA153" s="574"/>
      <c r="AB153" s="574"/>
      <c r="AC153" s="575"/>
      <c r="AD153" s="277"/>
    </row>
    <row r="154" spans="2:30" x14ac:dyDescent="0.25">
      <c r="B154" s="474" t="s">
        <v>583</v>
      </c>
      <c r="C154" s="473">
        <v>0</v>
      </c>
      <c r="D154" s="473">
        <v>816.6090681222289</v>
      </c>
      <c r="E154" s="473">
        <v>599.62534227042772</v>
      </c>
      <c r="F154" s="473">
        <v>0</v>
      </c>
      <c r="G154" s="473">
        <v>0</v>
      </c>
      <c r="H154" s="473">
        <v>0</v>
      </c>
      <c r="I154" s="473">
        <v>0</v>
      </c>
      <c r="J154" s="473">
        <v>566.72625358597168</v>
      </c>
      <c r="K154" s="473">
        <v>372.24868970045293</v>
      </c>
      <c r="L154" s="473">
        <v>440.54255358986796</v>
      </c>
      <c r="M154" s="473">
        <v>438.15920712803467</v>
      </c>
      <c r="N154" s="473">
        <v>333.82001052171188</v>
      </c>
      <c r="O154" s="473">
        <v>0</v>
      </c>
      <c r="P154" s="473">
        <v>1047.1890207986285</v>
      </c>
      <c r="Q154" s="473">
        <v>0</v>
      </c>
      <c r="R154" s="473">
        <v>521.55005440320338</v>
      </c>
      <c r="S154" s="473">
        <v>390.78665422721576</v>
      </c>
      <c r="T154" s="473">
        <v>150.25181576805483</v>
      </c>
      <c r="U154" s="473">
        <v>342.22341087023483</v>
      </c>
      <c r="V154" s="473">
        <v>147.02013209825549</v>
      </c>
      <c r="W154" s="473">
        <v>0</v>
      </c>
      <c r="X154" s="473">
        <v>272.39484903229697</v>
      </c>
      <c r="Y154" s="473">
        <v>466.14714490988558</v>
      </c>
      <c r="Z154" s="473">
        <v>137.09272465626876</v>
      </c>
      <c r="AA154" s="574"/>
      <c r="AB154" s="574"/>
      <c r="AC154" s="575"/>
      <c r="AD154" s="277"/>
    </row>
    <row r="155" spans="2:30" x14ac:dyDescent="0.25">
      <c r="B155" s="474" t="s">
        <v>833</v>
      </c>
      <c r="C155" s="473">
        <v>0</v>
      </c>
      <c r="D155" s="473">
        <v>825.55390231404624</v>
      </c>
      <c r="E155" s="473">
        <v>0</v>
      </c>
      <c r="F155" s="473">
        <v>0</v>
      </c>
      <c r="G155" s="473">
        <v>0</v>
      </c>
      <c r="H155" s="473">
        <v>0</v>
      </c>
      <c r="I155" s="473">
        <v>0</v>
      </c>
      <c r="J155" s="473">
        <v>0</v>
      </c>
      <c r="K155" s="473">
        <v>0</v>
      </c>
      <c r="L155" s="473">
        <v>1325.3675482355293</v>
      </c>
      <c r="M155" s="473">
        <v>0</v>
      </c>
      <c r="N155" s="473">
        <v>0</v>
      </c>
      <c r="O155" s="473">
        <v>0</v>
      </c>
      <c r="P155" s="473">
        <v>1777.5865463744256</v>
      </c>
      <c r="Q155" s="473">
        <v>920.74319787922013</v>
      </c>
      <c r="R155" s="473">
        <v>0</v>
      </c>
      <c r="S155" s="473">
        <v>0</v>
      </c>
      <c r="T155" s="473">
        <v>0</v>
      </c>
      <c r="U155" s="473">
        <v>0</v>
      </c>
      <c r="V155" s="473">
        <v>0</v>
      </c>
      <c r="W155" s="473">
        <v>0</v>
      </c>
      <c r="X155" s="473">
        <v>0</v>
      </c>
      <c r="Y155" s="473">
        <v>0</v>
      </c>
      <c r="Z155" s="473">
        <v>0</v>
      </c>
      <c r="AA155" s="574"/>
      <c r="AB155" s="574"/>
      <c r="AC155" s="575"/>
      <c r="AD155" s="277"/>
    </row>
    <row r="156" spans="2:30" x14ac:dyDescent="0.25">
      <c r="B156" s="474" t="s">
        <v>834</v>
      </c>
      <c r="C156" s="473">
        <v>0</v>
      </c>
      <c r="D156" s="473">
        <v>1075.3563923493259</v>
      </c>
      <c r="E156" s="473">
        <v>0</v>
      </c>
      <c r="F156" s="473">
        <v>0</v>
      </c>
      <c r="G156" s="473">
        <v>0</v>
      </c>
      <c r="H156" s="473">
        <v>0</v>
      </c>
      <c r="I156" s="473">
        <v>0</v>
      </c>
      <c r="J156" s="473">
        <v>1136.4330394362407</v>
      </c>
      <c r="K156" s="473">
        <v>0</v>
      </c>
      <c r="L156" s="473">
        <v>1525.8809509683808</v>
      </c>
      <c r="M156" s="473">
        <v>0</v>
      </c>
      <c r="N156" s="473">
        <v>0</v>
      </c>
      <c r="O156" s="473">
        <v>0</v>
      </c>
      <c r="P156" s="473">
        <v>2078.5340123027613</v>
      </c>
      <c r="Q156" s="473">
        <v>409.35388771770471</v>
      </c>
      <c r="R156" s="473">
        <v>848.47144181540193</v>
      </c>
      <c r="S156" s="473">
        <v>0</v>
      </c>
      <c r="T156" s="473">
        <v>0</v>
      </c>
      <c r="U156" s="473">
        <v>0</v>
      </c>
      <c r="V156" s="473">
        <v>0</v>
      </c>
      <c r="W156" s="473">
        <v>1103.273713341543</v>
      </c>
      <c r="X156" s="473">
        <v>0</v>
      </c>
      <c r="Y156" s="473">
        <v>0</v>
      </c>
      <c r="Z156" s="473">
        <v>0</v>
      </c>
      <c r="AA156" s="574"/>
      <c r="AB156" s="574"/>
      <c r="AC156" s="575"/>
      <c r="AD156" s="277"/>
    </row>
    <row r="157" spans="2:30" x14ac:dyDescent="0.25">
      <c r="B157" s="474" t="s">
        <v>835</v>
      </c>
      <c r="C157" s="473">
        <v>0</v>
      </c>
      <c r="D157" s="473">
        <v>0</v>
      </c>
      <c r="E157" s="473">
        <v>0</v>
      </c>
      <c r="F157" s="473">
        <v>0</v>
      </c>
      <c r="G157" s="473">
        <v>0</v>
      </c>
      <c r="H157" s="473">
        <v>0</v>
      </c>
      <c r="I157" s="473">
        <v>0</v>
      </c>
      <c r="J157" s="473">
        <v>0</v>
      </c>
      <c r="K157" s="473">
        <v>0</v>
      </c>
      <c r="L157" s="473">
        <v>1519.6301522144081</v>
      </c>
      <c r="M157" s="473">
        <v>0</v>
      </c>
      <c r="N157" s="473">
        <v>0</v>
      </c>
      <c r="O157" s="473">
        <v>0</v>
      </c>
      <c r="P157" s="473">
        <v>1722.3592595419427</v>
      </c>
      <c r="Q157" s="473">
        <v>0</v>
      </c>
      <c r="R157" s="473">
        <v>0</v>
      </c>
      <c r="S157" s="473">
        <v>0</v>
      </c>
      <c r="T157" s="473">
        <v>0</v>
      </c>
      <c r="U157" s="473">
        <v>0</v>
      </c>
      <c r="V157" s="473">
        <v>0</v>
      </c>
      <c r="W157" s="473">
        <v>1114.1719375593393</v>
      </c>
      <c r="X157" s="473">
        <v>0</v>
      </c>
      <c r="Y157" s="473">
        <v>0</v>
      </c>
      <c r="Z157" s="473">
        <v>0</v>
      </c>
      <c r="AA157" s="574"/>
      <c r="AB157" s="574"/>
      <c r="AC157" s="575"/>
      <c r="AD157" s="277"/>
    </row>
    <row r="158" spans="2:30" x14ac:dyDescent="0.25">
      <c r="B158" s="474" t="s">
        <v>836</v>
      </c>
      <c r="C158" s="473">
        <v>0</v>
      </c>
      <c r="D158" s="473">
        <v>0</v>
      </c>
      <c r="E158" s="473">
        <v>0</v>
      </c>
      <c r="F158" s="473">
        <v>0</v>
      </c>
      <c r="G158" s="473">
        <v>0</v>
      </c>
      <c r="H158" s="473">
        <v>0</v>
      </c>
      <c r="I158" s="473">
        <v>0</v>
      </c>
      <c r="J158" s="473">
        <v>1272.4411464547582</v>
      </c>
      <c r="K158" s="473">
        <v>0</v>
      </c>
      <c r="L158" s="473">
        <v>1445.1068379343312</v>
      </c>
      <c r="M158" s="473">
        <v>0</v>
      </c>
      <c r="N158" s="473">
        <v>0</v>
      </c>
      <c r="O158" s="473">
        <v>0</v>
      </c>
      <c r="P158" s="473">
        <v>1643.2178129141025</v>
      </c>
      <c r="Q158" s="473">
        <v>0</v>
      </c>
      <c r="R158" s="473">
        <v>0</v>
      </c>
      <c r="S158" s="473">
        <v>0</v>
      </c>
      <c r="T158" s="473">
        <v>0</v>
      </c>
      <c r="U158" s="473">
        <v>0</v>
      </c>
      <c r="V158" s="473">
        <v>0</v>
      </c>
      <c r="W158" s="473">
        <v>1023.4396044745905</v>
      </c>
      <c r="X158" s="473">
        <v>0</v>
      </c>
      <c r="Y158" s="473">
        <v>0</v>
      </c>
      <c r="Z158" s="473">
        <v>0</v>
      </c>
      <c r="AA158" s="574"/>
      <c r="AB158" s="574"/>
      <c r="AC158" s="574"/>
      <c r="AD158" s="277"/>
    </row>
    <row r="159" spans="2:30" x14ac:dyDescent="0.25">
      <c r="B159" s="474" t="s">
        <v>837</v>
      </c>
      <c r="C159" s="473">
        <v>0</v>
      </c>
      <c r="D159" s="473">
        <v>0</v>
      </c>
      <c r="E159" s="473">
        <v>0</v>
      </c>
      <c r="F159" s="473">
        <v>0</v>
      </c>
      <c r="G159" s="473">
        <v>0</v>
      </c>
      <c r="H159" s="473">
        <v>0</v>
      </c>
      <c r="I159" s="473">
        <v>0</v>
      </c>
      <c r="J159" s="473">
        <v>0</v>
      </c>
      <c r="K159" s="473">
        <v>0</v>
      </c>
      <c r="L159" s="473">
        <v>514.6593428041657</v>
      </c>
      <c r="M159" s="473">
        <v>0</v>
      </c>
      <c r="N159" s="473">
        <v>0</v>
      </c>
      <c r="O159" s="473">
        <v>0</v>
      </c>
      <c r="P159" s="473">
        <v>0</v>
      </c>
      <c r="Q159" s="473">
        <v>0</v>
      </c>
      <c r="R159" s="473">
        <v>0</v>
      </c>
      <c r="S159" s="473">
        <v>0</v>
      </c>
      <c r="T159" s="473">
        <v>0</v>
      </c>
      <c r="U159" s="473">
        <v>0</v>
      </c>
      <c r="V159" s="473">
        <v>0</v>
      </c>
      <c r="W159" s="473">
        <v>0</v>
      </c>
      <c r="X159" s="473">
        <v>0</v>
      </c>
      <c r="Y159" s="473">
        <v>0</v>
      </c>
      <c r="Z159" s="473">
        <v>0</v>
      </c>
      <c r="AA159" s="574"/>
      <c r="AB159" s="574"/>
      <c r="AC159" s="574"/>
      <c r="AD159" s="277"/>
    </row>
    <row r="160" spans="2:30" x14ac:dyDescent="0.25">
      <c r="B160" s="474" t="s">
        <v>838</v>
      </c>
      <c r="C160" s="473">
        <v>0</v>
      </c>
      <c r="D160" s="473">
        <v>0</v>
      </c>
      <c r="E160" s="473">
        <v>0</v>
      </c>
      <c r="F160" s="473">
        <v>0</v>
      </c>
      <c r="G160" s="473">
        <v>0</v>
      </c>
      <c r="H160" s="473">
        <v>0</v>
      </c>
      <c r="I160" s="473">
        <v>0</v>
      </c>
      <c r="J160" s="473">
        <v>0</v>
      </c>
      <c r="K160" s="473">
        <v>0</v>
      </c>
      <c r="L160" s="473">
        <v>596.90242833808054</v>
      </c>
      <c r="M160" s="473">
        <v>0</v>
      </c>
      <c r="N160" s="473">
        <v>0</v>
      </c>
      <c r="O160" s="473">
        <v>0</v>
      </c>
      <c r="P160" s="473">
        <v>1076.8455769324362</v>
      </c>
      <c r="Q160" s="473">
        <v>116.95927974372515</v>
      </c>
      <c r="R160" s="473">
        <v>0</v>
      </c>
      <c r="S160" s="473">
        <v>0</v>
      </c>
      <c r="T160" s="473">
        <v>0</v>
      </c>
      <c r="U160" s="473">
        <v>0</v>
      </c>
      <c r="V160" s="473">
        <v>0</v>
      </c>
      <c r="W160" s="473">
        <v>0</v>
      </c>
      <c r="X160" s="473">
        <v>0</v>
      </c>
      <c r="Y160" s="473">
        <v>0</v>
      </c>
      <c r="Z160" s="473">
        <v>0</v>
      </c>
      <c r="AA160" s="574"/>
      <c r="AB160" s="574"/>
      <c r="AC160" s="574"/>
      <c r="AD160" s="277"/>
    </row>
    <row r="161" spans="2:30" x14ac:dyDescent="0.25">
      <c r="B161" s="474" t="s">
        <v>839</v>
      </c>
      <c r="C161" s="473">
        <v>0</v>
      </c>
      <c r="D161" s="473">
        <v>0</v>
      </c>
      <c r="E161" s="473">
        <v>0</v>
      </c>
      <c r="F161" s="473">
        <v>0</v>
      </c>
      <c r="G161" s="473">
        <v>0</v>
      </c>
      <c r="H161" s="473">
        <v>0</v>
      </c>
      <c r="I161" s="473">
        <v>0</v>
      </c>
      <c r="J161" s="473">
        <v>0</v>
      </c>
      <c r="K161" s="473">
        <v>0</v>
      </c>
      <c r="L161" s="473">
        <v>1094.8154657293499</v>
      </c>
      <c r="M161" s="473">
        <v>0</v>
      </c>
      <c r="N161" s="473">
        <v>0</v>
      </c>
      <c r="O161" s="473">
        <v>0</v>
      </c>
      <c r="P161" s="473">
        <v>0</v>
      </c>
      <c r="Q161" s="473">
        <v>0</v>
      </c>
      <c r="R161" s="473">
        <v>0</v>
      </c>
      <c r="S161" s="473">
        <v>0</v>
      </c>
      <c r="T161" s="473">
        <v>0</v>
      </c>
      <c r="U161" s="473">
        <v>0</v>
      </c>
      <c r="V161" s="473">
        <v>0</v>
      </c>
      <c r="W161" s="473">
        <v>0</v>
      </c>
      <c r="X161" s="473">
        <v>0</v>
      </c>
      <c r="Y161" s="473">
        <v>0</v>
      </c>
      <c r="Z161" s="473">
        <v>0</v>
      </c>
      <c r="AA161" s="574"/>
      <c r="AB161" s="574"/>
      <c r="AC161" s="574"/>
      <c r="AD161" s="277"/>
    </row>
    <row r="162" spans="2:30" x14ac:dyDescent="0.25">
      <c r="B162" s="474" t="s">
        <v>840</v>
      </c>
      <c r="C162" s="473">
        <v>0</v>
      </c>
      <c r="D162" s="473">
        <v>0</v>
      </c>
      <c r="E162" s="473">
        <v>0</v>
      </c>
      <c r="F162" s="473">
        <v>0</v>
      </c>
      <c r="G162" s="473">
        <v>0</v>
      </c>
      <c r="H162" s="473">
        <v>0</v>
      </c>
      <c r="I162" s="473">
        <v>0</v>
      </c>
      <c r="J162" s="473">
        <v>0</v>
      </c>
      <c r="K162" s="473">
        <v>0</v>
      </c>
      <c r="L162" s="473">
        <v>2244.4284638763729</v>
      </c>
      <c r="M162" s="473">
        <v>0</v>
      </c>
      <c r="N162" s="473">
        <v>0</v>
      </c>
      <c r="O162" s="473">
        <v>0</v>
      </c>
      <c r="P162" s="473">
        <v>0</v>
      </c>
      <c r="Q162" s="473">
        <v>0</v>
      </c>
      <c r="R162" s="473">
        <v>0</v>
      </c>
      <c r="S162" s="473">
        <v>0</v>
      </c>
      <c r="T162" s="473">
        <v>0</v>
      </c>
      <c r="U162" s="473">
        <v>0</v>
      </c>
      <c r="V162" s="473">
        <v>0</v>
      </c>
      <c r="W162" s="473">
        <v>0</v>
      </c>
      <c r="X162" s="473">
        <v>0</v>
      </c>
      <c r="Y162" s="473">
        <v>0</v>
      </c>
      <c r="Z162" s="473">
        <v>0</v>
      </c>
      <c r="AA162" s="574"/>
      <c r="AB162" s="574"/>
      <c r="AC162" s="574"/>
      <c r="AD162" s="277"/>
    </row>
    <row r="163" spans="2:30" x14ac:dyDescent="0.25">
      <c r="B163" s="474" t="s">
        <v>841</v>
      </c>
      <c r="C163" s="473">
        <v>0</v>
      </c>
      <c r="D163" s="473">
        <v>0</v>
      </c>
      <c r="E163" s="473">
        <v>0</v>
      </c>
      <c r="F163" s="473">
        <v>0</v>
      </c>
      <c r="G163" s="473">
        <v>0</v>
      </c>
      <c r="H163" s="473">
        <v>0</v>
      </c>
      <c r="I163" s="473">
        <v>0</v>
      </c>
      <c r="J163" s="473">
        <v>0</v>
      </c>
      <c r="K163" s="473">
        <v>0</v>
      </c>
      <c r="L163" s="473">
        <v>1630.5337271781357</v>
      </c>
      <c r="M163" s="473">
        <v>0</v>
      </c>
      <c r="N163" s="473">
        <v>0</v>
      </c>
      <c r="O163" s="473">
        <v>0</v>
      </c>
      <c r="P163" s="473">
        <v>1896.0620927575656</v>
      </c>
      <c r="Q163" s="473">
        <v>0</v>
      </c>
      <c r="R163" s="473">
        <v>568.42026486041425</v>
      </c>
      <c r="S163" s="473">
        <v>0</v>
      </c>
      <c r="T163" s="473">
        <v>0</v>
      </c>
      <c r="U163" s="473">
        <v>0</v>
      </c>
      <c r="V163" s="473">
        <v>0</v>
      </c>
      <c r="W163" s="473">
        <v>0</v>
      </c>
      <c r="X163" s="473">
        <v>0</v>
      </c>
      <c r="Y163" s="473">
        <v>0</v>
      </c>
      <c r="Z163" s="473">
        <v>0</v>
      </c>
      <c r="AA163" s="574"/>
      <c r="AB163" s="574"/>
      <c r="AC163" s="574"/>
      <c r="AD163" s="277"/>
    </row>
    <row r="164" spans="2:30" x14ac:dyDescent="0.25">
      <c r="B164" s="474" t="s">
        <v>842</v>
      </c>
      <c r="C164" s="473">
        <v>0</v>
      </c>
      <c r="D164" s="473">
        <v>0</v>
      </c>
      <c r="E164" s="473">
        <v>0</v>
      </c>
      <c r="F164" s="473">
        <v>0</v>
      </c>
      <c r="G164" s="473">
        <v>0</v>
      </c>
      <c r="H164" s="473">
        <v>0</v>
      </c>
      <c r="I164" s="473">
        <v>0</v>
      </c>
      <c r="J164" s="473">
        <v>2355.9235618240127</v>
      </c>
      <c r="K164" s="473">
        <v>1553.2550166247631</v>
      </c>
      <c r="L164" s="473">
        <v>2329.3827529540126</v>
      </c>
      <c r="M164" s="473">
        <v>0</v>
      </c>
      <c r="N164" s="473">
        <v>0</v>
      </c>
      <c r="O164" s="473">
        <v>0</v>
      </c>
      <c r="P164" s="473">
        <v>3024.5604528495742</v>
      </c>
      <c r="Q164" s="473">
        <v>993.43658072657718</v>
      </c>
      <c r="R164" s="473">
        <v>0</v>
      </c>
      <c r="S164" s="473">
        <v>0</v>
      </c>
      <c r="T164" s="473">
        <v>0</v>
      </c>
      <c r="U164" s="473">
        <v>0</v>
      </c>
      <c r="V164" s="473">
        <v>0</v>
      </c>
      <c r="W164" s="473">
        <v>0</v>
      </c>
      <c r="X164" s="473">
        <v>0</v>
      </c>
      <c r="Y164" s="473">
        <v>0</v>
      </c>
      <c r="Z164" s="473">
        <v>0</v>
      </c>
      <c r="AA164" s="574"/>
      <c r="AB164" s="574"/>
      <c r="AC164" s="574"/>
      <c r="AD164" s="277"/>
    </row>
    <row r="165" spans="2:30" x14ac:dyDescent="0.25">
      <c r="B165" s="474" t="s">
        <v>843</v>
      </c>
      <c r="C165" s="473">
        <v>0</v>
      </c>
      <c r="D165" s="473">
        <v>0</v>
      </c>
      <c r="E165" s="473">
        <v>0</v>
      </c>
      <c r="F165" s="473">
        <v>0</v>
      </c>
      <c r="G165" s="473">
        <v>0</v>
      </c>
      <c r="H165" s="473">
        <v>0</v>
      </c>
      <c r="I165" s="473">
        <v>0</v>
      </c>
      <c r="J165" s="473">
        <v>2001.7583849023558</v>
      </c>
      <c r="K165" s="473">
        <v>0</v>
      </c>
      <c r="L165" s="473">
        <v>1715.2560580776653</v>
      </c>
      <c r="M165" s="473">
        <v>0</v>
      </c>
      <c r="N165" s="473">
        <v>0</v>
      </c>
      <c r="O165" s="473">
        <v>0</v>
      </c>
      <c r="P165" s="473">
        <v>2157.1330327344499</v>
      </c>
      <c r="Q165" s="473">
        <v>868.00551893064846</v>
      </c>
      <c r="R165" s="473">
        <v>0</v>
      </c>
      <c r="S165" s="473">
        <v>877.03949390758032</v>
      </c>
      <c r="T165" s="473">
        <v>0</v>
      </c>
      <c r="U165" s="473">
        <v>0</v>
      </c>
      <c r="V165" s="473">
        <v>0</v>
      </c>
      <c r="W165" s="473">
        <v>1351.2299234314046</v>
      </c>
      <c r="X165" s="473">
        <v>0</v>
      </c>
      <c r="Y165" s="473">
        <v>0</v>
      </c>
      <c r="Z165" s="473">
        <v>0</v>
      </c>
      <c r="AA165" s="574"/>
      <c r="AB165" s="574"/>
      <c r="AC165" s="574"/>
      <c r="AD165" s="277"/>
    </row>
    <row r="166" spans="2:30" x14ac:dyDescent="0.25">
      <c r="B166" s="474" t="s">
        <v>844</v>
      </c>
      <c r="C166" s="473">
        <v>0</v>
      </c>
      <c r="D166" s="473">
        <v>0</v>
      </c>
      <c r="E166" s="473">
        <v>0</v>
      </c>
      <c r="F166" s="473">
        <v>0</v>
      </c>
      <c r="G166" s="473">
        <v>0</v>
      </c>
      <c r="H166" s="473">
        <v>0</v>
      </c>
      <c r="I166" s="473">
        <v>0</v>
      </c>
      <c r="J166" s="473">
        <v>0</v>
      </c>
      <c r="K166" s="473">
        <v>0</v>
      </c>
      <c r="L166" s="473">
        <v>134.34924071897979</v>
      </c>
      <c r="M166" s="473">
        <v>0</v>
      </c>
      <c r="N166" s="473">
        <v>0</v>
      </c>
      <c r="O166" s="473">
        <v>0</v>
      </c>
      <c r="P166" s="473">
        <v>0</v>
      </c>
      <c r="Q166" s="473">
        <v>0</v>
      </c>
      <c r="R166" s="473">
        <v>0</v>
      </c>
      <c r="S166" s="473">
        <v>0</v>
      </c>
      <c r="T166" s="473">
        <v>0</v>
      </c>
      <c r="U166" s="473">
        <v>0</v>
      </c>
      <c r="V166" s="473">
        <v>0</v>
      </c>
      <c r="W166" s="473">
        <v>0</v>
      </c>
      <c r="X166" s="473">
        <v>0</v>
      </c>
      <c r="Y166" s="473">
        <v>0</v>
      </c>
      <c r="Z166" s="473">
        <v>0</v>
      </c>
      <c r="AA166" s="574"/>
      <c r="AB166" s="574"/>
      <c r="AC166" s="574"/>
      <c r="AD166" s="277"/>
    </row>
    <row r="167" spans="2:30" x14ac:dyDescent="0.25">
      <c r="B167" s="474" t="s">
        <v>845</v>
      </c>
      <c r="C167" s="473">
        <v>0</v>
      </c>
      <c r="D167" s="473">
        <v>892.39041668215543</v>
      </c>
      <c r="E167" s="473">
        <v>0</v>
      </c>
      <c r="F167" s="473">
        <v>0</v>
      </c>
      <c r="G167" s="473">
        <v>0</v>
      </c>
      <c r="H167" s="473">
        <v>0</v>
      </c>
      <c r="I167" s="473">
        <v>0</v>
      </c>
      <c r="J167" s="473">
        <v>1362.7851785259943</v>
      </c>
      <c r="K167" s="473">
        <v>0</v>
      </c>
      <c r="L167" s="473">
        <v>1393.7224300648907</v>
      </c>
      <c r="M167" s="473">
        <v>0</v>
      </c>
      <c r="N167" s="473">
        <v>0</v>
      </c>
      <c r="O167" s="473">
        <v>0</v>
      </c>
      <c r="P167" s="473">
        <v>2452.0441335797163</v>
      </c>
      <c r="Q167" s="473">
        <v>0</v>
      </c>
      <c r="R167" s="473">
        <v>0</v>
      </c>
      <c r="S167" s="473">
        <v>0</v>
      </c>
      <c r="T167" s="473">
        <v>0</v>
      </c>
      <c r="U167" s="473">
        <v>0</v>
      </c>
      <c r="V167" s="473">
        <v>0</v>
      </c>
      <c r="W167" s="473">
        <v>1218.3716172004929</v>
      </c>
      <c r="X167" s="473">
        <v>0</v>
      </c>
      <c r="Y167" s="473">
        <v>0</v>
      </c>
      <c r="Z167" s="473">
        <v>0</v>
      </c>
      <c r="AA167" s="574"/>
      <c r="AB167" s="574"/>
      <c r="AC167" s="574"/>
      <c r="AD167" s="277"/>
    </row>
    <row r="168" spans="2:30" x14ac:dyDescent="0.25">
      <c r="B168" s="474" t="s">
        <v>846</v>
      </c>
      <c r="C168" s="473">
        <v>0</v>
      </c>
      <c r="D168" s="473">
        <v>0</v>
      </c>
      <c r="E168" s="473">
        <v>0</v>
      </c>
      <c r="F168" s="473">
        <v>0</v>
      </c>
      <c r="G168" s="473">
        <v>0</v>
      </c>
      <c r="H168" s="473">
        <v>0</v>
      </c>
      <c r="I168" s="473">
        <v>0</v>
      </c>
      <c r="J168" s="473">
        <v>633.21876534968192</v>
      </c>
      <c r="K168" s="473">
        <v>0</v>
      </c>
      <c r="L168" s="473">
        <v>583.93114505407982</v>
      </c>
      <c r="M168" s="473">
        <v>0</v>
      </c>
      <c r="N168" s="473">
        <v>0</v>
      </c>
      <c r="O168" s="473">
        <v>0</v>
      </c>
      <c r="P168" s="473">
        <v>872.86317541180358</v>
      </c>
      <c r="Q168" s="473">
        <v>0</v>
      </c>
      <c r="R168" s="473">
        <v>279.33064978145649</v>
      </c>
      <c r="S168" s="473">
        <v>202.58210226551341</v>
      </c>
      <c r="T168" s="473">
        <v>0</v>
      </c>
      <c r="U168" s="473">
        <v>0</v>
      </c>
      <c r="V168" s="473">
        <v>0</v>
      </c>
      <c r="W168" s="473">
        <v>529.78192203792878</v>
      </c>
      <c r="X168" s="473">
        <v>424.69687356799926</v>
      </c>
      <c r="Y168" s="473">
        <v>0</v>
      </c>
      <c r="Z168" s="473">
        <v>81.733417964122395</v>
      </c>
      <c r="AA168" s="574"/>
      <c r="AB168" s="574"/>
      <c r="AC168" s="574"/>
      <c r="AD168" s="277"/>
    </row>
    <row r="169" spans="2:30" x14ac:dyDescent="0.25">
      <c r="B169" s="474" t="s">
        <v>847</v>
      </c>
      <c r="C169" s="473">
        <v>1021.177504393673</v>
      </c>
      <c r="D169" s="473">
        <v>1021.177504393673</v>
      </c>
      <c r="E169" s="473">
        <v>1021.177504393673</v>
      </c>
      <c r="F169" s="473">
        <v>1021.177504393673</v>
      </c>
      <c r="G169" s="473">
        <v>1021.177504393673</v>
      </c>
      <c r="H169" s="473">
        <v>1021.177504393673</v>
      </c>
      <c r="I169" s="473">
        <v>1021.177504393673</v>
      </c>
      <c r="J169" s="473">
        <v>1021.177504393673</v>
      </c>
      <c r="K169" s="473">
        <v>1021.177504393673</v>
      </c>
      <c r="L169" s="473">
        <v>1362.0386643233742</v>
      </c>
      <c r="M169" s="473">
        <v>1021.177504393673</v>
      </c>
      <c r="N169" s="473">
        <v>1021.177504393673</v>
      </c>
      <c r="O169" s="473">
        <v>1021.177504393673</v>
      </c>
      <c r="P169" s="473">
        <v>1021.177504393673</v>
      </c>
      <c r="Q169" s="473">
        <v>1021.177504393673</v>
      </c>
      <c r="R169" s="473">
        <v>1021.177504393673</v>
      </c>
      <c r="S169" s="473">
        <v>1021.177504393673</v>
      </c>
      <c r="T169" s="473">
        <v>1021.177504393673</v>
      </c>
      <c r="U169" s="473">
        <v>1021.177504393673</v>
      </c>
      <c r="V169" s="473">
        <v>1021.177504393673</v>
      </c>
      <c r="W169" s="473">
        <v>1021.177504393673</v>
      </c>
      <c r="X169" s="473">
        <v>1021.177504393673</v>
      </c>
      <c r="Y169" s="473">
        <v>1021.177504393673</v>
      </c>
      <c r="Z169" s="473">
        <v>1021.177504393673</v>
      </c>
      <c r="AA169" s="574"/>
      <c r="AB169" s="574"/>
      <c r="AC169" s="574"/>
      <c r="AD169" s="277"/>
    </row>
    <row r="170" spans="2:30" x14ac:dyDescent="0.25">
      <c r="B170" s="474" t="s">
        <v>848</v>
      </c>
      <c r="C170" s="473">
        <v>0</v>
      </c>
      <c r="D170" s="473">
        <v>0</v>
      </c>
      <c r="E170" s="473">
        <v>0</v>
      </c>
      <c r="F170" s="473">
        <v>0</v>
      </c>
      <c r="G170" s="473">
        <v>0</v>
      </c>
      <c r="H170" s="473">
        <v>0</v>
      </c>
      <c r="I170" s="473">
        <v>0</v>
      </c>
      <c r="J170" s="473">
        <v>0</v>
      </c>
      <c r="K170" s="473">
        <v>0</v>
      </c>
      <c r="L170" s="473">
        <v>207.54019932960892</v>
      </c>
      <c r="M170" s="473">
        <v>0</v>
      </c>
      <c r="N170" s="473">
        <v>0</v>
      </c>
      <c r="O170" s="473">
        <v>0</v>
      </c>
      <c r="P170" s="473">
        <v>281.56710525139664</v>
      </c>
      <c r="Q170" s="473">
        <v>0</v>
      </c>
      <c r="R170" s="473">
        <v>0</v>
      </c>
      <c r="S170" s="473">
        <v>0</v>
      </c>
      <c r="T170" s="473">
        <v>0</v>
      </c>
      <c r="U170" s="473">
        <v>0</v>
      </c>
      <c r="V170" s="473">
        <v>0</v>
      </c>
      <c r="W170" s="473">
        <v>133.51329340782124</v>
      </c>
      <c r="X170" s="473">
        <v>133.51329340782124</v>
      </c>
      <c r="Y170" s="473">
        <v>0</v>
      </c>
      <c r="Z170" s="473">
        <v>0</v>
      </c>
      <c r="AA170" s="574"/>
      <c r="AB170" s="574"/>
      <c r="AC170" s="574"/>
      <c r="AD170" s="277"/>
    </row>
    <row r="171" spans="2:30" x14ac:dyDescent="0.25">
      <c r="B171" s="474" t="s">
        <v>849</v>
      </c>
      <c r="C171" s="473">
        <v>0</v>
      </c>
      <c r="D171" s="473">
        <v>0</v>
      </c>
      <c r="E171" s="473">
        <v>0</v>
      </c>
      <c r="F171" s="473">
        <v>0</v>
      </c>
      <c r="G171" s="473">
        <v>0</v>
      </c>
      <c r="H171" s="473">
        <v>0</v>
      </c>
      <c r="I171" s="473">
        <v>0</v>
      </c>
      <c r="J171" s="473">
        <v>0</v>
      </c>
      <c r="K171" s="473">
        <v>0</v>
      </c>
      <c r="L171" s="473">
        <v>1370.5106635875366</v>
      </c>
      <c r="M171" s="473">
        <v>0</v>
      </c>
      <c r="N171" s="473">
        <v>0</v>
      </c>
      <c r="O171" s="473">
        <v>0</v>
      </c>
      <c r="P171" s="473">
        <v>2285.5002939169685</v>
      </c>
      <c r="Q171" s="473">
        <v>0</v>
      </c>
      <c r="R171" s="473">
        <v>0</v>
      </c>
      <c r="S171" s="473">
        <v>0</v>
      </c>
      <c r="T171" s="473">
        <v>0</v>
      </c>
      <c r="U171" s="473">
        <v>0</v>
      </c>
      <c r="V171" s="473">
        <v>0</v>
      </c>
      <c r="W171" s="473">
        <v>0</v>
      </c>
      <c r="X171" s="473">
        <v>913.01584842282057</v>
      </c>
      <c r="Y171" s="473">
        <v>0</v>
      </c>
      <c r="Z171" s="473">
        <v>0</v>
      </c>
      <c r="AA171" s="574"/>
      <c r="AB171" s="574"/>
      <c r="AC171" s="574"/>
      <c r="AD171" s="277"/>
    </row>
    <row r="172" spans="2:30" x14ac:dyDescent="0.25">
      <c r="B172" s="474" t="s">
        <v>850</v>
      </c>
      <c r="C172" s="473">
        <v>555.2959915051764</v>
      </c>
      <c r="D172" s="473">
        <v>555.2959915051764</v>
      </c>
      <c r="E172" s="473">
        <v>555.2959915051764</v>
      </c>
      <c r="F172" s="473">
        <v>0</v>
      </c>
      <c r="G172" s="473">
        <v>0</v>
      </c>
      <c r="H172" s="473">
        <v>0</v>
      </c>
      <c r="I172" s="473">
        <v>0</v>
      </c>
      <c r="J172" s="473">
        <v>846.35872931598965</v>
      </c>
      <c r="K172" s="473">
        <v>846.35872931598965</v>
      </c>
      <c r="L172" s="473">
        <v>577.00203521812227</v>
      </c>
      <c r="M172" s="473">
        <v>267.06486151667991</v>
      </c>
      <c r="N172" s="473">
        <v>267.06486151667991</v>
      </c>
      <c r="O172" s="473">
        <v>0</v>
      </c>
      <c r="P172" s="473">
        <v>1117.3435979116891</v>
      </c>
      <c r="Q172" s="473">
        <v>0</v>
      </c>
      <c r="R172" s="473">
        <v>329.58145296876376</v>
      </c>
      <c r="S172" s="473">
        <v>111.4326165826033</v>
      </c>
      <c r="T172" s="473">
        <v>111.4326165826033</v>
      </c>
      <c r="U172" s="473">
        <v>0</v>
      </c>
      <c r="V172" s="473">
        <v>0</v>
      </c>
      <c r="W172" s="473">
        <v>494.99159366427745</v>
      </c>
      <c r="X172" s="473">
        <v>494.99159366427745</v>
      </c>
      <c r="Y172" s="473">
        <v>83.558977081674186</v>
      </c>
      <c r="Z172" s="473">
        <v>83.558977081674186</v>
      </c>
      <c r="AA172" s="574"/>
      <c r="AB172" s="574"/>
      <c r="AC172" s="574"/>
      <c r="AD172" s="277"/>
    </row>
    <row r="173" spans="2:30" x14ac:dyDescent="0.25">
      <c r="B173" s="474" t="s">
        <v>851</v>
      </c>
      <c r="C173" s="473">
        <v>0</v>
      </c>
      <c r="D173" s="473">
        <v>0</v>
      </c>
      <c r="E173" s="473">
        <v>0</v>
      </c>
      <c r="F173" s="473">
        <v>0</v>
      </c>
      <c r="G173" s="473">
        <v>0</v>
      </c>
      <c r="H173" s="473">
        <v>0</v>
      </c>
      <c r="I173" s="473">
        <v>0</v>
      </c>
      <c r="J173" s="473">
        <v>0</v>
      </c>
      <c r="K173" s="473">
        <v>0</v>
      </c>
      <c r="L173" s="473">
        <v>1434.8199235174413</v>
      </c>
      <c r="M173" s="473">
        <v>0</v>
      </c>
      <c r="N173" s="473">
        <v>0</v>
      </c>
      <c r="O173" s="473">
        <v>0</v>
      </c>
      <c r="P173" s="473">
        <v>1806.6875453385987</v>
      </c>
      <c r="Q173" s="473">
        <v>1062.9523016962835</v>
      </c>
      <c r="R173" s="473">
        <v>0</v>
      </c>
      <c r="S173" s="473">
        <v>0</v>
      </c>
      <c r="T173" s="473">
        <v>0</v>
      </c>
      <c r="U173" s="473">
        <v>0</v>
      </c>
      <c r="V173" s="473">
        <v>0</v>
      </c>
      <c r="W173" s="473">
        <v>0</v>
      </c>
      <c r="X173" s="473">
        <v>0</v>
      </c>
      <c r="Y173" s="473">
        <v>0</v>
      </c>
      <c r="Z173" s="473">
        <v>0</v>
      </c>
      <c r="AA173" s="574"/>
      <c r="AB173" s="574"/>
      <c r="AC173" s="574"/>
      <c r="AD173" s="277"/>
    </row>
    <row r="174" spans="2:30" x14ac:dyDescent="0.25">
      <c r="B174" s="474" t="s">
        <v>852</v>
      </c>
      <c r="C174" s="473">
        <v>0</v>
      </c>
      <c r="D174" s="473">
        <v>0</v>
      </c>
      <c r="E174" s="473">
        <v>0</v>
      </c>
      <c r="F174" s="473">
        <v>0</v>
      </c>
      <c r="G174" s="473">
        <v>0</v>
      </c>
      <c r="H174" s="473">
        <v>0</v>
      </c>
      <c r="I174" s="473">
        <v>0</v>
      </c>
      <c r="J174" s="473">
        <v>887.717476022337</v>
      </c>
      <c r="K174" s="473">
        <v>0</v>
      </c>
      <c r="L174" s="473">
        <v>569.29963226364805</v>
      </c>
      <c r="M174" s="473">
        <v>0</v>
      </c>
      <c r="N174" s="473">
        <v>0</v>
      </c>
      <c r="O174" s="473">
        <v>0</v>
      </c>
      <c r="P174" s="473">
        <v>999.04724536119875</v>
      </c>
      <c r="Q174" s="473">
        <v>301.79822767022574</v>
      </c>
      <c r="R174" s="473">
        <v>0</v>
      </c>
      <c r="S174" s="473">
        <v>0</v>
      </c>
      <c r="T174" s="473">
        <v>0</v>
      </c>
      <c r="U174" s="473">
        <v>0</v>
      </c>
      <c r="V174" s="473">
        <v>0</v>
      </c>
      <c r="W174" s="473">
        <v>623.63838918767465</v>
      </c>
      <c r="X174" s="473">
        <v>0</v>
      </c>
      <c r="Y174" s="473">
        <v>0</v>
      </c>
      <c r="Z174" s="473">
        <v>0</v>
      </c>
      <c r="AA174" s="574"/>
      <c r="AB174" s="574"/>
      <c r="AC174" s="574"/>
      <c r="AD174" s="277"/>
    </row>
    <row r="175" spans="2:30" x14ac:dyDescent="0.25">
      <c r="B175" s="474" t="s">
        <v>853</v>
      </c>
      <c r="C175" s="473">
        <v>0</v>
      </c>
      <c r="D175" s="473">
        <v>0</v>
      </c>
      <c r="E175" s="473">
        <v>0</v>
      </c>
      <c r="F175" s="473">
        <v>0</v>
      </c>
      <c r="G175" s="473">
        <v>0</v>
      </c>
      <c r="H175" s="473">
        <v>0</v>
      </c>
      <c r="I175" s="473">
        <v>0</v>
      </c>
      <c r="J175" s="473">
        <v>0</v>
      </c>
      <c r="K175" s="473">
        <v>0</v>
      </c>
      <c r="L175" s="473">
        <v>934.18917282305927</v>
      </c>
      <c r="M175" s="473">
        <v>0</v>
      </c>
      <c r="N175" s="473">
        <v>0</v>
      </c>
      <c r="O175" s="473">
        <v>0</v>
      </c>
      <c r="P175" s="473">
        <v>0</v>
      </c>
      <c r="Q175" s="473">
        <v>0</v>
      </c>
      <c r="R175" s="473">
        <v>0</v>
      </c>
      <c r="S175" s="473">
        <v>0</v>
      </c>
      <c r="T175" s="473">
        <v>0</v>
      </c>
      <c r="U175" s="473">
        <v>0</v>
      </c>
      <c r="V175" s="473">
        <v>0</v>
      </c>
      <c r="W175" s="473">
        <v>0</v>
      </c>
      <c r="X175" s="473">
        <v>0</v>
      </c>
      <c r="Y175" s="473">
        <v>0</v>
      </c>
      <c r="Z175" s="473">
        <v>0</v>
      </c>
      <c r="AA175" s="574"/>
      <c r="AB175" s="574"/>
      <c r="AC175" s="574"/>
      <c r="AD175" s="277"/>
    </row>
    <row r="176" spans="2:30" x14ac:dyDescent="0.25">
      <c r="B176" s="474" t="s">
        <v>854</v>
      </c>
      <c r="C176" s="473">
        <v>0</v>
      </c>
      <c r="D176" s="473">
        <v>0</v>
      </c>
      <c r="E176" s="473">
        <v>0</v>
      </c>
      <c r="F176" s="473">
        <v>0</v>
      </c>
      <c r="G176" s="473">
        <v>0</v>
      </c>
      <c r="H176" s="473">
        <v>0</v>
      </c>
      <c r="I176" s="473">
        <v>0</v>
      </c>
      <c r="J176" s="473">
        <v>0</v>
      </c>
      <c r="K176" s="473">
        <v>0</v>
      </c>
      <c r="L176" s="473">
        <v>373.03930812899085</v>
      </c>
      <c r="M176" s="473">
        <v>0</v>
      </c>
      <c r="N176" s="473">
        <v>0</v>
      </c>
      <c r="O176" s="473">
        <v>0</v>
      </c>
      <c r="P176" s="473">
        <v>0</v>
      </c>
      <c r="Q176" s="473">
        <v>0</v>
      </c>
      <c r="R176" s="473">
        <v>0</v>
      </c>
      <c r="S176" s="473">
        <v>0</v>
      </c>
      <c r="T176" s="473">
        <v>0</v>
      </c>
      <c r="U176" s="473">
        <v>0</v>
      </c>
      <c r="V176" s="473">
        <v>0</v>
      </c>
      <c r="W176" s="473">
        <v>0</v>
      </c>
      <c r="X176" s="473">
        <v>0</v>
      </c>
      <c r="Y176" s="473">
        <v>0</v>
      </c>
      <c r="Z176" s="473">
        <v>0</v>
      </c>
      <c r="AA176" s="574"/>
      <c r="AB176" s="574"/>
      <c r="AC176" s="574"/>
      <c r="AD176" s="277"/>
    </row>
    <row r="177" spans="2:30" x14ac:dyDescent="0.25">
      <c r="B177" s="474" t="s">
        <v>855</v>
      </c>
      <c r="C177" s="473">
        <v>0</v>
      </c>
      <c r="D177" s="473">
        <v>0</v>
      </c>
      <c r="E177" s="473">
        <v>0</v>
      </c>
      <c r="F177" s="473">
        <v>0</v>
      </c>
      <c r="G177" s="473">
        <v>0</v>
      </c>
      <c r="H177" s="473">
        <v>0</v>
      </c>
      <c r="I177" s="473">
        <v>0</v>
      </c>
      <c r="J177" s="473">
        <v>0</v>
      </c>
      <c r="K177" s="473">
        <v>0</v>
      </c>
      <c r="L177" s="473">
        <v>1878.2927435387676</v>
      </c>
      <c r="M177" s="473">
        <v>0</v>
      </c>
      <c r="N177" s="473">
        <v>0</v>
      </c>
      <c r="O177" s="473">
        <v>0</v>
      </c>
      <c r="P177" s="473">
        <v>0</v>
      </c>
      <c r="Q177" s="473">
        <v>0</v>
      </c>
      <c r="R177" s="473">
        <v>0</v>
      </c>
      <c r="S177" s="473">
        <v>0</v>
      </c>
      <c r="T177" s="473">
        <v>0</v>
      </c>
      <c r="U177" s="473">
        <v>0</v>
      </c>
      <c r="V177" s="473">
        <v>0</v>
      </c>
      <c r="W177" s="473">
        <v>0</v>
      </c>
      <c r="X177" s="473">
        <v>0</v>
      </c>
      <c r="Y177" s="473">
        <v>0</v>
      </c>
      <c r="Z177" s="473">
        <v>0</v>
      </c>
      <c r="AA177" s="574"/>
      <c r="AB177" s="574"/>
      <c r="AC177" s="574"/>
      <c r="AD177" s="277"/>
    </row>
    <row r="178" spans="2:30" x14ac:dyDescent="0.25">
      <c r="B178" s="474" t="s">
        <v>856</v>
      </c>
      <c r="C178" s="473">
        <v>0</v>
      </c>
      <c r="D178" s="473">
        <v>0</v>
      </c>
      <c r="E178" s="473">
        <v>0</v>
      </c>
      <c r="F178" s="473">
        <v>0</v>
      </c>
      <c r="G178" s="473">
        <v>0</v>
      </c>
      <c r="H178" s="473">
        <v>0</v>
      </c>
      <c r="I178" s="473">
        <v>0</v>
      </c>
      <c r="J178" s="473">
        <v>0</v>
      </c>
      <c r="K178" s="473">
        <v>0</v>
      </c>
      <c r="L178" s="473">
        <v>1026.8397392061875</v>
      </c>
      <c r="M178" s="473">
        <v>376.25274127229534</v>
      </c>
      <c r="N178" s="473">
        <v>0</v>
      </c>
      <c r="O178" s="473">
        <v>0</v>
      </c>
      <c r="P178" s="473">
        <v>1677.4267371400797</v>
      </c>
      <c r="Q178" s="473">
        <v>0</v>
      </c>
      <c r="R178" s="473">
        <v>0</v>
      </c>
      <c r="S178" s="473">
        <v>0</v>
      </c>
      <c r="T178" s="473">
        <v>0</v>
      </c>
      <c r="U178" s="473">
        <v>0</v>
      </c>
      <c r="V178" s="473">
        <v>0</v>
      </c>
      <c r="W178" s="473">
        <v>0</v>
      </c>
      <c r="X178" s="473">
        <v>0</v>
      </c>
      <c r="Y178" s="473">
        <v>0</v>
      </c>
      <c r="Z178" s="473">
        <v>0</v>
      </c>
      <c r="AA178" s="574"/>
      <c r="AB178" s="574"/>
      <c r="AC178" s="574"/>
      <c r="AD178" s="277"/>
    </row>
    <row r="179" spans="2:30" x14ac:dyDescent="0.25">
      <c r="B179" s="474" t="s">
        <v>857</v>
      </c>
      <c r="C179" s="473">
        <v>0</v>
      </c>
      <c r="D179" s="473">
        <v>0</v>
      </c>
      <c r="E179" s="473">
        <v>0</v>
      </c>
      <c r="F179" s="473">
        <v>0</v>
      </c>
      <c r="G179" s="473">
        <v>0</v>
      </c>
      <c r="H179" s="473">
        <v>0</v>
      </c>
      <c r="I179" s="473">
        <v>0</v>
      </c>
      <c r="J179" s="473">
        <v>0</v>
      </c>
      <c r="K179" s="473">
        <v>0</v>
      </c>
      <c r="L179" s="473">
        <v>2917.2927042906035</v>
      </c>
      <c r="M179" s="473">
        <v>0</v>
      </c>
      <c r="N179" s="473">
        <v>0</v>
      </c>
      <c r="O179" s="473">
        <v>0</v>
      </c>
      <c r="P179" s="473">
        <v>0</v>
      </c>
      <c r="Q179" s="473">
        <v>0</v>
      </c>
      <c r="R179" s="473">
        <v>0</v>
      </c>
      <c r="S179" s="473">
        <v>0</v>
      </c>
      <c r="T179" s="473">
        <v>0</v>
      </c>
      <c r="U179" s="473">
        <v>0</v>
      </c>
      <c r="V179" s="473">
        <v>0</v>
      </c>
      <c r="W179" s="473">
        <v>0</v>
      </c>
      <c r="X179" s="473">
        <v>0</v>
      </c>
      <c r="Y179" s="473">
        <v>0</v>
      </c>
      <c r="Z179" s="473">
        <v>0</v>
      </c>
      <c r="AA179" s="574"/>
      <c r="AB179" s="574"/>
      <c r="AC179" s="574"/>
      <c r="AD179" s="277"/>
    </row>
    <row r="180" spans="2:30" x14ac:dyDescent="0.25">
      <c r="B180" s="474" t="s">
        <v>858</v>
      </c>
      <c r="C180" s="473">
        <v>0</v>
      </c>
      <c r="D180" s="473">
        <v>0</v>
      </c>
      <c r="E180" s="473">
        <v>0</v>
      </c>
      <c r="F180" s="473">
        <v>0</v>
      </c>
      <c r="G180" s="473">
        <v>0</v>
      </c>
      <c r="H180" s="473">
        <v>0</v>
      </c>
      <c r="I180" s="473">
        <v>0</v>
      </c>
      <c r="J180" s="473">
        <v>0</v>
      </c>
      <c r="K180" s="473">
        <v>1065.1342067244248</v>
      </c>
      <c r="L180" s="473">
        <v>1989.6645818309678</v>
      </c>
      <c r="M180" s="473">
        <v>0</v>
      </c>
      <c r="N180" s="473">
        <v>0</v>
      </c>
      <c r="O180" s="473">
        <v>0</v>
      </c>
      <c r="P180" s="473">
        <v>2237.9905505398847</v>
      </c>
      <c r="Q180" s="473">
        <v>1424.2391446840079</v>
      </c>
      <c r="R180" s="473">
        <v>0</v>
      </c>
      <c r="S180" s="473">
        <v>0</v>
      </c>
      <c r="T180" s="473">
        <v>0</v>
      </c>
      <c r="U180" s="473">
        <v>0</v>
      </c>
      <c r="V180" s="473">
        <v>0</v>
      </c>
      <c r="W180" s="473">
        <v>0</v>
      </c>
      <c r="X180" s="473">
        <v>0</v>
      </c>
      <c r="Y180" s="473">
        <v>0</v>
      </c>
      <c r="Z180" s="473">
        <v>0</v>
      </c>
      <c r="AA180" s="574"/>
      <c r="AB180" s="574"/>
      <c r="AC180" s="574"/>
      <c r="AD180" s="277"/>
    </row>
    <row r="181" spans="2:30" x14ac:dyDescent="0.25">
      <c r="B181" s="474" t="s">
        <v>859</v>
      </c>
      <c r="C181" s="473">
        <v>0</v>
      </c>
      <c r="D181" s="473">
        <v>0</v>
      </c>
      <c r="E181" s="473">
        <v>0</v>
      </c>
      <c r="F181" s="473">
        <v>0</v>
      </c>
      <c r="G181" s="473">
        <v>0</v>
      </c>
      <c r="H181" s="473">
        <v>0</v>
      </c>
      <c r="I181" s="473">
        <v>0</v>
      </c>
      <c r="J181" s="473">
        <v>0</v>
      </c>
      <c r="K181" s="473">
        <v>0</v>
      </c>
      <c r="L181" s="473">
        <v>2046.95475893107</v>
      </c>
      <c r="M181" s="473">
        <v>0</v>
      </c>
      <c r="N181" s="473">
        <v>0</v>
      </c>
      <c r="O181" s="473">
        <v>0</v>
      </c>
      <c r="P181" s="473">
        <v>0</v>
      </c>
      <c r="Q181" s="473">
        <v>0</v>
      </c>
      <c r="R181" s="473">
        <v>0</v>
      </c>
      <c r="S181" s="473">
        <v>0</v>
      </c>
      <c r="T181" s="473">
        <v>0</v>
      </c>
      <c r="U181" s="473">
        <v>0</v>
      </c>
      <c r="V181" s="473">
        <v>0</v>
      </c>
      <c r="W181" s="473">
        <v>0</v>
      </c>
      <c r="X181" s="473">
        <v>0</v>
      </c>
      <c r="Y181" s="473">
        <v>0</v>
      </c>
      <c r="Z181" s="473">
        <v>0</v>
      </c>
      <c r="AA181" s="574"/>
      <c r="AB181" s="574"/>
      <c r="AC181" s="574"/>
      <c r="AD181" s="277"/>
    </row>
    <row r="182" spans="2:30" x14ac:dyDescent="0.25">
      <c r="B182" s="474" t="s">
        <v>860</v>
      </c>
      <c r="C182" s="473">
        <v>0</v>
      </c>
      <c r="D182" s="473">
        <v>0</v>
      </c>
      <c r="E182" s="473">
        <v>1309.0786665354537</v>
      </c>
      <c r="F182" s="473">
        <v>0</v>
      </c>
      <c r="G182" s="473">
        <v>0</v>
      </c>
      <c r="H182" s="473">
        <v>980.66195260195263</v>
      </c>
      <c r="I182" s="473">
        <v>762.43661956647247</v>
      </c>
      <c r="J182" s="473">
        <v>1510.9474496604212</v>
      </c>
      <c r="K182" s="473">
        <v>772.69522199916014</v>
      </c>
      <c r="L182" s="473">
        <v>1573.3933904800167</v>
      </c>
      <c r="M182" s="473">
        <v>0</v>
      </c>
      <c r="N182" s="473">
        <v>0</v>
      </c>
      <c r="O182" s="473">
        <v>0</v>
      </c>
      <c r="P182" s="473">
        <v>2260.7614499983306</v>
      </c>
      <c r="Q182" s="473">
        <v>1160.4390950129243</v>
      </c>
      <c r="R182" s="473">
        <v>881.56303819408186</v>
      </c>
      <c r="S182" s="473">
        <v>0</v>
      </c>
      <c r="T182" s="473">
        <v>0</v>
      </c>
      <c r="U182" s="473">
        <v>0</v>
      </c>
      <c r="V182" s="473">
        <v>0</v>
      </c>
      <c r="W182" s="473">
        <v>1497.823318811342</v>
      </c>
      <c r="X182" s="473">
        <v>1296.4113040433265</v>
      </c>
      <c r="Y182" s="473">
        <v>0</v>
      </c>
      <c r="Z182" s="473">
        <v>0</v>
      </c>
      <c r="AA182" s="574"/>
      <c r="AB182" s="574"/>
      <c r="AC182" s="574"/>
      <c r="AD182" s="277"/>
    </row>
    <row r="183" spans="2:30" x14ac:dyDescent="0.25">
      <c r="B183" s="474" t="s">
        <v>861</v>
      </c>
      <c r="C183" s="473">
        <v>0</v>
      </c>
      <c r="D183" s="473">
        <v>0</v>
      </c>
      <c r="E183" s="473">
        <v>0</v>
      </c>
      <c r="F183" s="473">
        <v>0</v>
      </c>
      <c r="G183" s="473">
        <v>0</v>
      </c>
      <c r="H183" s="473">
        <v>0</v>
      </c>
      <c r="I183" s="473">
        <v>0</v>
      </c>
      <c r="J183" s="473">
        <v>0</v>
      </c>
      <c r="K183" s="473">
        <v>0</v>
      </c>
      <c r="L183" s="473">
        <v>1377.5425151984909</v>
      </c>
      <c r="M183" s="473">
        <v>0</v>
      </c>
      <c r="N183" s="473">
        <v>0</v>
      </c>
      <c r="O183" s="473">
        <v>0</v>
      </c>
      <c r="P183" s="473">
        <v>0</v>
      </c>
      <c r="Q183" s="473">
        <v>0</v>
      </c>
      <c r="R183" s="473">
        <v>0</v>
      </c>
      <c r="S183" s="473">
        <v>0</v>
      </c>
      <c r="T183" s="473">
        <v>0</v>
      </c>
      <c r="U183" s="473">
        <v>0</v>
      </c>
      <c r="V183" s="473">
        <v>0</v>
      </c>
      <c r="W183" s="473">
        <v>0</v>
      </c>
      <c r="X183" s="473">
        <v>0</v>
      </c>
      <c r="Y183" s="473">
        <v>0</v>
      </c>
      <c r="Z183" s="473">
        <v>0</v>
      </c>
      <c r="AA183" s="574"/>
      <c r="AB183" s="574"/>
      <c r="AC183" s="574"/>
      <c r="AD183" s="277"/>
    </row>
    <row r="184" spans="2:30" x14ac:dyDescent="0.25">
      <c r="C184" s="278"/>
      <c r="D184" s="278"/>
      <c r="E184" s="278"/>
      <c r="F184" s="278"/>
      <c r="G184" s="278"/>
      <c r="H184" s="278"/>
      <c r="I184" s="278"/>
      <c r="J184" s="278"/>
      <c r="K184" s="278"/>
      <c r="L184" s="278"/>
      <c r="M184" s="278"/>
      <c r="N184" s="278"/>
      <c r="O184" s="278"/>
      <c r="P184" s="278"/>
      <c r="Q184" s="278"/>
      <c r="V184" s="277"/>
    </row>
    <row r="185" spans="2:30" hidden="1" x14ac:dyDescent="0.25">
      <c r="C185" s="272">
        <v>0</v>
      </c>
      <c r="D185" s="272">
        <v>0</v>
      </c>
      <c r="E185" s="272">
        <v>0</v>
      </c>
      <c r="F185" s="272">
        <v>0</v>
      </c>
      <c r="G185" s="272">
        <v>0</v>
      </c>
      <c r="H185" s="272">
        <v>0</v>
      </c>
      <c r="I185" s="272">
        <v>0</v>
      </c>
      <c r="J185" s="272">
        <v>0</v>
      </c>
      <c r="K185" s="272">
        <v>0</v>
      </c>
      <c r="L185" s="272">
        <v>0</v>
      </c>
      <c r="M185" s="272">
        <v>0</v>
      </c>
      <c r="N185" s="272">
        <v>0</v>
      </c>
      <c r="O185" s="272">
        <v>0</v>
      </c>
      <c r="P185" s="272">
        <v>0</v>
      </c>
      <c r="Q185" s="272">
        <v>0</v>
      </c>
      <c r="R185" s="273">
        <v>0</v>
      </c>
      <c r="S185" s="273">
        <v>0</v>
      </c>
      <c r="T185" s="273">
        <v>0</v>
      </c>
      <c r="U185" s="272">
        <v>0</v>
      </c>
      <c r="V185" s="272">
        <v>0</v>
      </c>
      <c r="W185" s="272">
        <v>0</v>
      </c>
      <c r="X185" s="272">
        <v>0</v>
      </c>
      <c r="Y185" s="272">
        <v>0</v>
      </c>
      <c r="Z185" s="272">
        <v>0</v>
      </c>
    </row>
    <row r="186" spans="2:30" hidden="1" x14ac:dyDescent="0.25">
      <c r="C186" s="272">
        <v>0</v>
      </c>
      <c r="D186" s="272">
        <v>0</v>
      </c>
      <c r="E186" s="272">
        <v>0</v>
      </c>
      <c r="F186" s="272">
        <v>0</v>
      </c>
      <c r="G186" s="272">
        <v>0</v>
      </c>
      <c r="H186" s="272">
        <v>0</v>
      </c>
      <c r="I186" s="272">
        <v>0</v>
      </c>
      <c r="J186" s="272">
        <v>0</v>
      </c>
      <c r="K186" s="272">
        <v>0</v>
      </c>
      <c r="L186" s="272">
        <v>0</v>
      </c>
      <c r="M186" s="272">
        <v>0</v>
      </c>
      <c r="N186" s="272">
        <v>0</v>
      </c>
      <c r="O186" s="272">
        <v>0</v>
      </c>
      <c r="P186" s="272">
        <v>0</v>
      </c>
      <c r="Q186" s="272">
        <v>0</v>
      </c>
      <c r="R186" s="273">
        <v>0</v>
      </c>
      <c r="S186" s="273">
        <v>0</v>
      </c>
      <c r="T186" s="273">
        <v>0</v>
      </c>
      <c r="U186" s="272">
        <v>0</v>
      </c>
      <c r="V186" s="272">
        <v>0</v>
      </c>
      <c r="W186" s="272">
        <v>0</v>
      </c>
      <c r="X186" s="272">
        <v>0</v>
      </c>
      <c r="Y186" s="272">
        <v>0</v>
      </c>
      <c r="Z186" s="272">
        <v>0</v>
      </c>
    </row>
    <row r="187" spans="2:30" x14ac:dyDescent="0.25"/>
    <row r="188" spans="2:30" x14ac:dyDescent="0.25"/>
    <row r="189" spans="2:30" x14ac:dyDescent="0.25"/>
    <row r="190" spans="2:30" x14ac:dyDescent="0.25"/>
    <row r="191" spans="2:30" x14ac:dyDescent="0.25"/>
    <row r="192" spans="2:30"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sheetData>
  <protectedRanges>
    <protectedRange sqref="B127:AC183" name="Range1"/>
  </protectedRanges>
  <dataConsolidate/>
  <mergeCells count="10">
    <mergeCell ref="A1:Y1"/>
    <mergeCell ref="F65:K70"/>
    <mergeCell ref="F73:K78"/>
    <mergeCell ref="B125:R125"/>
    <mergeCell ref="B2:R2"/>
    <mergeCell ref="AE4:AF4"/>
    <mergeCell ref="B65:D65"/>
    <mergeCell ref="A64:W64"/>
    <mergeCell ref="O68:P70"/>
    <mergeCell ref="N73:U78"/>
  </mergeCells>
  <phoneticPr fontId="23"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AF813-D46A-4DB7-8067-34525955564B}">
  <sheetPr codeName="Expenses">
    <tabColor indexed="13"/>
    <outlinePr summaryBelow="0"/>
  </sheetPr>
  <dimension ref="A1:Z252"/>
  <sheetViews>
    <sheetView showGridLines="0" defaultGridColor="0" colorId="55" zoomScale="90" zoomScaleNormal="90" workbookViewId="0">
      <selection activeCell="P39" sqref="P39"/>
    </sheetView>
  </sheetViews>
  <sheetFormatPr defaultColWidth="9.28515625" defaultRowHeight="12" x14ac:dyDescent="0.25"/>
  <cols>
    <col min="1" max="1" width="1.7109375" style="296" customWidth="1"/>
    <col min="2" max="2" width="9.28515625" style="297"/>
    <col min="3" max="3" width="7.28515625" style="297" customWidth="1"/>
    <col min="4" max="4" width="5.5703125" style="297" hidden="1" customWidth="1"/>
    <col min="5" max="5" width="3.5703125" style="297" hidden="1" customWidth="1"/>
    <col min="6" max="6" width="15.42578125" style="298" customWidth="1"/>
    <col min="7" max="7" width="12.7109375" style="297" customWidth="1"/>
    <col min="8" max="8" width="12.7109375" style="298" customWidth="1"/>
    <col min="9" max="9" width="8.42578125" style="298" bestFit="1" customWidth="1"/>
    <col min="10" max="10" width="9.7109375" style="298" customWidth="1"/>
    <col min="11" max="11" width="15.5703125" style="298" customWidth="1"/>
    <col min="12" max="12" width="10.7109375" style="298" bestFit="1" customWidth="1"/>
    <col min="13" max="13" width="8" style="298" bestFit="1" customWidth="1"/>
    <col min="14" max="14" width="7.7109375" style="298" bestFit="1" customWidth="1"/>
    <col min="15" max="15" width="9.7109375" style="298" bestFit="1" customWidth="1"/>
    <col min="16" max="16" width="9.42578125" style="298" bestFit="1" customWidth="1"/>
    <col min="17" max="17" width="7.5703125" style="298" customWidth="1"/>
    <col min="18" max="18" width="6.42578125" style="298" customWidth="1"/>
    <col min="19" max="19" width="11.28515625" style="298" customWidth="1"/>
    <col min="20" max="21" width="12.7109375" style="298" customWidth="1"/>
    <col min="22" max="22" width="9.5703125" style="298" bestFit="1" customWidth="1"/>
    <col min="23" max="23" width="5.5703125" style="297" hidden="1" customWidth="1"/>
    <col min="24" max="24" width="4.5703125" style="297" hidden="1" customWidth="1"/>
    <col min="25" max="26" width="5.5703125" style="296" hidden="1" customWidth="1"/>
    <col min="27" max="16384" width="9.28515625" style="296"/>
  </cols>
  <sheetData>
    <row r="1" spans="1:24" ht="15.75" thickBot="1" x14ac:dyDescent="0.3">
      <c r="B1" s="796" t="s">
        <v>909</v>
      </c>
      <c r="C1" s="796"/>
      <c r="D1" s="796"/>
      <c r="E1" s="796"/>
      <c r="F1" s="796"/>
      <c r="G1" s="796"/>
      <c r="H1" s="796"/>
      <c r="I1" s="796"/>
      <c r="J1" s="796"/>
      <c r="K1" s="796"/>
      <c r="L1" s="796"/>
      <c r="M1" s="796"/>
      <c r="N1" s="796"/>
      <c r="O1" s="796"/>
      <c r="P1" s="796"/>
      <c r="Q1" s="796"/>
      <c r="R1" s="796"/>
      <c r="S1" s="796"/>
      <c r="T1" s="796"/>
      <c r="U1" s="796"/>
      <c r="V1" s="796"/>
    </row>
    <row r="2" spans="1:24" s="299" customFormat="1" ht="26.25" customHeight="1" thickBot="1" x14ac:dyDescent="0.3">
      <c r="B2" s="799"/>
      <c r="C2" s="800"/>
      <c r="D2" s="800" t="str">
        <f>CONCATENATE('Front Sheet'!B9:H9,'Front Sheet'!A3:H3)</f>
        <v/>
      </c>
      <c r="E2" s="800"/>
      <c r="F2" s="800"/>
      <c r="G2" s="800"/>
      <c r="H2" s="800"/>
      <c r="I2" s="800"/>
      <c r="J2" s="800"/>
      <c r="K2" s="800"/>
      <c r="L2" s="800"/>
      <c r="M2" s="800"/>
      <c r="N2" s="800"/>
      <c r="O2" s="800"/>
      <c r="P2" s="800"/>
      <c r="Q2" s="800"/>
      <c r="R2" s="800"/>
      <c r="S2" s="800"/>
      <c r="T2" s="300"/>
      <c r="U2" s="300"/>
      <c r="V2" s="301"/>
      <c r="W2" s="298"/>
      <c r="X2" s="302" t="s">
        <v>910</v>
      </c>
    </row>
    <row r="3" spans="1:24" s="299" customFormat="1" ht="45" customHeight="1" thickBot="1" x14ac:dyDescent="0.3">
      <c r="B3" s="801"/>
      <c r="C3" s="802"/>
      <c r="D3" s="793" t="s">
        <v>911</v>
      </c>
      <c r="E3" s="794"/>
      <c r="F3" s="794"/>
      <c r="G3" s="794"/>
      <c r="H3" s="794"/>
      <c r="I3" s="794"/>
      <c r="J3" s="794"/>
      <c r="K3" s="794"/>
      <c r="L3" s="794"/>
      <c r="M3" s="794"/>
      <c r="N3" s="794"/>
      <c r="O3" s="794"/>
      <c r="P3" s="794"/>
      <c r="Q3" s="794"/>
      <c r="R3" s="794"/>
      <c r="S3" s="795"/>
      <c r="T3" s="303" t="s">
        <v>912</v>
      </c>
      <c r="U3" s="303" t="s">
        <v>913</v>
      </c>
      <c r="V3" s="304" t="s">
        <v>914</v>
      </c>
      <c r="W3" s="298"/>
      <c r="X3" s="302"/>
    </row>
    <row r="4" spans="1:24" ht="42.75" customHeight="1" thickTop="1" thickBot="1" x14ac:dyDescent="0.3">
      <c r="B4" s="502" t="s">
        <v>565</v>
      </c>
      <c r="C4" s="305"/>
      <c r="D4" s="305"/>
      <c r="E4" s="305"/>
      <c r="F4" s="305"/>
      <c r="G4" s="798" t="s">
        <v>915</v>
      </c>
      <c r="H4" s="798"/>
      <c r="I4" s="798"/>
      <c r="J4" s="798"/>
      <c r="K4" s="798"/>
      <c r="L4" s="798"/>
      <c r="M4" s="798"/>
      <c r="N4" s="305"/>
      <c r="O4" s="305"/>
      <c r="P4" s="305"/>
      <c r="Q4" s="305"/>
      <c r="R4" s="803" t="s">
        <v>916</v>
      </c>
      <c r="S4" s="803"/>
      <c r="T4" s="306">
        <f>SUM(T6+T10)</f>
        <v>0</v>
      </c>
      <c r="U4" s="307">
        <f>SUM(U6+U10)</f>
        <v>0</v>
      </c>
      <c r="V4" s="308">
        <f>SUM(V6+V10)</f>
        <v>0</v>
      </c>
      <c r="X4" s="298">
        <v>2</v>
      </c>
    </row>
    <row r="5" spans="1:24" s="299" customFormat="1" ht="36.75" thickTop="1" x14ac:dyDescent="0.25">
      <c r="A5" s="296"/>
      <c r="B5" s="790" t="s">
        <v>917</v>
      </c>
      <c r="C5" s="791"/>
      <c r="D5" s="792" t="s">
        <v>918</v>
      </c>
      <c r="E5" s="792"/>
      <c r="F5" s="309" t="s">
        <v>919</v>
      </c>
      <c r="G5" s="309" t="s">
        <v>920</v>
      </c>
      <c r="H5" s="309" t="s">
        <v>921</v>
      </c>
      <c r="I5" s="309" t="s">
        <v>922</v>
      </c>
      <c r="J5" s="309" t="s">
        <v>923</v>
      </c>
      <c r="K5" s="309" t="s">
        <v>924</v>
      </c>
      <c r="L5" s="309" t="s">
        <v>925</v>
      </c>
      <c r="M5" s="309" t="s">
        <v>926</v>
      </c>
      <c r="N5" s="309" t="s">
        <v>927</v>
      </c>
      <c r="O5" s="309" t="s">
        <v>928</v>
      </c>
      <c r="P5" s="309" t="s">
        <v>929</v>
      </c>
      <c r="Q5" s="309" t="s">
        <v>930</v>
      </c>
      <c r="R5" s="309" t="s">
        <v>931</v>
      </c>
      <c r="S5" s="309" t="s">
        <v>932</v>
      </c>
      <c r="T5" s="309" t="s">
        <v>912</v>
      </c>
      <c r="U5" s="310" t="s">
        <v>913</v>
      </c>
      <c r="V5" s="311" t="s">
        <v>933</v>
      </c>
      <c r="W5" s="298"/>
      <c r="X5" s="298">
        <v>2</v>
      </c>
    </row>
    <row r="6" spans="1:24" ht="15.75" customHeight="1" x14ac:dyDescent="0.25">
      <c r="B6" s="804" t="s">
        <v>934</v>
      </c>
      <c r="C6" s="805"/>
      <c r="D6" s="806"/>
      <c r="E6" s="806"/>
      <c r="F6" s="312"/>
      <c r="G6" s="312"/>
      <c r="H6" s="312"/>
      <c r="I6" s="312"/>
      <c r="J6" s="312"/>
      <c r="K6" s="312"/>
      <c r="L6" s="312"/>
      <c r="M6" s="312"/>
      <c r="N6" s="312"/>
      <c r="O6" s="312"/>
      <c r="P6" s="312"/>
      <c r="Q6" s="312"/>
      <c r="R6" s="312"/>
      <c r="S6" s="312"/>
      <c r="T6" s="313">
        <f>SUM(T7:T9)</f>
        <v>0</v>
      </c>
      <c r="U6" s="314">
        <f>SUM(U7:U9)</f>
        <v>0</v>
      </c>
      <c r="V6" s="315">
        <f>SUM(V7:V9)</f>
        <v>0</v>
      </c>
      <c r="X6" s="298">
        <v>3</v>
      </c>
    </row>
    <row r="7" spans="1:24" ht="12" customHeight="1" x14ac:dyDescent="0.25">
      <c r="B7" s="316"/>
      <c r="C7" s="312"/>
      <c r="D7" s="789" t="s">
        <v>935</v>
      </c>
      <c r="E7" s="789"/>
      <c r="F7" s="317" t="s">
        <v>805</v>
      </c>
      <c r="G7" s="317">
        <v>0</v>
      </c>
      <c r="H7" s="318" t="s">
        <v>823</v>
      </c>
      <c r="I7" s="319">
        <f t="shared" ref="I7:I9" si="0">VLOOKUP(H7,pay_by_region,VLOOKUP(F7,pay_by_region_position_lookup,2))*VLOOKUP(H7,workdays_by_region,3)</f>
        <v>834.82066754894549</v>
      </c>
      <c r="J7" s="320">
        <v>1</v>
      </c>
      <c r="K7" s="321" t="s">
        <v>905</v>
      </c>
      <c r="L7" s="276">
        <v>0.5</v>
      </c>
      <c r="M7" s="319">
        <f>VLOOKUP($K7,$G$19:$M$251,2,FALSE)</f>
        <v>5000</v>
      </c>
      <c r="N7" s="322">
        <v>5</v>
      </c>
      <c r="O7" s="319">
        <f>VLOOKUP($K7,$G$19:$M$251,3,FALSE)</f>
        <v>150</v>
      </c>
      <c r="P7" s="319">
        <f>VLOOKUP($K7,$G$19:$M$251,4,FALSE)</f>
        <v>50</v>
      </c>
      <c r="Q7" s="319">
        <f>VLOOKUP($K7,$G$19:$M$251,5,FALSE)</f>
        <v>10</v>
      </c>
      <c r="R7" s="319">
        <f>VLOOKUP($K7,$G$19:$M$251,6,FALSE)</f>
        <v>20</v>
      </c>
      <c r="S7" s="319">
        <f>(O7+P7+Q7)*VLOOKUP($K7,$G$19:$M$251,7,FALSE)/100</f>
        <v>105</v>
      </c>
      <c r="T7" s="323">
        <f t="shared" ref="T7:T9" si="1">(G7*J7*M7) + (G7*N7 * (O7+P7+Q7)) + (G7*(R7+S7))</f>
        <v>0</v>
      </c>
      <c r="U7" s="324">
        <f t="shared" ref="U7:U9" si="2">G7*J7*L7</f>
        <v>0</v>
      </c>
      <c r="V7" s="325">
        <f t="shared" ref="V7:V9" si="3">U7*I7</f>
        <v>0</v>
      </c>
      <c r="X7" s="298">
        <v>5</v>
      </c>
    </row>
    <row r="8" spans="1:24" ht="12" customHeight="1" x14ac:dyDescent="0.25">
      <c r="B8" s="316"/>
      <c r="C8" s="312"/>
      <c r="D8" s="789" t="s">
        <v>935</v>
      </c>
      <c r="E8" s="789"/>
      <c r="F8" s="317" t="s">
        <v>805</v>
      </c>
      <c r="G8" s="317">
        <v>0</v>
      </c>
      <c r="H8" s="318" t="s">
        <v>600</v>
      </c>
      <c r="I8" s="319">
        <f t="shared" ref="I8" si="4">VLOOKUP(H8,pay_by_region,VLOOKUP(F8,pay_by_region_position_lookup,2))*VLOOKUP(H8,workdays_by_region,3)</f>
        <v>850.661406572896</v>
      </c>
      <c r="J8" s="320">
        <v>5</v>
      </c>
      <c r="K8" s="321" t="s">
        <v>905</v>
      </c>
      <c r="L8" s="276">
        <v>2</v>
      </c>
      <c r="M8" s="319">
        <f>VLOOKUP($K8,$G$19:$M$251,2,FALSE)</f>
        <v>5000</v>
      </c>
      <c r="N8" s="322">
        <v>5</v>
      </c>
      <c r="O8" s="319">
        <f>VLOOKUP($K8,$G$19:$M$251,3,FALSE)</f>
        <v>150</v>
      </c>
      <c r="P8" s="319">
        <f>VLOOKUP($K8,$G$19:$M$251,4,FALSE)</f>
        <v>50</v>
      </c>
      <c r="Q8" s="319">
        <f>VLOOKUP($K8,$G$19:$M$251,5,FALSE)</f>
        <v>10</v>
      </c>
      <c r="R8" s="319">
        <f>VLOOKUP($K8,$G$19:$M$251,6,FALSE)</f>
        <v>20</v>
      </c>
      <c r="S8" s="319">
        <f>(O8+P8+Q8)*VLOOKUP($K8,$G$19:$M$251,7,FALSE)/100</f>
        <v>105</v>
      </c>
      <c r="T8" s="323">
        <f t="shared" ref="T8" si="5">(G8*J8*M8) + (G8*N8 * (O8+P8+Q8)) + (G8*(R8+S8))</f>
        <v>0</v>
      </c>
      <c r="U8" s="324">
        <f t="shared" ref="U8" si="6">G8*J8*L8</f>
        <v>0</v>
      </c>
      <c r="V8" s="325">
        <f t="shared" ref="V8" si="7">U8*I8</f>
        <v>0</v>
      </c>
      <c r="X8" s="298">
        <v>5</v>
      </c>
    </row>
    <row r="9" spans="1:24" ht="12" customHeight="1" x14ac:dyDescent="0.25">
      <c r="B9" s="316"/>
      <c r="C9" s="312"/>
      <c r="D9" s="789" t="s">
        <v>935</v>
      </c>
      <c r="E9" s="789"/>
      <c r="F9" s="317" t="s">
        <v>805</v>
      </c>
      <c r="G9" s="317">
        <v>0</v>
      </c>
      <c r="H9" s="318" t="s">
        <v>600</v>
      </c>
      <c r="I9" s="319">
        <f t="shared" si="0"/>
        <v>850.661406572896</v>
      </c>
      <c r="J9" s="320">
        <v>1</v>
      </c>
      <c r="K9" s="321" t="s">
        <v>905</v>
      </c>
      <c r="L9" s="276">
        <v>0.5</v>
      </c>
      <c r="M9" s="319">
        <f>VLOOKUP($K9,$G$19:$M$251,2,FALSE)</f>
        <v>5000</v>
      </c>
      <c r="N9" s="322">
        <v>1</v>
      </c>
      <c r="O9" s="319">
        <f>VLOOKUP($K9,$G$19:$M$251,3,FALSE)</f>
        <v>150</v>
      </c>
      <c r="P9" s="319">
        <f>VLOOKUP($K9,$G$19:$M$251,4,FALSE)</f>
        <v>50</v>
      </c>
      <c r="Q9" s="319">
        <f>VLOOKUP($K9,$G$19:$M$251,5,FALSE)</f>
        <v>10</v>
      </c>
      <c r="R9" s="319">
        <f>VLOOKUP($K9,$G$19:$M$251,6,FALSE)</f>
        <v>20</v>
      </c>
      <c r="S9" s="319">
        <f>(O9+P9+Q9)*VLOOKUP($K9,$G$19:$M$251,7,FALSE)/100</f>
        <v>105</v>
      </c>
      <c r="T9" s="323">
        <f t="shared" si="1"/>
        <v>0</v>
      </c>
      <c r="U9" s="324">
        <f t="shared" si="2"/>
        <v>0</v>
      </c>
      <c r="V9" s="325">
        <f t="shared" si="3"/>
        <v>0</v>
      </c>
      <c r="X9" s="298">
        <v>5</v>
      </c>
    </row>
    <row r="10" spans="1:24" ht="13.5" customHeight="1" x14ac:dyDescent="0.25">
      <c r="B10" s="807" t="s">
        <v>936</v>
      </c>
      <c r="C10" s="808"/>
      <c r="D10" s="809"/>
      <c r="E10" s="809"/>
      <c r="F10" s="326"/>
      <c r="G10" s="326"/>
      <c r="H10" s="326"/>
      <c r="I10" s="326"/>
      <c r="J10" s="326"/>
      <c r="K10" s="326"/>
      <c r="L10" s="326"/>
      <c r="M10" s="326"/>
      <c r="N10" s="326"/>
      <c r="O10" s="326"/>
      <c r="P10" s="326"/>
      <c r="Q10" s="326"/>
      <c r="R10" s="326"/>
      <c r="S10" s="327"/>
      <c r="T10" s="328">
        <f>SUM(T11:T12)</f>
        <v>0</v>
      </c>
      <c r="U10" s="329">
        <f>SUM(U11:U12)</f>
        <v>0</v>
      </c>
      <c r="V10" s="330">
        <f>SUM(V11:V12)</f>
        <v>0</v>
      </c>
      <c r="X10" s="298">
        <v>3</v>
      </c>
    </row>
    <row r="11" spans="1:24" ht="12" customHeight="1" x14ac:dyDescent="0.25">
      <c r="B11" s="316"/>
      <c r="C11" s="312"/>
      <c r="D11" s="789" t="s">
        <v>937</v>
      </c>
      <c r="E11" s="789"/>
      <c r="F11" s="317" t="s">
        <v>613</v>
      </c>
      <c r="G11" s="317">
        <v>0</v>
      </c>
      <c r="H11" s="318" t="s">
        <v>831</v>
      </c>
      <c r="I11" s="319">
        <f>VLOOKUP(H11,pay_by_region,VLOOKUP(F11,pay_by_region_position_lookup,2))*VLOOKUP(H11,workdays_by_region,3)*G11</f>
        <v>0</v>
      </c>
      <c r="J11" s="320">
        <v>1</v>
      </c>
      <c r="K11" s="321" t="s">
        <v>905</v>
      </c>
      <c r="L11" s="276">
        <v>0.5</v>
      </c>
      <c r="M11" s="319">
        <f>VLOOKUP($K11,$G$19:$M$251,2,FALSE)</f>
        <v>5000</v>
      </c>
      <c r="N11" s="322">
        <v>1</v>
      </c>
      <c r="O11" s="319">
        <f>VLOOKUP($K11,$G$19:$M$251,3,FALSE)</f>
        <v>150</v>
      </c>
      <c r="P11" s="319">
        <f>VLOOKUP($K11,$G$19:$M$251,4,FALSE)</f>
        <v>50</v>
      </c>
      <c r="Q11" s="319">
        <f>VLOOKUP($K11,$G$19:$M$251,5,FALSE)</f>
        <v>10</v>
      </c>
      <c r="R11" s="319">
        <f>VLOOKUP($K11,$G$19:$M$251,6,FALSE)</f>
        <v>20</v>
      </c>
      <c r="S11" s="319">
        <f>(O11+P11+Q11)*VLOOKUP($K11,$G$19:$M$251,7,FALSE)/100</f>
        <v>105</v>
      </c>
      <c r="T11" s="323">
        <f>(G11*J11*M11) + (G11*N11 * (O11+P11+Q11)) + (G11*(R11+S11))</f>
        <v>0</v>
      </c>
      <c r="U11" s="324">
        <f>G11*J11*L11</f>
        <v>0</v>
      </c>
      <c r="V11" s="325">
        <f>G11*I11*J11*L11</f>
        <v>0</v>
      </c>
      <c r="X11" s="298">
        <v>5</v>
      </c>
    </row>
    <row r="12" spans="1:24" ht="12" customHeight="1" x14ac:dyDescent="0.25">
      <c r="B12" s="316"/>
      <c r="C12" s="312"/>
      <c r="D12" s="789" t="s">
        <v>938</v>
      </c>
      <c r="E12" s="789"/>
      <c r="F12" s="317" t="s">
        <v>618</v>
      </c>
      <c r="G12" s="317">
        <v>0</v>
      </c>
      <c r="H12" s="318" t="s">
        <v>831</v>
      </c>
      <c r="I12" s="319">
        <f>VLOOKUP(H12,pay_by_region,VLOOKUP(F12,pay_by_region_position_lookup,2))*VLOOKUP(H12,workdays_by_region,3)*G12</f>
        <v>0</v>
      </c>
      <c r="J12" s="320">
        <v>1</v>
      </c>
      <c r="K12" s="321" t="s">
        <v>905</v>
      </c>
      <c r="L12" s="276">
        <v>0.5</v>
      </c>
      <c r="M12" s="319">
        <f>VLOOKUP($K12,$G$19:$M$251,2,FALSE)</f>
        <v>5000</v>
      </c>
      <c r="N12" s="322">
        <v>1</v>
      </c>
      <c r="O12" s="319">
        <f>VLOOKUP($K12,$G$19:$M$251,3,FALSE)</f>
        <v>150</v>
      </c>
      <c r="P12" s="319">
        <f>VLOOKUP($K12,$G$19:$M$251,4,FALSE)</f>
        <v>50</v>
      </c>
      <c r="Q12" s="319">
        <f>VLOOKUP($K12,$G$19:$M$251,5,FALSE)</f>
        <v>10</v>
      </c>
      <c r="R12" s="319">
        <f>VLOOKUP($K12,$G$19:$M$251,6,FALSE)</f>
        <v>20</v>
      </c>
      <c r="S12" s="319">
        <f>(O12+P12+Q12)*VLOOKUP($K12,$G$19:$M$251,7,FALSE)/100</f>
        <v>105</v>
      </c>
      <c r="T12" s="323">
        <f>(G12*J12*M12) + (G12*N12 * (O12+P12+Q12)) + (G12*(R12+S12))</f>
        <v>0</v>
      </c>
      <c r="U12" s="324">
        <f>G12*J12*L12</f>
        <v>0</v>
      </c>
      <c r="V12" s="325">
        <f>G12*I12*J12*L12</f>
        <v>0</v>
      </c>
      <c r="X12" s="298">
        <v>5</v>
      </c>
    </row>
    <row r="13" spans="1:24" ht="12" customHeight="1" thickBot="1" x14ac:dyDescent="0.3">
      <c r="B13" s="331"/>
      <c r="C13" s="332"/>
      <c r="D13" s="332"/>
      <c r="E13" s="332"/>
      <c r="F13" s="333"/>
      <c r="G13" s="332"/>
      <c r="H13" s="333"/>
      <c r="I13" s="333"/>
      <c r="J13" s="333"/>
      <c r="K13" s="333"/>
      <c r="L13" s="333"/>
      <c r="M13" s="333"/>
      <c r="N13" s="333"/>
      <c r="O13" s="333"/>
      <c r="P13" s="333"/>
      <c r="Q13" s="333"/>
      <c r="R13" s="333"/>
      <c r="S13" s="333"/>
      <c r="T13" s="334"/>
      <c r="U13" s="334"/>
      <c r="V13" s="335"/>
      <c r="X13" s="298">
        <v>2</v>
      </c>
    </row>
    <row r="14" spans="1:24" x14ac:dyDescent="0.25">
      <c r="O14" s="393"/>
    </row>
    <row r="15" spans="1:24" s="297" customFormat="1" ht="36.75" customHeight="1" thickBot="1" x14ac:dyDescent="0.3">
      <c r="A15" s="296"/>
      <c r="F15" s="298"/>
      <c r="H15" s="298"/>
      <c r="I15" s="298"/>
      <c r="J15" s="298"/>
      <c r="K15" s="298"/>
      <c r="L15" s="298"/>
      <c r="M15" s="298"/>
      <c r="N15" s="298"/>
      <c r="O15" s="810" t="s">
        <v>939</v>
      </c>
      <c r="P15" s="810"/>
      <c r="Q15" s="810"/>
      <c r="R15" s="810"/>
      <c r="S15" s="298"/>
      <c r="T15" s="298"/>
      <c r="U15" s="298"/>
      <c r="V15" s="298"/>
    </row>
    <row r="16" spans="1:24" s="297" customFormat="1" ht="29.65" customHeight="1" thickBot="1" x14ac:dyDescent="0.3">
      <c r="A16" s="296"/>
      <c r="F16" s="298"/>
      <c r="G16" s="793" t="s">
        <v>940</v>
      </c>
      <c r="H16" s="794"/>
      <c r="I16" s="794"/>
      <c r="J16" s="794"/>
      <c r="K16" s="794"/>
      <c r="L16" s="794"/>
      <c r="M16" s="795"/>
      <c r="N16" s="336" t="s">
        <v>941</v>
      </c>
      <c r="O16" s="797" t="s">
        <v>942</v>
      </c>
      <c r="P16" s="797"/>
      <c r="Q16" s="797"/>
      <c r="R16" s="797"/>
      <c r="S16" s="298"/>
      <c r="T16" s="298"/>
      <c r="U16" s="298"/>
      <c r="V16" s="298"/>
    </row>
    <row r="17" spans="1:24" s="297" customFormat="1" ht="6.6" customHeight="1" x14ac:dyDescent="0.25">
      <c r="A17" s="296"/>
      <c r="F17" s="298"/>
      <c r="H17" s="298"/>
      <c r="I17" s="298"/>
      <c r="J17" s="298"/>
      <c r="K17" s="298"/>
      <c r="L17" s="298"/>
      <c r="M17" s="298"/>
      <c r="N17" s="298"/>
      <c r="O17" s="298"/>
      <c r="P17" s="298"/>
      <c r="Q17" s="298"/>
      <c r="R17" s="298"/>
      <c r="S17" s="298"/>
      <c r="T17" s="337"/>
      <c r="U17" s="337"/>
      <c r="V17" s="337"/>
    </row>
    <row r="18" spans="1:24" s="297" customFormat="1" ht="24.6" customHeight="1" x14ac:dyDescent="0.25">
      <c r="A18" s="296"/>
      <c r="F18" s="298"/>
      <c r="G18" s="338" t="s">
        <v>864</v>
      </c>
      <c r="H18" s="338" t="s">
        <v>943</v>
      </c>
      <c r="I18" s="338" t="s">
        <v>928</v>
      </c>
      <c r="J18" s="338" t="s">
        <v>929</v>
      </c>
      <c r="K18" s="338" t="s">
        <v>930</v>
      </c>
      <c r="L18" s="338" t="s">
        <v>931</v>
      </c>
      <c r="M18" s="338" t="s">
        <v>944</v>
      </c>
      <c r="N18" s="787" t="s">
        <v>945</v>
      </c>
      <c r="O18" s="788"/>
      <c r="P18" s="788"/>
      <c r="Q18" s="788"/>
      <c r="R18" s="788"/>
      <c r="S18" s="788"/>
      <c r="T18" s="788"/>
      <c r="U18" s="788"/>
      <c r="V18" s="788"/>
    </row>
    <row r="19" spans="1:24" s="297" customFormat="1" ht="13.5" customHeight="1" x14ac:dyDescent="0.25">
      <c r="A19" s="296"/>
      <c r="F19" s="298"/>
      <c r="G19" s="339" t="s">
        <v>905</v>
      </c>
      <c r="H19" s="317">
        <v>5000</v>
      </c>
      <c r="I19" s="317">
        <v>150</v>
      </c>
      <c r="J19" s="317">
        <v>50</v>
      </c>
      <c r="K19" s="317">
        <v>10</v>
      </c>
      <c r="L19" s="317">
        <v>20</v>
      </c>
      <c r="M19" s="317">
        <v>50</v>
      </c>
      <c r="N19" s="787"/>
      <c r="O19" s="788"/>
      <c r="P19" s="788"/>
      <c r="Q19" s="788"/>
      <c r="R19" s="788"/>
      <c r="S19" s="788"/>
      <c r="T19" s="788"/>
      <c r="U19" s="788"/>
      <c r="V19" s="788"/>
    </row>
    <row r="20" spans="1:24" s="297" customFormat="1" ht="13.5" customHeight="1" x14ac:dyDescent="0.25">
      <c r="A20" s="296"/>
      <c r="F20" s="298"/>
      <c r="G20" s="317" t="s">
        <v>885</v>
      </c>
      <c r="H20" s="317">
        <v>850</v>
      </c>
      <c r="I20" s="317">
        <v>170</v>
      </c>
      <c r="J20" s="317">
        <v>1050</v>
      </c>
      <c r="K20" s="317">
        <v>65</v>
      </c>
      <c r="L20" s="317">
        <v>50</v>
      </c>
      <c r="M20" s="317">
        <v>50</v>
      </c>
      <c r="N20" s="787"/>
      <c r="O20" s="788"/>
      <c r="P20" s="788"/>
      <c r="Q20" s="788"/>
      <c r="R20" s="788"/>
      <c r="S20" s="788"/>
      <c r="T20" s="788"/>
      <c r="U20" s="788"/>
      <c r="V20" s="788"/>
    </row>
    <row r="21" spans="1:24" s="297" customFormat="1" ht="13.5" customHeight="1" x14ac:dyDescent="0.25">
      <c r="A21" s="296"/>
      <c r="F21" s="298"/>
      <c r="G21" s="317" t="s">
        <v>907</v>
      </c>
      <c r="H21" s="317">
        <v>900</v>
      </c>
      <c r="I21" s="317">
        <v>220</v>
      </c>
      <c r="J21" s="317">
        <v>1100</v>
      </c>
      <c r="K21" s="317">
        <v>115</v>
      </c>
      <c r="L21" s="317">
        <v>100</v>
      </c>
      <c r="M21" s="317">
        <v>100</v>
      </c>
      <c r="N21" s="787"/>
      <c r="O21" s="788"/>
      <c r="P21" s="788"/>
      <c r="Q21" s="788"/>
      <c r="R21" s="788"/>
      <c r="S21" s="788"/>
      <c r="T21" s="788"/>
      <c r="U21" s="788"/>
      <c r="V21" s="788"/>
    </row>
    <row r="22" spans="1:24" s="297" customFormat="1" ht="13.5" customHeight="1" x14ac:dyDescent="0.25">
      <c r="A22" s="296"/>
      <c r="F22" s="298"/>
      <c r="G22" s="317" t="s">
        <v>879</v>
      </c>
      <c r="H22" s="317">
        <v>950</v>
      </c>
      <c r="I22" s="317">
        <v>270</v>
      </c>
      <c r="J22" s="317">
        <v>1150</v>
      </c>
      <c r="K22" s="317">
        <v>165</v>
      </c>
      <c r="L22" s="317">
        <v>150</v>
      </c>
      <c r="M22" s="317">
        <v>150</v>
      </c>
      <c r="N22" s="787"/>
      <c r="O22" s="788"/>
      <c r="P22" s="788"/>
      <c r="Q22" s="788"/>
      <c r="R22" s="788"/>
      <c r="S22" s="788"/>
      <c r="T22" s="788"/>
      <c r="U22" s="788"/>
      <c r="V22" s="788"/>
    </row>
    <row r="23" spans="1:24" s="297" customFormat="1" ht="13.5" customHeight="1" x14ac:dyDescent="0.25">
      <c r="A23" s="296"/>
      <c r="F23" s="298"/>
      <c r="G23" s="317" t="s">
        <v>887</v>
      </c>
      <c r="H23" s="317">
        <v>1000</v>
      </c>
      <c r="I23" s="317">
        <v>320</v>
      </c>
      <c r="J23" s="317">
        <v>1200</v>
      </c>
      <c r="K23" s="317">
        <v>215</v>
      </c>
      <c r="L23" s="317">
        <v>200</v>
      </c>
      <c r="M23" s="317">
        <v>200</v>
      </c>
      <c r="N23" s="787"/>
      <c r="O23" s="788"/>
      <c r="P23" s="788"/>
      <c r="Q23" s="788"/>
      <c r="R23" s="788"/>
      <c r="S23" s="788"/>
      <c r="T23" s="788"/>
      <c r="U23" s="788"/>
      <c r="V23" s="788"/>
    </row>
    <row r="24" spans="1:24" s="297" customFormat="1" ht="13.5" customHeight="1" x14ac:dyDescent="0.25">
      <c r="A24" s="296"/>
      <c r="F24" s="298"/>
      <c r="G24" s="317"/>
      <c r="H24" s="317"/>
      <c r="I24" s="317"/>
      <c r="J24" s="317"/>
      <c r="K24" s="317"/>
      <c r="L24" s="317"/>
      <c r="M24" s="317"/>
      <c r="N24" s="787"/>
      <c r="O24" s="788"/>
      <c r="P24" s="788"/>
      <c r="Q24" s="788"/>
      <c r="R24" s="788"/>
      <c r="S24" s="788"/>
      <c r="T24" s="788"/>
      <c r="U24" s="788"/>
      <c r="V24" s="788"/>
    </row>
    <row r="25" spans="1:24" s="297" customFormat="1" ht="13.5" customHeight="1" x14ac:dyDescent="0.25">
      <c r="A25" s="296"/>
      <c r="F25" s="298"/>
      <c r="G25" s="317"/>
      <c r="H25" s="317"/>
      <c r="I25" s="317"/>
      <c r="J25" s="317"/>
      <c r="K25" s="317"/>
      <c r="L25" s="317"/>
      <c r="M25" s="317"/>
      <c r="N25" s="787"/>
      <c r="O25" s="788"/>
      <c r="P25" s="788"/>
      <c r="Q25" s="788"/>
      <c r="R25" s="788"/>
      <c r="S25" s="788"/>
      <c r="T25" s="788"/>
      <c r="U25" s="788"/>
      <c r="V25" s="788"/>
    </row>
    <row r="26" spans="1:24" s="297" customFormat="1" ht="13.5" customHeight="1" x14ac:dyDescent="0.25">
      <c r="A26" s="296"/>
      <c r="F26" s="298"/>
      <c r="G26" s="317"/>
      <c r="H26" s="317"/>
      <c r="I26" s="317"/>
      <c r="J26" s="317"/>
      <c r="K26" s="317"/>
      <c r="L26" s="317"/>
      <c r="M26" s="317"/>
      <c r="N26" s="787"/>
      <c r="O26" s="788"/>
      <c r="P26" s="788"/>
      <c r="Q26" s="788"/>
      <c r="R26" s="788"/>
      <c r="S26" s="788"/>
      <c r="T26" s="788"/>
      <c r="U26" s="788"/>
      <c r="V26" s="788"/>
    </row>
    <row r="27" spans="1:24" s="297" customFormat="1" x14ac:dyDescent="0.25">
      <c r="A27" s="296"/>
      <c r="F27" s="298"/>
      <c r="G27" s="317"/>
      <c r="H27" s="317"/>
      <c r="I27" s="317"/>
      <c r="J27" s="317"/>
      <c r="K27" s="317"/>
      <c r="L27" s="317"/>
      <c r="M27" s="317"/>
      <c r="N27" s="298"/>
      <c r="O27" s="298"/>
      <c r="P27" s="298"/>
      <c r="Q27" s="298"/>
      <c r="R27" s="298"/>
      <c r="S27" s="298"/>
      <c r="T27" s="298"/>
      <c r="U27" s="298"/>
      <c r="V27" s="298"/>
    </row>
    <row r="28" spans="1:24" s="297" customFormat="1" x14ac:dyDescent="0.25">
      <c r="A28" s="296"/>
      <c r="F28" s="298"/>
      <c r="G28" s="317"/>
      <c r="H28" s="317"/>
      <c r="I28" s="317"/>
      <c r="J28" s="317"/>
      <c r="K28" s="317"/>
      <c r="L28" s="317"/>
      <c r="M28" s="317"/>
      <c r="N28" s="298"/>
      <c r="O28" s="298"/>
      <c r="P28" s="298"/>
      <c r="Q28" s="298"/>
      <c r="R28" s="298"/>
      <c r="S28" s="298"/>
      <c r="T28" s="298"/>
      <c r="U28" s="298"/>
      <c r="V28" s="298"/>
    </row>
    <row r="29" spans="1:24" s="297" customFormat="1" x14ac:dyDescent="0.25">
      <c r="A29" s="296"/>
      <c r="F29" s="298"/>
      <c r="G29" s="317"/>
      <c r="H29" s="317"/>
      <c r="I29" s="317"/>
      <c r="J29" s="317"/>
      <c r="K29" s="317"/>
      <c r="L29" s="317"/>
      <c r="M29" s="317"/>
      <c r="N29" s="298"/>
      <c r="O29" s="298"/>
      <c r="P29" s="298"/>
      <c r="Q29" s="298"/>
      <c r="R29" s="298"/>
      <c r="S29" s="298"/>
      <c r="T29" s="298"/>
      <c r="U29" s="298"/>
      <c r="V29" s="298"/>
    </row>
    <row r="30" spans="1:24" s="297" customFormat="1" x14ac:dyDescent="0.25">
      <c r="A30" s="296"/>
      <c r="F30" s="298"/>
      <c r="G30" s="317"/>
      <c r="H30" s="317"/>
      <c r="I30" s="317"/>
      <c r="J30" s="317"/>
      <c r="K30" s="317"/>
      <c r="L30" s="317"/>
      <c r="M30" s="317"/>
      <c r="N30" s="298"/>
      <c r="O30" s="298"/>
      <c r="P30" s="298"/>
      <c r="Q30" s="298"/>
      <c r="R30" s="298"/>
      <c r="S30" s="298"/>
      <c r="T30" s="298"/>
      <c r="U30" s="298"/>
      <c r="V30" s="298"/>
    </row>
    <row r="31" spans="1:24" s="298" customFormat="1" x14ac:dyDescent="0.25">
      <c r="A31" s="296"/>
      <c r="B31" s="297"/>
      <c r="C31" s="297"/>
      <c r="D31" s="297"/>
      <c r="E31" s="297"/>
      <c r="G31" s="317"/>
      <c r="H31" s="317"/>
      <c r="I31" s="317"/>
      <c r="J31" s="317"/>
      <c r="K31" s="317"/>
      <c r="L31" s="317"/>
      <c r="M31" s="317"/>
      <c r="W31" s="297"/>
      <c r="X31" s="297"/>
    </row>
    <row r="32" spans="1:24" s="298" customFormat="1" x14ac:dyDescent="0.25">
      <c r="A32" s="296"/>
      <c r="B32" s="297"/>
      <c r="C32" s="297"/>
      <c r="D32" s="297"/>
      <c r="E32" s="297"/>
      <c r="G32" s="317"/>
      <c r="H32" s="317"/>
      <c r="I32" s="317"/>
      <c r="J32" s="317"/>
      <c r="K32" s="317"/>
      <c r="L32" s="317"/>
      <c r="M32" s="317"/>
      <c r="W32" s="297"/>
      <c r="X32" s="297"/>
    </row>
    <row r="33" spans="1:24" s="298" customFormat="1" x14ac:dyDescent="0.25">
      <c r="A33" s="296"/>
      <c r="B33" s="297"/>
      <c r="C33" s="297"/>
      <c r="D33" s="297"/>
      <c r="E33" s="297"/>
      <c r="G33" s="317"/>
      <c r="H33" s="317"/>
      <c r="I33" s="317"/>
      <c r="J33" s="317"/>
      <c r="K33" s="317"/>
      <c r="L33" s="317"/>
      <c r="M33" s="317"/>
      <c r="W33" s="297"/>
      <c r="X33" s="297"/>
    </row>
    <row r="34" spans="1:24" s="298" customFormat="1" x14ac:dyDescent="0.25">
      <c r="A34" s="296"/>
      <c r="B34" s="297"/>
      <c r="C34" s="297"/>
      <c r="D34" s="297"/>
      <c r="E34" s="297"/>
      <c r="G34" s="317"/>
      <c r="H34" s="317"/>
      <c r="I34" s="317"/>
      <c r="J34" s="317"/>
      <c r="K34" s="317"/>
      <c r="L34" s="317"/>
      <c r="M34" s="317"/>
      <c r="W34" s="297"/>
      <c r="X34" s="297"/>
    </row>
    <row r="35" spans="1:24" s="298" customFormat="1" x14ac:dyDescent="0.25">
      <c r="A35" s="296"/>
      <c r="B35" s="297"/>
      <c r="C35" s="297"/>
      <c r="D35" s="297"/>
      <c r="E35" s="297"/>
      <c r="G35" s="317"/>
      <c r="H35" s="317"/>
      <c r="I35" s="317"/>
      <c r="J35" s="317"/>
      <c r="K35" s="317"/>
      <c r="L35" s="317"/>
      <c r="M35" s="317"/>
      <c r="W35" s="297"/>
      <c r="X35" s="297"/>
    </row>
    <row r="36" spans="1:24" s="298" customFormat="1" x14ac:dyDescent="0.25">
      <c r="A36" s="296"/>
      <c r="B36" s="297"/>
      <c r="C36" s="297"/>
      <c r="D36" s="297"/>
      <c r="E36" s="297"/>
      <c r="G36" s="317"/>
      <c r="H36" s="317"/>
      <c r="I36" s="317"/>
      <c r="J36" s="317"/>
      <c r="K36" s="317"/>
      <c r="L36" s="317"/>
      <c r="M36" s="317"/>
      <c r="W36" s="297"/>
      <c r="X36" s="297"/>
    </row>
    <row r="37" spans="1:24" s="298" customFormat="1" x14ac:dyDescent="0.25">
      <c r="A37" s="296"/>
      <c r="B37" s="297"/>
      <c r="C37" s="297"/>
      <c r="D37" s="297"/>
      <c r="E37" s="297"/>
      <c r="G37" s="317"/>
      <c r="H37" s="317"/>
      <c r="I37" s="317"/>
      <c r="J37" s="317"/>
      <c r="K37" s="317"/>
      <c r="L37" s="317"/>
      <c r="M37" s="317"/>
      <c r="W37" s="297"/>
      <c r="X37" s="297"/>
    </row>
    <row r="38" spans="1:24" s="298" customFormat="1" x14ac:dyDescent="0.25">
      <c r="A38" s="296"/>
      <c r="B38" s="297"/>
      <c r="C38" s="297"/>
      <c r="D38" s="297"/>
      <c r="E38" s="297"/>
      <c r="G38" s="317"/>
      <c r="H38" s="317"/>
      <c r="I38" s="317"/>
      <c r="J38" s="317"/>
      <c r="K38" s="317"/>
      <c r="L38" s="317"/>
      <c r="M38" s="317"/>
      <c r="W38" s="297"/>
      <c r="X38" s="297"/>
    </row>
    <row r="39" spans="1:24" s="298" customFormat="1" x14ac:dyDescent="0.25">
      <c r="A39" s="296"/>
      <c r="B39" s="297"/>
      <c r="C39" s="297"/>
      <c r="D39" s="297"/>
      <c r="E39" s="297"/>
      <c r="G39" s="317"/>
      <c r="H39" s="317"/>
      <c r="I39" s="317"/>
      <c r="J39" s="317"/>
      <c r="K39" s="317"/>
      <c r="L39" s="317"/>
      <c r="M39" s="317"/>
      <c r="W39" s="297"/>
      <c r="X39" s="297"/>
    </row>
    <row r="40" spans="1:24" s="298" customFormat="1" x14ac:dyDescent="0.25">
      <c r="A40" s="296"/>
      <c r="B40" s="297"/>
      <c r="C40" s="297"/>
      <c r="D40" s="297"/>
      <c r="E40" s="297"/>
      <c r="G40" s="317"/>
      <c r="H40" s="317"/>
      <c r="I40" s="317"/>
      <c r="J40" s="317"/>
      <c r="K40" s="317"/>
      <c r="L40" s="317"/>
      <c r="M40" s="317"/>
      <c r="W40" s="297"/>
      <c r="X40" s="297"/>
    </row>
    <row r="41" spans="1:24" s="298" customFormat="1" x14ac:dyDescent="0.25">
      <c r="A41" s="296"/>
      <c r="B41" s="297"/>
      <c r="C41" s="297"/>
      <c r="D41" s="297"/>
      <c r="E41" s="297"/>
      <c r="G41" s="317"/>
      <c r="H41" s="317"/>
      <c r="I41" s="317"/>
      <c r="J41" s="317"/>
      <c r="K41" s="317"/>
      <c r="L41" s="317"/>
      <c r="M41" s="317"/>
      <c r="W41" s="297"/>
      <c r="X41" s="297"/>
    </row>
    <row r="42" spans="1:24" s="298" customFormat="1" x14ac:dyDescent="0.25">
      <c r="A42" s="296"/>
      <c r="B42" s="297"/>
      <c r="C42" s="297"/>
      <c r="D42" s="297"/>
      <c r="E42" s="297"/>
      <c r="G42" s="317"/>
      <c r="H42" s="317"/>
      <c r="I42" s="317"/>
      <c r="J42" s="317"/>
      <c r="K42" s="317"/>
      <c r="L42" s="317"/>
      <c r="M42" s="317"/>
      <c r="W42" s="297"/>
      <c r="X42" s="297"/>
    </row>
    <row r="43" spans="1:24" s="298" customFormat="1" x14ac:dyDescent="0.25">
      <c r="A43" s="296"/>
      <c r="B43" s="297"/>
      <c r="C43" s="297"/>
      <c r="D43" s="297"/>
      <c r="E43" s="297"/>
      <c r="G43" s="317"/>
      <c r="H43" s="317"/>
      <c r="I43" s="317"/>
      <c r="J43" s="317"/>
      <c r="K43" s="317"/>
      <c r="L43" s="317"/>
      <c r="M43" s="317"/>
      <c r="W43" s="297"/>
      <c r="X43" s="297"/>
    </row>
    <row r="44" spans="1:24" s="298" customFormat="1" x14ac:dyDescent="0.25">
      <c r="A44" s="296"/>
      <c r="B44" s="297"/>
      <c r="C44" s="297"/>
      <c r="D44" s="297"/>
      <c r="E44" s="297"/>
      <c r="G44" s="317"/>
      <c r="H44" s="317"/>
      <c r="I44" s="317"/>
      <c r="J44" s="317"/>
      <c r="K44" s="317"/>
      <c r="L44" s="317"/>
      <c r="M44" s="317"/>
      <c r="W44" s="297"/>
      <c r="X44" s="297"/>
    </row>
    <row r="45" spans="1:24" s="298" customFormat="1" x14ac:dyDescent="0.25">
      <c r="A45" s="296"/>
      <c r="B45" s="297"/>
      <c r="C45" s="297"/>
      <c r="D45" s="297"/>
      <c r="E45" s="297"/>
      <c r="G45" s="317"/>
      <c r="H45" s="317"/>
      <c r="I45" s="317"/>
      <c r="J45" s="317"/>
      <c r="K45" s="317"/>
      <c r="L45" s="317"/>
      <c r="M45" s="317"/>
      <c r="W45" s="297"/>
      <c r="X45" s="297"/>
    </row>
    <row r="46" spans="1:24" s="298" customFormat="1" x14ac:dyDescent="0.25">
      <c r="A46" s="296"/>
      <c r="B46" s="297"/>
      <c r="C46" s="297"/>
      <c r="D46" s="297"/>
      <c r="E46" s="297"/>
      <c r="G46" s="317"/>
      <c r="H46" s="317"/>
      <c r="I46" s="317"/>
      <c r="J46" s="317"/>
      <c r="K46" s="317"/>
      <c r="L46" s="317"/>
      <c r="M46" s="317"/>
      <c r="W46" s="297"/>
      <c r="X46" s="297"/>
    </row>
    <row r="47" spans="1:24" s="298" customFormat="1" x14ac:dyDescent="0.25">
      <c r="A47" s="296"/>
      <c r="B47" s="297"/>
      <c r="C47" s="297"/>
      <c r="D47" s="297"/>
      <c r="E47" s="297"/>
      <c r="G47" s="317"/>
      <c r="H47" s="317"/>
      <c r="I47" s="317"/>
      <c r="J47" s="317"/>
      <c r="K47" s="317"/>
      <c r="L47" s="317"/>
      <c r="M47" s="317"/>
      <c r="W47" s="297"/>
      <c r="X47" s="297"/>
    </row>
    <row r="48" spans="1:24" s="298" customFormat="1" x14ac:dyDescent="0.25">
      <c r="A48" s="296"/>
      <c r="B48" s="297"/>
      <c r="C48" s="297"/>
      <c r="D48" s="297"/>
      <c r="E48" s="297"/>
      <c r="G48" s="317"/>
      <c r="H48" s="317"/>
      <c r="I48" s="317"/>
      <c r="J48" s="317"/>
      <c r="K48" s="317"/>
      <c r="L48" s="317"/>
      <c r="M48" s="317"/>
      <c r="W48" s="297"/>
      <c r="X48" s="297"/>
    </row>
    <row r="49" spans="1:24" s="298" customFormat="1" x14ac:dyDescent="0.25">
      <c r="A49" s="296"/>
      <c r="B49" s="297"/>
      <c r="C49" s="297"/>
      <c r="D49" s="297"/>
      <c r="E49" s="297"/>
      <c r="G49" s="317"/>
      <c r="H49" s="317"/>
      <c r="I49" s="317"/>
      <c r="J49" s="317"/>
      <c r="K49" s="317"/>
      <c r="L49" s="317"/>
      <c r="M49" s="317"/>
      <c r="W49" s="297"/>
      <c r="X49" s="297"/>
    </row>
    <row r="50" spans="1:24" s="298" customFormat="1" x14ac:dyDescent="0.25">
      <c r="A50" s="296"/>
      <c r="B50" s="297"/>
      <c r="C50" s="297"/>
      <c r="D50" s="297"/>
      <c r="E50" s="297"/>
      <c r="G50" s="317"/>
      <c r="H50" s="317"/>
      <c r="I50" s="317"/>
      <c r="J50" s="317"/>
      <c r="K50" s="317"/>
      <c r="L50" s="317"/>
      <c r="M50" s="317"/>
      <c r="W50" s="297"/>
      <c r="X50" s="297"/>
    </row>
    <row r="51" spans="1:24" s="298" customFormat="1" x14ac:dyDescent="0.25">
      <c r="A51" s="296"/>
      <c r="B51" s="297"/>
      <c r="C51" s="297"/>
      <c r="D51" s="297"/>
      <c r="E51" s="297"/>
      <c r="G51" s="317"/>
      <c r="H51" s="317"/>
      <c r="I51" s="317"/>
      <c r="J51" s="317"/>
      <c r="K51" s="317"/>
      <c r="L51" s="317"/>
      <c r="M51" s="317"/>
      <c r="W51" s="297"/>
      <c r="X51" s="297"/>
    </row>
    <row r="52" spans="1:24" s="298" customFormat="1" x14ac:dyDescent="0.25">
      <c r="A52" s="296"/>
      <c r="B52" s="297"/>
      <c r="C52" s="297"/>
      <c r="D52" s="297"/>
      <c r="E52" s="297"/>
      <c r="G52" s="317"/>
      <c r="H52" s="317"/>
      <c r="I52" s="317"/>
      <c r="J52" s="317"/>
      <c r="K52" s="317"/>
      <c r="L52" s="317"/>
      <c r="M52" s="317"/>
      <c r="W52" s="297"/>
      <c r="X52" s="297"/>
    </row>
    <row r="53" spans="1:24" s="298" customFormat="1" x14ac:dyDescent="0.25">
      <c r="A53" s="296"/>
      <c r="B53" s="297"/>
      <c r="C53" s="297"/>
      <c r="D53" s="297"/>
      <c r="E53" s="297"/>
      <c r="G53" s="317"/>
      <c r="H53" s="317"/>
      <c r="I53" s="317"/>
      <c r="J53" s="317"/>
      <c r="K53" s="317"/>
      <c r="L53" s="317"/>
      <c r="M53" s="317"/>
      <c r="W53" s="297"/>
      <c r="X53" s="297"/>
    </row>
    <row r="54" spans="1:24" s="298" customFormat="1" x14ac:dyDescent="0.25">
      <c r="A54" s="296"/>
      <c r="B54" s="297"/>
      <c r="C54" s="297"/>
      <c r="D54" s="297"/>
      <c r="E54" s="297"/>
      <c r="G54" s="317"/>
      <c r="H54" s="317"/>
      <c r="I54" s="317"/>
      <c r="J54" s="317"/>
      <c r="K54" s="317"/>
      <c r="L54" s="317"/>
      <c r="M54" s="317"/>
      <c r="W54" s="297"/>
      <c r="X54" s="297"/>
    </row>
    <row r="55" spans="1:24" s="298" customFormat="1" x14ac:dyDescent="0.25">
      <c r="A55" s="296"/>
      <c r="B55" s="297"/>
      <c r="C55" s="297"/>
      <c r="D55" s="297"/>
      <c r="E55" s="297"/>
      <c r="G55" s="317"/>
      <c r="H55" s="317"/>
      <c r="I55" s="317"/>
      <c r="J55" s="317"/>
      <c r="K55" s="317"/>
      <c r="L55" s="317"/>
      <c r="M55" s="317"/>
      <c r="W55" s="297"/>
      <c r="X55" s="297"/>
    </row>
    <row r="56" spans="1:24" s="298" customFormat="1" x14ac:dyDescent="0.25">
      <c r="A56" s="296"/>
      <c r="B56" s="297"/>
      <c r="C56" s="297"/>
      <c r="D56" s="297"/>
      <c r="E56" s="297"/>
      <c r="G56" s="317"/>
      <c r="H56" s="317"/>
      <c r="I56" s="317"/>
      <c r="J56" s="317"/>
      <c r="K56" s="317"/>
      <c r="L56" s="317"/>
      <c r="M56" s="317"/>
      <c r="W56" s="297"/>
      <c r="X56" s="297"/>
    </row>
    <row r="57" spans="1:24" s="298" customFormat="1" x14ac:dyDescent="0.25">
      <c r="A57" s="296"/>
      <c r="B57" s="297"/>
      <c r="C57" s="297"/>
      <c r="D57" s="297"/>
      <c r="E57" s="297"/>
      <c r="G57" s="317"/>
      <c r="H57" s="317"/>
      <c r="I57" s="317"/>
      <c r="J57" s="317"/>
      <c r="K57" s="317"/>
      <c r="L57" s="317"/>
      <c r="M57" s="317"/>
      <c r="W57" s="297"/>
      <c r="X57" s="297"/>
    </row>
    <row r="58" spans="1:24" s="298" customFormat="1" x14ac:dyDescent="0.25">
      <c r="A58" s="296"/>
      <c r="B58" s="297"/>
      <c r="C58" s="297"/>
      <c r="D58" s="297"/>
      <c r="E58" s="297"/>
      <c r="G58" s="317"/>
      <c r="H58" s="317"/>
      <c r="I58" s="317"/>
      <c r="J58" s="317"/>
      <c r="K58" s="317"/>
      <c r="L58" s="317"/>
      <c r="M58" s="317"/>
      <c r="W58" s="297"/>
      <c r="X58" s="297"/>
    </row>
    <row r="59" spans="1:24" s="298" customFormat="1" x14ac:dyDescent="0.25">
      <c r="A59" s="296"/>
      <c r="B59" s="297"/>
      <c r="C59" s="297"/>
      <c r="D59" s="297"/>
      <c r="E59" s="297"/>
      <c r="G59" s="317"/>
      <c r="H59" s="317"/>
      <c r="I59" s="317"/>
      <c r="J59" s="317"/>
      <c r="K59" s="317"/>
      <c r="L59" s="317"/>
      <c r="M59" s="317"/>
      <c r="W59" s="297"/>
      <c r="X59" s="297"/>
    </row>
    <row r="60" spans="1:24" s="298" customFormat="1" x14ac:dyDescent="0.25">
      <c r="A60" s="296"/>
      <c r="B60" s="297"/>
      <c r="C60" s="297"/>
      <c r="D60" s="297"/>
      <c r="E60" s="297"/>
      <c r="G60" s="317"/>
      <c r="H60" s="317"/>
      <c r="I60" s="317"/>
      <c r="J60" s="317"/>
      <c r="K60" s="317"/>
      <c r="L60" s="317"/>
      <c r="M60" s="317"/>
      <c r="W60" s="297"/>
      <c r="X60" s="297"/>
    </row>
    <row r="61" spans="1:24" s="298" customFormat="1" x14ac:dyDescent="0.25">
      <c r="A61" s="296"/>
      <c r="B61" s="297"/>
      <c r="C61" s="297"/>
      <c r="D61" s="297"/>
      <c r="E61" s="297"/>
      <c r="G61" s="317"/>
      <c r="H61" s="317"/>
      <c r="I61" s="317"/>
      <c r="J61" s="317"/>
      <c r="K61" s="317"/>
      <c r="L61" s="317"/>
      <c r="M61" s="317"/>
      <c r="W61" s="297"/>
      <c r="X61" s="297"/>
    </row>
    <row r="62" spans="1:24" s="298" customFormat="1" x14ac:dyDescent="0.25">
      <c r="A62" s="296"/>
      <c r="B62" s="297"/>
      <c r="C62" s="297"/>
      <c r="D62" s="297"/>
      <c r="E62" s="297"/>
      <c r="G62" s="317"/>
      <c r="H62" s="317"/>
      <c r="I62" s="317"/>
      <c r="J62" s="317"/>
      <c r="K62" s="317"/>
      <c r="L62" s="317"/>
      <c r="M62" s="317"/>
      <c r="W62" s="297"/>
      <c r="X62" s="297"/>
    </row>
    <row r="63" spans="1:24" s="298" customFormat="1" x14ac:dyDescent="0.25">
      <c r="A63" s="296"/>
      <c r="B63" s="297"/>
      <c r="C63" s="297"/>
      <c r="D63" s="297"/>
      <c r="E63" s="297"/>
      <c r="G63" s="317"/>
      <c r="H63" s="317"/>
      <c r="I63" s="317"/>
      <c r="J63" s="317"/>
      <c r="K63" s="317"/>
      <c r="L63" s="317"/>
      <c r="M63" s="317"/>
      <c r="W63" s="297"/>
      <c r="X63" s="297"/>
    </row>
    <row r="64" spans="1:24" s="298" customFormat="1" x14ac:dyDescent="0.25">
      <c r="A64" s="296"/>
      <c r="B64" s="297"/>
      <c r="C64" s="297"/>
      <c r="D64" s="297"/>
      <c r="E64" s="297"/>
      <c r="G64" s="317"/>
      <c r="H64" s="317"/>
      <c r="I64" s="317"/>
      <c r="J64" s="317"/>
      <c r="K64" s="317"/>
      <c r="L64" s="317"/>
      <c r="M64" s="317"/>
      <c r="W64" s="297"/>
      <c r="X64" s="297"/>
    </row>
    <row r="65" spans="1:24" s="298" customFormat="1" x14ac:dyDescent="0.25">
      <c r="A65" s="296"/>
      <c r="B65" s="297"/>
      <c r="C65" s="297"/>
      <c r="D65" s="297"/>
      <c r="E65" s="297"/>
      <c r="G65" s="317"/>
      <c r="H65" s="317"/>
      <c r="I65" s="317"/>
      <c r="J65" s="317"/>
      <c r="K65" s="317"/>
      <c r="L65" s="317"/>
      <c r="M65" s="317"/>
      <c r="W65" s="297"/>
      <c r="X65" s="297"/>
    </row>
    <row r="66" spans="1:24" s="298" customFormat="1" x14ac:dyDescent="0.25">
      <c r="A66" s="296"/>
      <c r="B66" s="297"/>
      <c r="C66" s="297"/>
      <c r="D66" s="297"/>
      <c r="E66" s="297"/>
      <c r="G66" s="317"/>
      <c r="H66" s="317"/>
      <c r="I66" s="317"/>
      <c r="J66" s="317"/>
      <c r="K66" s="317"/>
      <c r="L66" s="317"/>
      <c r="M66" s="317"/>
      <c r="W66" s="297"/>
      <c r="X66" s="297"/>
    </row>
    <row r="67" spans="1:24" s="298" customFormat="1" x14ac:dyDescent="0.25">
      <c r="A67" s="296"/>
      <c r="B67" s="297"/>
      <c r="C67" s="297"/>
      <c r="D67" s="297"/>
      <c r="E67" s="297"/>
      <c r="G67" s="317"/>
      <c r="H67" s="317"/>
      <c r="I67" s="317"/>
      <c r="J67" s="317"/>
      <c r="K67" s="317"/>
      <c r="L67" s="317"/>
      <c r="M67" s="317"/>
      <c r="W67" s="297"/>
      <c r="X67" s="297"/>
    </row>
    <row r="68" spans="1:24" s="298" customFormat="1" x14ac:dyDescent="0.25">
      <c r="A68" s="296"/>
      <c r="B68" s="297"/>
      <c r="C68" s="297"/>
      <c r="D68" s="297"/>
      <c r="E68" s="297"/>
      <c r="G68" s="317"/>
      <c r="H68" s="317"/>
      <c r="I68" s="317"/>
      <c r="J68" s="317"/>
      <c r="K68" s="317"/>
      <c r="L68" s="317"/>
      <c r="M68" s="317"/>
      <c r="W68" s="297"/>
      <c r="X68" s="297"/>
    </row>
    <row r="69" spans="1:24" s="298" customFormat="1" x14ac:dyDescent="0.25">
      <c r="A69" s="296"/>
      <c r="B69" s="297"/>
      <c r="C69" s="297"/>
      <c r="D69" s="297"/>
      <c r="E69" s="297"/>
      <c r="G69" s="317"/>
      <c r="H69" s="317"/>
      <c r="I69" s="317"/>
      <c r="J69" s="317"/>
      <c r="K69" s="317"/>
      <c r="L69" s="317"/>
      <c r="M69" s="317"/>
      <c r="W69" s="297"/>
      <c r="X69" s="297"/>
    </row>
    <row r="70" spans="1:24" s="298" customFormat="1" x14ac:dyDescent="0.25">
      <c r="A70" s="296"/>
      <c r="B70" s="297"/>
      <c r="C70" s="297"/>
      <c r="D70" s="297"/>
      <c r="E70" s="297"/>
      <c r="G70" s="317"/>
      <c r="H70" s="317"/>
      <c r="I70" s="317"/>
      <c r="J70" s="317"/>
      <c r="K70" s="317"/>
      <c r="L70" s="317"/>
      <c r="M70" s="317"/>
      <c r="W70" s="297"/>
      <c r="X70" s="297"/>
    </row>
    <row r="71" spans="1:24" s="298" customFormat="1" x14ac:dyDescent="0.25">
      <c r="A71" s="296"/>
      <c r="B71" s="297"/>
      <c r="C71" s="297"/>
      <c r="D71" s="297"/>
      <c r="E71" s="297"/>
      <c r="G71" s="317"/>
      <c r="H71" s="317"/>
      <c r="I71" s="317"/>
      <c r="J71" s="317"/>
      <c r="K71" s="317"/>
      <c r="L71" s="317"/>
      <c r="M71" s="317"/>
      <c r="W71" s="297"/>
      <c r="X71" s="297"/>
    </row>
    <row r="72" spans="1:24" s="298" customFormat="1" x14ac:dyDescent="0.25">
      <c r="A72" s="296"/>
      <c r="B72" s="297"/>
      <c r="C72" s="297"/>
      <c r="D72" s="297"/>
      <c r="E72" s="297"/>
      <c r="G72" s="317"/>
      <c r="H72" s="317"/>
      <c r="I72" s="317"/>
      <c r="J72" s="317"/>
      <c r="K72" s="317"/>
      <c r="L72" s="317"/>
      <c r="M72" s="317"/>
      <c r="W72" s="297"/>
      <c r="X72" s="297"/>
    </row>
    <row r="73" spans="1:24" s="298" customFormat="1" x14ac:dyDescent="0.25">
      <c r="A73" s="296"/>
      <c r="B73" s="297"/>
      <c r="C73" s="297"/>
      <c r="D73" s="297"/>
      <c r="E73" s="297"/>
      <c r="G73" s="317"/>
      <c r="H73" s="317"/>
      <c r="I73" s="317"/>
      <c r="J73" s="317"/>
      <c r="K73" s="317"/>
      <c r="L73" s="317"/>
      <c r="M73" s="317"/>
      <c r="W73" s="297"/>
      <c r="X73" s="297"/>
    </row>
    <row r="74" spans="1:24" s="298" customFormat="1" x14ac:dyDescent="0.25">
      <c r="A74" s="296"/>
      <c r="B74" s="297"/>
      <c r="C74" s="297"/>
      <c r="D74" s="297"/>
      <c r="E74" s="297"/>
      <c r="G74" s="317"/>
      <c r="H74" s="317"/>
      <c r="I74" s="317"/>
      <c r="J74" s="317"/>
      <c r="K74" s="317"/>
      <c r="L74" s="317"/>
      <c r="M74" s="317"/>
      <c r="W74" s="297"/>
      <c r="X74" s="297"/>
    </row>
    <row r="75" spans="1:24" s="298" customFormat="1" x14ac:dyDescent="0.25">
      <c r="A75" s="296"/>
      <c r="B75" s="297"/>
      <c r="C75" s="297"/>
      <c r="D75" s="297"/>
      <c r="E75" s="297"/>
      <c r="G75" s="317"/>
      <c r="H75" s="317"/>
      <c r="I75" s="317"/>
      <c r="J75" s="317"/>
      <c r="K75" s="317"/>
      <c r="L75" s="317"/>
      <c r="M75" s="317"/>
      <c r="W75" s="297"/>
      <c r="X75" s="297"/>
    </row>
    <row r="76" spans="1:24" s="298" customFormat="1" x14ac:dyDescent="0.25">
      <c r="A76" s="296"/>
      <c r="B76" s="297"/>
      <c r="C76" s="297"/>
      <c r="D76" s="297"/>
      <c r="E76" s="297"/>
      <c r="G76" s="317"/>
      <c r="H76" s="317"/>
      <c r="I76" s="317"/>
      <c r="J76" s="317"/>
      <c r="K76" s="317"/>
      <c r="L76" s="317"/>
      <c r="M76" s="317"/>
      <c r="W76" s="297"/>
      <c r="X76" s="297"/>
    </row>
    <row r="77" spans="1:24" s="298" customFormat="1" x14ac:dyDescent="0.25">
      <c r="A77" s="296"/>
      <c r="B77" s="297"/>
      <c r="C77" s="297"/>
      <c r="D77" s="297"/>
      <c r="E77" s="297"/>
      <c r="G77" s="317"/>
      <c r="H77" s="317"/>
      <c r="I77" s="317"/>
      <c r="J77" s="317"/>
      <c r="K77" s="317"/>
      <c r="L77" s="317"/>
      <c r="M77" s="317"/>
      <c r="W77" s="297"/>
      <c r="X77" s="297"/>
    </row>
    <row r="78" spans="1:24" s="298" customFormat="1" x14ac:dyDescent="0.25">
      <c r="A78" s="296"/>
      <c r="B78" s="297"/>
      <c r="C78" s="297"/>
      <c r="D78" s="297"/>
      <c r="E78" s="297"/>
      <c r="G78" s="317"/>
      <c r="H78" s="317"/>
      <c r="I78" s="317"/>
      <c r="J78" s="317"/>
      <c r="K78" s="317"/>
      <c r="L78" s="317"/>
      <c r="M78" s="317"/>
      <c r="W78" s="297"/>
      <c r="X78" s="297"/>
    </row>
    <row r="79" spans="1:24" s="298" customFormat="1" x14ac:dyDescent="0.25">
      <c r="A79" s="296"/>
      <c r="B79" s="297"/>
      <c r="C79" s="297"/>
      <c r="D79" s="297"/>
      <c r="E79" s="297"/>
      <c r="G79" s="317"/>
      <c r="H79" s="317"/>
      <c r="I79" s="317"/>
      <c r="J79" s="317"/>
      <c r="K79" s="317"/>
      <c r="L79" s="317"/>
      <c r="M79" s="317"/>
      <c r="W79" s="297"/>
      <c r="X79" s="297"/>
    </row>
    <row r="80" spans="1:24" s="298" customFormat="1" x14ac:dyDescent="0.25">
      <c r="A80" s="296"/>
      <c r="B80" s="297"/>
      <c r="C80" s="297"/>
      <c r="D80" s="297"/>
      <c r="E80" s="297"/>
      <c r="G80" s="317"/>
      <c r="H80" s="317"/>
      <c r="I80" s="317"/>
      <c r="J80" s="317"/>
      <c r="K80" s="317"/>
      <c r="L80" s="317"/>
      <c r="M80" s="317"/>
      <c r="W80" s="297"/>
      <c r="X80" s="297"/>
    </row>
    <row r="81" spans="1:24" s="298" customFormat="1" x14ac:dyDescent="0.25">
      <c r="A81" s="296"/>
      <c r="B81" s="297"/>
      <c r="C81" s="297"/>
      <c r="D81" s="297"/>
      <c r="E81" s="297"/>
      <c r="G81" s="317"/>
      <c r="H81" s="317"/>
      <c r="I81" s="317"/>
      <c r="J81" s="317"/>
      <c r="K81" s="317"/>
      <c r="L81" s="317"/>
      <c r="M81" s="317"/>
      <c r="W81" s="297"/>
      <c r="X81" s="297"/>
    </row>
    <row r="82" spans="1:24" s="298" customFormat="1" x14ac:dyDescent="0.25">
      <c r="A82" s="296"/>
      <c r="B82" s="297"/>
      <c r="C82" s="297"/>
      <c r="D82" s="297"/>
      <c r="E82" s="297"/>
      <c r="G82" s="317"/>
      <c r="H82" s="317"/>
      <c r="I82" s="317"/>
      <c r="J82" s="317"/>
      <c r="K82" s="317"/>
      <c r="L82" s="317"/>
      <c r="M82" s="317"/>
      <c r="W82" s="297"/>
      <c r="X82" s="297"/>
    </row>
    <row r="83" spans="1:24" s="298" customFormat="1" x14ac:dyDescent="0.25">
      <c r="A83" s="296"/>
      <c r="B83" s="297"/>
      <c r="C83" s="297"/>
      <c r="D83" s="297"/>
      <c r="E83" s="297"/>
      <c r="G83" s="317"/>
      <c r="H83" s="317"/>
      <c r="I83" s="317"/>
      <c r="J83" s="317"/>
      <c r="K83" s="317"/>
      <c r="L83" s="317"/>
      <c r="M83" s="317"/>
      <c r="W83" s="297"/>
      <c r="X83" s="297"/>
    </row>
    <row r="84" spans="1:24" s="298" customFormat="1" x14ac:dyDescent="0.25">
      <c r="A84" s="296"/>
      <c r="B84" s="297"/>
      <c r="C84" s="297"/>
      <c r="D84" s="297"/>
      <c r="E84" s="297"/>
      <c r="G84" s="317"/>
      <c r="H84" s="317"/>
      <c r="I84" s="317"/>
      <c r="J84" s="317"/>
      <c r="K84" s="317"/>
      <c r="L84" s="317"/>
      <c r="M84" s="317"/>
      <c r="W84" s="297"/>
      <c r="X84" s="297"/>
    </row>
    <row r="85" spans="1:24" s="298" customFormat="1" x14ac:dyDescent="0.25">
      <c r="A85" s="296"/>
      <c r="B85" s="297"/>
      <c r="C85" s="297"/>
      <c r="D85" s="297"/>
      <c r="E85" s="297"/>
      <c r="G85" s="317"/>
      <c r="H85" s="317"/>
      <c r="I85" s="317"/>
      <c r="J85" s="317"/>
      <c r="K85" s="317"/>
      <c r="L85" s="317"/>
      <c r="M85" s="317"/>
      <c r="W85" s="297"/>
      <c r="X85" s="297"/>
    </row>
    <row r="86" spans="1:24" s="298" customFormat="1" x14ac:dyDescent="0.25">
      <c r="A86" s="296"/>
      <c r="B86" s="297"/>
      <c r="C86" s="297"/>
      <c r="D86" s="297"/>
      <c r="E86" s="297"/>
      <c r="G86" s="317"/>
      <c r="H86" s="317"/>
      <c r="I86" s="317"/>
      <c r="J86" s="317"/>
      <c r="K86" s="317"/>
      <c r="L86" s="317"/>
      <c r="M86" s="317"/>
      <c r="W86" s="297"/>
      <c r="X86" s="297"/>
    </row>
    <row r="87" spans="1:24" s="298" customFormat="1" x14ac:dyDescent="0.25">
      <c r="A87" s="296"/>
      <c r="B87" s="297"/>
      <c r="C87" s="297"/>
      <c r="D87" s="297"/>
      <c r="E87" s="297"/>
      <c r="G87" s="317"/>
      <c r="H87" s="317"/>
      <c r="I87" s="317"/>
      <c r="J87" s="317"/>
      <c r="K87" s="317"/>
      <c r="L87" s="317"/>
      <c r="M87" s="317"/>
      <c r="W87" s="297"/>
      <c r="X87" s="297"/>
    </row>
    <row r="88" spans="1:24" s="298" customFormat="1" x14ac:dyDescent="0.25">
      <c r="A88" s="296"/>
      <c r="B88" s="297"/>
      <c r="C88" s="297"/>
      <c r="D88" s="297"/>
      <c r="E88" s="297"/>
      <c r="G88" s="317"/>
      <c r="H88" s="317"/>
      <c r="I88" s="317"/>
      <c r="J88" s="317"/>
      <c r="K88" s="317"/>
      <c r="L88" s="317"/>
      <c r="M88" s="317"/>
      <c r="W88" s="297"/>
      <c r="X88" s="297"/>
    </row>
    <row r="89" spans="1:24" s="298" customFormat="1" x14ac:dyDescent="0.25">
      <c r="A89" s="296"/>
      <c r="B89" s="297"/>
      <c r="C89" s="297"/>
      <c r="D89" s="297"/>
      <c r="E89" s="297"/>
      <c r="G89" s="317"/>
      <c r="H89" s="317"/>
      <c r="I89" s="317"/>
      <c r="J89" s="317"/>
      <c r="K89" s="317"/>
      <c r="L89" s="317"/>
      <c r="M89" s="317"/>
      <c r="W89" s="297"/>
      <c r="X89" s="297"/>
    </row>
    <row r="90" spans="1:24" s="298" customFormat="1" x14ac:dyDescent="0.25">
      <c r="A90" s="296"/>
      <c r="B90" s="297"/>
      <c r="C90" s="297"/>
      <c r="D90" s="297"/>
      <c r="E90" s="297"/>
      <c r="G90" s="317"/>
      <c r="H90" s="317"/>
      <c r="I90" s="317"/>
      <c r="J90" s="317"/>
      <c r="K90" s="317"/>
      <c r="L90" s="317"/>
      <c r="M90" s="317"/>
      <c r="W90" s="297"/>
      <c r="X90" s="297"/>
    </row>
    <row r="91" spans="1:24" s="298" customFormat="1" x14ac:dyDescent="0.25">
      <c r="A91" s="296"/>
      <c r="B91" s="297"/>
      <c r="C91" s="297"/>
      <c r="D91" s="297"/>
      <c r="E91" s="297"/>
      <c r="G91" s="317"/>
      <c r="H91" s="317"/>
      <c r="I91" s="317"/>
      <c r="J91" s="317"/>
      <c r="K91" s="317"/>
      <c r="L91" s="317"/>
      <c r="M91" s="317"/>
      <c r="W91" s="297"/>
      <c r="X91" s="297"/>
    </row>
    <row r="92" spans="1:24" s="298" customFormat="1" x14ac:dyDescent="0.25">
      <c r="A92" s="296"/>
      <c r="B92" s="297"/>
      <c r="C92" s="297"/>
      <c r="D92" s="297"/>
      <c r="E92" s="297"/>
      <c r="G92" s="317"/>
      <c r="H92" s="317"/>
      <c r="I92" s="317"/>
      <c r="J92" s="317"/>
      <c r="K92" s="317"/>
      <c r="L92" s="317"/>
      <c r="M92" s="317"/>
      <c r="W92" s="297"/>
      <c r="X92" s="297"/>
    </row>
    <row r="93" spans="1:24" s="298" customFormat="1" x14ac:dyDescent="0.25">
      <c r="A93" s="296"/>
      <c r="B93" s="297"/>
      <c r="C93" s="297"/>
      <c r="D93" s="297"/>
      <c r="E93" s="297"/>
      <c r="G93" s="317"/>
      <c r="H93" s="317"/>
      <c r="I93" s="317"/>
      <c r="J93" s="317"/>
      <c r="K93" s="317"/>
      <c r="L93" s="317"/>
      <c r="M93" s="317"/>
      <c r="W93" s="297"/>
      <c r="X93" s="297"/>
    </row>
    <row r="94" spans="1:24" s="298" customFormat="1" x14ac:dyDescent="0.25">
      <c r="A94" s="296"/>
      <c r="B94" s="297"/>
      <c r="C94" s="297"/>
      <c r="D94" s="297"/>
      <c r="E94" s="297"/>
      <c r="G94" s="317"/>
      <c r="H94" s="317"/>
      <c r="I94" s="317"/>
      <c r="J94" s="317"/>
      <c r="K94" s="317"/>
      <c r="L94" s="317"/>
      <c r="M94" s="317"/>
      <c r="W94" s="297"/>
      <c r="X94" s="297"/>
    </row>
    <row r="95" spans="1:24" s="298" customFormat="1" x14ac:dyDescent="0.25">
      <c r="A95" s="296"/>
      <c r="B95" s="297"/>
      <c r="C95" s="297"/>
      <c r="D95" s="297"/>
      <c r="E95" s="297"/>
      <c r="G95" s="317"/>
      <c r="H95" s="317"/>
      <c r="I95" s="317"/>
      <c r="J95" s="317"/>
      <c r="K95" s="317"/>
      <c r="L95" s="317"/>
      <c r="M95" s="317"/>
      <c r="W95" s="297"/>
      <c r="X95" s="297"/>
    </row>
    <row r="96" spans="1:24" s="298" customFormat="1" x14ac:dyDescent="0.25">
      <c r="A96" s="296"/>
      <c r="B96" s="297"/>
      <c r="C96" s="297"/>
      <c r="D96" s="297"/>
      <c r="E96" s="297"/>
      <c r="G96" s="317"/>
      <c r="H96" s="317"/>
      <c r="I96" s="317"/>
      <c r="J96" s="317"/>
      <c r="K96" s="317"/>
      <c r="L96" s="317"/>
      <c r="M96" s="317"/>
      <c r="W96" s="297"/>
      <c r="X96" s="297"/>
    </row>
    <row r="97" spans="1:24" s="298" customFormat="1" x14ac:dyDescent="0.25">
      <c r="A97" s="296"/>
      <c r="B97" s="297"/>
      <c r="C97" s="297"/>
      <c r="D97" s="297"/>
      <c r="E97" s="297"/>
      <c r="G97" s="317"/>
      <c r="H97" s="317"/>
      <c r="I97" s="317"/>
      <c r="J97" s="317"/>
      <c r="K97" s="317"/>
      <c r="L97" s="317"/>
      <c r="M97" s="317"/>
      <c r="W97" s="297"/>
      <c r="X97" s="297"/>
    </row>
    <row r="98" spans="1:24" s="298" customFormat="1" x14ac:dyDescent="0.25">
      <c r="A98" s="296"/>
      <c r="B98" s="297"/>
      <c r="C98" s="297"/>
      <c r="D98" s="297"/>
      <c r="E98" s="297"/>
      <c r="G98" s="317"/>
      <c r="H98" s="317"/>
      <c r="I98" s="317"/>
      <c r="J98" s="317"/>
      <c r="K98" s="317"/>
      <c r="L98" s="317"/>
      <c r="M98" s="317"/>
      <c r="W98" s="297"/>
      <c r="X98" s="297"/>
    </row>
    <row r="99" spans="1:24" s="298" customFormat="1" x14ac:dyDescent="0.25">
      <c r="A99" s="296"/>
      <c r="B99" s="297"/>
      <c r="C99" s="297"/>
      <c r="D99" s="297"/>
      <c r="E99" s="297"/>
      <c r="G99" s="317"/>
      <c r="H99" s="317"/>
      <c r="I99" s="317"/>
      <c r="J99" s="317"/>
      <c r="K99" s="317"/>
      <c r="L99" s="317"/>
      <c r="M99" s="317"/>
      <c r="W99" s="297"/>
      <c r="X99" s="297"/>
    </row>
    <row r="100" spans="1:24" s="298" customFormat="1" x14ac:dyDescent="0.25">
      <c r="A100" s="296"/>
      <c r="B100" s="297"/>
      <c r="C100" s="297"/>
      <c r="D100" s="297"/>
      <c r="E100" s="297"/>
      <c r="G100" s="317"/>
      <c r="H100" s="317"/>
      <c r="I100" s="317"/>
      <c r="J100" s="317"/>
      <c r="K100" s="317"/>
      <c r="L100" s="317"/>
      <c r="M100" s="317"/>
      <c r="W100" s="297"/>
      <c r="X100" s="297"/>
    </row>
    <row r="101" spans="1:24" s="298" customFormat="1" x14ac:dyDescent="0.25">
      <c r="A101" s="296"/>
      <c r="B101" s="297"/>
      <c r="C101" s="297"/>
      <c r="D101" s="297"/>
      <c r="E101" s="297"/>
      <c r="G101" s="317"/>
      <c r="H101" s="317"/>
      <c r="I101" s="317"/>
      <c r="J101" s="317"/>
      <c r="K101" s="317"/>
      <c r="L101" s="317"/>
      <c r="M101" s="317"/>
      <c r="W101" s="297"/>
      <c r="X101" s="297"/>
    </row>
    <row r="102" spans="1:24" s="298" customFormat="1" x14ac:dyDescent="0.25">
      <c r="A102" s="296"/>
      <c r="B102" s="297"/>
      <c r="C102" s="297"/>
      <c r="D102" s="297"/>
      <c r="E102" s="297"/>
      <c r="G102" s="317"/>
      <c r="H102" s="317"/>
      <c r="I102" s="317"/>
      <c r="J102" s="317"/>
      <c r="K102" s="317"/>
      <c r="L102" s="317"/>
      <c r="M102" s="317"/>
      <c r="W102" s="297"/>
      <c r="X102" s="297"/>
    </row>
    <row r="103" spans="1:24" s="298" customFormat="1" x14ac:dyDescent="0.25">
      <c r="A103" s="296"/>
      <c r="B103" s="297"/>
      <c r="C103" s="297"/>
      <c r="D103" s="297"/>
      <c r="E103" s="297"/>
      <c r="G103" s="317"/>
      <c r="H103" s="317"/>
      <c r="I103" s="317"/>
      <c r="J103" s="317"/>
      <c r="K103" s="317"/>
      <c r="L103" s="317"/>
      <c r="M103" s="317"/>
      <c r="W103" s="297"/>
      <c r="X103" s="297"/>
    </row>
    <row r="104" spans="1:24" s="298" customFormat="1" x14ac:dyDescent="0.25">
      <c r="A104" s="296"/>
      <c r="B104" s="297"/>
      <c r="C104" s="297"/>
      <c r="D104" s="297"/>
      <c r="E104" s="297"/>
      <c r="G104" s="317"/>
      <c r="H104" s="317"/>
      <c r="I104" s="317"/>
      <c r="J104" s="317"/>
      <c r="K104" s="317"/>
      <c r="L104" s="317"/>
      <c r="M104" s="317"/>
      <c r="W104" s="297"/>
      <c r="X104" s="297"/>
    </row>
    <row r="105" spans="1:24" s="298" customFormat="1" x14ac:dyDescent="0.25">
      <c r="A105" s="296"/>
      <c r="B105" s="297"/>
      <c r="C105" s="297"/>
      <c r="D105" s="297"/>
      <c r="E105" s="297"/>
      <c r="G105" s="317"/>
      <c r="H105" s="317"/>
      <c r="I105" s="317"/>
      <c r="J105" s="317"/>
      <c r="K105" s="317"/>
      <c r="L105" s="317"/>
      <c r="M105" s="317"/>
      <c r="W105" s="297"/>
      <c r="X105" s="297"/>
    </row>
    <row r="106" spans="1:24" s="298" customFormat="1" x14ac:dyDescent="0.25">
      <c r="A106" s="296"/>
      <c r="B106" s="297"/>
      <c r="C106" s="297"/>
      <c r="D106" s="297"/>
      <c r="E106" s="297"/>
      <c r="G106" s="317"/>
      <c r="H106" s="317"/>
      <c r="I106" s="317"/>
      <c r="J106" s="317"/>
      <c r="K106" s="317"/>
      <c r="L106" s="317"/>
      <c r="M106" s="317"/>
      <c r="W106" s="297"/>
      <c r="X106" s="297"/>
    </row>
    <row r="107" spans="1:24" s="298" customFormat="1" x14ac:dyDescent="0.25">
      <c r="A107" s="296"/>
      <c r="B107" s="297"/>
      <c r="C107" s="297"/>
      <c r="D107" s="297"/>
      <c r="E107" s="297"/>
      <c r="G107" s="317"/>
      <c r="H107" s="317"/>
      <c r="I107" s="317"/>
      <c r="J107" s="317"/>
      <c r="K107" s="317"/>
      <c r="L107" s="317"/>
      <c r="M107" s="317"/>
      <c r="W107" s="297"/>
      <c r="X107" s="297"/>
    </row>
    <row r="108" spans="1:24" s="298" customFormat="1" x14ac:dyDescent="0.25">
      <c r="A108" s="296"/>
      <c r="B108" s="297"/>
      <c r="C108" s="297"/>
      <c r="D108" s="297"/>
      <c r="E108" s="297"/>
      <c r="G108" s="317"/>
      <c r="H108" s="317"/>
      <c r="I108" s="317"/>
      <c r="J108" s="317"/>
      <c r="K108" s="317"/>
      <c r="L108" s="317"/>
      <c r="M108" s="317"/>
      <c r="W108" s="297"/>
      <c r="X108" s="297"/>
    </row>
    <row r="109" spans="1:24" s="298" customFormat="1" x14ac:dyDescent="0.25">
      <c r="A109" s="296"/>
      <c r="B109" s="297"/>
      <c r="C109" s="297"/>
      <c r="D109" s="297"/>
      <c r="E109" s="297"/>
      <c r="G109" s="317"/>
      <c r="H109" s="317"/>
      <c r="I109" s="317"/>
      <c r="J109" s="317"/>
      <c r="K109" s="317"/>
      <c r="L109" s="317"/>
      <c r="M109" s="317"/>
      <c r="W109" s="297"/>
      <c r="X109" s="297"/>
    </row>
    <row r="110" spans="1:24" s="298" customFormat="1" x14ac:dyDescent="0.25">
      <c r="A110" s="296"/>
      <c r="B110" s="297"/>
      <c r="C110" s="297"/>
      <c r="D110" s="297"/>
      <c r="E110" s="297"/>
      <c r="G110" s="317"/>
      <c r="H110" s="317"/>
      <c r="I110" s="317"/>
      <c r="J110" s="317"/>
      <c r="K110" s="317"/>
      <c r="L110" s="317"/>
      <c r="M110" s="317"/>
      <c r="W110" s="297"/>
      <c r="X110" s="297"/>
    </row>
    <row r="111" spans="1:24" s="298" customFormat="1" x14ac:dyDescent="0.25">
      <c r="A111" s="296"/>
      <c r="B111" s="297"/>
      <c r="C111" s="297"/>
      <c r="D111" s="297"/>
      <c r="E111" s="297"/>
      <c r="G111" s="317"/>
      <c r="H111" s="317"/>
      <c r="I111" s="317"/>
      <c r="J111" s="317"/>
      <c r="K111" s="317"/>
      <c r="L111" s="317"/>
      <c r="M111" s="317"/>
      <c r="W111" s="297"/>
      <c r="X111" s="297"/>
    </row>
    <row r="112" spans="1:24" s="298" customFormat="1" x14ac:dyDescent="0.25">
      <c r="A112" s="296"/>
      <c r="B112" s="297"/>
      <c r="C112" s="297"/>
      <c r="D112" s="297"/>
      <c r="E112" s="297"/>
      <c r="G112" s="317"/>
      <c r="H112" s="317"/>
      <c r="I112" s="317"/>
      <c r="J112" s="317"/>
      <c r="K112" s="317"/>
      <c r="L112" s="317"/>
      <c r="M112" s="317"/>
      <c r="W112" s="297"/>
      <c r="X112" s="297"/>
    </row>
    <row r="113" spans="1:24" s="298" customFormat="1" x14ac:dyDescent="0.25">
      <c r="A113" s="296"/>
      <c r="B113" s="297"/>
      <c r="C113" s="297"/>
      <c r="D113" s="297"/>
      <c r="E113" s="297"/>
      <c r="G113" s="317"/>
      <c r="H113" s="317"/>
      <c r="I113" s="317"/>
      <c r="J113" s="317"/>
      <c r="K113" s="317"/>
      <c r="L113" s="317"/>
      <c r="M113" s="317"/>
      <c r="W113" s="297"/>
      <c r="X113" s="297"/>
    </row>
    <row r="114" spans="1:24" s="298" customFormat="1" x14ac:dyDescent="0.25">
      <c r="A114" s="296"/>
      <c r="B114" s="297"/>
      <c r="C114" s="297"/>
      <c r="D114" s="297"/>
      <c r="E114" s="297"/>
      <c r="G114" s="317"/>
      <c r="H114" s="317"/>
      <c r="I114" s="317"/>
      <c r="J114" s="317"/>
      <c r="K114" s="317"/>
      <c r="L114" s="317"/>
      <c r="M114" s="317"/>
      <c r="W114" s="297"/>
      <c r="X114" s="297"/>
    </row>
    <row r="115" spans="1:24" s="298" customFormat="1" x14ac:dyDescent="0.25">
      <c r="A115" s="296"/>
      <c r="B115" s="297"/>
      <c r="C115" s="297"/>
      <c r="D115" s="297"/>
      <c r="E115" s="297"/>
      <c r="G115" s="317"/>
      <c r="H115" s="317"/>
      <c r="I115" s="317"/>
      <c r="J115" s="317"/>
      <c r="K115" s="317"/>
      <c r="L115" s="317"/>
      <c r="M115" s="317"/>
      <c r="W115" s="297"/>
      <c r="X115" s="297"/>
    </row>
    <row r="116" spans="1:24" s="298" customFormat="1" x14ac:dyDescent="0.25">
      <c r="A116" s="296"/>
      <c r="B116" s="297"/>
      <c r="C116" s="297"/>
      <c r="D116" s="297"/>
      <c r="E116" s="297"/>
      <c r="G116" s="317"/>
      <c r="H116" s="317"/>
      <c r="I116" s="317"/>
      <c r="J116" s="317"/>
      <c r="K116" s="317"/>
      <c r="L116" s="317"/>
      <c r="M116" s="317"/>
      <c r="W116" s="297"/>
      <c r="X116" s="297"/>
    </row>
    <row r="117" spans="1:24" s="298" customFormat="1" x14ac:dyDescent="0.25">
      <c r="A117" s="296"/>
      <c r="B117" s="297"/>
      <c r="C117" s="297"/>
      <c r="D117" s="297"/>
      <c r="E117" s="297"/>
      <c r="G117" s="317"/>
      <c r="H117" s="317"/>
      <c r="I117" s="317"/>
      <c r="J117" s="317"/>
      <c r="K117" s="317"/>
      <c r="L117" s="317"/>
      <c r="M117" s="317"/>
      <c r="W117" s="297"/>
      <c r="X117" s="297"/>
    </row>
    <row r="118" spans="1:24" s="298" customFormat="1" x14ac:dyDescent="0.25">
      <c r="A118" s="296"/>
      <c r="B118" s="297"/>
      <c r="C118" s="297"/>
      <c r="D118" s="297"/>
      <c r="E118" s="297"/>
      <c r="G118" s="317"/>
      <c r="H118" s="317"/>
      <c r="I118" s="317"/>
      <c r="J118" s="317"/>
      <c r="K118" s="317"/>
      <c r="L118" s="317"/>
      <c r="M118" s="317"/>
      <c r="W118" s="297"/>
      <c r="X118" s="297"/>
    </row>
    <row r="119" spans="1:24" s="298" customFormat="1" x14ac:dyDescent="0.25">
      <c r="A119" s="296"/>
      <c r="B119" s="297"/>
      <c r="C119" s="297"/>
      <c r="D119" s="297"/>
      <c r="E119" s="297"/>
      <c r="G119" s="317"/>
      <c r="H119" s="317"/>
      <c r="I119" s="317"/>
      <c r="J119" s="317"/>
      <c r="K119" s="317"/>
      <c r="L119" s="317"/>
      <c r="M119" s="317"/>
      <c r="W119" s="297"/>
      <c r="X119" s="297"/>
    </row>
    <row r="120" spans="1:24" s="298" customFormat="1" x14ac:dyDescent="0.25">
      <c r="A120" s="296"/>
      <c r="B120" s="297"/>
      <c r="C120" s="297"/>
      <c r="D120" s="297"/>
      <c r="E120" s="297"/>
      <c r="G120" s="317"/>
      <c r="H120" s="317"/>
      <c r="I120" s="317"/>
      <c r="J120" s="317"/>
      <c r="K120" s="317"/>
      <c r="L120" s="317"/>
      <c r="M120" s="317"/>
      <c r="W120" s="297"/>
      <c r="X120" s="297"/>
    </row>
    <row r="121" spans="1:24" s="298" customFormat="1" x14ac:dyDescent="0.25">
      <c r="A121" s="296"/>
      <c r="B121" s="297"/>
      <c r="C121" s="297"/>
      <c r="D121" s="297"/>
      <c r="E121" s="297"/>
      <c r="G121" s="317"/>
      <c r="H121" s="317"/>
      <c r="I121" s="317"/>
      <c r="J121" s="317"/>
      <c r="K121" s="317"/>
      <c r="L121" s="317"/>
      <c r="M121" s="317"/>
      <c r="W121" s="297"/>
      <c r="X121" s="297"/>
    </row>
    <row r="122" spans="1:24" s="298" customFormat="1" x14ac:dyDescent="0.25">
      <c r="A122" s="296"/>
      <c r="B122" s="297"/>
      <c r="C122" s="297"/>
      <c r="D122" s="297"/>
      <c r="E122" s="297"/>
      <c r="G122" s="317"/>
      <c r="H122" s="317"/>
      <c r="I122" s="317"/>
      <c r="J122" s="317"/>
      <c r="K122" s="317"/>
      <c r="L122" s="317"/>
      <c r="M122" s="317"/>
      <c r="W122" s="297"/>
      <c r="X122" s="297"/>
    </row>
    <row r="123" spans="1:24" s="298" customFormat="1" x14ac:dyDescent="0.25">
      <c r="A123" s="296"/>
      <c r="B123" s="297"/>
      <c r="C123" s="297"/>
      <c r="D123" s="297"/>
      <c r="E123" s="297"/>
      <c r="G123" s="317"/>
      <c r="H123" s="317"/>
      <c r="I123" s="317"/>
      <c r="J123" s="317"/>
      <c r="K123" s="317"/>
      <c r="L123" s="317"/>
      <c r="M123" s="317"/>
      <c r="W123" s="297"/>
      <c r="X123" s="297"/>
    </row>
    <row r="124" spans="1:24" s="298" customFormat="1" x14ac:dyDescent="0.25">
      <c r="A124" s="296"/>
      <c r="B124" s="297"/>
      <c r="C124" s="297"/>
      <c r="D124" s="297"/>
      <c r="E124" s="297"/>
      <c r="G124" s="317"/>
      <c r="H124" s="317"/>
      <c r="I124" s="317"/>
      <c r="J124" s="317"/>
      <c r="K124" s="317"/>
      <c r="L124" s="317"/>
      <c r="M124" s="317"/>
      <c r="W124" s="297"/>
      <c r="X124" s="297"/>
    </row>
    <row r="125" spans="1:24" s="298" customFormat="1" x14ac:dyDescent="0.25">
      <c r="A125" s="296"/>
      <c r="B125" s="297"/>
      <c r="C125" s="297"/>
      <c r="D125" s="297"/>
      <c r="E125" s="297"/>
      <c r="G125" s="317"/>
      <c r="H125" s="317"/>
      <c r="I125" s="317"/>
      <c r="J125" s="317"/>
      <c r="K125" s="317"/>
      <c r="L125" s="317"/>
      <c r="M125" s="317"/>
      <c r="W125" s="297"/>
      <c r="X125" s="297"/>
    </row>
    <row r="126" spans="1:24" s="298" customFormat="1" x14ac:dyDescent="0.25">
      <c r="A126" s="296"/>
      <c r="B126" s="297"/>
      <c r="C126" s="297"/>
      <c r="D126" s="297"/>
      <c r="E126" s="297"/>
      <c r="G126" s="317"/>
      <c r="H126" s="317"/>
      <c r="I126" s="317"/>
      <c r="J126" s="317"/>
      <c r="K126" s="317"/>
      <c r="L126" s="317"/>
      <c r="M126" s="317"/>
      <c r="W126" s="297"/>
      <c r="X126" s="297"/>
    </row>
    <row r="127" spans="1:24" s="298" customFormat="1" x14ac:dyDescent="0.25">
      <c r="A127" s="296"/>
      <c r="B127" s="297"/>
      <c r="C127" s="297"/>
      <c r="D127" s="297"/>
      <c r="E127" s="297"/>
      <c r="G127" s="317"/>
      <c r="H127" s="317"/>
      <c r="I127" s="317"/>
      <c r="J127" s="317"/>
      <c r="K127" s="317"/>
      <c r="L127" s="317"/>
      <c r="M127" s="317"/>
      <c r="W127" s="297"/>
      <c r="X127" s="297"/>
    </row>
    <row r="128" spans="1:24" s="298" customFormat="1" x14ac:dyDescent="0.25">
      <c r="A128" s="296"/>
      <c r="B128" s="297"/>
      <c r="C128" s="297"/>
      <c r="D128" s="297"/>
      <c r="E128" s="297"/>
      <c r="G128" s="317"/>
      <c r="H128" s="317"/>
      <c r="I128" s="317"/>
      <c r="J128" s="317"/>
      <c r="K128" s="317"/>
      <c r="L128" s="317"/>
      <c r="M128" s="317"/>
      <c r="W128" s="297"/>
      <c r="X128" s="297"/>
    </row>
    <row r="129" spans="1:24" s="298" customFormat="1" x14ac:dyDescent="0.25">
      <c r="A129" s="296"/>
      <c r="B129" s="297"/>
      <c r="C129" s="297"/>
      <c r="D129" s="297"/>
      <c r="E129" s="297"/>
      <c r="G129" s="317"/>
      <c r="H129" s="317"/>
      <c r="I129" s="317"/>
      <c r="J129" s="317"/>
      <c r="K129" s="317"/>
      <c r="L129" s="317"/>
      <c r="M129" s="317"/>
      <c r="W129" s="297"/>
      <c r="X129" s="297"/>
    </row>
    <row r="130" spans="1:24" s="298" customFormat="1" x14ac:dyDescent="0.25">
      <c r="A130" s="296"/>
      <c r="B130" s="297"/>
      <c r="C130" s="297"/>
      <c r="D130" s="297"/>
      <c r="E130" s="297"/>
      <c r="G130" s="317"/>
      <c r="H130" s="317"/>
      <c r="I130" s="317"/>
      <c r="J130" s="317"/>
      <c r="K130" s="317"/>
      <c r="L130" s="317"/>
      <c r="M130" s="317"/>
      <c r="W130" s="297"/>
      <c r="X130" s="297"/>
    </row>
    <row r="131" spans="1:24" s="298" customFormat="1" x14ac:dyDescent="0.25">
      <c r="A131" s="296"/>
      <c r="B131" s="297"/>
      <c r="C131" s="297"/>
      <c r="D131" s="297"/>
      <c r="E131" s="297"/>
      <c r="G131" s="317"/>
      <c r="H131" s="317"/>
      <c r="I131" s="317"/>
      <c r="J131" s="317"/>
      <c r="K131" s="317"/>
      <c r="L131" s="317"/>
      <c r="M131" s="317"/>
      <c r="W131" s="297"/>
      <c r="X131" s="297"/>
    </row>
    <row r="132" spans="1:24" s="298" customFormat="1" x14ac:dyDescent="0.25">
      <c r="A132" s="296"/>
      <c r="B132" s="297"/>
      <c r="C132" s="297"/>
      <c r="D132" s="297"/>
      <c r="E132" s="297"/>
      <c r="G132" s="317"/>
      <c r="H132" s="317"/>
      <c r="I132" s="317"/>
      <c r="J132" s="317"/>
      <c r="K132" s="317"/>
      <c r="L132" s="317"/>
      <c r="M132" s="317"/>
      <c r="W132" s="297"/>
      <c r="X132" s="297"/>
    </row>
    <row r="133" spans="1:24" s="298" customFormat="1" x14ac:dyDescent="0.25">
      <c r="A133" s="296"/>
      <c r="B133" s="297"/>
      <c r="C133" s="297"/>
      <c r="D133" s="297"/>
      <c r="E133" s="297"/>
      <c r="G133" s="317"/>
      <c r="H133" s="317"/>
      <c r="I133" s="317"/>
      <c r="J133" s="317"/>
      <c r="K133" s="317"/>
      <c r="L133" s="317"/>
      <c r="M133" s="317"/>
      <c r="W133" s="297"/>
      <c r="X133" s="297"/>
    </row>
    <row r="134" spans="1:24" s="298" customFormat="1" x14ac:dyDescent="0.25">
      <c r="A134" s="296"/>
      <c r="B134" s="297"/>
      <c r="C134" s="297"/>
      <c r="D134" s="297"/>
      <c r="E134" s="297"/>
      <c r="G134" s="317"/>
      <c r="H134" s="317"/>
      <c r="I134" s="317"/>
      <c r="J134" s="317"/>
      <c r="K134" s="317"/>
      <c r="L134" s="317"/>
      <c r="M134" s="317"/>
      <c r="W134" s="297"/>
      <c r="X134" s="297"/>
    </row>
    <row r="135" spans="1:24" s="298" customFormat="1" x14ac:dyDescent="0.25">
      <c r="A135" s="296"/>
      <c r="B135" s="297"/>
      <c r="C135" s="297"/>
      <c r="D135" s="297"/>
      <c r="E135" s="297"/>
      <c r="G135" s="317"/>
      <c r="H135" s="317"/>
      <c r="I135" s="317"/>
      <c r="J135" s="317"/>
      <c r="K135" s="317"/>
      <c r="L135" s="317"/>
      <c r="M135" s="317"/>
      <c r="W135" s="297"/>
      <c r="X135" s="297"/>
    </row>
    <row r="136" spans="1:24" s="298" customFormat="1" x14ac:dyDescent="0.25">
      <c r="A136" s="296"/>
      <c r="B136" s="297"/>
      <c r="C136" s="297"/>
      <c r="D136" s="297"/>
      <c r="E136" s="297"/>
      <c r="G136" s="317"/>
      <c r="H136" s="317"/>
      <c r="I136" s="317"/>
      <c r="J136" s="317"/>
      <c r="K136" s="317"/>
      <c r="L136" s="317"/>
      <c r="M136" s="317"/>
      <c r="W136" s="297"/>
      <c r="X136" s="297"/>
    </row>
    <row r="137" spans="1:24" s="298" customFormat="1" x14ac:dyDescent="0.25">
      <c r="A137" s="296"/>
      <c r="B137" s="297"/>
      <c r="C137" s="297"/>
      <c r="D137" s="297"/>
      <c r="E137" s="297"/>
      <c r="G137" s="317"/>
      <c r="H137" s="317"/>
      <c r="I137" s="317"/>
      <c r="J137" s="317"/>
      <c r="K137" s="317"/>
      <c r="L137" s="317"/>
      <c r="M137" s="317"/>
      <c r="W137" s="297"/>
      <c r="X137" s="297"/>
    </row>
    <row r="138" spans="1:24" s="298" customFormat="1" x14ac:dyDescent="0.25">
      <c r="A138" s="296"/>
      <c r="B138" s="297"/>
      <c r="C138" s="297"/>
      <c r="D138" s="297"/>
      <c r="E138" s="297"/>
      <c r="G138" s="317"/>
      <c r="H138" s="317"/>
      <c r="I138" s="317"/>
      <c r="J138" s="317"/>
      <c r="K138" s="317"/>
      <c r="L138" s="317"/>
      <c r="M138" s="317"/>
      <c r="W138" s="297"/>
      <c r="X138" s="297"/>
    </row>
    <row r="139" spans="1:24" s="298" customFormat="1" x14ac:dyDescent="0.25">
      <c r="A139" s="296"/>
      <c r="B139" s="297"/>
      <c r="C139" s="297"/>
      <c r="D139" s="297"/>
      <c r="E139" s="297"/>
      <c r="G139" s="317"/>
      <c r="H139" s="317"/>
      <c r="I139" s="317"/>
      <c r="J139" s="317"/>
      <c r="K139" s="317"/>
      <c r="L139" s="317"/>
      <c r="M139" s="317"/>
      <c r="W139" s="297"/>
      <c r="X139" s="297"/>
    </row>
    <row r="140" spans="1:24" s="298" customFormat="1" x14ac:dyDescent="0.25">
      <c r="A140" s="296"/>
      <c r="B140" s="297"/>
      <c r="C140" s="297"/>
      <c r="D140" s="297"/>
      <c r="E140" s="297"/>
      <c r="G140" s="317"/>
      <c r="H140" s="317"/>
      <c r="I140" s="317"/>
      <c r="J140" s="317"/>
      <c r="K140" s="317"/>
      <c r="L140" s="317"/>
      <c r="M140" s="317"/>
      <c r="W140" s="297"/>
      <c r="X140" s="297"/>
    </row>
    <row r="141" spans="1:24" s="298" customFormat="1" x14ac:dyDescent="0.25">
      <c r="A141" s="296"/>
      <c r="B141" s="297"/>
      <c r="C141" s="297"/>
      <c r="D141" s="297"/>
      <c r="E141" s="297"/>
      <c r="G141" s="317"/>
      <c r="H141" s="317"/>
      <c r="I141" s="317"/>
      <c r="J141" s="317"/>
      <c r="K141" s="317"/>
      <c r="L141" s="317"/>
      <c r="M141" s="317"/>
      <c r="W141" s="297"/>
      <c r="X141" s="297"/>
    </row>
    <row r="142" spans="1:24" s="298" customFormat="1" x14ac:dyDescent="0.25">
      <c r="A142" s="296"/>
      <c r="B142" s="297"/>
      <c r="C142" s="297"/>
      <c r="D142" s="297"/>
      <c r="E142" s="297"/>
      <c r="G142" s="317"/>
      <c r="H142" s="317"/>
      <c r="I142" s="317"/>
      <c r="J142" s="317"/>
      <c r="K142" s="317"/>
      <c r="L142" s="317"/>
      <c r="M142" s="317"/>
      <c r="W142" s="297"/>
      <c r="X142" s="297"/>
    </row>
    <row r="143" spans="1:24" s="298" customFormat="1" x14ac:dyDescent="0.25">
      <c r="A143" s="296"/>
      <c r="B143" s="297"/>
      <c r="C143" s="297"/>
      <c r="D143" s="297"/>
      <c r="E143" s="297"/>
      <c r="G143" s="317"/>
      <c r="H143" s="317"/>
      <c r="I143" s="317"/>
      <c r="J143" s="317"/>
      <c r="K143" s="317"/>
      <c r="L143" s="317"/>
      <c r="M143" s="317"/>
      <c r="W143" s="297"/>
      <c r="X143" s="297"/>
    </row>
    <row r="144" spans="1:24" s="298" customFormat="1" x14ac:dyDescent="0.25">
      <c r="A144" s="296"/>
      <c r="B144" s="297"/>
      <c r="C144" s="297"/>
      <c r="D144" s="297"/>
      <c r="E144" s="297"/>
      <c r="G144" s="317"/>
      <c r="H144" s="317"/>
      <c r="I144" s="317"/>
      <c r="J144" s="317"/>
      <c r="K144" s="317"/>
      <c r="L144" s="317"/>
      <c r="M144" s="317"/>
      <c r="W144" s="297"/>
      <c r="X144" s="297"/>
    </row>
    <row r="145" spans="1:24" s="298" customFormat="1" x14ac:dyDescent="0.25">
      <c r="A145" s="296"/>
      <c r="B145" s="297"/>
      <c r="C145" s="297"/>
      <c r="D145" s="297"/>
      <c r="E145" s="297"/>
      <c r="G145" s="317"/>
      <c r="H145" s="317"/>
      <c r="I145" s="317"/>
      <c r="J145" s="317"/>
      <c r="K145" s="317"/>
      <c r="L145" s="317"/>
      <c r="M145" s="317"/>
      <c r="W145" s="297"/>
      <c r="X145" s="297"/>
    </row>
    <row r="146" spans="1:24" s="298" customFormat="1" x14ac:dyDescent="0.25">
      <c r="A146" s="296"/>
      <c r="B146" s="297"/>
      <c r="C146" s="297"/>
      <c r="D146" s="297"/>
      <c r="E146" s="297"/>
      <c r="G146" s="317"/>
      <c r="H146" s="317"/>
      <c r="I146" s="317"/>
      <c r="J146" s="317"/>
      <c r="K146" s="317"/>
      <c r="L146" s="317"/>
      <c r="M146" s="317"/>
      <c r="W146" s="297"/>
      <c r="X146" s="297"/>
    </row>
    <row r="147" spans="1:24" s="298" customFormat="1" x14ac:dyDescent="0.25">
      <c r="A147" s="296"/>
      <c r="B147" s="297"/>
      <c r="C147" s="297"/>
      <c r="D147" s="297"/>
      <c r="E147" s="297"/>
      <c r="G147" s="317"/>
      <c r="H147" s="317"/>
      <c r="I147" s="317"/>
      <c r="J147" s="317"/>
      <c r="K147" s="317"/>
      <c r="L147" s="317"/>
      <c r="M147" s="317"/>
      <c r="W147" s="297"/>
      <c r="X147" s="297"/>
    </row>
    <row r="148" spans="1:24" s="298" customFormat="1" x14ac:dyDescent="0.25">
      <c r="A148" s="296"/>
      <c r="B148" s="297"/>
      <c r="C148" s="297"/>
      <c r="D148" s="297"/>
      <c r="E148" s="297"/>
      <c r="G148" s="317"/>
      <c r="H148" s="317"/>
      <c r="I148" s="317"/>
      <c r="J148" s="317"/>
      <c r="K148" s="317"/>
      <c r="L148" s="317"/>
      <c r="M148" s="317"/>
      <c r="W148" s="297"/>
      <c r="X148" s="297"/>
    </row>
    <row r="149" spans="1:24" s="298" customFormat="1" x14ac:dyDescent="0.25">
      <c r="A149" s="296"/>
      <c r="B149" s="297"/>
      <c r="C149" s="297"/>
      <c r="D149" s="297"/>
      <c r="E149" s="297"/>
      <c r="G149" s="317"/>
      <c r="H149" s="317"/>
      <c r="I149" s="317"/>
      <c r="J149" s="317"/>
      <c r="K149" s="317"/>
      <c r="L149" s="317"/>
      <c r="M149" s="317"/>
      <c r="W149" s="297"/>
      <c r="X149" s="297"/>
    </row>
    <row r="150" spans="1:24" s="298" customFormat="1" x14ac:dyDescent="0.25">
      <c r="A150" s="296"/>
      <c r="B150" s="297"/>
      <c r="C150" s="297"/>
      <c r="D150" s="297"/>
      <c r="E150" s="297"/>
      <c r="G150" s="317"/>
      <c r="H150" s="317"/>
      <c r="I150" s="317"/>
      <c r="J150" s="317"/>
      <c r="K150" s="317"/>
      <c r="L150" s="317"/>
      <c r="M150" s="317"/>
      <c r="W150" s="297"/>
      <c r="X150" s="297"/>
    </row>
    <row r="151" spans="1:24" s="298" customFormat="1" x14ac:dyDescent="0.25">
      <c r="A151" s="296"/>
      <c r="B151" s="297"/>
      <c r="C151" s="297"/>
      <c r="D151" s="297"/>
      <c r="E151" s="297"/>
      <c r="G151" s="317"/>
      <c r="H151" s="317"/>
      <c r="I151" s="317"/>
      <c r="J151" s="317"/>
      <c r="K151" s="317"/>
      <c r="L151" s="317"/>
      <c r="M151" s="317"/>
      <c r="W151" s="297"/>
      <c r="X151" s="297"/>
    </row>
    <row r="152" spans="1:24" s="298" customFormat="1" x14ac:dyDescent="0.25">
      <c r="A152" s="296"/>
      <c r="B152" s="297"/>
      <c r="C152" s="297"/>
      <c r="D152" s="297"/>
      <c r="E152" s="297"/>
      <c r="G152" s="317"/>
      <c r="H152" s="317"/>
      <c r="I152" s="317"/>
      <c r="J152" s="317"/>
      <c r="K152" s="317"/>
      <c r="L152" s="317"/>
      <c r="M152" s="317"/>
      <c r="W152" s="297"/>
      <c r="X152" s="297"/>
    </row>
    <row r="153" spans="1:24" s="298" customFormat="1" x14ac:dyDescent="0.25">
      <c r="A153" s="296"/>
      <c r="B153" s="297"/>
      <c r="C153" s="297"/>
      <c r="D153" s="297"/>
      <c r="E153" s="297"/>
      <c r="G153" s="317"/>
      <c r="H153" s="317"/>
      <c r="I153" s="317"/>
      <c r="J153" s="317"/>
      <c r="K153" s="317"/>
      <c r="L153" s="317"/>
      <c r="M153" s="317"/>
      <c r="W153" s="297"/>
      <c r="X153" s="297"/>
    </row>
    <row r="154" spans="1:24" s="298" customFormat="1" x14ac:dyDescent="0.25">
      <c r="A154" s="296"/>
      <c r="B154" s="297"/>
      <c r="C154" s="297"/>
      <c r="D154" s="297"/>
      <c r="E154" s="297"/>
      <c r="G154" s="317"/>
      <c r="H154" s="317"/>
      <c r="I154" s="317"/>
      <c r="J154" s="317"/>
      <c r="K154" s="317"/>
      <c r="L154" s="317"/>
      <c r="M154" s="317"/>
      <c r="W154" s="297"/>
      <c r="X154" s="297"/>
    </row>
    <row r="155" spans="1:24" s="298" customFormat="1" x14ac:dyDescent="0.25">
      <c r="A155" s="296"/>
      <c r="B155" s="297"/>
      <c r="C155" s="297"/>
      <c r="D155" s="297"/>
      <c r="E155" s="297"/>
      <c r="G155" s="317"/>
      <c r="H155" s="317"/>
      <c r="I155" s="317"/>
      <c r="J155" s="317"/>
      <c r="K155" s="317"/>
      <c r="L155" s="317"/>
      <c r="M155" s="317"/>
      <c r="W155" s="297"/>
      <c r="X155" s="297"/>
    </row>
    <row r="156" spans="1:24" s="298" customFormat="1" x14ac:dyDescent="0.25">
      <c r="A156" s="296"/>
      <c r="B156" s="297"/>
      <c r="C156" s="297"/>
      <c r="D156" s="297"/>
      <c r="E156" s="297"/>
      <c r="G156" s="317"/>
      <c r="H156" s="317"/>
      <c r="I156" s="317"/>
      <c r="J156" s="317"/>
      <c r="K156" s="317"/>
      <c r="L156" s="317"/>
      <c r="M156" s="317"/>
      <c r="W156" s="297"/>
      <c r="X156" s="297"/>
    </row>
    <row r="157" spans="1:24" s="298" customFormat="1" x14ac:dyDescent="0.25">
      <c r="A157" s="296"/>
      <c r="B157" s="297"/>
      <c r="C157" s="297"/>
      <c r="D157" s="297"/>
      <c r="E157" s="297"/>
      <c r="G157" s="317"/>
      <c r="H157" s="317"/>
      <c r="I157" s="317"/>
      <c r="J157" s="317"/>
      <c r="K157" s="317"/>
      <c r="L157" s="317"/>
      <c r="M157" s="317"/>
      <c r="W157" s="297"/>
      <c r="X157" s="297"/>
    </row>
    <row r="158" spans="1:24" s="298" customFormat="1" x14ac:dyDescent="0.25">
      <c r="A158" s="296"/>
      <c r="B158" s="297"/>
      <c r="C158" s="297"/>
      <c r="D158" s="297"/>
      <c r="E158" s="297"/>
      <c r="G158" s="317"/>
      <c r="H158" s="317"/>
      <c r="I158" s="317"/>
      <c r="J158" s="317"/>
      <c r="K158" s="317"/>
      <c r="L158" s="317"/>
      <c r="M158" s="317"/>
      <c r="W158" s="297"/>
      <c r="X158" s="297"/>
    </row>
    <row r="159" spans="1:24" s="298" customFormat="1" x14ac:dyDescent="0.25">
      <c r="A159" s="296"/>
      <c r="B159" s="297"/>
      <c r="C159" s="297"/>
      <c r="D159" s="297"/>
      <c r="E159" s="297"/>
      <c r="G159" s="317"/>
      <c r="H159" s="317"/>
      <c r="I159" s="317"/>
      <c r="J159" s="317"/>
      <c r="K159" s="317"/>
      <c r="L159" s="317"/>
      <c r="M159" s="317"/>
      <c r="W159" s="297"/>
      <c r="X159" s="297"/>
    </row>
    <row r="160" spans="1:24" s="298" customFormat="1" x14ac:dyDescent="0.25">
      <c r="A160" s="296"/>
      <c r="B160" s="297"/>
      <c r="C160" s="297"/>
      <c r="D160" s="297"/>
      <c r="E160" s="297"/>
      <c r="G160" s="317"/>
      <c r="H160" s="317"/>
      <c r="I160" s="317"/>
      <c r="J160" s="317"/>
      <c r="K160" s="317"/>
      <c r="L160" s="317"/>
      <c r="M160" s="317"/>
      <c r="W160" s="297"/>
      <c r="X160" s="297"/>
    </row>
    <row r="161" spans="1:24" s="298" customFormat="1" x14ac:dyDescent="0.25">
      <c r="A161" s="296"/>
      <c r="B161" s="297"/>
      <c r="C161" s="297"/>
      <c r="D161" s="297"/>
      <c r="E161" s="297"/>
      <c r="G161" s="317"/>
      <c r="H161" s="317"/>
      <c r="I161" s="317"/>
      <c r="J161" s="317"/>
      <c r="K161" s="317"/>
      <c r="L161" s="317"/>
      <c r="M161" s="317"/>
      <c r="W161" s="297"/>
      <c r="X161" s="297"/>
    </row>
    <row r="162" spans="1:24" s="298" customFormat="1" x14ac:dyDescent="0.25">
      <c r="A162" s="296"/>
      <c r="B162" s="297"/>
      <c r="C162" s="297"/>
      <c r="D162" s="297"/>
      <c r="E162" s="297"/>
      <c r="G162" s="317"/>
      <c r="H162" s="317"/>
      <c r="I162" s="317"/>
      <c r="J162" s="317"/>
      <c r="K162" s="317"/>
      <c r="L162" s="317"/>
      <c r="M162" s="317"/>
      <c r="W162" s="297"/>
      <c r="X162" s="297"/>
    </row>
    <row r="163" spans="1:24" s="298" customFormat="1" x14ac:dyDescent="0.25">
      <c r="A163" s="296"/>
      <c r="B163" s="297"/>
      <c r="C163" s="297"/>
      <c r="D163" s="297"/>
      <c r="E163" s="297"/>
      <c r="G163" s="317"/>
      <c r="H163" s="317"/>
      <c r="I163" s="317"/>
      <c r="J163" s="317"/>
      <c r="K163" s="317"/>
      <c r="L163" s="317"/>
      <c r="M163" s="317"/>
      <c r="W163" s="297"/>
      <c r="X163" s="297"/>
    </row>
    <row r="164" spans="1:24" s="298" customFormat="1" x14ac:dyDescent="0.25">
      <c r="A164" s="296"/>
      <c r="B164" s="297"/>
      <c r="C164" s="297"/>
      <c r="D164" s="297"/>
      <c r="E164" s="297"/>
      <c r="G164" s="317"/>
      <c r="H164" s="317"/>
      <c r="I164" s="317"/>
      <c r="J164" s="317"/>
      <c r="K164" s="317"/>
      <c r="L164" s="317"/>
      <c r="M164" s="317"/>
      <c r="W164" s="297"/>
      <c r="X164" s="297"/>
    </row>
    <row r="165" spans="1:24" s="298" customFormat="1" x14ac:dyDescent="0.25">
      <c r="A165" s="296"/>
      <c r="B165" s="297"/>
      <c r="C165" s="297"/>
      <c r="D165" s="297"/>
      <c r="E165" s="297"/>
      <c r="G165" s="317"/>
      <c r="H165" s="317"/>
      <c r="I165" s="317"/>
      <c r="J165" s="317"/>
      <c r="K165" s="317"/>
      <c r="L165" s="317"/>
      <c r="M165" s="317"/>
      <c r="W165" s="297"/>
      <c r="X165" s="297"/>
    </row>
    <row r="166" spans="1:24" s="298" customFormat="1" x14ac:dyDescent="0.25">
      <c r="A166" s="296"/>
      <c r="B166" s="297"/>
      <c r="C166" s="297"/>
      <c r="D166" s="297"/>
      <c r="E166" s="297"/>
      <c r="G166" s="317"/>
      <c r="H166" s="317"/>
      <c r="I166" s="317"/>
      <c r="J166" s="317"/>
      <c r="K166" s="317"/>
      <c r="L166" s="317"/>
      <c r="M166" s="317"/>
      <c r="W166" s="297"/>
      <c r="X166" s="297"/>
    </row>
    <row r="167" spans="1:24" s="298" customFormat="1" x14ac:dyDescent="0.25">
      <c r="A167" s="296"/>
      <c r="B167" s="297"/>
      <c r="C167" s="297"/>
      <c r="D167" s="297"/>
      <c r="E167" s="297"/>
      <c r="G167" s="317"/>
      <c r="H167" s="317"/>
      <c r="I167" s="317"/>
      <c r="J167" s="317"/>
      <c r="K167" s="317"/>
      <c r="L167" s="317"/>
      <c r="M167" s="317"/>
      <c r="W167" s="297"/>
      <c r="X167" s="297"/>
    </row>
    <row r="168" spans="1:24" s="298" customFormat="1" x14ac:dyDescent="0.25">
      <c r="A168" s="296"/>
      <c r="B168" s="297"/>
      <c r="C168" s="297"/>
      <c r="D168" s="297"/>
      <c r="E168" s="297"/>
      <c r="G168" s="317"/>
      <c r="H168" s="317"/>
      <c r="I168" s="317"/>
      <c r="J168" s="317"/>
      <c r="K168" s="317"/>
      <c r="L168" s="317"/>
      <c r="M168" s="317"/>
      <c r="W168" s="297"/>
      <c r="X168" s="297"/>
    </row>
    <row r="169" spans="1:24" s="298" customFormat="1" x14ac:dyDescent="0.25">
      <c r="A169" s="296"/>
      <c r="B169" s="297"/>
      <c r="C169" s="297"/>
      <c r="D169" s="297"/>
      <c r="E169" s="297"/>
      <c r="G169" s="317"/>
      <c r="H169" s="317"/>
      <c r="I169" s="317"/>
      <c r="J169" s="317"/>
      <c r="K169" s="317"/>
      <c r="L169" s="317"/>
      <c r="M169" s="317"/>
      <c r="W169" s="297"/>
      <c r="X169" s="297"/>
    </row>
    <row r="170" spans="1:24" s="298" customFormat="1" x14ac:dyDescent="0.25">
      <c r="A170" s="296"/>
      <c r="B170" s="297"/>
      <c r="C170" s="297"/>
      <c r="D170" s="297"/>
      <c r="E170" s="297"/>
      <c r="G170" s="317"/>
      <c r="H170" s="317"/>
      <c r="I170" s="317"/>
      <c r="J170" s="317"/>
      <c r="K170" s="317"/>
      <c r="L170" s="317"/>
      <c r="M170" s="317"/>
      <c r="W170" s="297"/>
      <c r="X170" s="297"/>
    </row>
    <row r="171" spans="1:24" s="298" customFormat="1" x14ac:dyDescent="0.25">
      <c r="A171" s="296"/>
      <c r="B171" s="297"/>
      <c r="C171" s="297"/>
      <c r="D171" s="297"/>
      <c r="E171" s="297"/>
      <c r="G171" s="317"/>
      <c r="H171" s="317"/>
      <c r="I171" s="317"/>
      <c r="J171" s="317"/>
      <c r="K171" s="317"/>
      <c r="L171" s="317"/>
      <c r="M171" s="317"/>
      <c r="W171" s="297"/>
      <c r="X171" s="297"/>
    </row>
    <row r="172" spans="1:24" s="298" customFormat="1" x14ac:dyDescent="0.25">
      <c r="A172" s="296"/>
      <c r="B172" s="297"/>
      <c r="C172" s="297"/>
      <c r="D172" s="297"/>
      <c r="E172" s="297"/>
      <c r="G172" s="317"/>
      <c r="H172" s="317"/>
      <c r="I172" s="317"/>
      <c r="J172" s="317"/>
      <c r="K172" s="317"/>
      <c r="L172" s="317"/>
      <c r="M172" s="317"/>
      <c r="W172" s="297"/>
      <c r="X172" s="297"/>
    </row>
    <row r="173" spans="1:24" s="298" customFormat="1" x14ac:dyDescent="0.25">
      <c r="A173" s="296"/>
      <c r="B173" s="297"/>
      <c r="C173" s="297"/>
      <c r="D173" s="297"/>
      <c r="E173" s="297"/>
      <c r="G173" s="317"/>
      <c r="H173" s="317"/>
      <c r="I173" s="317"/>
      <c r="J173" s="317"/>
      <c r="K173" s="317"/>
      <c r="L173" s="317"/>
      <c r="M173" s="317"/>
      <c r="W173" s="297"/>
      <c r="X173" s="297"/>
    </row>
    <row r="174" spans="1:24" s="298" customFormat="1" x14ac:dyDescent="0.25">
      <c r="A174" s="296"/>
      <c r="B174" s="297"/>
      <c r="C174" s="297"/>
      <c r="D174" s="297"/>
      <c r="E174" s="297"/>
      <c r="G174" s="317"/>
      <c r="H174" s="317"/>
      <c r="I174" s="317"/>
      <c r="J174" s="317"/>
      <c r="K174" s="317"/>
      <c r="L174" s="317"/>
      <c r="M174" s="317"/>
      <c r="W174" s="297"/>
      <c r="X174" s="297"/>
    </row>
    <row r="175" spans="1:24" s="298" customFormat="1" x14ac:dyDescent="0.25">
      <c r="A175" s="296"/>
      <c r="B175" s="297"/>
      <c r="C175" s="297"/>
      <c r="D175" s="297"/>
      <c r="E175" s="297"/>
      <c r="G175" s="317"/>
      <c r="H175" s="317"/>
      <c r="I175" s="317"/>
      <c r="J175" s="317"/>
      <c r="K175" s="317"/>
      <c r="L175" s="317"/>
      <c r="M175" s="317"/>
      <c r="W175" s="297"/>
      <c r="X175" s="297"/>
    </row>
    <row r="176" spans="1:24" s="298" customFormat="1" x14ac:dyDescent="0.25">
      <c r="A176" s="296"/>
      <c r="B176" s="297"/>
      <c r="C176" s="297"/>
      <c r="D176" s="297"/>
      <c r="E176" s="297"/>
      <c r="G176" s="317"/>
      <c r="H176" s="317"/>
      <c r="I176" s="317"/>
      <c r="J176" s="317"/>
      <c r="K176" s="317"/>
      <c r="L176" s="317"/>
      <c r="M176" s="317"/>
      <c r="W176" s="297"/>
      <c r="X176" s="297"/>
    </row>
    <row r="177" spans="1:24" s="298" customFormat="1" x14ac:dyDescent="0.25">
      <c r="A177" s="296"/>
      <c r="B177" s="297"/>
      <c r="C177" s="297"/>
      <c r="D177" s="297"/>
      <c r="E177" s="297"/>
      <c r="G177" s="317"/>
      <c r="H177" s="317"/>
      <c r="I177" s="317"/>
      <c r="J177" s="317"/>
      <c r="K177" s="317"/>
      <c r="L177" s="317"/>
      <c r="M177" s="317"/>
      <c r="W177" s="297"/>
      <c r="X177" s="297"/>
    </row>
    <row r="178" spans="1:24" s="298" customFormat="1" x14ac:dyDescent="0.25">
      <c r="A178" s="296"/>
      <c r="B178" s="297"/>
      <c r="C178" s="297"/>
      <c r="D178" s="297"/>
      <c r="E178" s="297"/>
      <c r="G178" s="317"/>
      <c r="H178" s="317"/>
      <c r="I178" s="317"/>
      <c r="J178" s="317"/>
      <c r="K178" s="317"/>
      <c r="L178" s="317"/>
      <c r="M178" s="317"/>
      <c r="W178" s="297"/>
      <c r="X178" s="297"/>
    </row>
    <row r="179" spans="1:24" s="298" customFormat="1" x14ac:dyDescent="0.25">
      <c r="A179" s="296"/>
      <c r="B179" s="297"/>
      <c r="C179" s="297"/>
      <c r="D179" s="297"/>
      <c r="E179" s="297"/>
      <c r="G179" s="317"/>
      <c r="H179" s="317"/>
      <c r="I179" s="317"/>
      <c r="J179" s="317"/>
      <c r="K179" s="317"/>
      <c r="L179" s="317"/>
      <c r="M179" s="317"/>
      <c r="W179" s="297"/>
      <c r="X179" s="297"/>
    </row>
    <row r="180" spans="1:24" s="298" customFormat="1" x14ac:dyDescent="0.25">
      <c r="A180" s="296"/>
      <c r="B180" s="297"/>
      <c r="C180" s="297"/>
      <c r="D180" s="297"/>
      <c r="E180" s="297"/>
      <c r="G180" s="317"/>
      <c r="H180" s="317"/>
      <c r="I180" s="317"/>
      <c r="J180" s="317"/>
      <c r="K180" s="317"/>
      <c r="L180" s="317"/>
      <c r="M180" s="317"/>
      <c r="W180" s="297"/>
      <c r="X180" s="297"/>
    </row>
    <row r="181" spans="1:24" s="298" customFormat="1" x14ac:dyDescent="0.25">
      <c r="A181" s="296"/>
      <c r="B181" s="297"/>
      <c r="C181" s="297"/>
      <c r="D181" s="297"/>
      <c r="E181" s="297"/>
      <c r="G181" s="317"/>
      <c r="H181" s="317"/>
      <c r="I181" s="317"/>
      <c r="J181" s="317"/>
      <c r="K181" s="317"/>
      <c r="L181" s="317"/>
      <c r="M181" s="317"/>
      <c r="W181" s="297"/>
      <c r="X181" s="297"/>
    </row>
    <row r="182" spans="1:24" s="298" customFormat="1" x14ac:dyDescent="0.25">
      <c r="A182" s="296"/>
      <c r="B182" s="297"/>
      <c r="C182" s="297"/>
      <c r="D182" s="297"/>
      <c r="E182" s="297"/>
      <c r="G182" s="317"/>
      <c r="H182" s="317"/>
      <c r="I182" s="317"/>
      <c r="J182" s="317"/>
      <c r="K182" s="317"/>
      <c r="L182" s="317"/>
      <c r="M182" s="317"/>
      <c r="W182" s="297"/>
      <c r="X182" s="297"/>
    </row>
    <row r="183" spans="1:24" s="298" customFormat="1" x14ac:dyDescent="0.25">
      <c r="A183" s="296"/>
      <c r="B183" s="297"/>
      <c r="C183" s="297"/>
      <c r="D183" s="297"/>
      <c r="E183" s="297"/>
      <c r="G183" s="317"/>
      <c r="H183" s="317"/>
      <c r="I183" s="317"/>
      <c r="J183" s="317"/>
      <c r="K183" s="317"/>
      <c r="L183" s="317"/>
      <c r="M183" s="317"/>
      <c r="W183" s="297"/>
      <c r="X183" s="297"/>
    </row>
    <row r="184" spans="1:24" s="298" customFormat="1" x14ac:dyDescent="0.25">
      <c r="A184" s="296"/>
      <c r="B184" s="297"/>
      <c r="C184" s="297"/>
      <c r="D184" s="297"/>
      <c r="E184" s="297"/>
      <c r="G184" s="317"/>
      <c r="H184" s="317"/>
      <c r="I184" s="317"/>
      <c r="J184" s="317"/>
      <c r="K184" s="317"/>
      <c r="L184" s="317"/>
      <c r="M184" s="317"/>
      <c r="W184" s="297"/>
      <c r="X184" s="297"/>
    </row>
    <row r="185" spans="1:24" s="298" customFormat="1" x14ac:dyDescent="0.25">
      <c r="A185" s="296"/>
      <c r="B185" s="297"/>
      <c r="C185" s="297"/>
      <c r="D185" s="297"/>
      <c r="E185" s="297"/>
      <c r="G185" s="317"/>
      <c r="H185" s="317"/>
      <c r="I185" s="317"/>
      <c r="J185" s="317"/>
      <c r="K185" s="317"/>
      <c r="L185" s="317"/>
      <c r="M185" s="317"/>
      <c r="W185" s="297"/>
      <c r="X185" s="297"/>
    </row>
    <row r="186" spans="1:24" s="298" customFormat="1" x14ac:dyDescent="0.25">
      <c r="A186" s="296"/>
      <c r="B186" s="297"/>
      <c r="C186" s="297"/>
      <c r="D186" s="297"/>
      <c r="E186" s="297"/>
      <c r="G186" s="317"/>
      <c r="H186" s="317"/>
      <c r="I186" s="317"/>
      <c r="J186" s="317"/>
      <c r="K186" s="317"/>
      <c r="L186" s="317"/>
      <c r="M186" s="317"/>
      <c r="W186" s="297"/>
      <c r="X186" s="297"/>
    </row>
    <row r="187" spans="1:24" s="298" customFormat="1" x14ac:dyDescent="0.25">
      <c r="A187" s="296"/>
      <c r="B187" s="297"/>
      <c r="C187" s="297"/>
      <c r="D187" s="297"/>
      <c r="E187" s="297"/>
      <c r="G187" s="317"/>
      <c r="H187" s="317"/>
      <c r="I187" s="317"/>
      <c r="J187" s="317"/>
      <c r="K187" s="317"/>
      <c r="L187" s="317"/>
      <c r="M187" s="317"/>
      <c r="W187" s="297"/>
      <c r="X187" s="297"/>
    </row>
    <row r="188" spans="1:24" s="298" customFormat="1" x14ac:dyDescent="0.25">
      <c r="A188" s="296"/>
      <c r="B188" s="297"/>
      <c r="C188" s="297"/>
      <c r="D188" s="297"/>
      <c r="E188" s="297"/>
      <c r="G188" s="317"/>
      <c r="H188" s="317"/>
      <c r="I188" s="317"/>
      <c r="J188" s="317"/>
      <c r="K188" s="317"/>
      <c r="L188" s="317"/>
      <c r="M188" s="317"/>
      <c r="W188" s="297"/>
      <c r="X188" s="297"/>
    </row>
    <row r="189" spans="1:24" s="298" customFormat="1" x14ac:dyDescent="0.25">
      <c r="A189" s="296"/>
      <c r="B189" s="297"/>
      <c r="C189" s="297"/>
      <c r="D189" s="297"/>
      <c r="E189" s="297"/>
      <c r="G189" s="317"/>
      <c r="H189" s="317"/>
      <c r="I189" s="317"/>
      <c r="J189" s="317"/>
      <c r="K189" s="317"/>
      <c r="L189" s="317"/>
      <c r="M189" s="317"/>
      <c r="W189" s="297"/>
      <c r="X189" s="297"/>
    </row>
    <row r="190" spans="1:24" s="298" customFormat="1" x14ac:dyDescent="0.25">
      <c r="A190" s="296"/>
      <c r="B190" s="297"/>
      <c r="C190" s="297"/>
      <c r="D190" s="297"/>
      <c r="E190" s="297"/>
      <c r="G190" s="317"/>
      <c r="H190" s="317"/>
      <c r="I190" s="317"/>
      <c r="J190" s="317"/>
      <c r="K190" s="317"/>
      <c r="L190" s="317"/>
      <c r="M190" s="317"/>
      <c r="W190" s="297"/>
      <c r="X190" s="297"/>
    </row>
    <row r="191" spans="1:24" s="298" customFormat="1" x14ac:dyDescent="0.25">
      <c r="A191" s="296"/>
      <c r="B191" s="297"/>
      <c r="C191" s="297"/>
      <c r="D191" s="297"/>
      <c r="E191" s="297"/>
      <c r="G191" s="317"/>
      <c r="H191" s="317"/>
      <c r="I191" s="317"/>
      <c r="J191" s="317"/>
      <c r="K191" s="317"/>
      <c r="L191" s="317"/>
      <c r="M191" s="317"/>
      <c r="W191" s="297"/>
      <c r="X191" s="297"/>
    </row>
    <row r="192" spans="1:24" s="298" customFormat="1" x14ac:dyDescent="0.25">
      <c r="A192" s="296"/>
      <c r="B192" s="297"/>
      <c r="C192" s="297"/>
      <c r="D192" s="297"/>
      <c r="E192" s="297"/>
      <c r="G192" s="317"/>
      <c r="H192" s="317"/>
      <c r="I192" s="317"/>
      <c r="J192" s="317"/>
      <c r="K192" s="317"/>
      <c r="L192" s="317"/>
      <c r="M192" s="317"/>
      <c r="W192" s="297"/>
      <c r="X192" s="297"/>
    </row>
    <row r="193" spans="1:24" s="298" customFormat="1" x14ac:dyDescent="0.25">
      <c r="A193" s="296"/>
      <c r="B193" s="297"/>
      <c r="C193" s="297"/>
      <c r="D193" s="297"/>
      <c r="E193" s="297"/>
      <c r="G193" s="317"/>
      <c r="H193" s="317"/>
      <c r="I193" s="317"/>
      <c r="J193" s="317"/>
      <c r="K193" s="317"/>
      <c r="L193" s="317"/>
      <c r="M193" s="317"/>
      <c r="W193" s="297"/>
      <c r="X193" s="297"/>
    </row>
    <row r="194" spans="1:24" s="298" customFormat="1" x14ac:dyDescent="0.25">
      <c r="A194" s="296"/>
      <c r="B194" s="297"/>
      <c r="C194" s="297"/>
      <c r="D194" s="297"/>
      <c r="E194" s="297"/>
      <c r="G194" s="317"/>
      <c r="H194" s="317"/>
      <c r="I194" s="317"/>
      <c r="J194" s="317"/>
      <c r="K194" s="317"/>
      <c r="L194" s="317"/>
      <c r="M194" s="317"/>
      <c r="W194" s="297"/>
      <c r="X194" s="297"/>
    </row>
    <row r="195" spans="1:24" s="298" customFormat="1" x14ac:dyDescent="0.25">
      <c r="A195" s="296"/>
      <c r="B195" s="297"/>
      <c r="C195" s="297"/>
      <c r="D195" s="297"/>
      <c r="E195" s="297"/>
      <c r="G195" s="317"/>
      <c r="H195" s="317"/>
      <c r="I195" s="317"/>
      <c r="J195" s="317"/>
      <c r="K195" s="317"/>
      <c r="L195" s="317"/>
      <c r="M195" s="317"/>
      <c r="W195" s="297"/>
      <c r="X195" s="297"/>
    </row>
    <row r="196" spans="1:24" s="298" customFormat="1" x14ac:dyDescent="0.25">
      <c r="A196" s="296"/>
      <c r="B196" s="297"/>
      <c r="C196" s="297"/>
      <c r="D196" s="297"/>
      <c r="E196" s="297"/>
      <c r="G196" s="317"/>
      <c r="H196" s="317"/>
      <c r="I196" s="317"/>
      <c r="J196" s="317"/>
      <c r="K196" s="317"/>
      <c r="L196" s="317"/>
      <c r="M196" s="317"/>
      <c r="W196" s="297"/>
      <c r="X196" s="297"/>
    </row>
    <row r="197" spans="1:24" s="298" customFormat="1" x14ac:dyDescent="0.25">
      <c r="A197" s="296"/>
      <c r="B197" s="297"/>
      <c r="C197" s="297"/>
      <c r="D197" s="297"/>
      <c r="E197" s="297"/>
      <c r="G197" s="317"/>
      <c r="H197" s="317"/>
      <c r="I197" s="317"/>
      <c r="J197" s="317"/>
      <c r="K197" s="317"/>
      <c r="L197" s="317"/>
      <c r="M197" s="317"/>
      <c r="W197" s="297"/>
      <c r="X197" s="297"/>
    </row>
    <row r="198" spans="1:24" s="298" customFormat="1" x14ac:dyDescent="0.25">
      <c r="A198" s="296"/>
      <c r="B198" s="297"/>
      <c r="C198" s="297"/>
      <c r="D198" s="297"/>
      <c r="E198" s="297"/>
      <c r="G198" s="317"/>
      <c r="H198" s="317"/>
      <c r="I198" s="317"/>
      <c r="J198" s="317"/>
      <c r="K198" s="317"/>
      <c r="L198" s="317"/>
      <c r="M198" s="317"/>
      <c r="W198" s="297"/>
      <c r="X198" s="297"/>
    </row>
    <row r="199" spans="1:24" s="298" customFormat="1" x14ac:dyDescent="0.25">
      <c r="A199" s="296"/>
      <c r="B199" s="297"/>
      <c r="C199" s="297"/>
      <c r="D199" s="297"/>
      <c r="E199" s="297"/>
      <c r="G199" s="317"/>
      <c r="H199" s="317"/>
      <c r="I199" s="317"/>
      <c r="J199" s="317"/>
      <c r="K199" s="317"/>
      <c r="L199" s="317"/>
      <c r="M199" s="317"/>
      <c r="W199" s="297"/>
      <c r="X199" s="297"/>
    </row>
    <row r="200" spans="1:24" s="298" customFormat="1" x14ac:dyDescent="0.25">
      <c r="A200" s="296"/>
      <c r="B200" s="297"/>
      <c r="C200" s="297"/>
      <c r="D200" s="297"/>
      <c r="E200" s="297"/>
      <c r="G200" s="317"/>
      <c r="H200" s="317"/>
      <c r="I200" s="317"/>
      <c r="J200" s="317"/>
      <c r="K200" s="317"/>
      <c r="L200" s="317"/>
      <c r="M200" s="317"/>
      <c r="W200" s="297"/>
      <c r="X200" s="297"/>
    </row>
    <row r="201" spans="1:24" s="298" customFormat="1" x14ac:dyDescent="0.25">
      <c r="A201" s="296"/>
      <c r="B201" s="297"/>
      <c r="C201" s="297"/>
      <c r="D201" s="297"/>
      <c r="E201" s="297"/>
      <c r="G201" s="317"/>
      <c r="H201" s="317"/>
      <c r="I201" s="317"/>
      <c r="J201" s="317"/>
      <c r="K201" s="317"/>
      <c r="L201" s="317"/>
      <c r="M201" s="317"/>
      <c r="W201" s="297"/>
      <c r="X201" s="297"/>
    </row>
    <row r="202" spans="1:24" s="298" customFormat="1" x14ac:dyDescent="0.25">
      <c r="A202" s="296"/>
      <c r="B202" s="297"/>
      <c r="C202" s="297"/>
      <c r="D202" s="297"/>
      <c r="E202" s="297"/>
      <c r="G202" s="317"/>
      <c r="H202" s="317"/>
      <c r="I202" s="317"/>
      <c r="J202" s="317"/>
      <c r="K202" s="317"/>
      <c r="L202" s="317"/>
      <c r="M202" s="317"/>
      <c r="W202" s="297"/>
      <c r="X202" s="297"/>
    </row>
    <row r="203" spans="1:24" s="298" customFormat="1" x14ac:dyDescent="0.25">
      <c r="A203" s="296"/>
      <c r="B203" s="297"/>
      <c r="C203" s="297"/>
      <c r="D203" s="297"/>
      <c r="E203" s="297"/>
      <c r="G203" s="317"/>
      <c r="H203" s="317"/>
      <c r="I203" s="317"/>
      <c r="J203" s="317"/>
      <c r="K203" s="317"/>
      <c r="L203" s="317"/>
      <c r="M203" s="317"/>
      <c r="W203" s="297"/>
      <c r="X203" s="297"/>
    </row>
    <row r="204" spans="1:24" s="298" customFormat="1" x14ac:dyDescent="0.25">
      <c r="A204" s="296"/>
      <c r="B204" s="297"/>
      <c r="C204" s="297"/>
      <c r="D204" s="297"/>
      <c r="E204" s="297"/>
      <c r="G204" s="317"/>
      <c r="H204" s="317"/>
      <c r="I204" s="317"/>
      <c r="J204" s="317"/>
      <c r="K204" s="317"/>
      <c r="L204" s="317"/>
      <c r="M204" s="317"/>
      <c r="W204" s="297"/>
      <c r="X204" s="297"/>
    </row>
    <row r="205" spans="1:24" s="298" customFormat="1" x14ac:dyDescent="0.25">
      <c r="A205" s="296"/>
      <c r="B205" s="297"/>
      <c r="C205" s="297"/>
      <c r="D205" s="297"/>
      <c r="E205" s="297"/>
      <c r="G205" s="317"/>
      <c r="H205" s="317"/>
      <c r="I205" s="317"/>
      <c r="J205" s="317"/>
      <c r="K205" s="317"/>
      <c r="L205" s="317"/>
      <c r="M205" s="317"/>
      <c r="W205" s="297"/>
      <c r="X205" s="297"/>
    </row>
    <row r="206" spans="1:24" s="298" customFormat="1" x14ac:dyDescent="0.25">
      <c r="A206" s="296"/>
      <c r="B206" s="297"/>
      <c r="C206" s="297"/>
      <c r="D206" s="297"/>
      <c r="E206" s="297"/>
      <c r="G206" s="317"/>
      <c r="H206" s="317"/>
      <c r="I206" s="317"/>
      <c r="J206" s="317"/>
      <c r="K206" s="317"/>
      <c r="L206" s="317"/>
      <c r="M206" s="317"/>
      <c r="W206" s="297"/>
      <c r="X206" s="297"/>
    </row>
    <row r="207" spans="1:24" s="298" customFormat="1" x14ac:dyDescent="0.25">
      <c r="A207" s="296"/>
      <c r="B207" s="297"/>
      <c r="C207" s="297"/>
      <c r="D207" s="297"/>
      <c r="E207" s="297"/>
      <c r="G207" s="317"/>
      <c r="H207" s="317"/>
      <c r="I207" s="317"/>
      <c r="J207" s="317"/>
      <c r="K207" s="317"/>
      <c r="L207" s="317"/>
      <c r="M207" s="317"/>
      <c r="W207" s="297"/>
      <c r="X207" s="297"/>
    </row>
    <row r="208" spans="1:24" s="298" customFormat="1" x14ac:dyDescent="0.25">
      <c r="A208" s="296"/>
      <c r="B208" s="297"/>
      <c r="C208" s="297"/>
      <c r="D208" s="297"/>
      <c r="E208" s="297"/>
      <c r="G208" s="317"/>
      <c r="H208" s="317"/>
      <c r="I208" s="317"/>
      <c r="J208" s="317"/>
      <c r="K208" s="317"/>
      <c r="L208" s="317"/>
      <c r="M208" s="317"/>
      <c r="W208" s="297"/>
      <c r="X208" s="297"/>
    </row>
    <row r="209" spans="1:24" s="298" customFormat="1" x14ac:dyDescent="0.25">
      <c r="A209" s="296"/>
      <c r="B209" s="297"/>
      <c r="C209" s="297"/>
      <c r="D209" s="297"/>
      <c r="E209" s="297"/>
      <c r="G209" s="317"/>
      <c r="H209" s="317"/>
      <c r="I209" s="317"/>
      <c r="J209" s="317"/>
      <c r="K209" s="317"/>
      <c r="L209" s="317"/>
      <c r="M209" s="317"/>
      <c r="W209" s="297"/>
      <c r="X209" s="297"/>
    </row>
    <row r="210" spans="1:24" s="298" customFormat="1" x14ac:dyDescent="0.25">
      <c r="A210" s="296"/>
      <c r="B210" s="297"/>
      <c r="C210" s="297"/>
      <c r="D210" s="297"/>
      <c r="E210" s="297"/>
      <c r="G210" s="317"/>
      <c r="H210" s="317"/>
      <c r="I210" s="317"/>
      <c r="J210" s="317"/>
      <c r="K210" s="317"/>
      <c r="L210" s="317"/>
      <c r="M210" s="317"/>
      <c r="W210" s="297"/>
      <c r="X210" s="297"/>
    </row>
    <row r="211" spans="1:24" s="298" customFormat="1" x14ac:dyDescent="0.25">
      <c r="A211" s="296"/>
      <c r="B211" s="297"/>
      <c r="C211" s="297"/>
      <c r="D211" s="297"/>
      <c r="E211" s="297"/>
      <c r="G211" s="317"/>
      <c r="H211" s="317"/>
      <c r="I211" s="317"/>
      <c r="J211" s="317"/>
      <c r="K211" s="317"/>
      <c r="L211" s="317"/>
      <c r="M211" s="317"/>
      <c r="W211" s="297"/>
      <c r="X211" s="297"/>
    </row>
    <row r="212" spans="1:24" s="298" customFormat="1" x14ac:dyDescent="0.25">
      <c r="A212" s="296"/>
      <c r="B212" s="297"/>
      <c r="C212" s="297"/>
      <c r="D212" s="297"/>
      <c r="E212" s="297"/>
      <c r="G212" s="317"/>
      <c r="H212" s="317"/>
      <c r="I212" s="317"/>
      <c r="J212" s="317"/>
      <c r="K212" s="317"/>
      <c r="L212" s="317"/>
      <c r="M212" s="317"/>
      <c r="W212" s="297"/>
      <c r="X212" s="297"/>
    </row>
    <row r="213" spans="1:24" s="298" customFormat="1" x14ac:dyDescent="0.25">
      <c r="A213" s="296"/>
      <c r="B213" s="297"/>
      <c r="C213" s="297"/>
      <c r="D213" s="297"/>
      <c r="E213" s="297"/>
      <c r="G213" s="317"/>
      <c r="H213" s="317"/>
      <c r="I213" s="317"/>
      <c r="J213" s="317"/>
      <c r="K213" s="317"/>
      <c r="L213" s="317"/>
      <c r="M213" s="317"/>
      <c r="W213" s="297"/>
      <c r="X213" s="297"/>
    </row>
    <row r="214" spans="1:24" s="298" customFormat="1" x14ac:dyDescent="0.25">
      <c r="A214" s="296"/>
      <c r="B214" s="297"/>
      <c r="C214" s="297"/>
      <c r="D214" s="297"/>
      <c r="E214" s="297"/>
      <c r="G214" s="317"/>
      <c r="H214" s="317"/>
      <c r="I214" s="317"/>
      <c r="J214" s="317"/>
      <c r="K214" s="317"/>
      <c r="L214" s="317"/>
      <c r="M214" s="317"/>
      <c r="W214" s="297"/>
      <c r="X214" s="297"/>
    </row>
    <row r="215" spans="1:24" s="298" customFormat="1" x14ac:dyDescent="0.25">
      <c r="A215" s="296"/>
      <c r="B215" s="297"/>
      <c r="C215" s="297"/>
      <c r="D215" s="297"/>
      <c r="E215" s="297"/>
      <c r="G215" s="317"/>
      <c r="H215" s="317"/>
      <c r="I215" s="317"/>
      <c r="J215" s="317"/>
      <c r="K215" s="317"/>
      <c r="L215" s="317"/>
      <c r="M215" s="317"/>
      <c r="W215" s="297"/>
      <c r="X215" s="297"/>
    </row>
    <row r="216" spans="1:24" s="298" customFormat="1" x14ac:dyDescent="0.25">
      <c r="A216" s="296"/>
      <c r="B216" s="297"/>
      <c r="C216" s="297"/>
      <c r="D216" s="297"/>
      <c r="E216" s="297"/>
      <c r="G216" s="317"/>
      <c r="H216" s="317"/>
      <c r="I216" s="317"/>
      <c r="J216" s="317"/>
      <c r="K216" s="317"/>
      <c r="L216" s="317"/>
      <c r="M216" s="317"/>
      <c r="W216" s="297"/>
      <c r="X216" s="297"/>
    </row>
    <row r="217" spans="1:24" s="298" customFormat="1" x14ac:dyDescent="0.25">
      <c r="A217" s="296"/>
      <c r="B217" s="297"/>
      <c r="C217" s="297"/>
      <c r="D217" s="297"/>
      <c r="E217" s="297"/>
      <c r="G217" s="317"/>
      <c r="H217" s="317"/>
      <c r="I217" s="317"/>
      <c r="J217" s="317"/>
      <c r="K217" s="317"/>
      <c r="L217" s="317"/>
      <c r="M217" s="317"/>
      <c r="W217" s="297"/>
      <c r="X217" s="297"/>
    </row>
    <row r="218" spans="1:24" s="298" customFormat="1" x14ac:dyDescent="0.25">
      <c r="A218" s="296"/>
      <c r="B218" s="297"/>
      <c r="C218" s="297"/>
      <c r="D218" s="297"/>
      <c r="E218" s="297"/>
      <c r="G218" s="317"/>
      <c r="H218" s="317"/>
      <c r="I218" s="317"/>
      <c r="J218" s="317"/>
      <c r="K218" s="317"/>
      <c r="L218" s="317"/>
      <c r="M218" s="317"/>
      <c r="W218" s="297"/>
      <c r="X218" s="297"/>
    </row>
    <row r="219" spans="1:24" s="298" customFormat="1" x14ac:dyDescent="0.25">
      <c r="A219" s="296"/>
      <c r="B219" s="297"/>
      <c r="C219" s="297"/>
      <c r="D219" s="297"/>
      <c r="E219" s="297"/>
      <c r="G219" s="317"/>
      <c r="H219" s="317"/>
      <c r="I219" s="317"/>
      <c r="J219" s="317"/>
      <c r="K219" s="317"/>
      <c r="L219" s="317"/>
      <c r="M219" s="317"/>
      <c r="W219" s="297"/>
      <c r="X219" s="297"/>
    </row>
    <row r="220" spans="1:24" s="298" customFormat="1" x14ac:dyDescent="0.25">
      <c r="A220" s="296"/>
      <c r="B220" s="297"/>
      <c r="C220" s="297"/>
      <c r="D220" s="297"/>
      <c r="E220" s="297"/>
      <c r="G220" s="317"/>
      <c r="H220" s="317"/>
      <c r="I220" s="317"/>
      <c r="J220" s="317"/>
      <c r="K220" s="317"/>
      <c r="L220" s="317"/>
      <c r="M220" s="317"/>
      <c r="W220" s="297"/>
      <c r="X220" s="297"/>
    </row>
    <row r="221" spans="1:24" s="298" customFormat="1" x14ac:dyDescent="0.25">
      <c r="A221" s="296"/>
      <c r="B221" s="297"/>
      <c r="C221" s="297"/>
      <c r="D221" s="297"/>
      <c r="E221" s="297"/>
      <c r="G221" s="317"/>
      <c r="H221" s="317"/>
      <c r="I221" s="317"/>
      <c r="J221" s="317"/>
      <c r="K221" s="317"/>
      <c r="L221" s="317"/>
      <c r="M221" s="317"/>
      <c r="W221" s="297"/>
      <c r="X221" s="297"/>
    </row>
    <row r="222" spans="1:24" s="298" customFormat="1" x14ac:dyDescent="0.25">
      <c r="A222" s="296"/>
      <c r="B222" s="297"/>
      <c r="C222" s="297"/>
      <c r="D222" s="297"/>
      <c r="E222" s="297"/>
      <c r="G222" s="317"/>
      <c r="H222" s="317"/>
      <c r="I222" s="317"/>
      <c r="J222" s="317"/>
      <c r="K222" s="317"/>
      <c r="L222" s="317"/>
      <c r="M222" s="317"/>
      <c r="W222" s="297"/>
      <c r="X222" s="297"/>
    </row>
    <row r="223" spans="1:24" s="298" customFormat="1" x14ac:dyDescent="0.25">
      <c r="A223" s="296"/>
      <c r="B223" s="297"/>
      <c r="C223" s="297"/>
      <c r="D223" s="297"/>
      <c r="E223" s="297"/>
      <c r="G223" s="317"/>
      <c r="H223" s="317"/>
      <c r="I223" s="317"/>
      <c r="J223" s="317"/>
      <c r="K223" s="317"/>
      <c r="L223" s="317"/>
      <c r="M223" s="317"/>
      <c r="W223" s="297"/>
      <c r="X223" s="297"/>
    </row>
    <row r="224" spans="1:24" s="298" customFormat="1" x14ac:dyDescent="0.25">
      <c r="A224" s="296"/>
      <c r="B224" s="297"/>
      <c r="C224" s="297"/>
      <c r="D224" s="297"/>
      <c r="E224" s="297"/>
      <c r="G224" s="317"/>
      <c r="H224" s="317"/>
      <c r="I224" s="317"/>
      <c r="J224" s="317"/>
      <c r="K224" s="317"/>
      <c r="L224" s="317"/>
      <c r="M224" s="317"/>
      <c r="W224" s="297"/>
      <c r="X224" s="297"/>
    </row>
    <row r="225" spans="1:24" s="298" customFormat="1" x14ac:dyDescent="0.25">
      <c r="A225" s="296"/>
      <c r="B225" s="297"/>
      <c r="C225" s="297"/>
      <c r="D225" s="297"/>
      <c r="E225" s="297"/>
      <c r="G225" s="317"/>
      <c r="H225" s="317"/>
      <c r="I225" s="317"/>
      <c r="J225" s="317"/>
      <c r="K225" s="317"/>
      <c r="L225" s="317"/>
      <c r="M225" s="317"/>
      <c r="W225" s="297"/>
      <c r="X225" s="297"/>
    </row>
    <row r="226" spans="1:24" s="298" customFormat="1" x14ac:dyDescent="0.25">
      <c r="A226" s="296"/>
      <c r="B226" s="297"/>
      <c r="C226" s="297"/>
      <c r="D226" s="297"/>
      <c r="E226" s="297"/>
      <c r="G226" s="317"/>
      <c r="H226" s="317"/>
      <c r="I226" s="317"/>
      <c r="J226" s="317"/>
      <c r="K226" s="317"/>
      <c r="L226" s="317"/>
      <c r="M226" s="317"/>
      <c r="W226" s="297"/>
      <c r="X226" s="297"/>
    </row>
    <row r="227" spans="1:24" s="298" customFormat="1" x14ac:dyDescent="0.25">
      <c r="A227" s="296"/>
      <c r="B227" s="297"/>
      <c r="C227" s="297"/>
      <c r="D227" s="297"/>
      <c r="E227" s="297"/>
      <c r="G227" s="317"/>
      <c r="H227" s="317"/>
      <c r="I227" s="317"/>
      <c r="J227" s="317"/>
      <c r="K227" s="317"/>
      <c r="L227" s="317"/>
      <c r="M227" s="317"/>
      <c r="W227" s="297"/>
      <c r="X227" s="297"/>
    </row>
    <row r="228" spans="1:24" s="298" customFormat="1" x14ac:dyDescent="0.25">
      <c r="A228" s="296"/>
      <c r="B228" s="297"/>
      <c r="C228" s="297"/>
      <c r="D228" s="297"/>
      <c r="E228" s="297"/>
      <c r="G228" s="317"/>
      <c r="H228" s="317"/>
      <c r="I228" s="317"/>
      <c r="J228" s="317"/>
      <c r="K228" s="317"/>
      <c r="L228" s="317"/>
      <c r="M228" s="317"/>
      <c r="W228" s="297"/>
      <c r="X228" s="297"/>
    </row>
    <row r="229" spans="1:24" s="298" customFormat="1" x14ac:dyDescent="0.25">
      <c r="A229" s="296"/>
      <c r="B229" s="297"/>
      <c r="C229" s="297"/>
      <c r="D229" s="297"/>
      <c r="E229" s="297"/>
      <c r="G229" s="317"/>
      <c r="H229" s="317"/>
      <c r="I229" s="317"/>
      <c r="J229" s="317"/>
      <c r="K229" s="317"/>
      <c r="L229" s="317"/>
      <c r="M229" s="317"/>
      <c r="W229" s="297"/>
      <c r="X229" s="297"/>
    </row>
    <row r="230" spans="1:24" s="298" customFormat="1" x14ac:dyDescent="0.25">
      <c r="A230" s="296"/>
      <c r="B230" s="297"/>
      <c r="C230" s="297"/>
      <c r="D230" s="297"/>
      <c r="E230" s="297"/>
      <c r="G230" s="317"/>
      <c r="H230" s="317"/>
      <c r="I230" s="317"/>
      <c r="J230" s="317"/>
      <c r="K230" s="317"/>
      <c r="L230" s="317"/>
      <c r="M230" s="317"/>
      <c r="W230" s="297"/>
      <c r="X230" s="297"/>
    </row>
    <row r="231" spans="1:24" s="298" customFormat="1" x14ac:dyDescent="0.25">
      <c r="A231" s="296"/>
      <c r="B231" s="297"/>
      <c r="C231" s="297"/>
      <c r="D231" s="297"/>
      <c r="E231" s="297"/>
      <c r="G231" s="317"/>
      <c r="H231" s="317"/>
      <c r="I231" s="317"/>
      <c r="J231" s="317"/>
      <c r="K231" s="317"/>
      <c r="L231" s="317"/>
      <c r="M231" s="317"/>
      <c r="W231" s="297"/>
      <c r="X231" s="297"/>
    </row>
    <row r="232" spans="1:24" s="298" customFormat="1" x14ac:dyDescent="0.25">
      <c r="A232" s="296"/>
      <c r="B232" s="297"/>
      <c r="C232" s="297"/>
      <c r="D232" s="297"/>
      <c r="E232" s="297"/>
      <c r="G232" s="317"/>
      <c r="H232" s="317"/>
      <c r="I232" s="317"/>
      <c r="J232" s="317"/>
      <c r="K232" s="317"/>
      <c r="L232" s="317"/>
      <c r="M232" s="317"/>
      <c r="W232" s="297"/>
      <c r="X232" s="297"/>
    </row>
    <row r="233" spans="1:24" s="298" customFormat="1" x14ac:dyDescent="0.25">
      <c r="A233" s="296"/>
      <c r="B233" s="297"/>
      <c r="C233" s="297"/>
      <c r="D233" s="297"/>
      <c r="E233" s="297"/>
      <c r="G233" s="317"/>
      <c r="H233" s="317"/>
      <c r="I233" s="317"/>
      <c r="J233" s="317"/>
      <c r="K233" s="317"/>
      <c r="L233" s="317"/>
      <c r="M233" s="317"/>
      <c r="W233" s="297"/>
      <c r="X233" s="297"/>
    </row>
    <row r="234" spans="1:24" s="298" customFormat="1" x14ac:dyDescent="0.25">
      <c r="A234" s="296"/>
      <c r="B234" s="297"/>
      <c r="C234" s="297"/>
      <c r="D234" s="297"/>
      <c r="E234" s="297"/>
      <c r="G234" s="317"/>
      <c r="H234" s="317"/>
      <c r="I234" s="317"/>
      <c r="J234" s="317"/>
      <c r="K234" s="317"/>
      <c r="L234" s="317"/>
      <c r="M234" s="317"/>
      <c r="W234" s="297"/>
      <c r="X234" s="297"/>
    </row>
    <row r="235" spans="1:24" s="298" customFormat="1" x14ac:dyDescent="0.25">
      <c r="A235" s="296"/>
      <c r="B235" s="297"/>
      <c r="C235" s="297"/>
      <c r="D235" s="297"/>
      <c r="E235" s="297"/>
      <c r="G235" s="317"/>
      <c r="H235" s="317"/>
      <c r="I235" s="317"/>
      <c r="J235" s="317"/>
      <c r="K235" s="317"/>
      <c r="L235" s="317"/>
      <c r="M235" s="317"/>
      <c r="W235" s="297"/>
      <c r="X235" s="297"/>
    </row>
    <row r="236" spans="1:24" s="298" customFormat="1" x14ac:dyDescent="0.25">
      <c r="A236" s="296"/>
      <c r="B236" s="297"/>
      <c r="C236" s="297"/>
      <c r="D236" s="297"/>
      <c r="E236" s="297"/>
      <c r="G236" s="317"/>
      <c r="H236" s="317"/>
      <c r="I236" s="317"/>
      <c r="J236" s="317"/>
      <c r="K236" s="317"/>
      <c r="L236" s="317"/>
      <c r="M236" s="317"/>
      <c r="W236" s="297"/>
      <c r="X236" s="297"/>
    </row>
    <row r="237" spans="1:24" s="298" customFormat="1" x14ac:dyDescent="0.25">
      <c r="A237" s="296"/>
      <c r="B237" s="297"/>
      <c r="C237" s="297"/>
      <c r="D237" s="297"/>
      <c r="E237" s="297"/>
      <c r="G237" s="317"/>
      <c r="H237" s="317"/>
      <c r="I237" s="317"/>
      <c r="J237" s="317"/>
      <c r="K237" s="317"/>
      <c r="L237" s="317"/>
      <c r="M237" s="317"/>
      <c r="W237" s="297"/>
      <c r="X237" s="297"/>
    </row>
    <row r="238" spans="1:24" s="298" customFormat="1" x14ac:dyDescent="0.25">
      <c r="A238" s="296"/>
      <c r="B238" s="297"/>
      <c r="C238" s="297"/>
      <c r="D238" s="297"/>
      <c r="E238" s="297"/>
      <c r="G238" s="317"/>
      <c r="H238" s="317"/>
      <c r="I238" s="317"/>
      <c r="J238" s="317"/>
      <c r="K238" s="317"/>
      <c r="L238" s="317"/>
      <c r="M238" s="317"/>
      <c r="W238" s="297"/>
      <c r="X238" s="297"/>
    </row>
    <row r="239" spans="1:24" s="298" customFormat="1" x14ac:dyDescent="0.25">
      <c r="A239" s="296"/>
      <c r="B239" s="297"/>
      <c r="C239" s="297"/>
      <c r="D239" s="297"/>
      <c r="E239" s="297"/>
      <c r="G239" s="317"/>
      <c r="H239" s="317"/>
      <c r="I239" s="317"/>
      <c r="J239" s="317"/>
      <c r="K239" s="317"/>
      <c r="L239" s="317"/>
      <c r="M239" s="317"/>
      <c r="W239" s="297"/>
      <c r="X239" s="297"/>
    </row>
    <row r="240" spans="1:24" s="298" customFormat="1" x14ac:dyDescent="0.25">
      <c r="A240" s="296"/>
      <c r="B240" s="297"/>
      <c r="C240" s="297"/>
      <c r="D240" s="297"/>
      <c r="E240" s="297"/>
      <c r="G240" s="317"/>
      <c r="H240" s="317"/>
      <c r="I240" s="317"/>
      <c r="J240" s="317"/>
      <c r="K240" s="317"/>
      <c r="L240" s="317"/>
      <c r="M240" s="317"/>
      <c r="W240" s="297"/>
      <c r="X240" s="297"/>
    </row>
    <row r="241" spans="1:24" s="298" customFormat="1" x14ac:dyDescent="0.25">
      <c r="A241" s="296"/>
      <c r="B241" s="297"/>
      <c r="C241" s="297"/>
      <c r="D241" s="297"/>
      <c r="E241" s="297"/>
      <c r="G241" s="317"/>
      <c r="H241" s="317"/>
      <c r="I241" s="317"/>
      <c r="J241" s="317"/>
      <c r="K241" s="317"/>
      <c r="L241" s="317"/>
      <c r="M241" s="317"/>
      <c r="W241" s="297"/>
      <c r="X241" s="297"/>
    </row>
    <row r="242" spans="1:24" s="298" customFormat="1" x14ac:dyDescent="0.25">
      <c r="A242" s="296"/>
      <c r="B242" s="297"/>
      <c r="C242" s="297"/>
      <c r="D242" s="297"/>
      <c r="E242" s="297"/>
      <c r="G242" s="317"/>
      <c r="H242" s="317"/>
      <c r="I242" s="317"/>
      <c r="J242" s="317"/>
      <c r="K242" s="317"/>
      <c r="L242" s="317"/>
      <c r="M242" s="317"/>
      <c r="W242" s="297"/>
      <c r="X242" s="297"/>
    </row>
    <row r="243" spans="1:24" s="298" customFormat="1" x14ac:dyDescent="0.25">
      <c r="A243" s="296"/>
      <c r="B243" s="297"/>
      <c r="C243" s="297"/>
      <c r="D243" s="297"/>
      <c r="E243" s="297"/>
      <c r="G243" s="317"/>
      <c r="H243" s="317"/>
      <c r="I243" s="317"/>
      <c r="J243" s="317"/>
      <c r="K243" s="317"/>
      <c r="L243" s="317"/>
      <c r="M243" s="317"/>
      <c r="W243" s="297"/>
      <c r="X243" s="297"/>
    </row>
    <row r="244" spans="1:24" s="298" customFormat="1" x14ac:dyDescent="0.25">
      <c r="A244" s="296"/>
      <c r="B244" s="297"/>
      <c r="C244" s="297"/>
      <c r="D244" s="297"/>
      <c r="E244" s="297"/>
      <c r="G244" s="317"/>
      <c r="H244" s="317"/>
      <c r="I244" s="317"/>
      <c r="J244" s="317"/>
      <c r="K244" s="317"/>
      <c r="L244" s="317"/>
      <c r="M244" s="317"/>
      <c r="W244" s="297"/>
      <c r="X244" s="297"/>
    </row>
    <row r="245" spans="1:24" s="298" customFormat="1" x14ac:dyDescent="0.25">
      <c r="A245" s="296"/>
      <c r="B245" s="297"/>
      <c r="C245" s="297"/>
      <c r="D245" s="297"/>
      <c r="E245" s="297"/>
      <c r="G245" s="317"/>
      <c r="H245" s="317"/>
      <c r="I245" s="317"/>
      <c r="J245" s="317"/>
      <c r="K245" s="317"/>
      <c r="L245" s="317"/>
      <c r="M245" s="317"/>
      <c r="W245" s="297"/>
      <c r="X245" s="297"/>
    </row>
    <row r="246" spans="1:24" s="298" customFormat="1" x14ac:dyDescent="0.25">
      <c r="A246" s="296"/>
      <c r="B246" s="297"/>
      <c r="C246" s="297"/>
      <c r="D246" s="297"/>
      <c r="E246" s="297"/>
      <c r="G246" s="317"/>
      <c r="H246" s="317"/>
      <c r="I246" s="317"/>
      <c r="J246" s="317"/>
      <c r="K246" s="317"/>
      <c r="L246" s="317"/>
      <c r="M246" s="317"/>
      <c r="W246" s="297"/>
      <c r="X246" s="297"/>
    </row>
    <row r="247" spans="1:24" s="298" customFormat="1" x14ac:dyDescent="0.25">
      <c r="A247" s="296"/>
      <c r="B247" s="297"/>
      <c r="C247" s="297"/>
      <c r="D247" s="297"/>
      <c r="E247" s="297"/>
      <c r="G247" s="317"/>
      <c r="H247" s="317"/>
      <c r="I247" s="317"/>
      <c r="J247" s="317"/>
      <c r="K247" s="317"/>
      <c r="L247" s="317"/>
      <c r="M247" s="317"/>
      <c r="W247" s="297"/>
      <c r="X247" s="297"/>
    </row>
    <row r="248" spans="1:24" s="298" customFormat="1" x14ac:dyDescent="0.25">
      <c r="A248" s="296"/>
      <c r="B248" s="297"/>
      <c r="C248" s="297"/>
      <c r="D248" s="297"/>
      <c r="E248" s="297"/>
      <c r="G248" s="317"/>
      <c r="H248" s="317"/>
      <c r="I248" s="317"/>
      <c r="J248" s="317"/>
      <c r="K248" s="317"/>
      <c r="L248" s="317"/>
      <c r="M248" s="317"/>
      <c r="W248" s="297"/>
      <c r="X248" s="297"/>
    </row>
    <row r="249" spans="1:24" s="298" customFormat="1" x14ac:dyDescent="0.25">
      <c r="A249" s="296"/>
      <c r="B249" s="297"/>
      <c r="C249" s="297"/>
      <c r="D249" s="297"/>
      <c r="E249" s="297"/>
      <c r="G249" s="317"/>
      <c r="H249" s="317"/>
      <c r="I249" s="317"/>
      <c r="J249" s="317"/>
      <c r="K249" s="317"/>
      <c r="L249" s="317"/>
      <c r="M249" s="317"/>
      <c r="W249" s="297"/>
      <c r="X249" s="297"/>
    </row>
    <row r="250" spans="1:24" s="298" customFormat="1" x14ac:dyDescent="0.25">
      <c r="A250" s="296"/>
      <c r="B250" s="297"/>
      <c r="C250" s="297"/>
      <c r="D250" s="297"/>
      <c r="E250" s="297"/>
      <c r="G250" s="317"/>
      <c r="H250" s="317"/>
      <c r="I250" s="317"/>
      <c r="J250" s="317"/>
      <c r="K250" s="317"/>
      <c r="L250" s="317"/>
      <c r="M250" s="317"/>
      <c r="W250" s="297"/>
      <c r="X250" s="297"/>
    </row>
    <row r="251" spans="1:24" s="298" customFormat="1" x14ac:dyDescent="0.25">
      <c r="A251" s="296"/>
      <c r="B251" s="297"/>
      <c r="C251" s="297"/>
      <c r="D251" s="297"/>
      <c r="E251" s="297"/>
      <c r="G251" s="317"/>
      <c r="H251" s="317"/>
      <c r="I251" s="317"/>
      <c r="J251" s="317"/>
      <c r="K251" s="317"/>
      <c r="L251" s="317"/>
      <c r="M251" s="317"/>
      <c r="W251" s="297"/>
      <c r="X251" s="297"/>
    </row>
    <row r="252" spans="1:24" s="298" customFormat="1" x14ac:dyDescent="0.25">
      <c r="A252" s="296"/>
      <c r="B252" s="297"/>
      <c r="C252" s="297"/>
      <c r="D252" s="297"/>
      <c r="E252" s="297"/>
      <c r="H252" s="297"/>
      <c r="W252" s="297"/>
      <c r="X252" s="297"/>
    </row>
  </sheetData>
  <sheetProtection formatCells="0" formatColumns="0" formatRows="0" insertRows="0" deleteRows="0" sort="0" autoFilter="0"/>
  <dataConsolidate/>
  <mergeCells count="21">
    <mergeCell ref="B1:V1"/>
    <mergeCell ref="O16:R16"/>
    <mergeCell ref="G4:M4"/>
    <mergeCell ref="B2:C3"/>
    <mergeCell ref="D2:S2"/>
    <mergeCell ref="D3:S3"/>
    <mergeCell ref="R4:S4"/>
    <mergeCell ref="B6:C6"/>
    <mergeCell ref="D6:E6"/>
    <mergeCell ref="B10:C10"/>
    <mergeCell ref="D10:E10"/>
    <mergeCell ref="O15:R15"/>
    <mergeCell ref="D8:E8"/>
    <mergeCell ref="N18:V26"/>
    <mergeCell ref="D11:E11"/>
    <mergeCell ref="D12:E12"/>
    <mergeCell ref="B5:C5"/>
    <mergeCell ref="D5:E5"/>
    <mergeCell ref="D7:E7"/>
    <mergeCell ref="D9:E9"/>
    <mergeCell ref="G16:M16"/>
  </mergeCells>
  <dataValidations count="4">
    <dataValidation type="list" allowBlank="1" showInputMessage="1" showErrorMessage="1" sqref="K11:K12 K7:K9" xr:uid="{8FA741E3-536C-4388-9D77-045D300A5F80}">
      <formula1>$G$19:$G$251</formula1>
    </dataValidation>
    <dataValidation type="list" allowBlank="1" showInputMessage="1" showErrorMessage="1" sqref="H11:H12 H7:H9" xr:uid="{C95CC91B-4E65-4D0A-85B5-DB3F5ED2B65B}">
      <formula1>Resource_Locations</formula1>
    </dataValidation>
    <dataValidation type="list" allowBlank="1" showInputMessage="1" showErrorMessage="1" sqref="F11:F12 F7:F9" xr:uid="{2FC72AEF-83DD-4901-A062-726F5DBC1F85}">
      <formula1>Resource_Types</formula1>
    </dataValidation>
    <dataValidation type="list" allowBlank="1" showInputMessage="1" showErrorMessage="1" sqref="D11:E12 D7:E9" xr:uid="{DDBCDBC9-2BF1-42FC-8080-B50E887E2620}">
      <formula1>"Project Definition, Design/Spec, Build, Test, UAT, Production Migration,Product Install,Training"</formula1>
    </dataValidation>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rametersSheet">
    <tabColor theme="7"/>
  </sheetPr>
  <dimension ref="A1:G412"/>
  <sheetViews>
    <sheetView defaultGridColor="0" topLeftCell="A77" colorId="55" zoomScale="130" zoomScaleNormal="130" workbookViewId="0">
      <selection activeCell="B24" sqref="B24"/>
    </sheetView>
  </sheetViews>
  <sheetFormatPr defaultColWidth="9.28515625" defaultRowHeight="12.75" x14ac:dyDescent="0.2"/>
  <cols>
    <col min="1" max="1" width="31" style="1" customWidth="1"/>
    <col min="2" max="2" width="24.5703125" style="1" bestFit="1" customWidth="1"/>
    <col min="3" max="4" width="9.28515625" style="1" customWidth="1"/>
    <col min="5" max="16384" width="9.28515625" style="1"/>
  </cols>
  <sheetData>
    <row r="1" spans="1:7" x14ac:dyDescent="0.2">
      <c r="A1" s="1" t="str">
        <f ca="1">CONCATENATE(SV_Estimation_Tool_Version, " Copyright © 2016-", YEAR(NOW()), " CSG International - INTERNAL USE ONLY")</f>
        <v>Encompass Estimation Tool v4.0 Copyright © 2016-2025 CSG International - INTERNAL USE ONLY</v>
      </c>
    </row>
    <row r="2" spans="1:7" ht="30.75" customHeight="1" x14ac:dyDescent="0.2">
      <c r="A2" s="812" t="s">
        <v>946</v>
      </c>
      <c r="B2" s="812"/>
      <c r="C2" s="812"/>
      <c r="D2" s="812"/>
      <c r="E2" s="812"/>
      <c r="F2" s="812"/>
      <c r="G2" s="812"/>
    </row>
    <row r="4" spans="1:7" x14ac:dyDescent="0.2">
      <c r="A4" s="48" t="s">
        <v>947</v>
      </c>
    </row>
    <row r="5" spans="1:7" x14ac:dyDescent="0.2">
      <c r="A5" s="49" t="s">
        <v>14</v>
      </c>
    </row>
    <row r="6" spans="1:7" x14ac:dyDescent="0.2">
      <c r="A6" s="49" t="s">
        <v>948</v>
      </c>
    </row>
    <row r="7" spans="1:7" x14ac:dyDescent="0.2">
      <c r="A7" s="49" t="s">
        <v>949</v>
      </c>
    </row>
    <row r="8" spans="1:7" x14ac:dyDescent="0.2">
      <c r="A8" s="49" t="s">
        <v>950</v>
      </c>
    </row>
    <row r="9" spans="1:7" x14ac:dyDescent="0.2">
      <c r="A9" s="18"/>
    </row>
    <row r="11" spans="1:7" x14ac:dyDescent="0.2">
      <c r="A11" s="48" t="s">
        <v>168</v>
      </c>
      <c r="B11" s="64" t="s">
        <v>951</v>
      </c>
      <c r="C11" s="259" t="s">
        <v>952</v>
      </c>
      <c r="D11" s="241"/>
    </row>
    <row r="12" spans="1:7" x14ac:dyDescent="0.2">
      <c r="A12" s="49" t="str">
        <f>Attributes!C4</f>
        <v>Phase 1</v>
      </c>
      <c r="B12" s="65">
        <f>IF(ScenarioSelected = A12,1,0)</f>
        <v>1</v>
      </c>
      <c r="C12" s="498">
        <v>0.85</v>
      </c>
      <c r="D12" s="18"/>
    </row>
    <row r="13" spans="1:7" x14ac:dyDescent="0.2">
      <c r="A13" s="49" t="str">
        <f>Attributes!D4</f>
        <v>&lt;Scenario 2&gt;</v>
      </c>
      <c r="B13" s="65">
        <f>IF(ScenarioSelected = A13,1,0)</f>
        <v>0</v>
      </c>
      <c r="C13" s="498">
        <v>0.85</v>
      </c>
    </row>
    <row r="14" spans="1:7" x14ac:dyDescent="0.2">
      <c r="A14" s="49" t="str">
        <f>Attributes!E4</f>
        <v>&lt;Scenario 3&gt;</v>
      </c>
      <c r="B14" s="65">
        <f>IF(ScenarioSelected = A14,1,0)</f>
        <v>0</v>
      </c>
      <c r="C14" s="498">
        <v>0.85</v>
      </c>
    </row>
    <row r="15" spans="1:7" x14ac:dyDescent="0.2">
      <c r="A15" s="49" t="str">
        <f>Attributes!F4</f>
        <v>&lt;Template Scenario&gt;</v>
      </c>
      <c r="B15" s="65">
        <f>IF(ScenarioSelected = A15,1,0)</f>
        <v>0</v>
      </c>
      <c r="C15" s="498">
        <v>0.85</v>
      </c>
    </row>
    <row r="16" spans="1:7" x14ac:dyDescent="0.2">
      <c r="A16" s="18"/>
      <c r="B16" s="73"/>
      <c r="C16" s="18"/>
    </row>
    <row r="18" spans="1:2" x14ac:dyDescent="0.2">
      <c r="A18" s="48" t="s">
        <v>196</v>
      </c>
      <c r="B18" s="235"/>
    </row>
    <row r="19" spans="1:2" x14ac:dyDescent="0.2">
      <c r="A19" s="49" t="s">
        <v>524</v>
      </c>
      <c r="B19" s="235"/>
    </row>
    <row r="20" spans="1:2" x14ac:dyDescent="0.2">
      <c r="A20" s="49" t="s">
        <v>214</v>
      </c>
      <c r="B20" s="236"/>
    </row>
    <row r="21" spans="1:2" x14ac:dyDescent="0.2">
      <c r="A21" s="49" t="s">
        <v>247</v>
      </c>
      <c r="B21" s="236"/>
    </row>
    <row r="22" spans="1:2" x14ac:dyDescent="0.2">
      <c r="A22" s="49" t="s">
        <v>953</v>
      </c>
      <c r="B22" s="236"/>
    </row>
    <row r="23" spans="1:2" x14ac:dyDescent="0.2">
      <c r="A23" s="49" t="s">
        <v>954</v>
      </c>
      <c r="B23" s="236"/>
    </row>
    <row r="24" spans="1:2" x14ac:dyDescent="0.2">
      <c r="A24" s="49" t="s">
        <v>955</v>
      </c>
      <c r="B24" s="236"/>
    </row>
    <row r="25" spans="1:2" x14ac:dyDescent="0.2">
      <c r="A25" s="49" t="s">
        <v>493</v>
      </c>
      <c r="B25" s="236"/>
    </row>
    <row r="26" spans="1:2" x14ac:dyDescent="0.2">
      <c r="A26" s="49" t="s">
        <v>250</v>
      </c>
      <c r="B26" s="236"/>
    </row>
    <row r="27" spans="1:2" x14ac:dyDescent="0.2">
      <c r="A27" s="49" t="s">
        <v>956</v>
      </c>
      <c r="B27" s="236"/>
    </row>
    <row r="28" spans="1:2" x14ac:dyDescent="0.2">
      <c r="A28" s="18"/>
      <c r="B28" s="240"/>
    </row>
    <row r="30" spans="1:2" x14ac:dyDescent="0.2">
      <c r="A30" s="48" t="s">
        <v>738</v>
      </c>
    </row>
    <row r="31" spans="1:2" x14ac:dyDescent="0.2">
      <c r="A31" s="49" t="s">
        <v>215</v>
      </c>
    </row>
    <row r="32" spans="1:2" x14ac:dyDescent="0.2">
      <c r="A32" s="49" t="s">
        <v>740</v>
      </c>
    </row>
    <row r="33" spans="1:1" x14ac:dyDescent="0.2">
      <c r="A33" s="49" t="s">
        <v>320</v>
      </c>
    </row>
    <row r="34" spans="1:1" x14ac:dyDescent="0.2">
      <c r="A34" s="49" t="s">
        <v>225</v>
      </c>
    </row>
    <row r="37" spans="1:1" x14ac:dyDescent="0.2">
      <c r="A37" s="48" t="s">
        <v>957</v>
      </c>
    </row>
    <row r="38" spans="1:1" x14ac:dyDescent="0.2">
      <c r="A38" s="49" t="s">
        <v>584</v>
      </c>
    </row>
    <row r="39" spans="1:1" x14ac:dyDescent="0.2">
      <c r="A39" s="49" t="s">
        <v>958</v>
      </c>
    </row>
    <row r="40" spans="1:1" x14ac:dyDescent="0.2">
      <c r="A40" s="49" t="s">
        <v>595</v>
      </c>
    </row>
    <row r="41" spans="1:1" x14ac:dyDescent="0.2">
      <c r="A41" s="49" t="s">
        <v>610</v>
      </c>
    </row>
    <row r="42" spans="1:1" x14ac:dyDescent="0.2">
      <c r="A42" s="49" t="s">
        <v>679</v>
      </c>
    </row>
    <row r="43" spans="1:1" x14ac:dyDescent="0.2">
      <c r="A43" s="49" t="s">
        <v>722</v>
      </c>
    </row>
    <row r="44" spans="1:1" x14ac:dyDescent="0.2">
      <c r="A44" s="49" t="s">
        <v>727</v>
      </c>
    </row>
    <row r="45" spans="1:1" x14ac:dyDescent="0.2">
      <c r="A45" s="49" t="s">
        <v>726</v>
      </c>
    </row>
    <row r="46" spans="1:1" x14ac:dyDescent="0.2">
      <c r="A46" s="49" t="s">
        <v>959</v>
      </c>
    </row>
    <row r="47" spans="1:1" x14ac:dyDescent="0.2">
      <c r="A47" s="49" t="s">
        <v>728</v>
      </c>
    </row>
    <row r="48" spans="1:1" x14ac:dyDescent="0.2">
      <c r="A48" s="49" t="s">
        <v>960</v>
      </c>
    </row>
    <row r="49" spans="1:1" x14ac:dyDescent="0.2">
      <c r="A49" s="49" t="s">
        <v>650</v>
      </c>
    </row>
    <row r="50" spans="1:1" x14ac:dyDescent="0.2">
      <c r="A50" s="49" t="s">
        <v>961</v>
      </c>
    </row>
    <row r="51" spans="1:1" x14ac:dyDescent="0.2">
      <c r="A51" s="49" t="s">
        <v>962</v>
      </c>
    </row>
    <row r="52" spans="1:1" x14ac:dyDescent="0.2">
      <c r="A52" s="49" t="s">
        <v>636</v>
      </c>
    </row>
    <row r="53" spans="1:1" x14ac:dyDescent="0.2">
      <c r="A53" s="49" t="s">
        <v>664</v>
      </c>
    </row>
    <row r="54" spans="1:1" x14ac:dyDescent="0.2">
      <c r="A54" s="49" t="s">
        <v>724</v>
      </c>
    </row>
    <row r="55" spans="1:1" x14ac:dyDescent="0.2">
      <c r="A55" s="49" t="s">
        <v>603</v>
      </c>
    </row>
    <row r="56" spans="1:1" x14ac:dyDescent="0.2">
      <c r="A56" s="49" t="s">
        <v>605</v>
      </c>
    </row>
    <row r="57" spans="1:1" x14ac:dyDescent="0.2">
      <c r="A57" s="49" t="s">
        <v>721</v>
      </c>
    </row>
    <row r="58" spans="1:1" x14ac:dyDescent="0.2">
      <c r="A58" s="49" t="s">
        <v>629</v>
      </c>
    </row>
    <row r="59" spans="1:1" x14ac:dyDescent="0.2">
      <c r="A59" s="49" t="s">
        <v>631</v>
      </c>
    </row>
    <row r="60" spans="1:1" x14ac:dyDescent="0.2">
      <c r="A60" s="49" t="s">
        <v>620</v>
      </c>
    </row>
    <row r="61" spans="1:1" x14ac:dyDescent="0.2">
      <c r="A61" s="49" t="s">
        <v>606</v>
      </c>
    </row>
    <row r="62" spans="1:1" x14ac:dyDescent="0.2">
      <c r="A62" s="49" t="s">
        <v>675</v>
      </c>
    </row>
    <row r="63" spans="1:1" x14ac:dyDescent="0.2">
      <c r="A63" s="49" t="s">
        <v>677</v>
      </c>
    </row>
    <row r="64" spans="1:1" x14ac:dyDescent="0.2">
      <c r="A64" s="49" t="s">
        <v>611</v>
      </c>
    </row>
    <row r="65" spans="1:1" x14ac:dyDescent="0.2">
      <c r="A65" s="49" t="s">
        <v>684</v>
      </c>
    </row>
    <row r="66" spans="1:1" x14ac:dyDescent="0.2">
      <c r="A66" s="49" t="s">
        <v>598</v>
      </c>
    </row>
    <row r="67" spans="1:1" x14ac:dyDescent="0.2">
      <c r="A67" s="49" t="s">
        <v>599</v>
      </c>
    </row>
    <row r="68" spans="1:1" x14ac:dyDescent="0.2">
      <c r="A68" s="49" t="s">
        <v>616</v>
      </c>
    </row>
    <row r="69" spans="1:1" x14ac:dyDescent="0.2">
      <c r="A69" s="49" t="s">
        <v>668</v>
      </c>
    </row>
    <row r="70" spans="1:1" x14ac:dyDescent="0.2">
      <c r="A70" s="49" t="s">
        <v>669</v>
      </c>
    </row>
    <row r="71" spans="1:1" x14ac:dyDescent="0.2">
      <c r="A71" s="49" t="s">
        <v>725</v>
      </c>
    </row>
    <row r="72" spans="1:1" x14ac:dyDescent="0.2">
      <c r="A72" s="49" t="s">
        <v>619</v>
      </c>
    </row>
    <row r="73" spans="1:1" x14ac:dyDescent="0.2">
      <c r="A73" s="587" t="s">
        <v>686</v>
      </c>
    </row>
    <row r="74" spans="1:1" x14ac:dyDescent="0.2">
      <c r="A74" s="49" t="s">
        <v>687</v>
      </c>
    </row>
    <row r="75" spans="1:1" x14ac:dyDescent="0.2">
      <c r="A75" s="49" t="s">
        <v>704</v>
      </c>
    </row>
    <row r="76" spans="1:1" x14ac:dyDescent="0.2">
      <c r="A76" s="49" t="s">
        <v>703</v>
      </c>
    </row>
    <row r="77" spans="1:1" x14ac:dyDescent="0.2">
      <c r="A77" s="49" t="s">
        <v>688</v>
      </c>
    </row>
    <row r="78" spans="1:1" x14ac:dyDescent="0.2">
      <c r="A78" s="49" t="s">
        <v>608</v>
      </c>
    </row>
    <row r="79" spans="1:1" x14ac:dyDescent="0.2">
      <c r="A79" s="49" t="s">
        <v>723</v>
      </c>
    </row>
    <row r="80" spans="1:1" x14ac:dyDescent="0.2">
      <c r="A80" s="49" t="s">
        <v>963</v>
      </c>
    </row>
    <row r="81" spans="1:1" x14ac:dyDescent="0.2">
      <c r="A81" s="49" t="s">
        <v>615</v>
      </c>
    </row>
    <row r="82" spans="1:1" x14ac:dyDescent="0.2">
      <c r="A82" s="49" t="s">
        <v>614</v>
      </c>
    </row>
    <row r="83" spans="1:1" x14ac:dyDescent="0.2">
      <c r="A83" s="49" t="s">
        <v>634</v>
      </c>
    </row>
    <row r="84" spans="1:1" x14ac:dyDescent="0.2">
      <c r="A84" s="49" t="s">
        <v>622</v>
      </c>
    </row>
    <row r="85" spans="1:1" x14ac:dyDescent="0.2">
      <c r="A85" s="49" t="s">
        <v>633</v>
      </c>
    </row>
    <row r="86" spans="1:1" x14ac:dyDescent="0.2">
      <c r="A86" s="49" t="s">
        <v>672</v>
      </c>
    </row>
    <row r="87" spans="1:1" x14ac:dyDescent="0.2">
      <c r="A87" s="49" t="s">
        <v>671</v>
      </c>
    </row>
    <row r="90" spans="1:1" x14ac:dyDescent="0.2">
      <c r="A90" s="48" t="s">
        <v>964</v>
      </c>
    </row>
    <row r="91" spans="1:1" x14ac:dyDescent="0.2">
      <c r="A91" s="49" t="s">
        <v>808</v>
      </c>
    </row>
    <row r="92" spans="1:1" x14ac:dyDescent="0.2">
      <c r="A92" s="49" t="s">
        <v>810</v>
      </c>
    </row>
    <row r="93" spans="1:1" x14ac:dyDescent="0.2">
      <c r="A93" s="49" t="s">
        <v>811</v>
      </c>
    </row>
    <row r="94" spans="1:1" x14ac:dyDescent="0.2">
      <c r="A94" s="49" t="s">
        <v>596</v>
      </c>
    </row>
    <row r="95" spans="1:1" x14ac:dyDescent="0.2">
      <c r="A95" s="49" t="s">
        <v>812</v>
      </c>
    </row>
    <row r="96" spans="1:1" x14ac:dyDescent="0.2">
      <c r="A96" s="49" t="s">
        <v>813</v>
      </c>
    </row>
    <row r="97" spans="1:1" x14ac:dyDescent="0.2">
      <c r="A97" s="49" t="s">
        <v>814</v>
      </c>
    </row>
    <row r="98" spans="1:1" x14ac:dyDescent="0.2">
      <c r="A98" s="49" t="s">
        <v>815</v>
      </c>
    </row>
    <row r="99" spans="1:1" x14ac:dyDescent="0.2">
      <c r="A99" s="49" t="s">
        <v>816</v>
      </c>
    </row>
    <row r="100" spans="1:1" x14ac:dyDescent="0.2">
      <c r="A100" s="49" t="s">
        <v>817</v>
      </c>
    </row>
    <row r="101" spans="1:1" x14ac:dyDescent="0.2">
      <c r="A101" s="49" t="s">
        <v>818</v>
      </c>
    </row>
    <row r="102" spans="1:1" x14ac:dyDescent="0.2">
      <c r="A102" s="49" t="s">
        <v>819</v>
      </c>
    </row>
    <row r="103" spans="1:1" x14ac:dyDescent="0.2">
      <c r="A103" s="49" t="s">
        <v>820</v>
      </c>
    </row>
    <row r="104" spans="1:1" x14ac:dyDescent="0.2">
      <c r="A104" s="49" t="s">
        <v>676</v>
      </c>
    </row>
    <row r="105" spans="1:1" x14ac:dyDescent="0.2">
      <c r="A105" s="49" t="s">
        <v>600</v>
      </c>
    </row>
    <row r="106" spans="1:1" x14ac:dyDescent="0.2">
      <c r="A106" s="49" t="s">
        <v>821</v>
      </c>
    </row>
    <row r="107" spans="1:1" x14ac:dyDescent="0.2">
      <c r="A107" s="49" t="s">
        <v>822</v>
      </c>
    </row>
    <row r="108" spans="1:1" x14ac:dyDescent="0.2">
      <c r="A108" s="49" t="s">
        <v>823</v>
      </c>
    </row>
    <row r="109" spans="1:1" x14ac:dyDescent="0.2">
      <c r="A109" s="49" t="s">
        <v>824</v>
      </c>
    </row>
    <row r="110" spans="1:1" x14ac:dyDescent="0.2">
      <c r="A110" s="49" t="s">
        <v>825</v>
      </c>
    </row>
    <row r="111" spans="1:1" x14ac:dyDescent="0.2">
      <c r="A111" s="49" t="s">
        <v>826</v>
      </c>
    </row>
    <row r="112" spans="1:1" x14ac:dyDescent="0.2">
      <c r="A112" s="49" t="s">
        <v>827</v>
      </c>
    </row>
    <row r="113" spans="1:1" x14ac:dyDescent="0.2">
      <c r="A113" s="49" t="s">
        <v>828</v>
      </c>
    </row>
    <row r="114" spans="1:1" x14ac:dyDescent="0.2">
      <c r="A114" s="49" t="s">
        <v>829</v>
      </c>
    </row>
    <row r="115" spans="1:1" x14ac:dyDescent="0.2">
      <c r="A115" s="49" t="s">
        <v>830</v>
      </c>
    </row>
    <row r="116" spans="1:1" x14ac:dyDescent="0.2">
      <c r="A116" s="49" t="s">
        <v>831</v>
      </c>
    </row>
    <row r="117" spans="1:1" x14ac:dyDescent="0.2">
      <c r="A117" s="49" t="s">
        <v>832</v>
      </c>
    </row>
    <row r="118" spans="1:1" x14ac:dyDescent="0.2">
      <c r="A118" s="49" t="s">
        <v>583</v>
      </c>
    </row>
    <row r="119" spans="1:1" x14ac:dyDescent="0.2">
      <c r="A119" s="49" t="s">
        <v>833</v>
      </c>
    </row>
    <row r="120" spans="1:1" x14ac:dyDescent="0.2">
      <c r="A120" s="49" t="s">
        <v>834</v>
      </c>
    </row>
    <row r="121" spans="1:1" x14ac:dyDescent="0.2">
      <c r="A121" s="49" t="s">
        <v>835</v>
      </c>
    </row>
    <row r="122" spans="1:1" x14ac:dyDescent="0.2">
      <c r="A122" s="49" t="s">
        <v>836</v>
      </c>
    </row>
    <row r="123" spans="1:1" x14ac:dyDescent="0.2">
      <c r="A123" s="49" t="s">
        <v>837</v>
      </c>
    </row>
    <row r="124" spans="1:1" x14ac:dyDescent="0.2">
      <c r="A124" s="49" t="s">
        <v>838</v>
      </c>
    </row>
    <row r="125" spans="1:1" x14ac:dyDescent="0.2">
      <c r="A125" s="49" t="s">
        <v>839</v>
      </c>
    </row>
    <row r="126" spans="1:1" x14ac:dyDescent="0.2">
      <c r="A126" s="49" t="s">
        <v>840</v>
      </c>
    </row>
    <row r="127" spans="1:1" x14ac:dyDescent="0.2">
      <c r="A127" s="49" t="s">
        <v>841</v>
      </c>
    </row>
    <row r="128" spans="1:1" x14ac:dyDescent="0.2">
      <c r="A128" s="49" t="s">
        <v>842</v>
      </c>
    </row>
    <row r="129" spans="1:1" x14ac:dyDescent="0.2">
      <c r="A129" s="49" t="s">
        <v>843</v>
      </c>
    </row>
    <row r="130" spans="1:1" x14ac:dyDescent="0.2">
      <c r="A130" s="49" t="s">
        <v>844</v>
      </c>
    </row>
    <row r="131" spans="1:1" x14ac:dyDescent="0.2">
      <c r="A131" s="49" t="s">
        <v>845</v>
      </c>
    </row>
    <row r="132" spans="1:1" x14ac:dyDescent="0.2">
      <c r="A132" s="49" t="s">
        <v>846</v>
      </c>
    </row>
    <row r="133" spans="1:1" x14ac:dyDescent="0.2">
      <c r="A133" s="49" t="s">
        <v>847</v>
      </c>
    </row>
    <row r="134" spans="1:1" x14ac:dyDescent="0.2">
      <c r="A134" s="49" t="s">
        <v>848</v>
      </c>
    </row>
    <row r="135" spans="1:1" x14ac:dyDescent="0.2">
      <c r="A135" s="49" t="s">
        <v>849</v>
      </c>
    </row>
    <row r="136" spans="1:1" x14ac:dyDescent="0.2">
      <c r="A136" s="49" t="s">
        <v>850</v>
      </c>
    </row>
    <row r="137" spans="1:1" x14ac:dyDescent="0.2">
      <c r="A137" s="49" t="s">
        <v>851</v>
      </c>
    </row>
    <row r="138" spans="1:1" x14ac:dyDescent="0.2">
      <c r="A138" s="49" t="s">
        <v>852</v>
      </c>
    </row>
    <row r="139" spans="1:1" x14ac:dyDescent="0.2">
      <c r="A139" s="49" t="s">
        <v>853</v>
      </c>
    </row>
    <row r="140" spans="1:1" x14ac:dyDescent="0.2">
      <c r="A140" s="49" t="s">
        <v>854</v>
      </c>
    </row>
    <row r="141" spans="1:1" x14ac:dyDescent="0.2">
      <c r="A141" s="49" t="s">
        <v>855</v>
      </c>
    </row>
    <row r="142" spans="1:1" x14ac:dyDescent="0.2">
      <c r="A142" s="49" t="s">
        <v>856</v>
      </c>
    </row>
    <row r="143" spans="1:1" x14ac:dyDescent="0.2">
      <c r="A143" s="49" t="s">
        <v>857</v>
      </c>
    </row>
    <row r="144" spans="1:1" x14ac:dyDescent="0.2">
      <c r="A144" s="49" t="s">
        <v>858</v>
      </c>
    </row>
    <row r="145" spans="1:2" x14ac:dyDescent="0.2">
      <c r="A145" s="49" t="s">
        <v>859</v>
      </c>
    </row>
    <row r="146" spans="1:2" x14ac:dyDescent="0.2">
      <c r="A146" s="49" t="s">
        <v>860</v>
      </c>
    </row>
    <row r="147" spans="1:2" x14ac:dyDescent="0.2">
      <c r="A147" s="49" t="s">
        <v>861</v>
      </c>
    </row>
    <row r="149" spans="1:2" x14ac:dyDescent="0.2">
      <c r="A149" s="48" t="s">
        <v>965</v>
      </c>
      <c r="B149" s="64" t="s">
        <v>966</v>
      </c>
    </row>
    <row r="150" spans="1:2" x14ac:dyDescent="0.2">
      <c r="A150" s="49" t="s">
        <v>572</v>
      </c>
      <c r="B150" s="65" t="s">
        <v>967</v>
      </c>
    </row>
    <row r="151" spans="1:2" x14ac:dyDescent="0.2">
      <c r="A151" s="49" t="s">
        <v>573</v>
      </c>
      <c r="B151" s="65" t="s">
        <v>967</v>
      </c>
    </row>
    <row r="152" spans="1:2" x14ac:dyDescent="0.2">
      <c r="A152" s="49" t="s">
        <v>574</v>
      </c>
      <c r="B152" s="65" t="s">
        <v>967</v>
      </c>
    </row>
    <row r="153" spans="1:2" x14ac:dyDescent="0.2">
      <c r="A153" s="49" t="s">
        <v>575</v>
      </c>
      <c r="B153" s="65" t="s">
        <v>967</v>
      </c>
    </row>
    <row r="154" spans="1:2" x14ac:dyDescent="0.2">
      <c r="A154" s="49" t="s">
        <v>570</v>
      </c>
      <c r="B154" s="65" t="s">
        <v>570</v>
      </c>
    </row>
    <row r="155" spans="1:2" x14ac:dyDescent="0.2">
      <c r="A155" s="49" t="s">
        <v>576</v>
      </c>
      <c r="B155" s="65" t="s">
        <v>968</v>
      </c>
    </row>
    <row r="156" spans="1:2" x14ac:dyDescent="0.2">
      <c r="A156" s="49" t="s">
        <v>577</v>
      </c>
      <c r="B156" s="65" t="s">
        <v>968</v>
      </c>
    </row>
    <row r="157" spans="1:2" x14ac:dyDescent="0.2">
      <c r="A157" s="49" t="s">
        <v>736</v>
      </c>
      <c r="B157" s="65" t="s">
        <v>968</v>
      </c>
    </row>
    <row r="158" spans="1:2" x14ac:dyDescent="0.2">
      <c r="A158" s="49" t="s">
        <v>571</v>
      </c>
      <c r="B158" s="65" t="s">
        <v>646</v>
      </c>
    </row>
    <row r="159" spans="1:2" x14ac:dyDescent="0.2">
      <c r="A159" s="49" t="s">
        <v>578</v>
      </c>
      <c r="B159" s="65" t="s">
        <v>646</v>
      </c>
    </row>
    <row r="160" spans="1:2" x14ac:dyDescent="0.2">
      <c r="A160" s="49" t="s">
        <v>581</v>
      </c>
      <c r="B160" s="65" t="s">
        <v>646</v>
      </c>
    </row>
    <row r="161" spans="1:2" x14ac:dyDescent="0.2">
      <c r="A161" s="49" t="s">
        <v>580</v>
      </c>
      <c r="B161" s="65" t="s">
        <v>580</v>
      </c>
    </row>
    <row r="162" spans="1:2" x14ac:dyDescent="0.2">
      <c r="A162" s="49" t="s">
        <v>579</v>
      </c>
      <c r="B162" s="65" t="s">
        <v>646</v>
      </c>
    </row>
    <row r="163" spans="1:2" x14ac:dyDescent="0.2">
      <c r="A163" s="49" t="s">
        <v>563</v>
      </c>
      <c r="B163" s="65" t="s">
        <v>563</v>
      </c>
    </row>
    <row r="164" spans="1:2" x14ac:dyDescent="0.2">
      <c r="A164" s="18"/>
      <c r="B164" s="73"/>
    </row>
    <row r="165" spans="1:2" x14ac:dyDescent="0.2">
      <c r="A165" s="18"/>
      <c r="B165" s="73"/>
    </row>
    <row r="166" spans="1:2" x14ac:dyDescent="0.2">
      <c r="A166" s="48" t="s">
        <v>969</v>
      </c>
      <c r="B166" s="73"/>
    </row>
    <row r="167" spans="1:2" x14ac:dyDescent="0.2">
      <c r="A167" s="49" t="s">
        <v>571</v>
      </c>
      <c r="B167" s="73"/>
    </row>
    <row r="168" spans="1:2" x14ac:dyDescent="0.2">
      <c r="A168" s="49" t="s">
        <v>719</v>
      </c>
    </row>
    <row r="169" spans="1:2" x14ac:dyDescent="0.2">
      <c r="A169" s="18"/>
    </row>
    <row r="171" spans="1:2" x14ac:dyDescent="0.2">
      <c r="A171" s="48" t="s">
        <v>970</v>
      </c>
      <c r="B171" s="48" t="s">
        <v>971</v>
      </c>
    </row>
    <row r="172" spans="1:2" x14ac:dyDescent="0.2">
      <c r="A172" s="49" t="s">
        <v>972</v>
      </c>
      <c r="B172" s="55">
        <v>0.58799999999999997</v>
      </c>
    </row>
    <row r="173" spans="1:2" x14ac:dyDescent="0.2">
      <c r="A173" s="49" t="s">
        <v>973</v>
      </c>
      <c r="B173" s="55">
        <v>0.1</v>
      </c>
    </row>
    <row r="174" spans="1:2" x14ac:dyDescent="0.2">
      <c r="A174" s="49" t="s">
        <v>974</v>
      </c>
      <c r="B174" s="55">
        <v>0</v>
      </c>
    </row>
    <row r="177" spans="1:7" x14ac:dyDescent="0.2">
      <c r="A177" s="48" t="s">
        <v>975</v>
      </c>
    </row>
    <row r="178" spans="1:7" x14ac:dyDescent="0.2">
      <c r="A178" s="49" t="s">
        <v>594</v>
      </c>
    </row>
    <row r="179" spans="1:7" x14ac:dyDescent="0.2">
      <c r="A179" s="49" t="s">
        <v>640</v>
      </c>
    </row>
    <row r="180" spans="1:7" x14ac:dyDescent="0.2">
      <c r="A180" s="49" t="s">
        <v>663</v>
      </c>
    </row>
    <row r="181" spans="1:7" x14ac:dyDescent="0.2">
      <c r="A181" s="49" t="s">
        <v>976</v>
      </c>
    </row>
    <row r="182" spans="1:7" x14ac:dyDescent="0.2">
      <c r="A182" s="49" t="s">
        <v>670</v>
      </c>
    </row>
    <row r="183" spans="1:7" x14ac:dyDescent="0.2">
      <c r="A183" s="49" t="s">
        <v>977</v>
      </c>
    </row>
    <row r="184" spans="1:7" x14ac:dyDescent="0.2">
      <c r="A184" s="49" t="s">
        <v>571</v>
      </c>
    </row>
    <row r="185" spans="1:7" x14ac:dyDescent="0.2">
      <c r="A185" s="49" t="s">
        <v>578</v>
      </c>
    </row>
    <row r="186" spans="1:7" x14ac:dyDescent="0.2">
      <c r="A186" s="49" t="s">
        <v>978</v>
      </c>
    </row>
    <row r="189" spans="1:7" x14ac:dyDescent="0.2">
      <c r="A189" s="813" t="s">
        <v>979</v>
      </c>
      <c r="B189" s="813"/>
      <c r="C189" s="813"/>
      <c r="D189" s="813"/>
      <c r="E189" s="813"/>
      <c r="F189" s="813"/>
      <c r="G189" s="813"/>
    </row>
    <row r="191" spans="1:7" x14ac:dyDescent="0.2">
      <c r="A191" s="48" t="s">
        <v>980</v>
      </c>
      <c r="B191" s="48" t="s">
        <v>981</v>
      </c>
    </row>
    <row r="192" spans="1:7" x14ac:dyDescent="0.2">
      <c r="A192" s="49" t="str">
        <f>INDEX(ScenarioHeadings, SelectedScenarioDropdownBoxIndex + 1)</f>
        <v>Phase 1</v>
      </c>
      <c r="B192" s="49">
        <v>0</v>
      </c>
    </row>
    <row r="193" spans="1:7" x14ac:dyDescent="0.2">
      <c r="A193" s="18"/>
    </row>
    <row r="194" spans="1:7" x14ac:dyDescent="0.2">
      <c r="A194" s="48" t="s">
        <v>982</v>
      </c>
    </row>
    <row r="195" spans="1:7" x14ac:dyDescent="0.2">
      <c r="A195" s="49" t="s">
        <v>250</v>
      </c>
    </row>
    <row r="197" spans="1:7" x14ac:dyDescent="0.2">
      <c r="A197" s="48" t="s">
        <v>983</v>
      </c>
    </row>
    <row r="198" spans="1:7" x14ac:dyDescent="0.2">
      <c r="A198" s="49">
        <v>1</v>
      </c>
    </row>
    <row r="200" spans="1:7" x14ac:dyDescent="0.2">
      <c r="A200" s="48" t="s">
        <v>984</v>
      </c>
    </row>
    <row r="201" spans="1:7" x14ac:dyDescent="0.2">
      <c r="A201" s="242">
        <v>1</v>
      </c>
    </row>
    <row r="203" spans="1:7" x14ac:dyDescent="0.2">
      <c r="A203" s="813" t="s">
        <v>985</v>
      </c>
      <c r="B203" s="813"/>
      <c r="C203" s="813"/>
      <c r="D203" s="813"/>
      <c r="E203" s="813"/>
      <c r="F203" s="813"/>
      <c r="G203" s="813"/>
    </row>
    <row r="204" spans="1:7" x14ac:dyDescent="0.2">
      <c r="A204" s="279" t="s">
        <v>986</v>
      </c>
      <c r="B204" s="279"/>
      <c r="D204" s="483" t="s">
        <v>987</v>
      </c>
      <c r="E204" s="482"/>
    </row>
    <row r="205" spans="1:7" x14ac:dyDescent="0.2">
      <c r="A205" s="1" t="s">
        <v>746</v>
      </c>
      <c r="D205" s="1" t="s">
        <v>746</v>
      </c>
    </row>
    <row r="206" spans="1:7" x14ac:dyDescent="0.2">
      <c r="A206" s="1" t="s">
        <v>988</v>
      </c>
    </row>
    <row r="207" spans="1:7" x14ac:dyDescent="0.2">
      <c r="A207" s="1" t="s">
        <v>989</v>
      </c>
      <c r="D207" s="484" t="s">
        <v>990</v>
      </c>
      <c r="E207" s="484"/>
    </row>
    <row r="208" spans="1:7" x14ac:dyDescent="0.2">
      <c r="A208" s="1" t="s">
        <v>991</v>
      </c>
      <c r="D208" s="1">
        <v>22</v>
      </c>
    </row>
    <row r="209" spans="1:7" x14ac:dyDescent="0.2">
      <c r="A209" s="1" t="s">
        <v>992</v>
      </c>
    </row>
    <row r="210" spans="1:7" x14ac:dyDescent="0.2">
      <c r="A210" s="1" t="s">
        <v>993</v>
      </c>
      <c r="D210" s="483" t="s">
        <v>994</v>
      </c>
      <c r="E210" s="483"/>
    </row>
    <row r="211" spans="1:7" x14ac:dyDescent="0.2">
      <c r="D211" s="1">
        <v>0</v>
      </c>
    </row>
    <row r="213" spans="1:7" x14ac:dyDescent="0.2">
      <c r="A213" s="279" t="s">
        <v>995</v>
      </c>
      <c r="B213" s="279"/>
    </row>
    <row r="214" spans="1:7" x14ac:dyDescent="0.2">
      <c r="A214" s="1" t="s">
        <v>996</v>
      </c>
      <c r="B214" s="1">
        <f>IF(Scenario1Selected,COLUMNS('Agile Top-Down (S1)'!AgileResourcesCells),(IF(Scenario2Selected,COLUMNS('Agile Top-Down (S2)'!AgileResourcesCells),(IF(Scenario3Selected,COLUMNS('Agile Top-Down (S3)'!AgileResourcesCells),IF(Scenario4Selected,COLUMNS('Agile Top-Down (S4)'!AgileResourcesCells),"No Scenario Selected"))))))-1</f>
        <v>120</v>
      </c>
    </row>
    <row r="215" spans="1:7" x14ac:dyDescent="0.2">
      <c r="A215" s="1" t="s">
        <v>997</v>
      </c>
      <c r="B215" s="1">
        <f>IF(Scenario1Selected,ROWS('Agile Top-Down (S1)'!AgileResourcesCells),IF(Scenario2Selected,ROWS('Agile Top-Down (S2)'!AgileResourcesCells),IF(Scenario3Selected,ROWS('Agile Top-Down (S3)'!AgileResourcesCells),IF(Scenario4Selected,ROWS('Agile Top-Down (S4)'!AgileResourcesCells),"No Scenario Selected"))))</f>
        <v>179</v>
      </c>
    </row>
    <row r="216" spans="1:7" x14ac:dyDescent="0.2">
      <c r="A216" s="1" t="s">
        <v>998</v>
      </c>
      <c r="B216" s="1">
        <f>IF(Scenario1Selected,COLUMNS('Agile Top-Down (S1)'!AgileResourcesCells),IF(Scenario2Selected,COLUMNS('Agile Top-Down (S2)'!AgileResourcesCells),IF(Scenario3Selected,COLUMNS('Agile Top-Down (S3)'!AgileResourcesCells),IF(Scenario4Selected,COLUMNS('Agile Top-Down (S4)'!AgileResourcesCells),"No Scenario Selected"))))</f>
        <v>121</v>
      </c>
    </row>
    <row r="217" spans="1:7" x14ac:dyDescent="0.2">
      <c r="A217" s="1" t="s">
        <v>999</v>
      </c>
      <c r="B217" s="1">
        <f>IF(Scenario1Selected,('Agile Top-Down (S1)'!DY3),IF(Scenario2Selected,'Agile Top-Down (S2)'!BH3,IF(Scenario3Selected,'Agile Top-Down (S3)'!BH3,IF(Scenario4Selected,'Agile Top-Down (S4)'!BL3,"No Scenario Selected"))))</f>
        <v>0</v>
      </c>
    </row>
    <row r="220" spans="1:7" x14ac:dyDescent="0.2">
      <c r="A220" s="813" t="s">
        <v>1000</v>
      </c>
      <c r="B220" s="813"/>
      <c r="C220" s="813"/>
      <c r="D220" s="813"/>
      <c r="E220" s="813"/>
      <c r="F220" s="813"/>
      <c r="G220" s="813"/>
    </row>
    <row r="221" spans="1:7" x14ac:dyDescent="0.2">
      <c r="A221" s="279" t="s">
        <v>1001</v>
      </c>
    </row>
    <row r="222" spans="1:7" x14ac:dyDescent="0.2">
      <c r="A222" s="1" t="s">
        <v>658</v>
      </c>
    </row>
    <row r="223" spans="1:7" x14ac:dyDescent="0.2">
      <c r="A223" s="1" t="s">
        <v>602</v>
      </c>
    </row>
    <row r="224" spans="1:7" x14ac:dyDescent="0.2">
      <c r="A224" s="1" t="s">
        <v>613</v>
      </c>
    </row>
    <row r="225" spans="1:1" x14ac:dyDescent="0.2">
      <c r="A225" s="1" t="s">
        <v>799</v>
      </c>
    </row>
    <row r="226" spans="1:1" x14ac:dyDescent="0.2">
      <c r="A226" s="1" t="s">
        <v>800</v>
      </c>
    </row>
    <row r="227" spans="1:1" x14ac:dyDescent="0.2">
      <c r="A227" s="1" t="s">
        <v>801</v>
      </c>
    </row>
    <row r="228" spans="1:1" x14ac:dyDescent="0.2">
      <c r="A228" s="1" t="s">
        <v>802</v>
      </c>
    </row>
    <row r="229" spans="1:1" x14ac:dyDescent="0.2">
      <c r="A229" s="1" t="s">
        <v>604</v>
      </c>
    </row>
    <row r="230" spans="1:1" x14ac:dyDescent="0.2">
      <c r="A230" s="1" t="s">
        <v>707</v>
      </c>
    </row>
    <row r="231" spans="1:1" x14ac:dyDescent="0.2">
      <c r="A231" s="1" t="s">
        <v>803</v>
      </c>
    </row>
    <row r="232" spans="1:1" x14ac:dyDescent="0.2">
      <c r="A232" s="1" t="s">
        <v>804</v>
      </c>
    </row>
    <row r="233" spans="1:1" x14ac:dyDescent="0.2">
      <c r="A233" s="1" t="s">
        <v>685</v>
      </c>
    </row>
    <row r="234" spans="1:1" x14ac:dyDescent="0.2">
      <c r="A234" s="1" t="s">
        <v>805</v>
      </c>
    </row>
    <row r="235" spans="1:1" x14ac:dyDescent="0.2">
      <c r="A235" s="1" t="s">
        <v>775</v>
      </c>
    </row>
    <row r="236" spans="1:1" x14ac:dyDescent="0.2">
      <c r="A236" s="1" t="s">
        <v>806</v>
      </c>
    </row>
    <row r="237" spans="1:1" x14ac:dyDescent="0.2">
      <c r="A237" s="1" t="s">
        <v>618</v>
      </c>
    </row>
    <row r="238" spans="1:1" x14ac:dyDescent="0.2">
      <c r="A238" s="1" t="s">
        <v>635</v>
      </c>
    </row>
    <row r="239" spans="1:1" x14ac:dyDescent="0.2">
      <c r="A239" s="1" t="s">
        <v>659</v>
      </c>
    </row>
    <row r="240" spans="1:1" x14ac:dyDescent="0.2">
      <c r="A240" s="1" t="s">
        <v>807</v>
      </c>
    </row>
    <row r="241" spans="1:7" x14ac:dyDescent="0.2">
      <c r="A241" s="1" t="s">
        <v>625</v>
      </c>
    </row>
    <row r="242" spans="1:7" x14ac:dyDescent="0.2">
      <c r="A242" s="1" t="s">
        <v>628</v>
      </c>
    </row>
    <row r="243" spans="1:7" x14ac:dyDescent="0.2">
      <c r="A243" s="1" t="s">
        <v>630</v>
      </c>
    </row>
    <row r="244" spans="1:7" x14ac:dyDescent="0.2">
      <c r="A244" s="1" t="s">
        <v>651</v>
      </c>
    </row>
    <row r="245" spans="1:7" x14ac:dyDescent="0.2">
      <c r="A245" s="1" t="s">
        <v>660</v>
      </c>
    </row>
    <row r="247" spans="1:7" x14ac:dyDescent="0.2">
      <c r="A247" s="811" t="s">
        <v>1002</v>
      </c>
      <c r="B247" s="811"/>
      <c r="C247" s="811"/>
      <c r="D247" s="811"/>
      <c r="E247" s="811"/>
      <c r="F247" s="811"/>
      <c r="G247" s="811"/>
    </row>
    <row r="248" spans="1:7" x14ac:dyDescent="0.2">
      <c r="A248" s="455" t="s">
        <v>1003</v>
      </c>
      <c r="B248" s="455" t="s">
        <v>1004</v>
      </c>
    </row>
    <row r="249" spans="1:7" x14ac:dyDescent="0.2">
      <c r="A249" s="1" t="s">
        <v>584</v>
      </c>
      <c r="B249" s="1" t="s">
        <v>707</v>
      </c>
    </row>
    <row r="250" spans="1:7" x14ac:dyDescent="0.2">
      <c r="A250" s="1" t="s">
        <v>958</v>
      </c>
      <c r="B250" s="1" t="s">
        <v>707</v>
      </c>
    </row>
    <row r="251" spans="1:7" x14ac:dyDescent="0.2">
      <c r="A251" s="1" t="s">
        <v>595</v>
      </c>
      <c r="B251" s="1" t="s">
        <v>775</v>
      </c>
    </row>
    <row r="252" spans="1:7" x14ac:dyDescent="0.2">
      <c r="A252" s="1" t="s">
        <v>610</v>
      </c>
      <c r="B252" s="1" t="s">
        <v>618</v>
      </c>
    </row>
    <row r="253" spans="1:7" x14ac:dyDescent="0.2">
      <c r="A253" s="1" t="s">
        <v>679</v>
      </c>
      <c r="B253" s="1" t="s">
        <v>602</v>
      </c>
    </row>
    <row r="254" spans="1:7" x14ac:dyDescent="0.2">
      <c r="A254" s="1" t="s">
        <v>722</v>
      </c>
      <c r="B254" s="1" t="s">
        <v>602</v>
      </c>
    </row>
    <row r="255" spans="1:7" x14ac:dyDescent="0.2">
      <c r="A255" s="1" t="s">
        <v>727</v>
      </c>
      <c r="B255" s="1" t="s">
        <v>707</v>
      </c>
    </row>
    <row r="256" spans="1:7" x14ac:dyDescent="0.2">
      <c r="A256" s="1" t="s">
        <v>726</v>
      </c>
      <c r="B256" s="1" t="s">
        <v>613</v>
      </c>
    </row>
    <row r="257" spans="1:2" x14ac:dyDescent="0.2">
      <c r="A257" s="1" t="s">
        <v>959</v>
      </c>
      <c r="B257" s="1" t="s">
        <v>775</v>
      </c>
    </row>
    <row r="258" spans="1:2" x14ac:dyDescent="0.2">
      <c r="A258" s="1" t="s">
        <v>728</v>
      </c>
      <c r="B258" s="1" t="s">
        <v>659</v>
      </c>
    </row>
    <row r="259" spans="1:2" x14ac:dyDescent="0.2">
      <c r="A259" s="1" t="s">
        <v>960</v>
      </c>
      <c r="B259" s="1" t="s">
        <v>775</v>
      </c>
    </row>
    <row r="260" spans="1:2" x14ac:dyDescent="0.2">
      <c r="A260" s="1" t="s">
        <v>650</v>
      </c>
      <c r="B260" s="1" t="s">
        <v>618</v>
      </c>
    </row>
    <row r="261" spans="1:2" x14ac:dyDescent="0.2">
      <c r="A261" s="1" t="s">
        <v>961</v>
      </c>
      <c r="B261" s="1" t="s">
        <v>630</v>
      </c>
    </row>
    <row r="262" spans="1:2" x14ac:dyDescent="0.2">
      <c r="A262" s="1" t="s">
        <v>962</v>
      </c>
      <c r="B262" s="1" t="s">
        <v>660</v>
      </c>
    </row>
    <row r="263" spans="1:2" x14ac:dyDescent="0.2">
      <c r="A263" s="1" t="s">
        <v>636</v>
      </c>
      <c r="B263" s="1" t="s">
        <v>659</v>
      </c>
    </row>
    <row r="264" spans="1:2" x14ac:dyDescent="0.2">
      <c r="A264" s="1" t="s">
        <v>664</v>
      </c>
      <c r="B264" s="1" t="s">
        <v>707</v>
      </c>
    </row>
    <row r="265" spans="1:2" x14ac:dyDescent="0.2">
      <c r="A265" s="1" t="s">
        <v>724</v>
      </c>
      <c r="B265" s="1" t="s">
        <v>618</v>
      </c>
    </row>
    <row r="266" spans="1:2" x14ac:dyDescent="0.2">
      <c r="A266" s="1" t="s">
        <v>603</v>
      </c>
      <c r="B266" s="1" t="s">
        <v>602</v>
      </c>
    </row>
    <row r="267" spans="1:2" x14ac:dyDescent="0.2">
      <c r="A267" s="1" t="s">
        <v>605</v>
      </c>
      <c r="B267" s="1" t="s">
        <v>604</v>
      </c>
    </row>
    <row r="268" spans="1:2" x14ac:dyDescent="0.2">
      <c r="A268" s="1" t="s">
        <v>721</v>
      </c>
      <c r="B268" s="1" t="s">
        <v>618</v>
      </c>
    </row>
    <row r="269" spans="1:2" x14ac:dyDescent="0.2">
      <c r="A269" s="1" t="s">
        <v>629</v>
      </c>
      <c r="B269" s="1" t="s">
        <v>630</v>
      </c>
    </row>
    <row r="270" spans="1:2" x14ac:dyDescent="0.2">
      <c r="A270" s="1" t="s">
        <v>631</v>
      </c>
      <c r="B270" s="1" t="s">
        <v>630</v>
      </c>
    </row>
    <row r="271" spans="1:2" x14ac:dyDescent="0.2">
      <c r="A271" s="1" t="s">
        <v>620</v>
      </c>
      <c r="B271" s="1" t="s">
        <v>618</v>
      </c>
    </row>
    <row r="272" spans="1:2" x14ac:dyDescent="0.2">
      <c r="A272" s="1" t="s">
        <v>606</v>
      </c>
      <c r="B272" s="1" t="s">
        <v>602</v>
      </c>
    </row>
    <row r="273" spans="1:2" x14ac:dyDescent="0.2">
      <c r="A273" s="1" t="s">
        <v>675</v>
      </c>
      <c r="B273" s="1" t="s">
        <v>660</v>
      </c>
    </row>
    <row r="274" spans="1:2" x14ac:dyDescent="0.2">
      <c r="A274" s="1" t="s">
        <v>677</v>
      </c>
      <c r="B274" s="1" t="s">
        <v>660</v>
      </c>
    </row>
    <row r="275" spans="1:2" x14ac:dyDescent="0.2">
      <c r="A275" s="1" t="s">
        <v>611</v>
      </c>
      <c r="B275" s="1" t="s">
        <v>625</v>
      </c>
    </row>
    <row r="276" spans="1:2" x14ac:dyDescent="0.2">
      <c r="A276" s="1" t="s">
        <v>684</v>
      </c>
      <c r="B276" s="1" t="s">
        <v>707</v>
      </c>
    </row>
    <row r="277" spans="1:2" x14ac:dyDescent="0.2">
      <c r="A277" s="1" t="s">
        <v>598</v>
      </c>
      <c r="B277" s="1" t="s">
        <v>775</v>
      </c>
    </row>
    <row r="278" spans="1:2" x14ac:dyDescent="0.2">
      <c r="A278" s="1" t="s">
        <v>599</v>
      </c>
      <c r="B278" s="1" t="s">
        <v>618</v>
      </c>
    </row>
    <row r="279" spans="1:2" x14ac:dyDescent="0.2">
      <c r="A279" s="1" t="s">
        <v>616</v>
      </c>
      <c r="B279" s="1" t="s">
        <v>618</v>
      </c>
    </row>
    <row r="280" spans="1:2" x14ac:dyDescent="0.2">
      <c r="A280" s="1" t="s">
        <v>668</v>
      </c>
      <c r="B280" s="1" t="s">
        <v>604</v>
      </c>
    </row>
    <row r="281" spans="1:2" x14ac:dyDescent="0.2">
      <c r="A281" s="1" t="s">
        <v>669</v>
      </c>
      <c r="B281" s="1" t="s">
        <v>659</v>
      </c>
    </row>
    <row r="282" spans="1:2" x14ac:dyDescent="0.2">
      <c r="A282" s="1" t="s">
        <v>1005</v>
      </c>
      <c r="B282" s="1" t="s">
        <v>613</v>
      </c>
    </row>
    <row r="283" spans="1:2" x14ac:dyDescent="0.2">
      <c r="A283" s="1" t="s">
        <v>725</v>
      </c>
      <c r="B283" s="1" t="s">
        <v>618</v>
      </c>
    </row>
    <row r="284" spans="1:2" x14ac:dyDescent="0.2">
      <c r="A284" s="1" t="s">
        <v>619</v>
      </c>
      <c r="B284" s="1" t="s">
        <v>618</v>
      </c>
    </row>
    <row r="285" spans="1:2" s="547" customFormat="1" x14ac:dyDescent="0.2">
      <c r="A285" s="547" t="s">
        <v>686</v>
      </c>
      <c r="B285" s="547" t="s">
        <v>685</v>
      </c>
    </row>
    <row r="286" spans="1:2" x14ac:dyDescent="0.2">
      <c r="A286" s="1" t="s">
        <v>687</v>
      </c>
      <c r="B286" s="1" t="s">
        <v>659</v>
      </c>
    </row>
    <row r="287" spans="1:2" x14ac:dyDescent="0.2">
      <c r="A287" s="1" t="s">
        <v>704</v>
      </c>
      <c r="B287" s="1" t="s">
        <v>613</v>
      </c>
    </row>
    <row r="288" spans="1:2" x14ac:dyDescent="0.2">
      <c r="A288" s="1" t="s">
        <v>703</v>
      </c>
      <c r="B288" s="1" t="s">
        <v>685</v>
      </c>
    </row>
    <row r="289" spans="1:6" x14ac:dyDescent="0.2">
      <c r="A289" s="1" t="s">
        <v>688</v>
      </c>
      <c r="B289" s="1" t="s">
        <v>660</v>
      </c>
    </row>
    <row r="290" spans="1:6" x14ac:dyDescent="0.2">
      <c r="A290" s="1" t="s">
        <v>1006</v>
      </c>
      <c r="B290" s="1" t="s">
        <v>707</v>
      </c>
    </row>
    <row r="291" spans="1:6" x14ac:dyDescent="0.2">
      <c r="A291" s="1" t="s">
        <v>608</v>
      </c>
      <c r="B291" s="1" t="s">
        <v>602</v>
      </c>
    </row>
    <row r="292" spans="1:6" x14ac:dyDescent="0.2">
      <c r="A292" s="1" t="s">
        <v>723</v>
      </c>
      <c r="B292" s="1" t="s">
        <v>618</v>
      </c>
    </row>
    <row r="293" spans="1:6" x14ac:dyDescent="0.2">
      <c r="A293" s="1" t="s">
        <v>615</v>
      </c>
      <c r="B293" s="1" t="s">
        <v>604</v>
      </c>
    </row>
    <row r="294" spans="1:6" x14ac:dyDescent="0.2">
      <c r="A294" s="1" t="s">
        <v>614</v>
      </c>
      <c r="B294" s="1" t="s">
        <v>613</v>
      </c>
    </row>
    <row r="295" spans="1:6" x14ac:dyDescent="0.2">
      <c r="A295" s="1" t="s">
        <v>634</v>
      </c>
      <c r="B295" s="1" t="s">
        <v>651</v>
      </c>
    </row>
    <row r="296" spans="1:6" x14ac:dyDescent="0.2">
      <c r="A296" s="1" t="s">
        <v>622</v>
      </c>
      <c r="B296" s="1" t="s">
        <v>618</v>
      </c>
    </row>
    <row r="297" spans="1:6" x14ac:dyDescent="0.2">
      <c r="A297" s="1" t="s">
        <v>633</v>
      </c>
      <c r="B297" s="1" t="s">
        <v>660</v>
      </c>
    </row>
    <row r="298" spans="1:6" x14ac:dyDescent="0.2">
      <c r="A298" s="1" t="s">
        <v>672</v>
      </c>
      <c r="B298" s="1" t="s">
        <v>707</v>
      </c>
    </row>
    <row r="299" spans="1:6" x14ac:dyDescent="0.2">
      <c r="A299" s="1" t="s">
        <v>671</v>
      </c>
      <c r="B299" s="1" t="s">
        <v>802</v>
      </c>
    </row>
    <row r="300" spans="1:6" x14ac:dyDescent="0.2">
      <c r="A300" s="1" t="s">
        <v>963</v>
      </c>
      <c r="B300" s="1" t="s">
        <v>775</v>
      </c>
      <c r="D300" s="1" t="s">
        <v>1007</v>
      </c>
    </row>
    <row r="301" spans="1:6" x14ac:dyDescent="0.2">
      <c r="A301" s="1" t="s">
        <v>1008</v>
      </c>
      <c r="B301" s="1" t="s">
        <v>775</v>
      </c>
    </row>
    <row r="304" spans="1:6" x14ac:dyDescent="0.2">
      <c r="A304" s="481" t="s">
        <v>1009</v>
      </c>
      <c r="B304" s="481"/>
      <c r="C304" s="481"/>
      <c r="D304" s="481"/>
      <c r="E304" s="481"/>
      <c r="F304" s="481"/>
    </row>
    <row r="305" spans="1:2" x14ac:dyDescent="0.2">
      <c r="A305" s="484" t="s">
        <v>100</v>
      </c>
    </row>
    <row r="306" spans="1:2" x14ac:dyDescent="0.2">
      <c r="A306" s="1" t="s">
        <v>1010</v>
      </c>
    </row>
    <row r="308" spans="1:2" x14ac:dyDescent="0.2">
      <c r="A308" s="484" t="s">
        <v>101</v>
      </c>
      <c r="B308" s="484" t="s">
        <v>109</v>
      </c>
    </row>
    <row r="309" spans="1:2" x14ac:dyDescent="0.2">
      <c r="A309" s="1" t="s">
        <v>1011</v>
      </c>
      <c r="B309" s="1" t="s">
        <v>1012</v>
      </c>
    </row>
    <row r="310" spans="1:2" x14ac:dyDescent="0.2">
      <c r="A310" s="1" t="s">
        <v>1013</v>
      </c>
      <c r="B310" s="1" t="s">
        <v>1014</v>
      </c>
    </row>
    <row r="311" spans="1:2" x14ac:dyDescent="0.2">
      <c r="B311" s="1" t="s">
        <v>118</v>
      </c>
    </row>
    <row r="312" spans="1:2" x14ac:dyDescent="0.2">
      <c r="B312" s="1" t="s">
        <v>1015</v>
      </c>
    </row>
    <row r="314" spans="1:2" x14ac:dyDescent="0.2">
      <c r="A314" s="522"/>
      <c r="B314" s="522"/>
    </row>
    <row r="315" spans="1:2" x14ac:dyDescent="0.2">
      <c r="A315" s="520" t="s">
        <v>590</v>
      </c>
    </row>
    <row r="316" spans="1:2" x14ac:dyDescent="0.2">
      <c r="A316" s="521" t="s">
        <v>1016</v>
      </c>
    </row>
    <row r="317" spans="1:2" x14ac:dyDescent="0.2">
      <c r="A317" s="521" t="s">
        <v>597</v>
      </c>
    </row>
    <row r="318" spans="1:2" x14ac:dyDescent="0.2">
      <c r="A318" s="521" t="s">
        <v>1017</v>
      </c>
    </row>
    <row r="319" spans="1:2" x14ac:dyDescent="0.2">
      <c r="A319" s="521" t="s">
        <v>776</v>
      </c>
    </row>
    <row r="320" spans="1:2" x14ac:dyDescent="0.2">
      <c r="A320" s="521" t="s">
        <v>607</v>
      </c>
    </row>
    <row r="321" spans="1:7" x14ac:dyDescent="0.2">
      <c r="A321" s="521" t="s">
        <v>1018</v>
      </c>
    </row>
    <row r="322" spans="1:7" x14ac:dyDescent="0.2">
      <c r="A322" s="1" t="s">
        <v>627</v>
      </c>
    </row>
    <row r="323" spans="1:7" x14ac:dyDescent="0.2">
      <c r="A323" s="1" t="s">
        <v>609</v>
      </c>
    </row>
    <row r="325" spans="1:7" x14ac:dyDescent="0.2">
      <c r="A325" s="813" t="s">
        <v>1019</v>
      </c>
      <c r="B325" s="813"/>
      <c r="C325" s="813"/>
      <c r="D325" s="813"/>
      <c r="E325" s="813"/>
      <c r="F325" s="813"/>
      <c r="G325" s="813"/>
    </row>
    <row r="326" spans="1:7" x14ac:dyDescent="0.2">
      <c r="A326" s="455" t="s">
        <v>1001</v>
      </c>
      <c r="B326" s="455" t="s">
        <v>1020</v>
      </c>
    </row>
    <row r="327" spans="1:7" x14ac:dyDescent="0.2">
      <c r="A327" s="521" t="s">
        <v>658</v>
      </c>
      <c r="B327" s="521" t="s">
        <v>607</v>
      </c>
    </row>
    <row r="328" spans="1:7" x14ac:dyDescent="0.2">
      <c r="A328" s="521" t="s">
        <v>602</v>
      </c>
      <c r="B328" s="521" t="s">
        <v>607</v>
      </c>
    </row>
    <row r="329" spans="1:7" x14ac:dyDescent="0.2">
      <c r="A329" s="521" t="s">
        <v>613</v>
      </c>
      <c r="B329" s="521" t="s">
        <v>607</v>
      </c>
    </row>
    <row r="330" spans="1:7" x14ac:dyDescent="0.2">
      <c r="A330" s="521" t="s">
        <v>799</v>
      </c>
      <c r="B330" s="521" t="s">
        <v>607</v>
      </c>
    </row>
    <row r="331" spans="1:7" x14ac:dyDescent="0.2">
      <c r="A331" s="521" t="s">
        <v>800</v>
      </c>
      <c r="B331" s="521" t="s">
        <v>607</v>
      </c>
    </row>
    <row r="332" spans="1:7" x14ac:dyDescent="0.2">
      <c r="A332" s="521" t="s">
        <v>801</v>
      </c>
      <c r="B332" s="521" t="s">
        <v>607</v>
      </c>
    </row>
    <row r="333" spans="1:7" x14ac:dyDescent="0.2">
      <c r="A333" s="521" t="s">
        <v>802</v>
      </c>
      <c r="B333" s="521" t="s">
        <v>607</v>
      </c>
    </row>
    <row r="334" spans="1:7" x14ac:dyDescent="0.2">
      <c r="A334" s="521" t="s">
        <v>604</v>
      </c>
      <c r="B334" s="521" t="s">
        <v>607</v>
      </c>
    </row>
    <row r="335" spans="1:7" x14ac:dyDescent="0.2">
      <c r="A335" s="521" t="s">
        <v>707</v>
      </c>
      <c r="B335" s="521" t="s">
        <v>607</v>
      </c>
    </row>
    <row r="336" spans="1:7" x14ac:dyDescent="0.2">
      <c r="A336" s="521" t="s">
        <v>803</v>
      </c>
      <c r="B336" s="521" t="s">
        <v>607</v>
      </c>
    </row>
    <row r="337" spans="1:2" x14ac:dyDescent="0.2">
      <c r="A337" s="521" t="s">
        <v>804</v>
      </c>
      <c r="B337" s="521" t="s">
        <v>607</v>
      </c>
    </row>
    <row r="338" spans="1:2" x14ac:dyDescent="0.2">
      <c r="A338" s="521" t="s">
        <v>685</v>
      </c>
      <c r="B338" s="521" t="s">
        <v>607</v>
      </c>
    </row>
    <row r="339" spans="1:2" x14ac:dyDescent="0.2">
      <c r="A339" s="521" t="s">
        <v>805</v>
      </c>
      <c r="B339" s="521" t="s">
        <v>607</v>
      </c>
    </row>
    <row r="340" spans="1:2" x14ac:dyDescent="0.2">
      <c r="A340" s="521" t="s">
        <v>775</v>
      </c>
      <c r="B340" s="521" t="s">
        <v>597</v>
      </c>
    </row>
    <row r="341" spans="1:2" x14ac:dyDescent="0.2">
      <c r="A341" s="521" t="s">
        <v>806</v>
      </c>
      <c r="B341" s="521" t="s">
        <v>1018</v>
      </c>
    </row>
    <row r="342" spans="1:2" x14ac:dyDescent="0.2">
      <c r="A342" s="521" t="s">
        <v>893</v>
      </c>
      <c r="B342" s="521" t="s">
        <v>607</v>
      </c>
    </row>
    <row r="343" spans="1:2" s="547" customFormat="1" x14ac:dyDescent="0.2">
      <c r="A343" s="578" t="s">
        <v>618</v>
      </c>
      <c r="B343" s="578" t="s">
        <v>607</v>
      </c>
    </row>
    <row r="344" spans="1:2" s="547" customFormat="1" x14ac:dyDescent="0.2">
      <c r="A344" s="521" t="s">
        <v>635</v>
      </c>
      <c r="B344" s="521" t="s">
        <v>607</v>
      </c>
    </row>
    <row r="345" spans="1:2" x14ac:dyDescent="0.2">
      <c r="A345" s="521" t="s">
        <v>659</v>
      </c>
      <c r="B345" s="521" t="s">
        <v>607</v>
      </c>
    </row>
    <row r="346" spans="1:2" x14ac:dyDescent="0.2">
      <c r="A346" s="521" t="s">
        <v>807</v>
      </c>
      <c r="B346" s="521" t="s">
        <v>607</v>
      </c>
    </row>
    <row r="347" spans="1:2" s="547" customFormat="1" x14ac:dyDescent="0.2">
      <c r="A347" s="578" t="s">
        <v>625</v>
      </c>
      <c r="B347" s="578" t="s">
        <v>776</v>
      </c>
    </row>
    <row r="348" spans="1:2" s="577" customFormat="1" x14ac:dyDescent="0.2">
      <c r="A348" s="579" t="s">
        <v>628</v>
      </c>
      <c r="B348" s="579" t="s">
        <v>607</v>
      </c>
    </row>
    <row r="349" spans="1:2" x14ac:dyDescent="0.2">
      <c r="A349" s="521" t="s">
        <v>630</v>
      </c>
      <c r="B349" s="521" t="s">
        <v>607</v>
      </c>
    </row>
    <row r="350" spans="1:2" x14ac:dyDescent="0.2">
      <c r="A350" s="521" t="s">
        <v>651</v>
      </c>
      <c r="B350" s="521" t="s">
        <v>607</v>
      </c>
    </row>
    <row r="351" spans="1:2" x14ac:dyDescent="0.2">
      <c r="A351" s="521" t="s">
        <v>660</v>
      </c>
      <c r="B351" s="521" t="s">
        <v>607</v>
      </c>
    </row>
    <row r="354" spans="1:7" x14ac:dyDescent="0.2">
      <c r="A354" s="813" t="s">
        <v>1021</v>
      </c>
      <c r="B354" s="813"/>
      <c r="C354" s="813"/>
      <c r="D354" s="813"/>
      <c r="E354" s="813"/>
      <c r="F354" s="813"/>
      <c r="G354" s="813"/>
    </row>
    <row r="355" spans="1:7" x14ac:dyDescent="0.2">
      <c r="A355" s="455" t="s">
        <v>921</v>
      </c>
      <c r="B355" s="455" t="s">
        <v>1022</v>
      </c>
    </row>
    <row r="356" spans="1:7" x14ac:dyDescent="0.2">
      <c r="A356" s="1" t="s">
        <v>808</v>
      </c>
      <c r="B356" s="1" t="s">
        <v>780</v>
      </c>
    </row>
    <row r="357" spans="1:7" x14ac:dyDescent="0.2">
      <c r="A357" s="1" t="s">
        <v>810</v>
      </c>
      <c r="B357" s="1" t="s">
        <v>780</v>
      </c>
    </row>
    <row r="358" spans="1:7" x14ac:dyDescent="0.2">
      <c r="A358" s="1" t="s">
        <v>811</v>
      </c>
      <c r="B358" s="1" t="s">
        <v>780</v>
      </c>
    </row>
    <row r="359" spans="1:7" x14ac:dyDescent="0.2">
      <c r="A359" s="1" t="s">
        <v>596</v>
      </c>
      <c r="B359" s="1" t="s">
        <v>780</v>
      </c>
    </row>
    <row r="360" spans="1:7" x14ac:dyDescent="0.2">
      <c r="A360" s="1" t="s">
        <v>812</v>
      </c>
      <c r="B360" s="1" t="s">
        <v>781</v>
      </c>
    </row>
    <row r="361" spans="1:7" x14ac:dyDescent="0.2">
      <c r="A361" s="1" t="s">
        <v>813</v>
      </c>
      <c r="B361" s="1" t="s">
        <v>780</v>
      </c>
    </row>
    <row r="362" spans="1:7" x14ac:dyDescent="0.2">
      <c r="A362" s="1" t="s">
        <v>814</v>
      </c>
      <c r="B362" s="1" t="s">
        <v>781</v>
      </c>
    </row>
    <row r="363" spans="1:7" x14ac:dyDescent="0.2">
      <c r="A363" s="1" t="s">
        <v>815</v>
      </c>
      <c r="B363" s="1" t="s">
        <v>780</v>
      </c>
    </row>
    <row r="364" spans="1:7" x14ac:dyDescent="0.2">
      <c r="A364" s="1" t="s">
        <v>816</v>
      </c>
      <c r="B364" s="1" t="s">
        <v>780</v>
      </c>
    </row>
    <row r="365" spans="1:7" x14ac:dyDescent="0.2">
      <c r="A365" s="1" t="s">
        <v>817</v>
      </c>
      <c r="B365" s="1" t="s">
        <v>780</v>
      </c>
    </row>
    <row r="366" spans="1:7" x14ac:dyDescent="0.2">
      <c r="A366" s="1" t="s">
        <v>818</v>
      </c>
      <c r="B366" s="1" t="s">
        <v>780</v>
      </c>
    </row>
    <row r="367" spans="1:7" x14ac:dyDescent="0.2">
      <c r="A367" s="1" t="s">
        <v>819</v>
      </c>
      <c r="B367" s="1" t="s">
        <v>780</v>
      </c>
    </row>
    <row r="368" spans="1:7" x14ac:dyDescent="0.2">
      <c r="A368" s="1" t="s">
        <v>820</v>
      </c>
      <c r="B368" s="1" t="s">
        <v>781</v>
      </c>
    </row>
    <row r="369" spans="1:2" x14ac:dyDescent="0.2">
      <c r="A369" s="1" t="s">
        <v>676</v>
      </c>
      <c r="B369" s="1" t="s">
        <v>780</v>
      </c>
    </row>
    <row r="370" spans="1:2" x14ac:dyDescent="0.2">
      <c r="A370" s="1" t="s">
        <v>600</v>
      </c>
      <c r="B370" s="1" t="s">
        <v>781</v>
      </c>
    </row>
    <row r="371" spans="1:2" x14ac:dyDescent="0.2">
      <c r="A371" s="1" t="s">
        <v>821</v>
      </c>
      <c r="B371" s="1" t="s">
        <v>780</v>
      </c>
    </row>
    <row r="372" spans="1:2" x14ac:dyDescent="0.2">
      <c r="A372" s="1" t="s">
        <v>822</v>
      </c>
      <c r="B372" s="1" t="s">
        <v>780</v>
      </c>
    </row>
    <row r="373" spans="1:2" x14ac:dyDescent="0.2">
      <c r="A373" s="1" t="s">
        <v>823</v>
      </c>
      <c r="B373" s="1" t="s">
        <v>780</v>
      </c>
    </row>
    <row r="374" spans="1:2" x14ac:dyDescent="0.2">
      <c r="A374" s="1" t="s">
        <v>824</v>
      </c>
      <c r="B374" s="1" t="s">
        <v>781</v>
      </c>
    </row>
    <row r="375" spans="1:2" x14ac:dyDescent="0.2">
      <c r="A375" s="1" t="s">
        <v>825</v>
      </c>
      <c r="B375" s="1" t="s">
        <v>780</v>
      </c>
    </row>
    <row r="376" spans="1:2" x14ac:dyDescent="0.2">
      <c r="A376" s="1" t="s">
        <v>826</v>
      </c>
      <c r="B376" s="1" t="s">
        <v>780</v>
      </c>
    </row>
    <row r="377" spans="1:2" x14ac:dyDescent="0.2">
      <c r="A377" s="1" t="s">
        <v>827</v>
      </c>
      <c r="B377" s="1" t="s">
        <v>780</v>
      </c>
    </row>
    <row r="378" spans="1:2" x14ac:dyDescent="0.2">
      <c r="A378" s="1" t="s">
        <v>828</v>
      </c>
      <c r="B378" s="1" t="s">
        <v>780</v>
      </c>
    </row>
    <row r="379" spans="1:2" x14ac:dyDescent="0.2">
      <c r="A379" s="1" t="s">
        <v>829</v>
      </c>
      <c r="B379" s="1" t="s">
        <v>780</v>
      </c>
    </row>
    <row r="380" spans="1:2" x14ac:dyDescent="0.2">
      <c r="A380" s="1" t="s">
        <v>830</v>
      </c>
      <c r="B380" s="1" t="s">
        <v>780</v>
      </c>
    </row>
    <row r="381" spans="1:2" x14ac:dyDescent="0.2">
      <c r="A381" s="1" t="s">
        <v>831</v>
      </c>
      <c r="B381" s="1" t="s">
        <v>780</v>
      </c>
    </row>
    <row r="382" spans="1:2" x14ac:dyDescent="0.2">
      <c r="A382" s="1" t="s">
        <v>832</v>
      </c>
      <c r="B382" s="1" t="s">
        <v>780</v>
      </c>
    </row>
    <row r="383" spans="1:2" x14ac:dyDescent="0.2">
      <c r="A383" s="1" t="s">
        <v>583</v>
      </c>
      <c r="B383" s="1" t="s">
        <v>780</v>
      </c>
    </row>
    <row r="384" spans="1:2" x14ac:dyDescent="0.2">
      <c r="A384" s="1" t="s">
        <v>833</v>
      </c>
      <c r="B384" s="1" t="s">
        <v>780</v>
      </c>
    </row>
    <row r="385" spans="1:2" x14ac:dyDescent="0.2">
      <c r="A385" s="1" t="s">
        <v>834</v>
      </c>
      <c r="B385" s="1" t="s">
        <v>780</v>
      </c>
    </row>
    <row r="386" spans="1:2" x14ac:dyDescent="0.2">
      <c r="A386" s="1" t="s">
        <v>835</v>
      </c>
      <c r="B386" s="1" t="s">
        <v>780</v>
      </c>
    </row>
    <row r="387" spans="1:2" x14ac:dyDescent="0.2">
      <c r="A387" s="1" t="s">
        <v>836</v>
      </c>
      <c r="B387" s="1" t="s">
        <v>780</v>
      </c>
    </row>
    <row r="388" spans="1:2" x14ac:dyDescent="0.2">
      <c r="A388" s="1" t="s">
        <v>837</v>
      </c>
      <c r="B388" s="1" t="s">
        <v>780</v>
      </c>
    </row>
    <row r="389" spans="1:2" x14ac:dyDescent="0.2">
      <c r="A389" s="1" t="s">
        <v>838</v>
      </c>
      <c r="B389" s="1" t="s">
        <v>780</v>
      </c>
    </row>
    <row r="390" spans="1:2" x14ac:dyDescent="0.2">
      <c r="A390" s="1" t="s">
        <v>839</v>
      </c>
      <c r="B390" s="1" t="s">
        <v>780</v>
      </c>
    </row>
    <row r="391" spans="1:2" x14ac:dyDescent="0.2">
      <c r="A391" s="1" t="s">
        <v>840</v>
      </c>
      <c r="B391" s="1" t="s">
        <v>780</v>
      </c>
    </row>
    <row r="392" spans="1:2" x14ac:dyDescent="0.2">
      <c r="A392" s="1" t="s">
        <v>841</v>
      </c>
      <c r="B392" s="1" t="s">
        <v>780</v>
      </c>
    </row>
    <row r="393" spans="1:2" x14ac:dyDescent="0.2">
      <c r="A393" s="1" t="s">
        <v>842</v>
      </c>
      <c r="B393" s="1" t="s">
        <v>780</v>
      </c>
    </row>
    <row r="394" spans="1:2" x14ac:dyDescent="0.2">
      <c r="A394" s="1" t="s">
        <v>843</v>
      </c>
      <c r="B394" s="1" t="s">
        <v>780</v>
      </c>
    </row>
    <row r="395" spans="1:2" x14ac:dyDescent="0.2">
      <c r="A395" s="1" t="s">
        <v>844</v>
      </c>
      <c r="B395" s="1" t="s">
        <v>780</v>
      </c>
    </row>
    <row r="396" spans="1:2" x14ac:dyDescent="0.2">
      <c r="A396" s="1" t="s">
        <v>845</v>
      </c>
      <c r="B396" s="1" t="s">
        <v>780</v>
      </c>
    </row>
    <row r="397" spans="1:2" x14ac:dyDescent="0.2">
      <c r="A397" s="1" t="s">
        <v>846</v>
      </c>
      <c r="B397" s="1" t="s">
        <v>780</v>
      </c>
    </row>
    <row r="398" spans="1:2" x14ac:dyDescent="0.2">
      <c r="A398" s="1" t="s">
        <v>847</v>
      </c>
      <c r="B398" s="1" t="s">
        <v>780</v>
      </c>
    </row>
    <row r="399" spans="1:2" x14ac:dyDescent="0.2">
      <c r="A399" s="1" t="s">
        <v>848</v>
      </c>
      <c r="B399" s="1" t="s">
        <v>780</v>
      </c>
    </row>
    <row r="400" spans="1:2" x14ac:dyDescent="0.2">
      <c r="A400" s="1" t="s">
        <v>849</v>
      </c>
      <c r="B400" s="1" t="s">
        <v>780</v>
      </c>
    </row>
    <row r="401" spans="1:2" x14ac:dyDescent="0.2">
      <c r="A401" s="1" t="s">
        <v>850</v>
      </c>
      <c r="B401" s="1" t="s">
        <v>780</v>
      </c>
    </row>
    <row r="402" spans="1:2" x14ac:dyDescent="0.2">
      <c r="A402" s="1" t="s">
        <v>851</v>
      </c>
      <c r="B402" s="1" t="s">
        <v>780</v>
      </c>
    </row>
    <row r="403" spans="1:2" x14ac:dyDescent="0.2">
      <c r="A403" s="1" t="s">
        <v>852</v>
      </c>
      <c r="B403" s="1" t="s">
        <v>780</v>
      </c>
    </row>
    <row r="404" spans="1:2" x14ac:dyDescent="0.2">
      <c r="A404" s="1" t="s">
        <v>853</v>
      </c>
      <c r="B404" s="1" t="s">
        <v>780</v>
      </c>
    </row>
    <row r="405" spans="1:2" x14ac:dyDescent="0.2">
      <c r="A405" s="1" t="s">
        <v>854</v>
      </c>
      <c r="B405" s="1" t="s">
        <v>780</v>
      </c>
    </row>
    <row r="406" spans="1:2" x14ac:dyDescent="0.2">
      <c r="A406" s="1" t="s">
        <v>855</v>
      </c>
      <c r="B406" s="1" t="s">
        <v>780</v>
      </c>
    </row>
    <row r="407" spans="1:2" x14ac:dyDescent="0.2">
      <c r="A407" s="1" t="s">
        <v>856</v>
      </c>
      <c r="B407" s="1" t="s">
        <v>780</v>
      </c>
    </row>
    <row r="408" spans="1:2" x14ac:dyDescent="0.2">
      <c r="A408" s="1" t="s">
        <v>857</v>
      </c>
      <c r="B408" s="1" t="s">
        <v>780</v>
      </c>
    </row>
    <row r="409" spans="1:2" x14ac:dyDescent="0.2">
      <c r="A409" s="1" t="s">
        <v>858</v>
      </c>
      <c r="B409" s="1" t="s">
        <v>780</v>
      </c>
    </row>
    <row r="410" spans="1:2" x14ac:dyDescent="0.2">
      <c r="A410" s="1" t="s">
        <v>859</v>
      </c>
      <c r="B410" s="1" t="s">
        <v>780</v>
      </c>
    </row>
    <row r="411" spans="1:2" x14ac:dyDescent="0.2">
      <c r="A411" s="1" t="s">
        <v>860</v>
      </c>
      <c r="B411" s="1" t="s">
        <v>780</v>
      </c>
    </row>
    <row r="412" spans="1:2" x14ac:dyDescent="0.2">
      <c r="A412" s="1" t="s">
        <v>861</v>
      </c>
      <c r="B412" s="1" t="s">
        <v>780</v>
      </c>
    </row>
  </sheetData>
  <sheetProtection sheet="1" objects="1" scenarios="1"/>
  <sortState xmlns:xlrd2="http://schemas.microsoft.com/office/spreadsheetml/2017/richdata2" ref="A356:B412">
    <sortCondition ref="A356:A412"/>
  </sortState>
  <mergeCells count="7">
    <mergeCell ref="A247:G247"/>
    <mergeCell ref="A2:G2"/>
    <mergeCell ref="A325:G325"/>
    <mergeCell ref="A354:G354"/>
    <mergeCell ref="A220:G220"/>
    <mergeCell ref="A203:G203"/>
    <mergeCell ref="A189:G189"/>
  </mergeCells>
  <conditionalFormatting sqref="E3">
    <cfRule type="cellIs" priority="1" operator="notEqual">
      <formula>AgileDefaultContingency</formula>
    </cfRule>
  </conditionalFormatting>
  <dataValidations count="3">
    <dataValidation type="list" allowBlank="1" showInputMessage="1" showErrorMessage="1" sqref="A249:A301 A329 A331 A333 A335:A336 A338:A343 A345 A347 A349 A351" xr:uid="{7FBFB039-E085-40B5-9111-540C7EF8E3B5}">
      <formula1>AgileRoles</formula1>
    </dataValidation>
    <dataValidation type="list" allowBlank="1" showInputMessage="1" showErrorMessage="1" sqref="B249:B301 A327:A328 A330 A332 A334 A337 A344 A346 A348 A350" xr:uid="{01BFDAB1-CB1F-4781-A802-19887AEB3FC9}">
      <formula1>TTSRoles</formula1>
    </dataValidation>
    <dataValidation type="list" allowBlank="1" showInputMessage="1" showErrorMessage="1" sqref="B327:B351" xr:uid="{DA666879-9E46-4913-A8E4-B3D952B27C53}">
      <formula1>SolutionUnit</formula1>
    </dataValidation>
  </dataValidations>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ReleaseNotesSheet">
    <tabColor rgb="FFFFC000"/>
    <pageSetUpPr fitToPage="1"/>
  </sheetPr>
  <dimension ref="A1:E31"/>
  <sheetViews>
    <sheetView showGridLines="0" defaultGridColor="0" topLeftCell="A7" colorId="55" zoomScale="80" zoomScaleNormal="80" workbookViewId="0">
      <selection activeCell="A7" sqref="A7"/>
    </sheetView>
  </sheetViews>
  <sheetFormatPr defaultColWidth="9.28515625" defaultRowHeight="12.75" x14ac:dyDescent="0.25"/>
  <cols>
    <col min="1" max="1" width="36" style="264" customWidth="1"/>
    <col min="2" max="2" width="120.5703125" style="264" customWidth="1"/>
    <col min="3" max="3" width="15.5703125" style="72" customWidth="1"/>
    <col min="4" max="4" width="10.7109375" style="264" customWidth="1"/>
    <col min="5" max="5" width="14.5703125" style="264" customWidth="1"/>
    <col min="6" max="16384" width="9.28515625" style="264"/>
  </cols>
  <sheetData>
    <row r="1" spans="1:5" s="262" customFormat="1" x14ac:dyDescent="0.25">
      <c r="A1" s="261" t="str">
        <f ca="1">Copyright</f>
        <v>Encompass Estimation Tool v4.0 Copyright © 2016-2025 CSG International - INTERNAL USE ONLY</v>
      </c>
      <c r="B1" s="261"/>
      <c r="C1" s="66"/>
      <c r="D1" s="261"/>
      <c r="E1" s="261"/>
    </row>
    <row r="2" spans="1:5" s="262" customFormat="1" x14ac:dyDescent="0.25"/>
    <row r="3" spans="1:5" s="262" customFormat="1" x14ac:dyDescent="0.25">
      <c r="A3" s="68" t="s">
        <v>1023</v>
      </c>
    </row>
    <row r="4" spans="1:5" s="262" customFormat="1" x14ac:dyDescent="0.25">
      <c r="A4" s="263" t="s">
        <v>1024</v>
      </c>
    </row>
    <row r="5" spans="1:5" s="262" customFormat="1" x14ac:dyDescent="0.25">
      <c r="C5" s="67"/>
    </row>
    <row r="6" spans="1:5" s="70" customFormat="1" ht="25.5" x14ac:dyDescent="0.25">
      <c r="A6" s="68" t="s">
        <v>26</v>
      </c>
      <c r="B6" s="68" t="s">
        <v>1025</v>
      </c>
      <c r="C6" s="69" t="s">
        <v>1026</v>
      </c>
      <c r="D6" s="68" t="s">
        <v>1027</v>
      </c>
      <c r="E6" s="68" t="s">
        <v>1028</v>
      </c>
    </row>
    <row r="7" spans="1:5" ht="409.5" x14ac:dyDescent="0.25">
      <c r="A7" s="263" t="s">
        <v>1029</v>
      </c>
      <c r="B7" s="606" t="s">
        <v>1030</v>
      </c>
      <c r="C7" s="564">
        <v>45604.542199074072</v>
      </c>
      <c r="D7" s="340">
        <v>4.0000000000000009</v>
      </c>
      <c r="E7" s="263"/>
    </row>
    <row r="8" spans="1:5" ht="280.5" x14ac:dyDescent="0.25">
      <c r="A8" s="263" t="s">
        <v>1029</v>
      </c>
      <c r="B8" s="542" t="s">
        <v>1031</v>
      </c>
      <c r="C8" s="564">
        <v>45457.572800925926</v>
      </c>
      <c r="D8" s="340">
        <v>3.9000000000000012</v>
      </c>
      <c r="E8" s="263"/>
    </row>
    <row r="9" spans="1:5" ht="114.75" x14ac:dyDescent="0.25">
      <c r="A9" s="263" t="s">
        <v>1029</v>
      </c>
      <c r="B9" s="542" t="s">
        <v>1032</v>
      </c>
      <c r="C9" s="564">
        <v>45397</v>
      </c>
      <c r="D9" s="340">
        <v>3.8000000000000012</v>
      </c>
      <c r="E9" s="263"/>
    </row>
    <row r="10" spans="1:5" ht="409.5" x14ac:dyDescent="0.25">
      <c r="A10" s="263" t="s">
        <v>1029</v>
      </c>
      <c r="B10" s="542" t="s">
        <v>1033</v>
      </c>
      <c r="C10" s="564">
        <v>45357.598773148151</v>
      </c>
      <c r="D10" s="340">
        <v>3.7000000000000011</v>
      </c>
      <c r="E10" s="263"/>
    </row>
    <row r="11" spans="1:5" ht="344.25" x14ac:dyDescent="0.25">
      <c r="A11" s="263" t="s">
        <v>1029</v>
      </c>
      <c r="B11" s="263" t="s">
        <v>1034</v>
      </c>
      <c r="C11" s="564">
        <v>44823.788206018522</v>
      </c>
      <c r="D11" s="340">
        <v>3.600000000000001</v>
      </c>
      <c r="E11" s="263"/>
    </row>
    <row r="12" spans="1:5" ht="38.25" x14ac:dyDescent="0.25">
      <c r="A12" s="263" t="s">
        <v>1029</v>
      </c>
      <c r="B12" s="263" t="s">
        <v>1035</v>
      </c>
      <c r="C12" s="71">
        <v>44672.46738425926</v>
      </c>
      <c r="D12" s="340">
        <v>3.5000000000000009</v>
      </c>
      <c r="E12" s="263"/>
    </row>
    <row r="13" spans="1:5" ht="102" x14ac:dyDescent="0.25">
      <c r="A13" s="263" t="s">
        <v>1029</v>
      </c>
      <c r="B13" s="263" t="s">
        <v>1036</v>
      </c>
      <c r="C13" s="71">
        <v>44631.512962962966</v>
      </c>
      <c r="D13" s="340">
        <v>3.4000000000000008</v>
      </c>
      <c r="E13" s="263"/>
    </row>
    <row r="14" spans="1:5" ht="395.25" x14ac:dyDescent="0.25">
      <c r="A14" s="263" t="s">
        <v>1029</v>
      </c>
      <c r="B14" s="263" t="s">
        <v>1037</v>
      </c>
      <c r="C14" s="71">
        <v>44623.613854166666</v>
      </c>
      <c r="D14" s="340">
        <v>3.3000000000000007</v>
      </c>
      <c r="E14" s="263"/>
    </row>
    <row r="15" spans="1:5" ht="127.5" x14ac:dyDescent="0.25">
      <c r="A15" s="263" t="s">
        <v>1029</v>
      </c>
      <c r="B15" s="542" t="s">
        <v>1038</v>
      </c>
      <c r="C15" s="71">
        <v>44482.464942129627</v>
      </c>
      <c r="D15" s="340">
        <v>3.2000000000000006</v>
      </c>
      <c r="E15" s="263"/>
    </row>
    <row r="16" spans="1:5" ht="409.5" x14ac:dyDescent="0.25">
      <c r="A16" s="263" t="s">
        <v>1029</v>
      </c>
      <c r="B16" s="263" t="s">
        <v>1039</v>
      </c>
      <c r="C16" s="71">
        <v>44456.793692129628</v>
      </c>
      <c r="D16" s="340">
        <v>3.1000000000000005</v>
      </c>
      <c r="E16" s="263"/>
    </row>
    <row r="17" spans="1:5" ht="89.25" x14ac:dyDescent="0.25">
      <c r="A17" s="263" t="s">
        <v>1040</v>
      </c>
      <c r="B17" s="263" t="s">
        <v>1041</v>
      </c>
      <c r="C17" s="71">
        <v>44361.711863425924</v>
      </c>
      <c r="D17" s="340">
        <v>3.0000000000000004</v>
      </c>
      <c r="E17" s="263"/>
    </row>
    <row r="18" spans="1:5" ht="63.75" x14ac:dyDescent="0.25">
      <c r="A18" s="263" t="s">
        <v>1042</v>
      </c>
      <c r="B18" s="263" t="s">
        <v>1043</v>
      </c>
      <c r="C18" s="71">
        <v>44298.667488425926</v>
      </c>
      <c r="D18" s="340">
        <v>2.9000000000000004</v>
      </c>
      <c r="E18" s="263"/>
    </row>
    <row r="19" spans="1:5" ht="248.65" customHeight="1" x14ac:dyDescent="0.25">
      <c r="A19" s="263" t="s">
        <v>1042</v>
      </c>
      <c r="B19" s="263" t="s">
        <v>1044</v>
      </c>
      <c r="C19" s="71">
        <v>44236.736585648148</v>
      </c>
      <c r="D19" s="340">
        <v>2.8000000000000003</v>
      </c>
      <c r="E19" s="263"/>
    </row>
    <row r="20" spans="1:5" x14ac:dyDescent="0.25">
      <c r="A20" s="263" t="s">
        <v>1040</v>
      </c>
      <c r="B20" s="263" t="s">
        <v>1045</v>
      </c>
      <c r="C20" s="71">
        <v>44203.441180555557</v>
      </c>
      <c r="D20" s="340">
        <v>2.7</v>
      </c>
      <c r="E20" s="263"/>
    </row>
    <row r="21" spans="1:5" ht="357" x14ac:dyDescent="0.25">
      <c r="A21" s="263" t="s">
        <v>1042</v>
      </c>
      <c r="B21" s="263" t="s">
        <v>1046</v>
      </c>
      <c r="C21" s="71">
        <v>44180.429826388892</v>
      </c>
      <c r="D21" s="340">
        <v>2.6</v>
      </c>
      <c r="E21" s="263"/>
    </row>
    <row r="22" spans="1:5" ht="114.75" x14ac:dyDescent="0.25">
      <c r="A22" s="263" t="s">
        <v>1040</v>
      </c>
      <c r="B22" s="263" t="s">
        <v>1047</v>
      </c>
      <c r="C22" s="71">
        <v>44033.653032407405</v>
      </c>
      <c r="D22" s="340">
        <v>2.5</v>
      </c>
      <c r="E22" s="263"/>
    </row>
    <row r="23" spans="1:5" ht="25.5" x14ac:dyDescent="0.25">
      <c r="A23" s="263" t="s">
        <v>1040</v>
      </c>
      <c r="B23" s="263" t="s">
        <v>1048</v>
      </c>
      <c r="C23" s="71">
        <v>43592.539953703701</v>
      </c>
      <c r="D23" s="340">
        <v>2.4</v>
      </c>
      <c r="E23" s="263" t="s">
        <v>1049</v>
      </c>
    </row>
    <row r="24" spans="1:5" ht="204" x14ac:dyDescent="0.25">
      <c r="A24" s="263" t="s">
        <v>1040</v>
      </c>
      <c r="B24" s="263" t="s">
        <v>1050</v>
      </c>
      <c r="C24" s="71">
        <v>43553.517245370371</v>
      </c>
      <c r="D24" s="340">
        <v>2.4</v>
      </c>
      <c r="E24" s="263" t="s">
        <v>1051</v>
      </c>
    </row>
    <row r="25" spans="1:5" ht="280.5" x14ac:dyDescent="0.25">
      <c r="A25" s="263" t="s">
        <v>1040</v>
      </c>
      <c r="B25" s="263" t="s">
        <v>1052</v>
      </c>
      <c r="C25" s="71">
        <v>43454.978333333333</v>
      </c>
      <c r="D25" s="340">
        <v>2.4</v>
      </c>
      <c r="E25" s="263" t="s">
        <v>1053</v>
      </c>
    </row>
    <row r="26" spans="1:5" ht="318.75" x14ac:dyDescent="0.25">
      <c r="A26" s="263" t="s">
        <v>1040</v>
      </c>
      <c r="B26" s="263" t="s">
        <v>1054</v>
      </c>
      <c r="C26" s="71" t="s">
        <v>1055</v>
      </c>
      <c r="D26" s="340">
        <v>2.4</v>
      </c>
      <c r="E26" s="263" t="s">
        <v>1056</v>
      </c>
    </row>
    <row r="27" spans="1:5" x14ac:dyDescent="0.25">
      <c r="A27" s="263" t="s">
        <v>1057</v>
      </c>
      <c r="B27" s="263" t="s">
        <v>1058</v>
      </c>
      <c r="C27" s="71">
        <v>43010</v>
      </c>
      <c r="D27" s="340">
        <v>2.2999999999999998</v>
      </c>
      <c r="E27" s="263" t="s">
        <v>1049</v>
      </c>
    </row>
    <row r="28" spans="1:5" ht="306" x14ac:dyDescent="0.25">
      <c r="A28" s="263" t="s">
        <v>1057</v>
      </c>
      <c r="B28" s="263" t="s">
        <v>1059</v>
      </c>
      <c r="C28" s="71">
        <v>42941</v>
      </c>
      <c r="D28" s="340">
        <v>2.1</v>
      </c>
      <c r="E28" s="263" t="s">
        <v>1051</v>
      </c>
    </row>
    <row r="29" spans="1:5" ht="191.25" x14ac:dyDescent="0.25">
      <c r="A29" s="263" t="s">
        <v>1057</v>
      </c>
      <c r="B29" s="263" t="s">
        <v>1060</v>
      </c>
      <c r="C29" s="71">
        <v>42941</v>
      </c>
      <c r="D29" s="340">
        <v>2.1</v>
      </c>
      <c r="E29" s="263" t="s">
        <v>1053</v>
      </c>
    </row>
    <row r="30" spans="1:5" x14ac:dyDescent="0.25">
      <c r="A30" s="263" t="s">
        <v>1057</v>
      </c>
      <c r="B30" s="263" t="s">
        <v>1061</v>
      </c>
      <c r="C30" s="71">
        <v>42759</v>
      </c>
      <c r="D30" s="340" t="s">
        <v>1062</v>
      </c>
      <c r="E30" s="263" t="s">
        <v>1056</v>
      </c>
    </row>
    <row r="31" spans="1:5" x14ac:dyDescent="0.25">
      <c r="A31" s="263" t="s">
        <v>1057</v>
      </c>
      <c r="B31" s="263" t="s">
        <v>1063</v>
      </c>
      <c r="C31" s="71">
        <v>42485</v>
      </c>
      <c r="D31" s="340" t="s">
        <v>1064</v>
      </c>
      <c r="E31" s="263" t="s">
        <v>1056</v>
      </c>
    </row>
  </sheetData>
  <sheetProtection sheet="1" objects="1" scenarios="1"/>
  <pageMargins left="0.7" right="0.7" top="0.75" bottom="0.75" header="0.3" footer="0.3"/>
  <pageSetup paperSize="9" scale="8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Release_AddAdditionalRow.Release_AddAdditionalRow">
                <anchor moveWithCells="1" sizeWithCells="1">
                  <from>
                    <xdr:col>1</xdr:col>
                    <xdr:colOff>1285875</xdr:colOff>
                    <xdr:row>2</xdr:row>
                    <xdr:rowOff>66675</xdr:rowOff>
                  </from>
                  <to>
                    <xdr:col>1</xdr:col>
                    <xdr:colOff>3419475</xdr:colOff>
                    <xdr:row>3</xdr:row>
                    <xdr:rowOff>161925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RibbonScreenTipsSheet">
    <tabColor rgb="FFFFC000"/>
  </sheetPr>
  <dimension ref="A1:E47"/>
  <sheetViews>
    <sheetView defaultGridColor="0" colorId="55" zoomScale="98" zoomScaleNormal="98" workbookViewId="0">
      <selection activeCell="D8" sqref="D8"/>
    </sheetView>
  </sheetViews>
  <sheetFormatPr defaultColWidth="9.28515625" defaultRowHeight="15" x14ac:dyDescent="0.25"/>
  <cols>
    <col min="1" max="1" width="18" style="238" customWidth="1"/>
    <col min="2" max="2" width="31.28515625" style="238" bestFit="1" customWidth="1"/>
    <col min="3" max="3" width="46.7109375" style="238" customWidth="1"/>
    <col min="4" max="4" width="170.5703125" style="238" bestFit="1" customWidth="1"/>
    <col min="5" max="5" width="9.28515625" style="238" customWidth="1"/>
    <col min="6" max="16384" width="9.28515625" style="238"/>
  </cols>
  <sheetData>
    <row r="1" spans="1:5" s="237" customFormat="1" x14ac:dyDescent="0.25">
      <c r="A1" s="237" t="s">
        <v>1065</v>
      </c>
      <c r="B1" s="237" t="s">
        <v>1066</v>
      </c>
      <c r="C1" s="237" t="s">
        <v>1067</v>
      </c>
      <c r="D1" s="237" t="s">
        <v>1068</v>
      </c>
    </row>
    <row r="2" spans="1:5" x14ac:dyDescent="0.25">
      <c r="A2" s="238" t="s">
        <v>1069</v>
      </c>
      <c r="B2" s="238" t="s">
        <v>1070</v>
      </c>
      <c r="C2" s="238" t="s">
        <v>1071</v>
      </c>
      <c r="D2" s="238" t="s">
        <v>1072</v>
      </c>
    </row>
    <row r="3" spans="1:5" x14ac:dyDescent="0.25">
      <c r="A3" s="238" t="s">
        <v>1073</v>
      </c>
      <c r="B3" s="238" t="s">
        <v>1074</v>
      </c>
      <c r="C3" s="238" t="s">
        <v>1075</v>
      </c>
    </row>
    <row r="4" spans="1:5" ht="45" x14ac:dyDescent="0.25">
      <c r="B4" s="238" t="s">
        <v>1076</v>
      </c>
      <c r="C4" s="238" t="s">
        <v>1077</v>
      </c>
      <c r="D4" s="239" t="s">
        <v>1078</v>
      </c>
      <c r="E4" s="239"/>
    </row>
    <row r="5" spans="1:5" x14ac:dyDescent="0.25">
      <c r="A5" s="238" t="s">
        <v>1073</v>
      </c>
      <c r="B5" s="238" t="s">
        <v>1079</v>
      </c>
      <c r="C5" s="238" t="s">
        <v>1080</v>
      </c>
    </row>
    <row r="6" spans="1:5" x14ac:dyDescent="0.25">
      <c r="B6" s="238" t="s">
        <v>1081</v>
      </c>
      <c r="C6" s="238" t="s">
        <v>982</v>
      </c>
      <c r="D6" s="238" t="s">
        <v>1082</v>
      </c>
    </row>
    <row r="7" spans="1:5" ht="30" x14ac:dyDescent="0.25">
      <c r="B7" s="238" t="s">
        <v>1083</v>
      </c>
      <c r="C7" s="238" t="s">
        <v>1084</v>
      </c>
      <c r="D7" s="239" t="s">
        <v>1085</v>
      </c>
      <c r="E7" s="239"/>
    </row>
    <row r="8" spans="1:5" ht="30" x14ac:dyDescent="0.25">
      <c r="B8" s="238" t="s">
        <v>1086</v>
      </c>
      <c r="C8" s="238" t="s">
        <v>1087</v>
      </c>
      <c r="D8" s="239" t="s">
        <v>1088</v>
      </c>
    </row>
    <row r="9" spans="1:5" x14ac:dyDescent="0.25">
      <c r="A9" s="238" t="s">
        <v>1073</v>
      </c>
      <c r="B9" s="238" t="s">
        <v>1089</v>
      </c>
      <c r="C9" s="238" t="s">
        <v>1090</v>
      </c>
    </row>
    <row r="10" spans="1:5" ht="30" x14ac:dyDescent="0.25">
      <c r="B10" s="238" t="s">
        <v>1091</v>
      </c>
      <c r="C10" s="238" t="s">
        <v>1092</v>
      </c>
      <c r="D10" s="239" t="s">
        <v>1093</v>
      </c>
    </row>
    <row r="11" spans="1:5" ht="45" x14ac:dyDescent="0.25">
      <c r="B11" s="238" t="s">
        <v>1094</v>
      </c>
      <c r="C11" s="238" t="s">
        <v>1095</v>
      </c>
      <c r="D11" s="239" t="s">
        <v>1096</v>
      </c>
    </row>
    <row r="12" spans="1:5" ht="45" x14ac:dyDescent="0.25">
      <c r="B12" s="238" t="s">
        <v>1097</v>
      </c>
      <c r="C12" s="238" t="s">
        <v>1098</v>
      </c>
      <c r="D12" s="239" t="s">
        <v>1099</v>
      </c>
    </row>
    <row r="13" spans="1:5" x14ac:dyDescent="0.25">
      <c r="A13" s="238" t="s">
        <v>1073</v>
      </c>
      <c r="B13" s="238" t="s">
        <v>1100</v>
      </c>
      <c r="C13" s="238" t="s">
        <v>1101</v>
      </c>
    </row>
    <row r="14" spans="1:5" x14ac:dyDescent="0.25">
      <c r="B14" s="238" t="s">
        <v>1102</v>
      </c>
      <c r="C14" s="238" t="s">
        <v>1103</v>
      </c>
      <c r="D14" s="239" t="s">
        <v>1104</v>
      </c>
    </row>
    <row r="15" spans="1:5" ht="30" x14ac:dyDescent="0.25">
      <c r="B15" s="238" t="s">
        <v>1105</v>
      </c>
      <c r="C15" s="238" t="s">
        <v>1106</v>
      </c>
      <c r="D15" s="239" t="s">
        <v>1107</v>
      </c>
    </row>
    <row r="16" spans="1:5" ht="30" x14ac:dyDescent="0.25">
      <c r="B16" s="238" t="s">
        <v>1108</v>
      </c>
      <c r="C16" s="238" t="s">
        <v>1109</v>
      </c>
      <c r="D16" s="239" t="s">
        <v>1110</v>
      </c>
    </row>
    <row r="17" spans="1:4" x14ac:dyDescent="0.25">
      <c r="A17" s="238" t="s">
        <v>1073</v>
      </c>
      <c r="B17" s="238" t="s">
        <v>1111</v>
      </c>
      <c r="C17" s="238" t="s">
        <v>1112</v>
      </c>
    </row>
    <row r="18" spans="1:4" ht="45" x14ac:dyDescent="0.25">
      <c r="B18" s="238" t="s">
        <v>1113</v>
      </c>
      <c r="C18" s="238" t="s">
        <v>1114</v>
      </c>
      <c r="D18" s="239" t="s">
        <v>1115</v>
      </c>
    </row>
    <row r="19" spans="1:4" ht="45" x14ac:dyDescent="0.25">
      <c r="B19" s="238" t="s">
        <v>1116</v>
      </c>
      <c r="C19" s="238" t="s">
        <v>1117</v>
      </c>
      <c r="D19" s="239" t="s">
        <v>1118</v>
      </c>
    </row>
    <row r="20" spans="1:4" ht="45" x14ac:dyDescent="0.25">
      <c r="B20" s="238" t="s">
        <v>1119</v>
      </c>
      <c r="C20" s="238" t="s">
        <v>1120</v>
      </c>
      <c r="D20" s="239" t="s">
        <v>1121</v>
      </c>
    </row>
    <row r="21" spans="1:4" x14ac:dyDescent="0.25">
      <c r="A21" s="238" t="s">
        <v>1073</v>
      </c>
      <c r="B21" s="238" t="s">
        <v>1122</v>
      </c>
      <c r="C21" s="238" t="s">
        <v>1123</v>
      </c>
    </row>
    <row r="22" spans="1:4" x14ac:dyDescent="0.25">
      <c r="B22" s="238" t="s">
        <v>1124</v>
      </c>
      <c r="C22" s="238" t="s">
        <v>1125</v>
      </c>
      <c r="D22" s="238" t="s">
        <v>1126</v>
      </c>
    </row>
    <row r="23" spans="1:4" x14ac:dyDescent="0.25">
      <c r="B23" s="238" t="s">
        <v>1127</v>
      </c>
      <c r="C23" s="238" t="s">
        <v>1128</v>
      </c>
      <c r="D23" s="238" t="s">
        <v>1129</v>
      </c>
    </row>
    <row r="24" spans="1:4" ht="30" x14ac:dyDescent="0.25">
      <c r="B24" s="238" t="s">
        <v>1130</v>
      </c>
      <c r="C24" s="238" t="s">
        <v>1131</v>
      </c>
      <c r="D24" s="239" t="s">
        <v>1132</v>
      </c>
    </row>
    <row r="25" spans="1:4" x14ac:dyDescent="0.25">
      <c r="A25" s="238" t="s">
        <v>1073</v>
      </c>
      <c r="B25" s="238" t="s">
        <v>1133</v>
      </c>
      <c r="C25" s="238" t="s">
        <v>1134</v>
      </c>
    </row>
    <row r="26" spans="1:4" ht="75" x14ac:dyDescent="0.25">
      <c r="B26" s="238" t="s">
        <v>1135</v>
      </c>
      <c r="C26" s="238" t="s">
        <v>1134</v>
      </c>
      <c r="D26" s="239" t="s">
        <v>1136</v>
      </c>
    </row>
    <row r="27" spans="1:4" x14ac:dyDescent="0.25">
      <c r="A27" s="238" t="s">
        <v>1073</v>
      </c>
      <c r="B27" s="238" t="s">
        <v>1137</v>
      </c>
      <c r="C27" s="238" t="s">
        <v>1138</v>
      </c>
    </row>
    <row r="28" spans="1:4" x14ac:dyDescent="0.25">
      <c r="B28" s="238" t="s">
        <v>1139</v>
      </c>
      <c r="C28" s="238" t="s">
        <v>1140</v>
      </c>
      <c r="D28" s="238" t="s">
        <v>1141</v>
      </c>
    </row>
    <row r="29" spans="1:4" x14ac:dyDescent="0.25">
      <c r="B29" s="238" t="s">
        <v>1142</v>
      </c>
      <c r="C29" s="238" t="s">
        <v>1143</v>
      </c>
      <c r="D29" s="238" t="s">
        <v>1144</v>
      </c>
    </row>
    <row r="30" spans="1:4" x14ac:dyDescent="0.25">
      <c r="A30" s="238" t="s">
        <v>1073</v>
      </c>
      <c r="B30" s="238" t="s">
        <v>1145</v>
      </c>
      <c r="C30" s="238" t="s">
        <v>1146</v>
      </c>
    </row>
    <row r="31" spans="1:4" x14ac:dyDescent="0.25">
      <c r="B31" s="238" t="s">
        <v>1147</v>
      </c>
      <c r="C31" s="238" t="s">
        <v>1148</v>
      </c>
      <c r="D31" s="238" t="s">
        <v>1149</v>
      </c>
    </row>
    <row r="32" spans="1:4" x14ac:dyDescent="0.25">
      <c r="A32" s="238" t="s">
        <v>1073</v>
      </c>
      <c r="B32" s="238" t="s">
        <v>1150</v>
      </c>
      <c r="C32" s="238" t="s">
        <v>1151</v>
      </c>
    </row>
    <row r="33" spans="1:4" x14ac:dyDescent="0.25">
      <c r="B33" s="238" t="s">
        <v>1152</v>
      </c>
      <c r="C33" s="238" t="s">
        <v>1153</v>
      </c>
      <c r="D33" s="238" t="s">
        <v>1154</v>
      </c>
    </row>
    <row r="34" spans="1:4" x14ac:dyDescent="0.25">
      <c r="B34" s="238" t="s">
        <v>1155</v>
      </c>
      <c r="C34" s="238" t="s">
        <v>790</v>
      </c>
      <c r="D34" s="238" t="s">
        <v>1156</v>
      </c>
    </row>
    <row r="35" spans="1:4" x14ac:dyDescent="0.25">
      <c r="B35" s="238" t="s">
        <v>1157</v>
      </c>
      <c r="C35" s="238" t="s">
        <v>1158</v>
      </c>
      <c r="D35" s="238" t="s">
        <v>1159</v>
      </c>
    </row>
    <row r="36" spans="1:4" x14ac:dyDescent="0.25">
      <c r="B36" s="238" t="s">
        <v>1160</v>
      </c>
      <c r="C36" s="238" t="s">
        <v>1161</v>
      </c>
      <c r="D36" s="238" t="s">
        <v>1162</v>
      </c>
    </row>
    <row r="37" spans="1:4" x14ac:dyDescent="0.25">
      <c r="A37" s="238" t="s">
        <v>1073</v>
      </c>
      <c r="B37" s="238" t="s">
        <v>1163</v>
      </c>
      <c r="C37" s="238" t="s">
        <v>1164</v>
      </c>
    </row>
    <row r="38" spans="1:4" x14ac:dyDescent="0.25">
      <c r="B38" s="238" t="s">
        <v>1165</v>
      </c>
      <c r="C38" s="238" t="s">
        <v>1166</v>
      </c>
      <c r="D38" s="238" t="s">
        <v>1167</v>
      </c>
    </row>
    <row r="39" spans="1:4" x14ac:dyDescent="0.25">
      <c r="B39" s="238" t="s">
        <v>1168</v>
      </c>
      <c r="C39" s="238" t="s">
        <v>1169</v>
      </c>
      <c r="D39" s="238" t="s">
        <v>1170</v>
      </c>
    </row>
    <row r="40" spans="1:4" x14ac:dyDescent="0.25">
      <c r="A40" s="238" t="s">
        <v>1073</v>
      </c>
      <c r="B40" s="238" t="s">
        <v>1171</v>
      </c>
      <c r="C40" s="238" t="s">
        <v>1172</v>
      </c>
    </row>
    <row r="41" spans="1:4" x14ac:dyDescent="0.25">
      <c r="B41" s="238" t="s">
        <v>1173</v>
      </c>
      <c r="C41" s="238" t="s">
        <v>1174</v>
      </c>
      <c r="D41" s="238" t="s">
        <v>1175</v>
      </c>
    </row>
    <row r="42" spans="1:4" x14ac:dyDescent="0.25">
      <c r="B42" s="238" t="s">
        <v>1176</v>
      </c>
      <c r="C42" s="238" t="s">
        <v>1177</v>
      </c>
      <c r="D42" s="238" t="s">
        <v>1178</v>
      </c>
    </row>
    <row r="43" spans="1:4" x14ac:dyDescent="0.25">
      <c r="A43" s="238" t="s">
        <v>1073</v>
      </c>
      <c r="B43" s="238" t="s">
        <v>1179</v>
      </c>
      <c r="C43" s="238" t="s">
        <v>1180</v>
      </c>
    </row>
    <row r="44" spans="1:4" x14ac:dyDescent="0.25">
      <c r="B44" s="238" t="s">
        <v>1181</v>
      </c>
      <c r="C44" s="238" t="s">
        <v>1182</v>
      </c>
      <c r="D44" s="238" t="s">
        <v>1183</v>
      </c>
    </row>
    <row r="45" spans="1:4" x14ac:dyDescent="0.25">
      <c r="A45" s="238" t="s">
        <v>1073</v>
      </c>
      <c r="B45" s="238" t="s">
        <v>1184</v>
      </c>
      <c r="C45" s="238" t="s">
        <v>1185</v>
      </c>
    </row>
    <row r="46" spans="1:4" x14ac:dyDescent="0.25">
      <c r="B46" s="238" t="s">
        <v>1186</v>
      </c>
      <c r="C46" s="238" t="s">
        <v>1187</v>
      </c>
      <c r="D46" s="238" t="s">
        <v>1188</v>
      </c>
    </row>
    <row r="47" spans="1:4" x14ac:dyDescent="0.25">
      <c r="B47" s="238" t="s">
        <v>1189</v>
      </c>
      <c r="C47" s="238" t="s">
        <v>1190</v>
      </c>
      <c r="D47" s="238" t="s">
        <v>1191</v>
      </c>
    </row>
  </sheetData>
  <sheetProtection sheet="1" objects="1" scenarios="1"/>
  <pageMargins left="0.7" right="0.7" top="0.75" bottom="0.75" header="0.3" footer="0.3"/>
  <pageSetup paperSize="9" orientation="portrait" r:id="rId1"/>
</worksheet>
</file>

<file path=customUI/customUI14.xml><?xml version="1.0" encoding="utf-8"?>
<customUI xmlns="http://schemas.microsoft.com/office/2009/07/customui" onLoad="RibbonOnLoad">
  <!-- Disable or repurpose built-in Ribbon controls -->
  <commands>
    <!-- Disable the CUT command in the Home tab -->
    <command idMso="Cut" enabled="false"/>
    <!-- When you click on Paste on the Home tab it will run the custom macro "PasteValuesOnlyViaRibbon" instead of its Excel default behaviour -->
    <command idMso="Paste" enabled="true" onAction="PasteValuesOnlyViaRibbon"/>
    <command idMso="PasteMenu" enabled="false" onAction="PasteValuesOnlyViaRibbon"/>
    <command idMso="PasteGallery" enabled="false"/>
    <command idMso="PasteGalleryMini" enabled="false"/>
    <command idMso="PasteLink" enabled="false"/>
    <command idMso="PasteInk" enabled="false"/>
    <command idMso="PasteAsHyperlink" enabled="false"/>
    <command idMso="PasteSpecialDialog" enabled="false"/>
    <command idMso="PasteSpecial" enabled="false"/>
    <command idMso="PasteSpecialContext" enabled="false"/>
    <command idMso="PasteFormatting" enabled="false"/>
    <command idMso="PasteFormulas" enabled="false"/>
    <command idMso="PasteValues" enabled="false"/>
    <command idMso="PasteFormulasAndNumberFormatting" enabled="false"/>
    <command idMso="PasteTranspose" enabled="false"/>
    <command idMso="PasteAsPictureMenu" enabled="false"/>
    <command idMso="PastePictureLink" enabled="false"/>
    <command idMso="PasteAsPicture" enabled="false"/>
    <command idMso="PasteSourceFormatting" enabled="false"/>
    <command idMso="PasteNoBorders" enabled="false"/>
    <command idMso="PasteWithColumnWidths" enabled="false"/>
    <command idMso="PasteMergeConditionalFormatting" enabled="false"/>
    <command idMso="PasteValuesAndNumberFormatting" enabled="false"/>
    <command idMso="PasteValuesAndSourceFormatting" enabled="false"/>
    <command idMso="PasteDestinationFormatting" enabled="false"/>
    <command idMso="PasteSourceTheme" enabled="false"/>
    <command idMso="PasteDestinationTheme" enabled="false"/>
    <command idMso="PasteUsingTextImportWizard" enabled="false"/>
    <command idMso="PasteRefreshableWebQuery" enabled="false"/>
    <command idMso="OleObjectInsert" enabled="false"/>
    <command idMso="NamePasteName" enabled="false"/>
    <command idMso="PasteTextOnly" enabled="false"/>
  </commands>
  <!-- Add the SEET custom extensions to the Ribbon -->
  <ribbon startFromScratch="false">
    <tabs>
      <!-- Add a custom SEET Tab -->
      <tab id="SeetTab" label="Estimate" insertBeforeMso="TabHome" getVisible="SeetMenuVisible">
        <group id="InsertWorksheetGroup" label="Insert" visible="true" imageMso="SheetInsert" getScreentip="GetScreentipRibbon" getSupertip="GetSupertipRibbon">
          <button id="InsertWorksheet" label="Insert Sheet" size="large" onAction="InsertUserWorksheet" imageMso="SheetInsert" getScreentip="GetScreentipRibbon" getSupertip="GetSupertipRibbon"/>
        </group>
        <group id="RibbonScenario" label="Scenario" visible="true" imageMso="GroupSmartArtQuickStyles" getScreentip="GetScreentipRibbon" getSupertip="GetSupertipRibbon">
          <labelControl id="SelectScenarioDropboxLabel" label="  Scenario" visible="true" enabled="true"/>
          <dropDown id="RibbonScenarioSelect" sizeString="xxxxxxxxxxxxxxxxxxxxxxxxxxxxxxxxxxxxxxxx" getItemCount="DropdownGetItemCountRibbon" getItemLabel="DropdownGetItemLabelRibbon" onAction="DrodownOnActionRibbon" getSelectedItemIndex="DropdownGetSelectedItemIndexRibbon" getScreentip="GetScreentipRibbon" getSupertip="GetSupertipRibbon"/>
        </group>
        <group id="RibbonDetailAttributes" label="Detail Tabs" getVisible="GetVisibleByTag" tag="DetailTab" imageMso="FontConditionalFormatting" getScreentip="GetScreentipRibbon" getSupertip="GetSupertipRibbon">
          <dropDown id="RibbonDefSolnComp" label="Default Solution Component" sizeString="xxxxxxxx" getEnabled="RibbonDetailTabItemsEnabled" getItemCount="DropdownGetItemCountRibbon" getItemLabel="DropdownGetItemLabelRibbon" onAction="DrodownOnActionRibbon" getSelectedItemIndex="DropdownGetSelectedItemIndexRibbon" getScreentip="GetScreentipRibbon" getSupertip="GetSupertipRibbon"/>
          <checkBox id="RibbonHighlightScenarioEffort" label="Highlight Scenario Work Items" getEnabled="RibbonDetailTabItemsEnabled" onAction="CheckboxOnActionViaRibbon" getPressed="CheckboxGetPressedViaRibbon" getScreentip="GetScreentipRibbon" getSupertip="GetSupertipRibbon"/>
          <checkBox id="RibbonHighlightEffortNoScenario" label="Highlight Work Items with No Scenario" getEnabled="RibbonDetailTabItemsEnabled" onAction="CheckboxOnActionViaRibbon" getPressed="CheckboxGetPressedViaRibbon" getScreentip="GetScreentipRibbon" getSupertip="GetSupertipRibbon"/>
        </group>
        <group id="RibbonDetailAddTam" label="Add" getVisible="GetVisibleByTag" tag="DetailTab" imageMso="OutlineShowDetail" getScreentip="GetScreentipRibbon" getSupertip="GetSupertipRibbon">
          <button id="RibbonAddTam3" label="Add Work Item" size="large" onAction="AddTamLvl3RowViaRib" imageMso="OutlineExpand" getEnabled="RibDetlTamEnab" getScreentip="GetScreentipRibbon" getSupertip="GetSupertipRibbon"/>
          <button id="RibbonAddTam2" label="Add TAM Level 2" size="large" onAction="AddTamLvl2GroupViaRib" imageMso="RecordsExpandAllSubdatasheets" getEnabled="RibDetlTamEnab" getScreentip="GetScreentipRibbon" getSupertip="GetSupertipRibbon"/>
          <button id="RibbonAddTam1" label="Add TAM Level 1" size="large" onAction="AddTamLvl1GroupViaRib" imageMso="OutlineShowDetail" getEnabled="RibDetlTamEnab" getScreentip="GetScreentipRibbon" getSupertip="GetSupertipRibbon"/>
        </group>
        <group id="RibbonDetailDeleteTam" label="Delete" getVisible="GetVisibleByTag" tag="DetailTab" imageMso="OutlineHideDetail" getScreentip="GetScreentipRibbon" getSupertip="GetSupertipRibbon">
          <button id="RibbonDeleteTam3" label="Delete Work Item" size="large" onAction="DelTAMLvl3RowViaRib" imageMso="OutlineCollapse" getEnabled="RibDetlTamEnab" getScreentip="GetScreentipRibbon" getSupertip="GetSupertipRibbon"/>
          <button id="RibbonDeleteTam2" label="Delete TAM Level 2" size="large" onAction="DelTAMLvl2GroupViaRib" imageMso="RecordsCollapseAllSubdatasheets" getEnabled="RibDetlTamEnab" getScreentip="GetScreentipRibbon" getSupertip="GetSupertipRibbon"/>
          <button id="RibbonDeleteTam1" label="Delete TAM Level 1" size="large" onAction="DelTAMLvl1GroupViaRib" imageMso="OutlineHideDetail" getEnabled="RibDetlTamEnab" getScreentip="GetScreentipRibbon" getSupertip="GetSupertipRibbon"/>
        </group>
        <!--SSW[V3.7]:Added button for Filter option in Detail Tab -->
        <group id="RibbonDetailFilterValue" label="Filter Data" getVisible="GetVisibleByTag" tag="DetailTab" imageMso="OutlineShowDetail" getScreentip="GetScreentipRibbon" getSupertip="GetSupertipRibbon">
          <button id="RibbonProformaGenerateFilter" label="Enable/Disable Filter Option" size="large" onAction="FilterDataViaRib" imageMso="CreateReport" getScreentip="GetScreentipRibbon" getSupertip="GetSupertipRibbon"/>
        </group>
        <!-- Add Agile tab items-->
        <group id="RibbonAgileAdd" label="Add" getVisible="GetVisibleByTag" tag="AgileTopDownTab" imageMso="DistributionListAddNewMember" screentip="Add to Agile Top-Down Estimate" getSupertip="GetSupertipRibbon">
          <button id="RibbonAddResourceRow" label="Add Resource Role" size="large" onAction="AddResRowViaRib" imageMso="DistributionListAddNewMember" getEnabled="RibAgileAddDelEnb" getScreentip="GetScreentipRibbon" getSupertip="GetSupertipRibbon"/>
          <button id="RibbonAddResourceGroup" getLabel="RibbonAgileAddResourceGroupLabel" size="large" onAction="AddResGrpViaRib" imageMso="MeetingsWorkspace" getEnabled="RibAgileAddDelEnb" getScreentip="GetScreentipRibbon" getSupertip="GetSupertipRibbon"/>
          <button id="RibbonAddIteration" label="Add Week" size="large" onAction="AddIteratViaRib" imageMso="TableColumnsInsertRight" getEnabled="RibAgileAddDelEnb" getScreentip="GetScreentipRibbon" getSupertip="GetSupertipRibbon"/>
        </group>
        <group id="RibbonAgileDelete" label="Delete" getVisible="GetVisibleByTag" tag="AgileTopDownTab" imageMso="DistributionListRemoveMember" getScreentip="GetScreentipRibbon" getSupertip="GetSupertipRibbon">
          <button id="RibbonDeleteResourceRow" label="Delete Resource Role" size="large" onAction="DelResRowViaRib" imageMso="DistributionListRemoveMember" getEnabled="RibAgileAddDelEnb" getScreentip="GetScreentipRibbon" getSupertip="GetSupertipRibbon"/>
          <button id="RibbonDeleteResourceGroup" getLabel="RibbonAgileDeleteResourceGroupLabel" size="large" onAction="DelResGrpViaRib" imageMso="SharingNone" getEnabled="RibAgileAddDelEnb" getScreentip="GetScreentipRibbon" getSupertip="GetSupertipRibbon"/>
          <button id="RibbonDeleteIteration" label="Delete Week" size="large" onAction="DelIteratViaRib" imageMso="TableColumnsDeleteExcel" getEnabled="RibAgileAddDelEnb" getScreentip="GetScreentipRibbon" getSupertip="GetSupertipRibbon"/>
        </group>
        <!--SSW[V3.7]: Added for Filter button in Agile top-down Tab -->
        <group id="RibbonAgileFilterValue" label="Filter Data" getVisible="GetVisibleByTag" tag="AgileTopDownTab" imageMso="OutlineShowDetail" getScreentip="GetScreentipRibbon" getSupertip="GetSupertipRibbon">
          <button id="RibbonAgileFilter" label="Enable/Disable Filter Option" size="large" onAction="FilterAgileDataViaRib" imageMso="CreateReport" getScreentip="GetScreentipRibbon" getSupertip="GetSupertipRibbon"/>
        </group>
        <!-- Add Expense Menu items-->
        <!-- Add Expense Rows -->
        <group id="RibbonExpenseInsertValues" label="Insert Expenses" getVisible="GetVisibleByTag" tag="ExpensesTab" imageMso="InsertRow" getScreentip="GetScreentipRibbon" getSupertip="GetSupertipRibbon">
          <button id="RibbonExpensesInsertLineBefore" label="Insert Before" size="large" onAction="ExpensesInsertExpLineBeforeViaRibbon" imageMso="TableRowsInsertAboveExcel" getEnabled="RibExpEnb" getScreentip="GetScreentipRibbon" getSupertip="GetSupertipRibbon"/>
          <button id="RibbonExpensesInsertAfterBefore" label="Insert After" size="large" onAction="ExpensesInsertExpLineAfterViaRibbon" imageMso="TableRowsInsertBelowExcel" getEnabled="RibExpEnb" getScreentip="GetScreentipRibbon" getSupertip="GetSupertipRibbon"/>
        </group>
        <!-- Delete Expense Rows -->
        <group id="RibbonExpenseDeleteValues" label="Delete Expenses" getVisible="GetVisibleByTag" tag="ExpensesTab" imageMso="TableDeleteRows" getScreentip="GetScreentipRibbon" getSupertip="GetSupertipRibbon">
          <button id="RibbonExpensesDeleteExpenseRow" label="Delete Line" size="large" onAction="ExpensesDeleteExpRowViaRib" imageMso="TableDeleteRows" getEnabled="RibExpEnb" getScreentip="GetScreentipRibbon" getSupertip="GetSupertipRibbon"/>
        </group>
        <!-- Import Expense Rows -->
        <group id="RibbonExpenseImportRates" label="Import Expense Rates" getVisible="GetVisibleByTag" tag="ExpensesTab" imageMso="ImportExcel" getScreentip="GetScreentipRibbon" getSupertip="GetSupertipRibbon">
          <!-- <labelControl id="RibbonExpenseImportRateEditBoxLabel" label="  Import from Filename" visible="true" enabled="true" />
		<editBox id="RibbonExpenseImportRateEditBox"  sizeString="xxxxxxxxxxxxxxxxxxxxxxxxxxxxxxxxxxxxxxxx" onChange="RibbonEditBoxCallbackOnChange"/> -->
          <button id="RibbonExpensesImportRates" label="Import Rates" size="large" onAction="ExpensesImportNewRatesViaRibbon" imageMso="ImportExcel" getEnabled="RibExpRateEnb" getScreentip="GetScreentipRibbon" getSupertip="GetSupertipRibbon"/>
        </group>
        <!-- Add Domain Breakdown Menu items -->
        <group id="RibbonDomainBreakdown" label="Generate Domain Breakdown" getVisible="GetVisibleByTag" tag="DomainBreakdownTab" imageMso="CreateReportFromWizard" getScreentip="GetScreentipRibbon" getSupertip="GetSupertipRibbon">
          <checkBox id="RibbonDomainBreakdownInclRegion" label="Include Region Only" getEnabled="RibbonDomainBreakdownEnabled" onAction="CheckboxOnActionViaRibbon" getPressed="CheckboxGetPressedViaRibbon" getScreentip="GetScreentipRibbon" getSupertip="GetSupertipRibbon"/>
          <checkBox id="RibbonDomainBreakdownInclRoleRegion" label="Include Role and Region" getEnabled="RibbonDomainBreakdownEnabled" onAction="CheckboxOnActionViaRibbon" getPressed="CheckboxGetPressedViaRibbon" getScreentip="GetScreentipRibbon" getSupertip="GetSupertipRibbon"/>
          <button id="RibbonDomainBreakdownGenerate" label="Run Breakdown" size="large" onAction="GenerateDomainBreakdownViaRibbon" imageMso="CreateReport" getScreentip="GetScreentipRibbon" getSupertip="GetSupertipRibbon"/>
        </group>
        <!-- Add TTS Menu items-->
        <group id="RibbonTTS" label="Generate TTS" getVisible="GetVisibleByTag" tag="TTSTab" imageMso="CreateReportFromWizard" getScreentip="GetScreentipRibbon" getSupertip="GetSupertipRibbon">
          <button id="RibbonTTSGenerate2" label="Run TTS" size="large" onAction="GenerateTTSViaRibbon" imageMso="CreateReport" getScreentip="GetScreentipRibbon" getSupertip="GetSupertipRibbon"/>
        </group>
        <!-- Add TTS Segregated Menu items[V3.7]-->
        <group id="RibbonTTSSegregate" label="Generate TTS Segregate" getVisible="GetVisibleByTag" tag="TTSSegregateTab" imageMso="CreateReportFromWizard" getScreentip="GetScreentipRibbon" getSupertip="GetSupertipRibbon">
          <button id="RibbonTTSGenerateSeg2" label="Run TTS" size="large" onAction="GenerateTTSSegregateViaRibbon" imageMso="CreateReport" getScreentip="GetScreentipRibbon" getSupertip="GetSupertipRibbon"/>
        </group>
        <!-- Add TTS Consolidated Menu items[V3.7]-->
        <group id="RibbonTTSConsolidate" label="Generate TTS Consolidate" getVisible="GetVisibleByTag" tag="TTSConsolidateTab" imageMso="CreateReportFromWizard" getScreentip="GetScreentipRibbon" getSupertip="GetSupertipRibbon">
          <button id="RibbonTTSGenerateConso" label="Run TTS" size="large" onAction="GenerateTTSConsolidateViaRibbon" imageMso="CreateReport" getScreentip="GetScreentipRibbon" getSupertip="GetSupertipRibbon"/>
        </group>
        <!-- Add Proforma Menu items-->
        <group id="RibbonProforma" label="Generate Proforma" getVisible="GetVisibleByTag" tag="ProformaTab" imageMso="CreateReportFromWizard" getScreentip="GetScreentipRibbon" getSupertip="GetSupertipRibbon">
          <dropDown id="RibbonProformaDisplayType" label="Update Display Type" sizeString="xxxxxxxxxxxxxxxxxxxx" getEnabled="RibbonProformaEnabled" getItemCount="DropdownGetItemCountRibbon" getItemLabel="DropdownGetItemLabelRibbon" onAction="DrodownOnActionRibbon" getSelectedItemIndex="DropdownGetSelectedItemIndexRibbon" getScreentip="GetScreentipRibbon" getSupertip="GetSupertipRibbon"/>
          <editBox id="RibbonProformaDaysPerMonthEditBox" label="Update Days per Month" onChange="RibbonEditBoxCallbackOnChange"/>
          <checkBox id="RibbonProformaIncExpenses" label="Include Expenses?" getEnabled="RibbonProformaEnabled" onAction="CheckboxOnActionViaRibbon" getPressed="CheckboxGetPressedViaRibbon" getScreentip="GetScreentipRibbon" getSupertip="GetSupertipRibbon"/>
          <button id="RibbonProformaGenerate" label="Run Proforma" size="large" onAction="GenerateProformaViaRibbon" imageMso="CreateReport" getScreentip="GetScreentipRibbon" getSupertip="GetSupertipRibbon"/>
        </group>
        <!--SSW[V3.7]:Added for Filter button option in Proforma Tab-->
        <group id="RibbonProformaFilterValue" label="Filter Data" getVisible="GetVisibleByTag" tag="ProformaTab" imageMso="OutlineShowDetail" getScreentip="GetScreentipRibbon" getSupertip="GetSupertipRibbon">
          <button id="RibbonProformaFilter" label="Enable/Disable Filter Option" size="large" onAction="ProformaFilterDataViaRib" imageMso="CreateReport" getScreentip="GetScreentipRibbon" getSupertip="GetSupertipRibbon"/>
        </group>
        <!-- Add Proforma Segregation Menu items-->
        <group id="RibbonProformaSeg" label="Generate Proforma" getVisible="GetVisibleByTag" tag="ProformaSegTab" imageMso="CreateReportFromWizard" getScreentip="GetScreentipRibbon" getSupertip="GetSupertipRibbon">
          <dropDown id="RibbonProformaSegDisplayType" label="Update Display Type" sizeString="xxxxxxxxxxxxxxxxxxxx" getEnabled="RibbonProformaEnabled" getItemCount="DropdownGetItemCountRibbon" getItemLabel="DropdownGetItemLabelRibbon" onAction="DrodownOnActionRibbon" getSelectedItemIndex="DropdownGetSelectedItemIndexRibbon" getScreentip="GetScreentipRibbon" getSupertip="GetSupertipRibbon"/>
          <editBox id="RibbonProformaSegDaysPerMonthEditBox" label="Update Days per Month" onChange="RibbonEditBoxCallbackOnChange"/>
          <checkBox id="RibbonProformaSegIncExpenses" label="Include Expenses?" getEnabled="RibbonProformaEnabled" onAction="CheckboxOnActionViaRibbon" getPressed="CheckboxGetPressedViaRibbon" getScreentip="GetScreentipRibbon" getSupertip="GetSupertipRibbon"/>
          <button id="RibbonProformaSegGenerate" label="Run Proforma" size="large" onAction="GenerateProformaSegViaRibbon" imageMso="CreateReport" getScreentip="GetScreentipRibbon" getSupertip="GetSupertipRibbon"/>
        </group>
        <!-- Add Resource Cost Values Menu items-->
        <group id="RibbonResourceCostValues" label="Import Resource Cost Values" getVisible="GetVisibleByTag" tag="ResourceCostValueTab" imageMso="DollarSign" getScreentip="GetScreentipRibbon" getSupertip="GetSupertipRibbon">
          <!-- <labelControl id="RibbonResourceCostValuesEditBoxLabel" label="  Import from Filename" visible="true" enabled="true" /> -->
          <!-- <editBox id="RibbonResourceCostValuesEditBox"  sizeString="xxxxxxxxxxxxxxxxxxxxxxxxxxxxxxxxxxxxxxxx" onChange="RibbonEditBoxCallbackOnChange"/>		-->
          <button id="RibbonResourceCostValuesImport" label="Import Costs" size="large" onAction="ImportResourceCostValueViaRibbon" imageMso="ImportExcel" getScreentip="GetScreentipRibbon" getSupertip="GetSupertipRibbon"/>
        </group>
        <group id="RibbonResourceCreateNewRate" label="Add New Resource Location" getVisible="GetVisibleByTag" tag="ResourceCostValueTab" imageMso="ConvertTextToTable" getScreentip="GetScreentipRibbon" getSupertip="GetSupertipRibbon">
          <labelControl id="RibbonResourceCreateNewRateEditBoxLabel" label="  Add New Location" visible="true" enabled="true"/>
          <editBox id="RibbonResourceCreateNewRateEditBox" sizeString="xxxxxxxxxxxxxxxxxxxxxxxxxxxxxxxxxxxxxxxx" onChange="RibbonEditBoxCallbackOnChange"/>
          <button id="RibbonResourceNewRateCreate" label="Create New Location" size="large" onAction="CreateNewResourceCostValueViaRibbon" imageMso="ConvertTextToTable" getScreentip="GetScreentipRibbon" getSupertip="GetSupertipRibbon"/>
        </group>
      </tab>
    </tabs>
  </ribbon>
  <contextMenus>
    <contextMenu idMso="ContextMenuCell">
      <dynamicMenu id="SEET" label="Estimate" imageMso="MailMergeSelectRecipients" getContent="CellContextSeetDynamicContent" insertBeforeMso="Cut" getVisible="SeetMenuVisible"/>
      <menuSeparator id="SeetSeparator" insertBeforeMso="Cut"/>
      <!-- Disable all the Paste options in the Cell context menu -->
      <!-- Note: The Paste Special option could not be disabled here.  This is disabled in VB via the CommandBar object -->
      <gallery idMso="PasteGallery" visible="false"/>
      <gallery idMso="PasteGalleryMini" visible="false"/>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9ACFFD32956146906EC850E397D462" ma:contentTypeVersion="17" ma:contentTypeDescription="Create a new document." ma:contentTypeScope="" ma:versionID="b04167716f099e9a6310f48c0c9d1d0b">
  <xsd:schema xmlns:xsd="http://www.w3.org/2001/XMLSchema" xmlns:xs="http://www.w3.org/2001/XMLSchema" xmlns:p="http://schemas.microsoft.com/office/2006/metadata/properties" xmlns:ns2="9d1c76e1-785e-452c-bcc7-8119dfe380de" xmlns:ns3="1ac2e93b-57e5-41f4-81c4-d13e63726961" targetNamespace="http://schemas.microsoft.com/office/2006/metadata/properties" ma:root="true" ma:fieldsID="53248ef80d54af1e1a68bf011ed16a1b" ns2:_="" ns3:_="">
    <xsd:import namespace="9d1c76e1-785e-452c-bcc7-8119dfe380de"/>
    <xsd:import namespace="1ac2e93b-57e5-41f4-81c4-d13e6372696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1c76e1-785e-452c-bcc7-8119dfe380d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5366fe1b-491a-4d23-acde-bf4767b848a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ac2e93b-57e5-41f4-81c4-d13e63726961"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848c2915-6454-4b48-84e1-7c5a23a982e5}" ma:internalName="TaxCatchAll" ma:showField="CatchAllData" ma:web="1ac2e93b-57e5-41f4-81c4-d13e637269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d1c76e1-785e-452c-bcc7-8119dfe380de">
      <Terms xmlns="http://schemas.microsoft.com/office/infopath/2007/PartnerControls"/>
    </lcf76f155ced4ddcb4097134ff3c332f>
    <TaxCatchAll xmlns="1ac2e93b-57e5-41f4-81c4-d13e6372696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0D0CC53-AFF7-4E03-9D10-4598B7FBCC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1c76e1-785e-452c-bcc7-8119dfe380de"/>
    <ds:schemaRef ds:uri="1ac2e93b-57e5-41f4-81c4-d13e637269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9E1AE-4B31-4F02-ABFC-B159761571C5}">
  <ds:schemaRefs>
    <ds:schemaRef ds:uri="http://schemas.microsoft.com/office/2006/metadata/properties"/>
    <ds:schemaRef ds:uri="http://www.w3.org/XML/1998/namespace"/>
    <ds:schemaRef ds:uri="9d1c76e1-785e-452c-bcc7-8119dfe380de"/>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1ac2e93b-57e5-41f4-81c4-d13e63726961"/>
    <ds:schemaRef ds:uri="http://purl.org/dc/terms/"/>
    <ds:schemaRef ds:uri="http://purl.org/dc/elements/1.1/"/>
  </ds:schemaRefs>
</ds:datastoreItem>
</file>

<file path=customXml/itemProps3.xml><?xml version="1.0" encoding="utf-8"?>
<ds:datastoreItem xmlns:ds="http://schemas.openxmlformats.org/officeDocument/2006/customXml" ds:itemID="{26F58B65-49EC-4B9D-8D86-8CBE39AB44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173</vt:i4>
      </vt:variant>
    </vt:vector>
  </HeadingPairs>
  <TitlesOfParts>
    <vt:vector size="193" baseType="lpstr">
      <vt:lpstr>Front Sheet</vt:lpstr>
      <vt:lpstr>ECET Review Flow</vt:lpstr>
      <vt:lpstr>Instructions</vt:lpstr>
      <vt:lpstr>Assumptions</vt:lpstr>
      <vt:lpstr>Attributes</vt:lpstr>
      <vt:lpstr>Detail CUT</vt:lpstr>
      <vt:lpstr>Detail Non-CUT</vt:lpstr>
      <vt:lpstr>Agile Top-Down (S1)</vt:lpstr>
      <vt:lpstr>CUT &amp; Non-CUT Profile</vt:lpstr>
      <vt:lpstr>Domain_BRKDN</vt:lpstr>
      <vt:lpstr>TTS</vt:lpstr>
      <vt:lpstr>TTS_Consolidated</vt:lpstr>
      <vt:lpstr>TTS_Segregated</vt:lpstr>
      <vt:lpstr>Proforma</vt:lpstr>
      <vt:lpstr>Proforma_Segregated</vt:lpstr>
      <vt:lpstr>ResourceCostValues</vt:lpstr>
      <vt:lpstr>Expenses</vt:lpstr>
      <vt:lpstr>Parameters</vt:lpstr>
      <vt:lpstr>Release Notes</vt:lpstr>
      <vt:lpstr>Ribbon Screen Tips</vt:lpstr>
      <vt:lpstr>AgileContingencyDefault</vt:lpstr>
      <vt:lpstr>AgileDeveloperCUTCapacityDefault</vt:lpstr>
      <vt:lpstr>AgileIteration_Cutover</vt:lpstr>
      <vt:lpstr>AgileIteration_Design</vt:lpstr>
      <vt:lpstr>AgileIteration_Dev</vt:lpstr>
      <vt:lpstr>AgileIteration_E2E</vt:lpstr>
      <vt:lpstr>AgileIteration_HIP</vt:lpstr>
      <vt:lpstr>AgileIteration_ORT</vt:lpstr>
      <vt:lpstr>AgileIteration_PPT</vt:lpstr>
      <vt:lpstr>AgileIteration_Prep</vt:lpstr>
      <vt:lpstr>AgileIteration_PropSub</vt:lpstr>
      <vt:lpstr>AgileIteration_ScopPrep</vt:lpstr>
      <vt:lpstr>AgileIteration_SIT</vt:lpstr>
      <vt:lpstr>AgileIteration_Study</vt:lpstr>
      <vt:lpstr>AgileIteration_UAT</vt:lpstr>
      <vt:lpstr>AgileIteration_Warranty</vt:lpstr>
      <vt:lpstr>AgileIteration2_SIT</vt:lpstr>
      <vt:lpstr>AgileIteration2_UserTest</vt:lpstr>
      <vt:lpstr>AgileIterationTypeProjectPhase</vt:lpstr>
      <vt:lpstr>AgileIterationTypes</vt:lpstr>
      <vt:lpstr>AgileIterationTypeSecondary</vt:lpstr>
      <vt:lpstr>'Agile Top-Down (S1)'!AgileMonthsRow</vt:lpstr>
      <vt:lpstr>'Agile Top-Down (S2)'!AgileMonthsRow</vt:lpstr>
      <vt:lpstr>'Agile Top-Down (S3)'!AgileMonthsRow</vt:lpstr>
      <vt:lpstr>'Agile Top-Down (S4)'!AgileMonthsRow</vt:lpstr>
      <vt:lpstr>AgileResourceLocations</vt:lpstr>
      <vt:lpstr>'Agile Top-Down (S1)'!AgileResourcesCells</vt:lpstr>
      <vt:lpstr>'Agile Top-Down (S2)'!AgileResourcesCells</vt:lpstr>
      <vt:lpstr>'Agile Top-Down (S3)'!AgileResourcesCells</vt:lpstr>
      <vt:lpstr>'Agile Top-Down (S4)'!AgileResourcesCells</vt:lpstr>
      <vt:lpstr>AgileRoles</vt:lpstr>
      <vt:lpstr>AgileTab_durationInWeeks</vt:lpstr>
      <vt:lpstr>AgileTab_NoOfMonths</vt:lpstr>
      <vt:lpstr>AgileTab_NoOfResources</vt:lpstr>
      <vt:lpstr>AgileTab_NoOfWeeks</vt:lpstr>
      <vt:lpstr>AgileWarrantyDefault</vt:lpstr>
      <vt:lpstr>AssumptionsDistributionRange</vt:lpstr>
      <vt:lpstr>AssumptionsHideRange</vt:lpstr>
      <vt:lpstr>AssumptionsStatusRange</vt:lpstr>
      <vt:lpstr>Copyright</vt:lpstr>
      <vt:lpstr>Customer</vt:lpstr>
      <vt:lpstr>DefaultSolutionComponent</vt:lpstr>
      <vt:lpstr>DomainBreakdownInclRegionOnly</vt:lpstr>
      <vt:lpstr>DomainBreakdownInclRegionRole</vt:lpstr>
      <vt:lpstr>EstimateDate</vt:lpstr>
      <vt:lpstr>EstimateStatusList</vt:lpstr>
      <vt:lpstr>ExpenseImportFileName</vt:lpstr>
      <vt:lpstr>ExpenseRatesInUSDTable</vt:lpstr>
      <vt:lpstr>ExpenseRatesInUSDTableToPopulate</vt:lpstr>
      <vt:lpstr>ExpensesProjectExpensesTable</vt:lpstr>
      <vt:lpstr>fileNameCell</vt:lpstr>
      <vt:lpstr>FTEorEffort</vt:lpstr>
      <vt:lpstr>HighlightEffortNoScenario</vt:lpstr>
      <vt:lpstr>HighlightScenarioEffort</vt:lpstr>
      <vt:lpstr>MappingFromLocationToOnOffshore</vt:lpstr>
      <vt:lpstr>MappingFromSetAgiletoTTSRole</vt:lpstr>
      <vt:lpstr>MappingFromTTStoSU</vt:lpstr>
      <vt:lpstr>NewResourceRateName</vt:lpstr>
      <vt:lpstr>Expenses!pay_by_region</vt:lpstr>
      <vt:lpstr>Proforma!pay_by_region</vt:lpstr>
      <vt:lpstr>Proforma_Segregated!pay_by_region</vt:lpstr>
      <vt:lpstr>pay_by_region</vt:lpstr>
      <vt:lpstr>pay_by_region_Daily</vt:lpstr>
      <vt:lpstr>pay_by_region_Day_Hours</vt:lpstr>
      <vt:lpstr>pay_by_region_position_lookup</vt:lpstr>
      <vt:lpstr>ProformaDefaultDaysPerMonth</vt:lpstr>
      <vt:lpstr>ProformaDefaultSelectedDisplay</vt:lpstr>
      <vt:lpstr>ProformaIncExpenses</vt:lpstr>
      <vt:lpstr>Project</vt:lpstr>
      <vt:lpstr>ProjectActivity</vt:lpstr>
      <vt:lpstr>ResCostValue_USDDailyRates</vt:lpstr>
      <vt:lpstr>Expenses!Resource_Locations</vt:lpstr>
      <vt:lpstr>Proforma!Resource_Locations</vt:lpstr>
      <vt:lpstr>Proforma_Segregated!Resource_Locations</vt:lpstr>
      <vt:lpstr>Resource_Locations</vt:lpstr>
      <vt:lpstr>Expenses!Resource_Types</vt:lpstr>
      <vt:lpstr>Proforma!Resource_Types</vt:lpstr>
      <vt:lpstr>Proforma_Segregated!Resource_Types</vt:lpstr>
      <vt:lpstr>Resource_Types</vt:lpstr>
      <vt:lpstr>RibbonScreenTipTexts</vt:lpstr>
      <vt:lpstr>Scenario1_Edit_Range1</vt:lpstr>
      <vt:lpstr>Scenario1_Edit_Range2</vt:lpstr>
      <vt:lpstr>Scenario1Agile_Pivot_Table</vt:lpstr>
      <vt:lpstr>Scenario1AgileContingency</vt:lpstr>
      <vt:lpstr>Scenario1AgileDeveloperCUTCapacity</vt:lpstr>
      <vt:lpstr>Scenario1AgileResourcedCUT</vt:lpstr>
      <vt:lpstr>Scenario1List</vt:lpstr>
      <vt:lpstr>Scenario1ListNonCUT</vt:lpstr>
      <vt:lpstr>Scenario1Selected</vt:lpstr>
      <vt:lpstr>Scenario1TotalContingency</vt:lpstr>
      <vt:lpstr>Scenario1TotalEffort</vt:lpstr>
      <vt:lpstr>Scenario1TotalPersonDays</vt:lpstr>
      <vt:lpstr>Scenario1TotalWarranty</vt:lpstr>
      <vt:lpstr>Scenario1Utilisation</vt:lpstr>
      <vt:lpstr>Scenario1UtilisationScrum</vt:lpstr>
      <vt:lpstr>Scenario1Warranty</vt:lpstr>
      <vt:lpstr>Scenario2_Edit_Range1</vt:lpstr>
      <vt:lpstr>Scenario2_Edit_Range2</vt:lpstr>
      <vt:lpstr>Scenario2AgileContingency</vt:lpstr>
      <vt:lpstr>Scenario2AgileDeveloperCUTCapacity</vt:lpstr>
      <vt:lpstr>Scenario2AgileResourcedCUT</vt:lpstr>
      <vt:lpstr>Scenario2List</vt:lpstr>
      <vt:lpstr>Scenario2ListNonCUT</vt:lpstr>
      <vt:lpstr>Scenario2Selected</vt:lpstr>
      <vt:lpstr>Scenario2TotalContingency</vt:lpstr>
      <vt:lpstr>Scenario2TotalEffort</vt:lpstr>
      <vt:lpstr>Scenario2TotalPersonDays</vt:lpstr>
      <vt:lpstr>Scenario2TotalWarranty</vt:lpstr>
      <vt:lpstr>Scenario2Utilisation</vt:lpstr>
      <vt:lpstr>Scenario2Warranty</vt:lpstr>
      <vt:lpstr>Scenario3_Edit_Range1</vt:lpstr>
      <vt:lpstr>Scenario3_Edit_Range2</vt:lpstr>
      <vt:lpstr>Scenario3AgileContingency</vt:lpstr>
      <vt:lpstr>Scenario3AgileDeveloperCUTCapacity</vt:lpstr>
      <vt:lpstr>Scenario3AgileResourcedCUT</vt:lpstr>
      <vt:lpstr>Scenario3List</vt:lpstr>
      <vt:lpstr>Scenario3ListNonCUT</vt:lpstr>
      <vt:lpstr>Scenario3Selected</vt:lpstr>
      <vt:lpstr>Scenario3TotalContingency</vt:lpstr>
      <vt:lpstr>Scenario3TotalEffort</vt:lpstr>
      <vt:lpstr>Scenario3TotalPersonDays</vt:lpstr>
      <vt:lpstr>Scenario3TotalWarranty</vt:lpstr>
      <vt:lpstr>Scenario3Utilisation</vt:lpstr>
      <vt:lpstr>Scenario3Warranty</vt:lpstr>
      <vt:lpstr>Scenario4_Edit_Range1</vt:lpstr>
      <vt:lpstr>Scenario4_Edit_Range2</vt:lpstr>
      <vt:lpstr>Scenario4AgileContingency</vt:lpstr>
      <vt:lpstr>Scenario4AgileDeveloperCUTCapacity</vt:lpstr>
      <vt:lpstr>Scenario4AgileResourcedCUT</vt:lpstr>
      <vt:lpstr>Scenario4List</vt:lpstr>
      <vt:lpstr>Scenario4ListNonCUT</vt:lpstr>
      <vt:lpstr>Scenario4Selected</vt:lpstr>
      <vt:lpstr>Scenario4TotalContingency</vt:lpstr>
      <vt:lpstr>Scenario4TotalEffort</vt:lpstr>
      <vt:lpstr>Scenario4TotalPersonDays</vt:lpstr>
      <vt:lpstr>Scenario4TotalWarranty</vt:lpstr>
      <vt:lpstr>Scenario4Utilisation</vt:lpstr>
      <vt:lpstr>Scenario4Warranty</vt:lpstr>
      <vt:lpstr>ScenarioHeadings</vt:lpstr>
      <vt:lpstr>ScenarioSelected</vt:lpstr>
      <vt:lpstr>ScenarioTag</vt:lpstr>
      <vt:lpstr>ScenarioTagNames</vt:lpstr>
      <vt:lpstr>ScrumRoleProductOwner</vt:lpstr>
      <vt:lpstr>ScrumRoleScrumDeveloper</vt:lpstr>
      <vt:lpstr>ScrumRoleScrumDevTechLead</vt:lpstr>
      <vt:lpstr>ScrumRoleScrumMaster</vt:lpstr>
      <vt:lpstr>ScrumRoleTester</vt:lpstr>
      <vt:lpstr>SelectedScenarioDropdownBoxIndex</vt:lpstr>
      <vt:lpstr>SolComp_1</vt:lpstr>
      <vt:lpstr>SolComp_2</vt:lpstr>
      <vt:lpstr>SolComp_3</vt:lpstr>
      <vt:lpstr>SolComp_4</vt:lpstr>
      <vt:lpstr>SolComp_5</vt:lpstr>
      <vt:lpstr>SolComp_6</vt:lpstr>
      <vt:lpstr>SolComp_7</vt:lpstr>
      <vt:lpstr>SolComp_8</vt:lpstr>
      <vt:lpstr>SolComp_9</vt:lpstr>
      <vt:lpstr>SolutionComponent</vt:lpstr>
      <vt:lpstr>SolutionComponentList</vt:lpstr>
      <vt:lpstr>SolutionComponentListNonCUT</vt:lpstr>
      <vt:lpstr>SolutionUnit</vt:lpstr>
      <vt:lpstr>'Detail CUT'!staticRefNoList</vt:lpstr>
      <vt:lpstr>'Detail Non-CUT'!staticRefNoList</vt:lpstr>
      <vt:lpstr>'Detail CUT'!StaticRefNoStart</vt:lpstr>
      <vt:lpstr>'Detail Non-CUT'!StaticRefNoStart</vt:lpstr>
      <vt:lpstr>SV_Estimation_Tool_Version</vt:lpstr>
      <vt:lpstr>'Detail CUT'!TAMGroupType</vt:lpstr>
      <vt:lpstr>'Detail Non-CUT'!TAMGroupType</vt:lpstr>
      <vt:lpstr>TotalCUTList</vt:lpstr>
      <vt:lpstr>TotalNonCUTList</vt:lpstr>
      <vt:lpstr>TTSRoles</vt:lpstr>
      <vt:lpstr>V</vt:lpstr>
      <vt:lpstr>workdays_by_region</vt:lpstr>
    </vt:vector>
  </TitlesOfParts>
  <Manager>Mike Jacob</Manager>
  <Company>CSGI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Singleview Estimation Tool (SET)</dc:title>
  <dc:subject/>
  <dc:creator>Ken Campbell, Solution Engineering;Bairbre.Reen@csgi.com</dc:creator>
  <cp:keywords/>
  <dc:description/>
  <cp:lastModifiedBy>Grant Thavarajoo</cp:lastModifiedBy>
  <cp:revision/>
  <dcterms:created xsi:type="dcterms:W3CDTF">2016-04-25T11:30:42Z</dcterms:created>
  <dcterms:modified xsi:type="dcterms:W3CDTF">2025-08-27T15:38:36Z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0x0101003B9ACFFD32956146906EC850E397D462</vt:lpwstr>
  </property>
  <property fmtid="{D5CDD505-2E9C-101B-9397-08002B2CF9AE}" pid="3" name="_dlc_DocIdItemGuid">
    <vt:lpwstr>bcd730d3-d320-461e-8791-d3636019447e</vt:lpwstr>
  </property>
  <property fmtid="{D5CDD505-2E9C-101B-9397-08002B2CF9AE}" pid="4" name="Singleview - Medium">
    <vt:bool>false</vt:bool>
  </property>
  <property fmtid="{D5CDD505-2E9C-101B-9397-08002B2CF9AE}" pid="5" name="Singleview - Lite">
    <vt:bool>false</vt:bool>
  </property>
  <property fmtid="{D5CDD505-2E9C-101B-9397-08002B2CF9AE}" pid="6" name="TSM">
    <vt:bool>false</vt:bool>
  </property>
  <property fmtid="{D5CDD505-2E9C-101B-9397-08002B2CF9AE}" pid="7" name="WBMS">
    <vt:bool>false</vt:bool>
  </property>
  <property fmtid="{D5CDD505-2E9C-101B-9397-08002B2CF9AE}" pid="8" name="ACP">
    <vt:bool>false</vt:bool>
  </property>
  <property fmtid="{D5CDD505-2E9C-101B-9397-08002B2CF9AE}" pid="9" name="Ascade">
    <vt:bool>false</vt:bool>
  </property>
  <property fmtid="{D5CDD505-2E9C-101B-9397-08002B2CF9AE}" pid="10" name="Singleview">
    <vt:bool>false</vt:bool>
  </property>
  <property fmtid="{D5CDD505-2E9C-101B-9397-08002B2CF9AE}" pid="11" name="MSIP_Label_49378a34-61cb-4d5e-a70c-1712827e012a_Enabled">
    <vt:lpwstr>true</vt:lpwstr>
  </property>
  <property fmtid="{D5CDD505-2E9C-101B-9397-08002B2CF9AE}" pid="12" name="MSIP_Label_49378a34-61cb-4d5e-a70c-1712827e012a_SetDate">
    <vt:lpwstr>2023-12-13T07:04:14Z</vt:lpwstr>
  </property>
  <property fmtid="{D5CDD505-2E9C-101B-9397-08002B2CF9AE}" pid="13" name="MSIP_Label_49378a34-61cb-4d5e-a70c-1712827e012a_Method">
    <vt:lpwstr>Standard</vt:lpwstr>
  </property>
  <property fmtid="{D5CDD505-2E9C-101B-9397-08002B2CF9AE}" pid="14" name="MSIP_Label_49378a34-61cb-4d5e-a70c-1712827e012a_Name">
    <vt:lpwstr>Medium Impact</vt:lpwstr>
  </property>
  <property fmtid="{D5CDD505-2E9C-101B-9397-08002B2CF9AE}" pid="15" name="MSIP_Label_49378a34-61cb-4d5e-a70c-1712827e012a_SiteId">
    <vt:lpwstr>194a267b-82ba-4fa6-b6b9-f95966ab3815</vt:lpwstr>
  </property>
  <property fmtid="{D5CDD505-2E9C-101B-9397-08002B2CF9AE}" pid="16" name="MSIP_Label_49378a34-61cb-4d5e-a70c-1712827e012a_ActionId">
    <vt:lpwstr>17a4ea07-55fc-409e-868f-88c53e117547</vt:lpwstr>
  </property>
  <property fmtid="{D5CDD505-2E9C-101B-9397-08002B2CF9AE}" pid="17" name="MSIP_Label_49378a34-61cb-4d5e-a70c-1712827e012a_ContentBits">
    <vt:lpwstr>0</vt:lpwstr>
  </property>
  <property fmtid="{D5CDD505-2E9C-101B-9397-08002B2CF9AE}" pid="18" name="MediaServiceImageTags">
    <vt:lpwstr/>
  </property>
</Properties>
</file>