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F:\0.0\台湖2021\工程量及图纸问题-第二次\工程量\"/>
    </mc:Choice>
  </mc:AlternateContent>
  <xr:revisionPtr revIDLastSave="0" documentId="13_ncr:1_{41250823-E27A-4CF7-A05F-ACFDDC2D9C4F}" xr6:coauthVersionLast="47" xr6:coauthVersionMax="47" xr10:uidLastSave="{00000000-0000-0000-0000-000000000000}"/>
  <bookViews>
    <workbookView xWindow="380" yWindow="380" windowWidth="19200" windowHeight="12740" activeTab="1" xr2:uid="{00000000-000D-0000-FFFF-FFFF00000000}"/>
  </bookViews>
  <sheets>
    <sheet name="车库李书元" sheetId="5" r:id="rId1"/>
    <sheet name="车库荣艳民" sheetId="1" r:id="rId2"/>
    <sheet name="地上" sheetId="2" r:id="rId3"/>
    <sheet name="地上设备" sheetId="3" r:id="rId4"/>
    <sheet name="地下设备" sheetId="4" r:id="rId5"/>
  </sheets>
  <definedNames>
    <definedName name="_xlnm._FilterDatabase" localSheetId="0" hidden="1">车库李书元!$C$1:$C$359</definedName>
    <definedName name="_xlnm._FilterDatabase" localSheetId="1" hidden="1">车库荣艳民!$C$1:$C$359</definedName>
  </definedNames>
  <calcPr calcId="191029"/>
  <customWorkbookViews>
    <customWorkbookView name="1" guid="{387918E5-7B77-4020-A141-306F5AFCED74}" maximized="1" xWindow="-11" yWindow="-11" windowWidth="2582" windowHeight="1402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9" i="5" l="1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BL346" i="5"/>
  <c r="L346" i="5" s="1"/>
  <c r="K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V267" i="5"/>
  <c r="L267" i="5" s="1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M201" i="5"/>
  <c r="I201" i="5" s="1"/>
  <c r="L201" i="5"/>
  <c r="K201" i="5"/>
  <c r="J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AK142" i="5"/>
  <c r="AB142" i="5"/>
  <c r="V142" i="5"/>
  <c r="L142" i="5" s="1"/>
  <c r="K142" i="5"/>
  <c r="J142" i="5"/>
  <c r="L141" i="5"/>
  <c r="K141" i="5"/>
  <c r="J141" i="5"/>
  <c r="I141" i="5"/>
  <c r="AK140" i="5"/>
  <c r="V140" i="5"/>
  <c r="I140" i="5" s="1"/>
  <c r="L140" i="5"/>
  <c r="K140" i="5"/>
  <c r="J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G126" i="5"/>
  <c r="H126" i="5" s="1"/>
  <c r="L125" i="5"/>
  <c r="K125" i="5"/>
  <c r="J125" i="5"/>
  <c r="I125" i="5"/>
  <c r="G125" i="5"/>
  <c r="L124" i="5"/>
  <c r="K124" i="5"/>
  <c r="J124" i="5"/>
  <c r="I124" i="5"/>
  <c r="G124" i="5"/>
  <c r="L123" i="5"/>
  <c r="K123" i="5"/>
  <c r="J123" i="5"/>
  <c r="I123" i="5"/>
  <c r="G123" i="5"/>
  <c r="H123" i="5" s="1"/>
  <c r="L122" i="5"/>
  <c r="K122" i="5"/>
  <c r="J122" i="5"/>
  <c r="I122" i="5"/>
  <c r="G122" i="5"/>
  <c r="L121" i="5"/>
  <c r="H121" i="5" s="1"/>
  <c r="K121" i="5"/>
  <c r="J121" i="5"/>
  <c r="I121" i="5"/>
  <c r="G121" i="5"/>
  <c r="L120" i="5"/>
  <c r="K120" i="5"/>
  <c r="J120" i="5"/>
  <c r="I120" i="5"/>
  <c r="H120" i="5"/>
  <c r="G120" i="5"/>
  <c r="L119" i="5"/>
  <c r="K119" i="5"/>
  <c r="J119" i="5"/>
  <c r="I119" i="5"/>
  <c r="G119" i="5"/>
  <c r="H119" i="5" s="1"/>
  <c r="L118" i="5"/>
  <c r="K118" i="5"/>
  <c r="J118" i="5"/>
  <c r="I118" i="5"/>
  <c r="G118" i="5"/>
  <c r="L117" i="5"/>
  <c r="K117" i="5"/>
  <c r="J117" i="5"/>
  <c r="I117" i="5"/>
  <c r="H117" i="5"/>
  <c r="G117" i="5"/>
  <c r="L116" i="5"/>
  <c r="K116" i="5"/>
  <c r="J116" i="5"/>
  <c r="I116" i="5"/>
  <c r="G116" i="5"/>
  <c r="H116" i="5" s="1"/>
  <c r="L115" i="5"/>
  <c r="K115" i="5"/>
  <c r="J115" i="5"/>
  <c r="I115" i="5"/>
  <c r="G115" i="5"/>
  <c r="L114" i="5"/>
  <c r="K114" i="5"/>
  <c r="J114" i="5"/>
  <c r="I114" i="5"/>
  <c r="G114" i="5"/>
  <c r="L113" i="5"/>
  <c r="K113" i="5"/>
  <c r="J113" i="5"/>
  <c r="I113" i="5"/>
  <c r="G113" i="5"/>
  <c r="L112" i="5"/>
  <c r="K112" i="5"/>
  <c r="J112" i="5"/>
  <c r="I112" i="5"/>
  <c r="G112" i="5"/>
  <c r="H112" i="5" s="1"/>
  <c r="L111" i="5"/>
  <c r="K111" i="5"/>
  <c r="J111" i="5"/>
  <c r="I111" i="5"/>
  <c r="G111" i="5"/>
  <c r="H111" i="5" s="1"/>
  <c r="L110" i="5"/>
  <c r="K110" i="5"/>
  <c r="J110" i="5"/>
  <c r="I110" i="5"/>
  <c r="G110" i="5"/>
  <c r="L109" i="5"/>
  <c r="K109" i="5"/>
  <c r="J109" i="5"/>
  <c r="I109" i="5"/>
  <c r="G109" i="5"/>
  <c r="H109" i="5" s="1"/>
  <c r="L108" i="5"/>
  <c r="K108" i="5"/>
  <c r="J108" i="5"/>
  <c r="I108" i="5"/>
  <c r="G108" i="5"/>
  <c r="H108" i="5" s="1"/>
  <c r="L107" i="5"/>
  <c r="K107" i="5"/>
  <c r="J107" i="5"/>
  <c r="I107" i="5"/>
  <c r="G107" i="5"/>
  <c r="H107" i="5" s="1"/>
  <c r="L106" i="5"/>
  <c r="H106" i="5" s="1"/>
  <c r="K106" i="5"/>
  <c r="J106" i="5"/>
  <c r="I106" i="5"/>
  <c r="G106" i="5"/>
  <c r="L105" i="5"/>
  <c r="H105" i="5" s="1"/>
  <c r="K105" i="5"/>
  <c r="J105" i="5"/>
  <c r="I105" i="5"/>
  <c r="G105" i="5"/>
  <c r="L104" i="5"/>
  <c r="K104" i="5"/>
  <c r="J104" i="5"/>
  <c r="I104" i="5"/>
  <c r="H104" i="5"/>
  <c r="G104" i="5"/>
  <c r="L103" i="5"/>
  <c r="K103" i="5"/>
  <c r="J103" i="5"/>
  <c r="I103" i="5"/>
  <c r="G103" i="5"/>
  <c r="L102" i="5"/>
  <c r="H102" i="5" s="1"/>
  <c r="K102" i="5"/>
  <c r="J102" i="5"/>
  <c r="I102" i="5"/>
  <c r="G102" i="5"/>
  <c r="L101" i="5"/>
  <c r="K101" i="5"/>
  <c r="J101" i="5"/>
  <c r="I101" i="5"/>
  <c r="H101" i="5"/>
  <c r="G101" i="5"/>
  <c r="L100" i="5"/>
  <c r="K100" i="5"/>
  <c r="J100" i="5"/>
  <c r="I100" i="5"/>
  <c r="G100" i="5"/>
  <c r="L99" i="5"/>
  <c r="K99" i="5"/>
  <c r="J99" i="5"/>
  <c r="I99" i="5"/>
  <c r="G99" i="5"/>
  <c r="L98" i="5"/>
  <c r="K98" i="5"/>
  <c r="J98" i="5"/>
  <c r="I98" i="5"/>
  <c r="G98" i="5"/>
  <c r="L97" i="5"/>
  <c r="H97" i="5" s="1"/>
  <c r="K97" i="5"/>
  <c r="J97" i="5"/>
  <c r="I97" i="5"/>
  <c r="G97" i="5"/>
  <c r="L96" i="5"/>
  <c r="K96" i="5"/>
  <c r="J96" i="5"/>
  <c r="I96" i="5"/>
  <c r="H96" i="5"/>
  <c r="G96" i="5"/>
  <c r="L95" i="5"/>
  <c r="K95" i="5"/>
  <c r="J95" i="5"/>
  <c r="I95" i="5"/>
  <c r="G95" i="5"/>
  <c r="H95" i="5" s="1"/>
  <c r="L94" i="5"/>
  <c r="H94" i="5" s="1"/>
  <c r="K94" i="5"/>
  <c r="J94" i="5"/>
  <c r="I94" i="5"/>
  <c r="G94" i="5"/>
  <c r="L93" i="5"/>
  <c r="K93" i="5"/>
  <c r="J93" i="5"/>
  <c r="I93" i="5"/>
  <c r="H93" i="5"/>
  <c r="G93" i="5"/>
  <c r="L92" i="5"/>
  <c r="K92" i="5"/>
  <c r="J92" i="5"/>
  <c r="I92" i="5"/>
  <c r="G92" i="5"/>
  <c r="H92" i="5" s="1"/>
  <c r="L91" i="5"/>
  <c r="K91" i="5"/>
  <c r="J91" i="5"/>
  <c r="I91" i="5"/>
  <c r="G91" i="5"/>
  <c r="L90" i="5"/>
  <c r="K90" i="5"/>
  <c r="J90" i="5"/>
  <c r="I90" i="5"/>
  <c r="G90" i="5"/>
  <c r="L89" i="5"/>
  <c r="K89" i="5"/>
  <c r="J89" i="5"/>
  <c r="I89" i="5"/>
  <c r="G89" i="5"/>
  <c r="L88" i="5"/>
  <c r="K88" i="5"/>
  <c r="J88" i="5"/>
  <c r="I88" i="5"/>
  <c r="H88" i="5"/>
  <c r="G88" i="5"/>
  <c r="EJ87" i="5"/>
  <c r="K87" i="5" s="1"/>
  <c r="BV87" i="5"/>
  <c r="BU87" i="5"/>
  <c r="J87" i="5" s="1"/>
  <c r="AU87" i="5"/>
  <c r="L87" i="5" s="1"/>
  <c r="G87" i="5"/>
  <c r="AK86" i="5"/>
  <c r="L86" i="5" s="1"/>
  <c r="K86" i="5"/>
  <c r="J86" i="5"/>
  <c r="I86" i="5"/>
  <c r="G86" i="5"/>
  <c r="DR85" i="5"/>
  <c r="CE85" i="5"/>
  <c r="L85" i="5" s="1"/>
  <c r="K85" i="5"/>
  <c r="I85" i="5"/>
  <c r="G85" i="5"/>
  <c r="CE84" i="5"/>
  <c r="AB84" i="5"/>
  <c r="L84" i="5" s="1"/>
  <c r="K84" i="5"/>
  <c r="J84" i="5"/>
  <c r="I84" i="5"/>
  <c r="G84" i="5"/>
  <c r="AK83" i="5"/>
  <c r="AB83" i="5"/>
  <c r="V83" i="5"/>
  <c r="L83" i="5" s="1"/>
  <c r="K83" i="5"/>
  <c r="J83" i="5"/>
  <c r="G83" i="5"/>
  <c r="CA82" i="5"/>
  <c r="AB82" i="5"/>
  <c r="V82" i="5"/>
  <c r="L82" i="5"/>
  <c r="H82" i="5" s="1"/>
  <c r="K82" i="5"/>
  <c r="J82" i="5"/>
  <c r="I82" i="5"/>
  <c r="G82" i="5"/>
  <c r="EI81" i="5"/>
  <c r="K81" i="5" s="1"/>
  <c r="O81" i="5"/>
  <c r="I81" i="5" s="1"/>
  <c r="L81" i="5"/>
  <c r="J81" i="5"/>
  <c r="G81" i="5"/>
  <c r="H81" i="5" s="1"/>
  <c r="DR80" i="5"/>
  <c r="CE80" i="5"/>
  <c r="BJ80" i="5"/>
  <c r="J80" i="5" s="1"/>
  <c r="L80" i="5"/>
  <c r="K80" i="5"/>
  <c r="I80" i="5"/>
  <c r="G80" i="5"/>
  <c r="EI79" i="5"/>
  <c r="K79" i="5" s="1"/>
  <c r="CE79" i="5"/>
  <c r="J79" i="5" s="1"/>
  <c r="AE79" i="5"/>
  <c r="V79" i="5"/>
  <c r="I79" i="5" s="1"/>
  <c r="G79" i="5"/>
  <c r="X78" i="5"/>
  <c r="V78" i="5"/>
  <c r="P78" i="5"/>
  <c r="L78" i="5" s="1"/>
  <c r="H78" i="5" s="1"/>
  <c r="K78" i="5"/>
  <c r="J78" i="5"/>
  <c r="G78" i="5"/>
  <c r="DX77" i="5"/>
  <c r="DQ77" i="5"/>
  <c r="J77" i="5" s="1"/>
  <c r="K77" i="5"/>
  <c r="I77" i="5"/>
  <c r="G77" i="5"/>
  <c r="CA76" i="5"/>
  <c r="J76" i="5" s="1"/>
  <c r="AB76" i="5"/>
  <c r="L76" i="5" s="1"/>
  <c r="K76" i="5"/>
  <c r="G76" i="5"/>
  <c r="DX75" i="5"/>
  <c r="BS75" i="5"/>
  <c r="BQ75" i="5"/>
  <c r="BO75" i="5"/>
  <c r="BM75" i="5"/>
  <c r="AK75" i="5"/>
  <c r="Z75" i="5"/>
  <c r="I75" i="5" s="1"/>
  <c r="L75" i="5"/>
  <c r="H75" i="5" s="1"/>
  <c r="K75" i="5"/>
  <c r="J75" i="5"/>
  <c r="G75" i="5"/>
  <c r="X74" i="5"/>
  <c r="I74" i="5" s="1"/>
  <c r="L74" i="5"/>
  <c r="K74" i="5"/>
  <c r="J74" i="5"/>
  <c r="G74" i="5"/>
  <c r="BK73" i="5"/>
  <c r="L73" i="5" s="1"/>
  <c r="K73" i="5"/>
  <c r="J73" i="5"/>
  <c r="I73" i="5"/>
  <c r="G73" i="5"/>
  <c r="AG72" i="5"/>
  <c r="Z72" i="5"/>
  <c r="L72" i="5" s="1"/>
  <c r="K72" i="5"/>
  <c r="J72" i="5"/>
  <c r="G72" i="5"/>
  <c r="AG71" i="5"/>
  <c r="Z71" i="5"/>
  <c r="L71" i="5"/>
  <c r="K71" i="5"/>
  <c r="J71" i="5"/>
  <c r="I71" i="5"/>
  <c r="G71" i="5"/>
  <c r="H71" i="5" s="1"/>
  <c r="BP70" i="5"/>
  <c r="L70" i="5" s="1"/>
  <c r="K70" i="5"/>
  <c r="I70" i="5"/>
  <c r="G70" i="5"/>
  <c r="AB69" i="5"/>
  <c r="L69" i="5" s="1"/>
  <c r="H69" i="5" s="1"/>
  <c r="K69" i="5"/>
  <c r="J69" i="5"/>
  <c r="I69" i="5"/>
  <c r="G69" i="5"/>
  <c r="EI68" i="5"/>
  <c r="K68" i="5" s="1"/>
  <c r="BL68" i="5"/>
  <c r="BI68" i="5"/>
  <c r="J68" i="5" s="1"/>
  <c r="AK68" i="5"/>
  <c r="V68" i="5"/>
  <c r="R68" i="5"/>
  <c r="Q68" i="5"/>
  <c r="O68" i="5"/>
  <c r="I68" i="5" s="1"/>
  <c r="G68" i="5"/>
  <c r="DD67" i="5"/>
  <c r="DB67" i="5"/>
  <c r="L67" i="5" s="1"/>
  <c r="K67" i="5"/>
  <c r="I67" i="5"/>
  <c r="G67" i="5"/>
  <c r="CD66" i="5"/>
  <c r="CC66" i="5"/>
  <c r="J66" i="5" s="1"/>
  <c r="K66" i="5"/>
  <c r="I66" i="5"/>
  <c r="G66" i="5"/>
  <c r="CA65" i="5"/>
  <c r="BZ65" i="5"/>
  <c r="BY65" i="5"/>
  <c r="L65" i="5" s="1"/>
  <c r="K65" i="5"/>
  <c r="I65" i="5"/>
  <c r="G65" i="5"/>
  <c r="AK64" i="5"/>
  <c r="AB64" i="5"/>
  <c r="I64" i="5" s="1"/>
  <c r="K64" i="5"/>
  <c r="J64" i="5"/>
  <c r="G64" i="5"/>
  <c r="EC63" i="5"/>
  <c r="EB63" i="5"/>
  <c r="DY63" i="5"/>
  <c r="DF63" i="5"/>
  <c r="CT63" i="5"/>
  <c r="CR63" i="5"/>
  <c r="CQ63" i="5"/>
  <c r="CP63" i="5"/>
  <c r="CL63" i="5"/>
  <c r="CJ63" i="5"/>
  <c r="BP63" i="5"/>
  <c r="L63" i="5" s="1"/>
  <c r="H63" i="5" s="1"/>
  <c r="BN63" i="5"/>
  <c r="K63" i="5"/>
  <c r="J63" i="5"/>
  <c r="I63" i="5"/>
  <c r="G63" i="5"/>
  <c r="EG62" i="5"/>
  <c r="EF62" i="5"/>
  <c r="K62" i="5" s="1"/>
  <c r="EA62" i="5"/>
  <c r="DZ62" i="5"/>
  <c r="DY62" i="5"/>
  <c r="DK62" i="5"/>
  <c r="DF62" i="5"/>
  <c r="DE62" i="5"/>
  <c r="DC62" i="5"/>
  <c r="CD62" i="5"/>
  <c r="CC62" i="5"/>
  <c r="BX62" i="5"/>
  <c r="BW62" i="5"/>
  <c r="J62" i="5" s="1"/>
  <c r="T62" i="5"/>
  <c r="S62" i="5"/>
  <c r="N62" i="5"/>
  <c r="M62" i="5"/>
  <c r="L62" i="5" s="1"/>
  <c r="H62" i="5" s="1"/>
  <c r="G62" i="5"/>
  <c r="CT61" i="5"/>
  <c r="L61" i="5" s="1"/>
  <c r="H61" i="5" s="1"/>
  <c r="CS61" i="5"/>
  <c r="CH61" i="5"/>
  <c r="K61" i="5"/>
  <c r="J61" i="5"/>
  <c r="I61" i="5"/>
  <c r="G61" i="5"/>
  <c r="CF60" i="5"/>
  <c r="J60" i="5" s="1"/>
  <c r="AI60" i="5"/>
  <c r="L60" i="5" s="1"/>
  <c r="H60" i="5" s="1"/>
  <c r="K60" i="5"/>
  <c r="G60" i="5"/>
  <c r="DL59" i="5"/>
  <c r="AE59" i="5"/>
  <c r="L59" i="5" s="1"/>
  <c r="K59" i="5"/>
  <c r="J59" i="5"/>
  <c r="I59" i="5"/>
  <c r="G59" i="5"/>
  <c r="DY58" i="5"/>
  <c r="CU58" i="5"/>
  <c r="BW58" i="5"/>
  <c r="L58" i="5" s="1"/>
  <c r="K58" i="5"/>
  <c r="I58" i="5"/>
  <c r="G58" i="5"/>
  <c r="DS57" i="5"/>
  <c r="DN57" i="5"/>
  <c r="DM57" i="5"/>
  <c r="DL57" i="5"/>
  <c r="CW57" i="5"/>
  <c r="CV57" i="5"/>
  <c r="CK57" i="5"/>
  <c r="J57" i="5" s="1"/>
  <c r="AM57" i="5"/>
  <c r="AL57" i="5"/>
  <c r="L57" i="5" s="1"/>
  <c r="AI57" i="5"/>
  <c r="U57" i="5"/>
  <c r="I57" i="5" s="1"/>
  <c r="K57" i="5"/>
  <c r="G57" i="5"/>
  <c r="CJ56" i="5"/>
  <c r="AA56" i="5"/>
  <c r="L56" i="5"/>
  <c r="K56" i="5"/>
  <c r="J56" i="5"/>
  <c r="I56" i="5"/>
  <c r="G56" i="5"/>
  <c r="CU55" i="5"/>
  <c r="CJ55" i="5"/>
  <c r="CG55" i="5"/>
  <c r="CF55" i="5"/>
  <c r="L55" i="5" s="1"/>
  <c r="H55" i="5" s="1"/>
  <c r="K55" i="5"/>
  <c r="I55" i="5"/>
  <c r="G55" i="5"/>
  <c r="CY54" i="5"/>
  <c r="J54" i="5" s="1"/>
  <c r="L54" i="5"/>
  <c r="K54" i="5"/>
  <c r="I54" i="5"/>
  <c r="G54" i="5"/>
  <c r="CI53" i="5"/>
  <c r="CH53" i="5"/>
  <c r="BD53" i="5"/>
  <c r="BC53" i="5"/>
  <c r="BB53" i="5"/>
  <c r="BA53" i="5"/>
  <c r="AX53" i="5"/>
  <c r="AW53" i="5"/>
  <c r="AR53" i="5"/>
  <c r="AQ53" i="5"/>
  <c r="I53" i="5" s="1"/>
  <c r="L53" i="5"/>
  <c r="K53" i="5"/>
  <c r="J53" i="5"/>
  <c r="G53" i="5"/>
  <c r="DV52" i="5"/>
  <c r="DU52" i="5"/>
  <c r="L52" i="5" s="1"/>
  <c r="DT52" i="5"/>
  <c r="J52" i="5" s="1"/>
  <c r="K52" i="5"/>
  <c r="I52" i="5"/>
  <c r="G52" i="5"/>
  <c r="H52" i="5" s="1"/>
  <c r="DW51" i="5"/>
  <c r="DM51" i="5"/>
  <c r="DL51" i="5"/>
  <c r="CG51" i="5"/>
  <c r="CF51" i="5"/>
  <c r="J51" i="5" s="1"/>
  <c r="BD51" i="5"/>
  <c r="BC51" i="5"/>
  <c r="BB51" i="5"/>
  <c r="BA51" i="5"/>
  <c r="AX51" i="5"/>
  <c r="AW51" i="5"/>
  <c r="AR51" i="5"/>
  <c r="AQ51" i="5"/>
  <c r="AM51" i="5"/>
  <c r="AL51" i="5"/>
  <c r="AJ51" i="5"/>
  <c r="AH51" i="5"/>
  <c r="AA51" i="5"/>
  <c r="U51" i="5"/>
  <c r="L51" i="5" s="1"/>
  <c r="K51" i="5"/>
  <c r="G51" i="5"/>
  <c r="DC50" i="5"/>
  <c r="J50" i="5" s="1"/>
  <c r="L50" i="5"/>
  <c r="K50" i="5"/>
  <c r="I50" i="5"/>
  <c r="G50" i="5"/>
  <c r="H50" i="5" s="1"/>
  <c r="AL49" i="5"/>
  <c r="I49" i="5" s="1"/>
  <c r="L49" i="5"/>
  <c r="H49" i="5" s="1"/>
  <c r="K49" i="5"/>
  <c r="J49" i="5"/>
  <c r="G49" i="5"/>
  <c r="CT48" i="5"/>
  <c r="J48" i="5" s="1"/>
  <c r="AE48" i="5"/>
  <c r="L48" i="5" s="1"/>
  <c r="K48" i="5"/>
  <c r="G48" i="5"/>
  <c r="DU47" i="5"/>
  <c r="L47" i="5"/>
  <c r="H47" i="5" s="1"/>
  <c r="K47" i="5"/>
  <c r="J47" i="5"/>
  <c r="I47" i="5"/>
  <c r="G47" i="5"/>
  <c r="CS46" i="5"/>
  <c r="L46" i="5" s="1"/>
  <c r="K46" i="5"/>
  <c r="I46" i="5"/>
  <c r="G46" i="5"/>
  <c r="EF45" i="5"/>
  <c r="L45" i="5" s="1"/>
  <c r="H45" i="5" s="1"/>
  <c r="J45" i="5"/>
  <c r="I45" i="5"/>
  <c r="G45" i="5"/>
  <c r="O44" i="5"/>
  <c r="L44" i="5" s="1"/>
  <c r="K44" i="5"/>
  <c r="J44" i="5"/>
  <c r="G44" i="5"/>
  <c r="CB43" i="5"/>
  <c r="J43" i="5" s="1"/>
  <c r="K43" i="5"/>
  <c r="I43" i="5"/>
  <c r="G43" i="5"/>
  <c r="BR42" i="5"/>
  <c r="L42" i="5" s="1"/>
  <c r="K42" i="5"/>
  <c r="I42" i="5"/>
  <c r="G42" i="5"/>
  <c r="DG41" i="5"/>
  <c r="CX41" i="5"/>
  <c r="CO41" i="5"/>
  <c r="CB41" i="5"/>
  <c r="BR41" i="5"/>
  <c r="P41" i="5"/>
  <c r="L41" i="5" s="1"/>
  <c r="H41" i="5" s="1"/>
  <c r="K41" i="5"/>
  <c r="J41" i="5"/>
  <c r="I41" i="5"/>
  <c r="G41" i="5"/>
  <c r="AD40" i="5"/>
  <c r="Y40" i="5"/>
  <c r="L40" i="5" s="1"/>
  <c r="K40" i="5"/>
  <c r="J40" i="5"/>
  <c r="G40" i="5"/>
  <c r="Y39" i="5"/>
  <c r="L39" i="5" s="1"/>
  <c r="K39" i="5"/>
  <c r="J39" i="5"/>
  <c r="I39" i="5"/>
  <c r="G39" i="5"/>
  <c r="ED38" i="5"/>
  <c r="DP38" i="5"/>
  <c r="DO38" i="5"/>
  <c r="DJ38" i="5"/>
  <c r="CA38" i="5"/>
  <c r="BF38" i="5"/>
  <c r="BE38" i="5"/>
  <c r="J38" i="5" s="1"/>
  <c r="AY38" i="5"/>
  <c r="K38" i="5"/>
  <c r="I38" i="5"/>
  <c r="G38" i="5"/>
  <c r="EH37" i="5"/>
  <c r="K37" i="5" s="1"/>
  <c r="DP37" i="5"/>
  <c r="CO37" i="5"/>
  <c r="J37" i="5" s="1"/>
  <c r="O37" i="5"/>
  <c r="L37" i="5" s="1"/>
  <c r="H37" i="5" s="1"/>
  <c r="G37" i="5"/>
  <c r="CB36" i="5"/>
  <c r="CA36" i="5"/>
  <c r="P36" i="5"/>
  <c r="O36" i="5"/>
  <c r="L36" i="5"/>
  <c r="H36" i="5" s="1"/>
  <c r="K36" i="5"/>
  <c r="J36" i="5"/>
  <c r="I36" i="5"/>
  <c r="G36" i="5"/>
  <c r="ED35" i="5"/>
  <c r="L35" i="5" s="1"/>
  <c r="K35" i="5"/>
  <c r="I35" i="5"/>
  <c r="G35" i="5"/>
  <c r="H35" i="5" s="1"/>
  <c r="EH34" i="5"/>
  <c r="DP34" i="5"/>
  <c r="CB34" i="5"/>
  <c r="CA34" i="5"/>
  <c r="J34" i="5" s="1"/>
  <c r="L34" i="5"/>
  <c r="K34" i="5"/>
  <c r="I34" i="5"/>
  <c r="G34" i="5"/>
  <c r="BH33" i="5"/>
  <c r="BF33" i="5"/>
  <c r="L33" i="5" s="1"/>
  <c r="BE33" i="5"/>
  <c r="J33" i="5" s="1"/>
  <c r="K33" i="5"/>
  <c r="I33" i="5"/>
  <c r="G33" i="5"/>
  <c r="H33" i="5" s="1"/>
  <c r="EE32" i="5"/>
  <c r="DI32" i="5"/>
  <c r="J32" i="5" s="1"/>
  <c r="DA32" i="5"/>
  <c r="CZ32" i="5"/>
  <c r="CN32" i="5"/>
  <c r="CM32" i="5"/>
  <c r="BH32" i="5"/>
  <c r="BG32" i="5"/>
  <c r="AZ32" i="5"/>
  <c r="AT32" i="5"/>
  <c r="AS32" i="5"/>
  <c r="AO32" i="5"/>
  <c r="AN32" i="5"/>
  <c r="Y32" i="5"/>
  <c r="L32" i="5" s="1"/>
  <c r="W32" i="5"/>
  <c r="K32" i="5"/>
  <c r="I32" i="5"/>
  <c r="G32" i="5"/>
  <c r="DP31" i="5"/>
  <c r="DO31" i="5"/>
  <c r="J31" i="5" s="1"/>
  <c r="P31" i="5"/>
  <c r="O31" i="5"/>
  <c r="L31" i="5" s="1"/>
  <c r="H31" i="5" s="1"/>
  <c r="K31" i="5"/>
  <c r="G31" i="5"/>
  <c r="EH30" i="5"/>
  <c r="DP30" i="5"/>
  <c r="DO30" i="5"/>
  <c r="DJ30" i="5"/>
  <c r="L30" i="5" s="1"/>
  <c r="K30" i="5"/>
  <c r="I30" i="5"/>
  <c r="G30" i="5"/>
  <c r="DI29" i="5"/>
  <c r="DH29" i="5"/>
  <c r="BG29" i="5"/>
  <c r="AZ29" i="5"/>
  <c r="AY29" i="5"/>
  <c r="AT29" i="5"/>
  <c r="AS29" i="5"/>
  <c r="AO29" i="5"/>
  <c r="AN29" i="5"/>
  <c r="L29" i="5" s="1"/>
  <c r="H29" i="5" s="1"/>
  <c r="K29" i="5"/>
  <c r="J29" i="5"/>
  <c r="G29" i="5"/>
  <c r="BF28" i="5"/>
  <c r="L28" i="5" s="1"/>
  <c r="BE28" i="5"/>
  <c r="J28" i="5" s="1"/>
  <c r="K28" i="5"/>
  <c r="I28" i="5"/>
  <c r="G28" i="5"/>
  <c r="H28" i="5" s="1"/>
  <c r="CN27" i="5"/>
  <c r="CM27" i="5"/>
  <c r="J27" i="5" s="1"/>
  <c r="AF27" i="5"/>
  <c r="AD27" i="5"/>
  <c r="L27" i="5" s="1"/>
  <c r="K27" i="5"/>
  <c r="G27" i="5"/>
  <c r="Y26" i="5"/>
  <c r="I26" i="5" s="1"/>
  <c r="W26" i="5"/>
  <c r="K26" i="5"/>
  <c r="J26" i="5"/>
  <c r="G26" i="5"/>
  <c r="DA25" i="5"/>
  <c r="CZ25" i="5"/>
  <c r="L25" i="5" s="1"/>
  <c r="K25" i="5"/>
  <c r="I25" i="5"/>
  <c r="G25" i="5"/>
  <c r="EE24" i="5"/>
  <c r="DP24" i="5"/>
  <c r="DO24" i="5"/>
  <c r="DI24" i="5"/>
  <c r="DH24" i="5"/>
  <c r="DA24" i="5"/>
  <c r="CZ24" i="5"/>
  <c r="CN24" i="5"/>
  <c r="L24" i="5" s="1"/>
  <c r="H24" i="5" s="1"/>
  <c r="CM24" i="5"/>
  <c r="BH24" i="5"/>
  <c r="BG24" i="5"/>
  <c r="BF24" i="5"/>
  <c r="BE24" i="5"/>
  <c r="AZ24" i="5"/>
  <c r="AY24" i="5"/>
  <c r="AT24" i="5"/>
  <c r="AS24" i="5"/>
  <c r="AO24" i="5"/>
  <c r="AN24" i="5"/>
  <c r="AF24" i="5"/>
  <c r="Y24" i="5"/>
  <c r="W24" i="5"/>
  <c r="K24" i="5"/>
  <c r="I24" i="5"/>
  <c r="G24" i="5"/>
  <c r="DG23" i="5"/>
  <c r="L23" i="5" s="1"/>
  <c r="K23" i="5"/>
  <c r="I23" i="5"/>
  <c r="G23" i="5"/>
  <c r="DH22" i="5"/>
  <c r="L22" i="5" s="1"/>
  <c r="K22" i="5"/>
  <c r="J22" i="5"/>
  <c r="I22" i="5"/>
  <c r="G22" i="5"/>
  <c r="EH21" i="5"/>
  <c r="L21" i="5" s="1"/>
  <c r="J21" i="5"/>
  <c r="I21" i="5"/>
  <c r="G21" i="5"/>
  <c r="H21" i="5" s="1"/>
  <c r="AK20" i="5"/>
  <c r="AB20" i="5"/>
  <c r="V20" i="5"/>
  <c r="L20" i="5" s="1"/>
  <c r="H20" i="5" s="1"/>
  <c r="K20" i="5"/>
  <c r="J20" i="5"/>
  <c r="I20" i="5"/>
  <c r="G20" i="5"/>
  <c r="AB19" i="5"/>
  <c r="V19" i="5"/>
  <c r="L19" i="5" s="1"/>
  <c r="K19" i="5"/>
  <c r="J19" i="5"/>
  <c r="G19" i="5"/>
  <c r="V18" i="5"/>
  <c r="L18" i="5"/>
  <c r="K18" i="5"/>
  <c r="J18" i="5"/>
  <c r="I18" i="5"/>
  <c r="H18" i="5"/>
  <c r="G18" i="5"/>
  <c r="AK17" i="5"/>
  <c r="L17" i="5" s="1"/>
  <c r="H17" i="5" s="1"/>
  <c r="K17" i="5"/>
  <c r="J17" i="5"/>
  <c r="G17" i="5"/>
  <c r="AK16" i="5"/>
  <c r="AB16" i="5"/>
  <c r="V16" i="5"/>
  <c r="L16" i="5"/>
  <c r="K16" i="5"/>
  <c r="J16" i="5"/>
  <c r="I16" i="5"/>
  <c r="G16" i="5"/>
  <c r="H16" i="5" s="1"/>
  <c r="AK15" i="5"/>
  <c r="AB15" i="5"/>
  <c r="V15" i="5"/>
  <c r="L15" i="5" s="1"/>
  <c r="H15" i="5" s="1"/>
  <c r="K15" i="5"/>
  <c r="J15" i="5"/>
  <c r="G15" i="5"/>
  <c r="AK14" i="5"/>
  <c r="AB14" i="5"/>
  <c r="L14" i="5" s="1"/>
  <c r="K14" i="5"/>
  <c r="J14" i="5"/>
  <c r="I14" i="5"/>
  <c r="G14" i="5"/>
  <c r="V13" i="5"/>
  <c r="L13" i="5" s="1"/>
  <c r="K13" i="5"/>
  <c r="J13" i="5"/>
  <c r="G13" i="5"/>
  <c r="H13" i="5" s="1"/>
  <c r="AK12" i="5"/>
  <c r="AB12" i="5"/>
  <c r="L12" i="5"/>
  <c r="K12" i="5"/>
  <c r="J12" i="5"/>
  <c r="I12" i="5"/>
  <c r="G12" i="5"/>
  <c r="H12" i="5" s="1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EK7" i="5"/>
  <c r="K7" i="5" s="1"/>
  <c r="AV7" i="5"/>
  <c r="L7" i="5" s="1"/>
  <c r="J7" i="5"/>
  <c r="L6" i="5"/>
  <c r="K6" i="5"/>
  <c r="J6" i="5"/>
  <c r="I6" i="5"/>
  <c r="L5" i="5"/>
  <c r="K5" i="5"/>
  <c r="J5" i="5"/>
  <c r="I5" i="5"/>
  <c r="L4" i="5"/>
  <c r="K4" i="5"/>
  <c r="J4" i="5"/>
  <c r="I4" i="5"/>
  <c r="N261" i="2"/>
  <c r="M261" i="2"/>
  <c r="L261" i="2"/>
  <c r="K261" i="2"/>
  <c r="J261" i="2"/>
  <c r="I261" i="2"/>
  <c r="N260" i="2"/>
  <c r="M260" i="2"/>
  <c r="L260" i="2"/>
  <c r="K260" i="2"/>
  <c r="J260" i="2"/>
  <c r="I260" i="2"/>
  <c r="N259" i="2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N256" i="2"/>
  <c r="M256" i="2"/>
  <c r="L256" i="2"/>
  <c r="K256" i="2"/>
  <c r="J256" i="2"/>
  <c r="I256" i="2"/>
  <c r="N255" i="2"/>
  <c r="M255" i="2"/>
  <c r="L255" i="2"/>
  <c r="K255" i="2"/>
  <c r="J255" i="2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M251" i="2"/>
  <c r="L251" i="2"/>
  <c r="K251" i="2"/>
  <c r="J251" i="2"/>
  <c r="I251" i="2"/>
  <c r="N250" i="2"/>
  <c r="M250" i="2"/>
  <c r="L250" i="2"/>
  <c r="K250" i="2"/>
  <c r="J250" i="2"/>
  <c r="I250" i="2"/>
  <c r="N249" i="2"/>
  <c r="M249" i="2"/>
  <c r="L249" i="2"/>
  <c r="K249" i="2"/>
  <c r="J249" i="2"/>
  <c r="I249" i="2"/>
  <c r="N248" i="2"/>
  <c r="M248" i="2"/>
  <c r="L248" i="2"/>
  <c r="K248" i="2"/>
  <c r="J248" i="2"/>
  <c r="I248" i="2"/>
  <c r="N247" i="2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N244" i="2"/>
  <c r="M244" i="2"/>
  <c r="L244" i="2"/>
  <c r="K244" i="2"/>
  <c r="J244" i="2"/>
  <c r="I244" i="2"/>
  <c r="N243" i="2"/>
  <c r="M243" i="2"/>
  <c r="L243" i="2"/>
  <c r="K243" i="2"/>
  <c r="J243" i="2"/>
  <c r="I243" i="2"/>
  <c r="N242" i="2"/>
  <c r="M242" i="2"/>
  <c r="L242" i="2"/>
  <c r="K242" i="2"/>
  <c r="J242" i="2"/>
  <c r="I242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M239" i="2"/>
  <c r="L239" i="2"/>
  <c r="K239" i="2"/>
  <c r="J239" i="2"/>
  <c r="I239" i="2"/>
  <c r="N238" i="2"/>
  <c r="M238" i="2"/>
  <c r="L238" i="2"/>
  <c r="K238" i="2"/>
  <c r="J238" i="2"/>
  <c r="I238" i="2"/>
  <c r="N237" i="2"/>
  <c r="M237" i="2"/>
  <c r="L237" i="2"/>
  <c r="K237" i="2"/>
  <c r="J237" i="2"/>
  <c r="I237" i="2"/>
  <c r="N236" i="2"/>
  <c r="M236" i="2"/>
  <c r="L236" i="2"/>
  <c r="K236" i="2"/>
  <c r="J236" i="2"/>
  <c r="I236" i="2"/>
  <c r="N235" i="2"/>
  <c r="M235" i="2"/>
  <c r="L235" i="2"/>
  <c r="K235" i="2"/>
  <c r="J235" i="2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M231" i="2"/>
  <c r="L231" i="2"/>
  <c r="K231" i="2"/>
  <c r="J231" i="2"/>
  <c r="I231" i="2"/>
  <c r="N230" i="2"/>
  <c r="M230" i="2"/>
  <c r="L230" i="2"/>
  <c r="K230" i="2"/>
  <c r="J230" i="2"/>
  <c r="I230" i="2"/>
  <c r="N229" i="2"/>
  <c r="M229" i="2"/>
  <c r="L229" i="2"/>
  <c r="K229" i="2"/>
  <c r="J229" i="2"/>
  <c r="I229" i="2"/>
  <c r="N228" i="2"/>
  <c r="M228" i="2"/>
  <c r="L228" i="2"/>
  <c r="K228" i="2"/>
  <c r="J228" i="2"/>
  <c r="I228" i="2"/>
  <c r="N227" i="2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N224" i="2"/>
  <c r="M224" i="2"/>
  <c r="L224" i="2"/>
  <c r="K224" i="2"/>
  <c r="J224" i="2"/>
  <c r="I224" i="2"/>
  <c r="N223" i="2"/>
  <c r="M223" i="2"/>
  <c r="L223" i="2"/>
  <c r="K223" i="2"/>
  <c r="J223" i="2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M219" i="2"/>
  <c r="L219" i="2"/>
  <c r="K219" i="2"/>
  <c r="J219" i="2"/>
  <c r="I219" i="2"/>
  <c r="N218" i="2"/>
  <c r="M218" i="2"/>
  <c r="L218" i="2"/>
  <c r="K218" i="2"/>
  <c r="J218" i="2"/>
  <c r="I218" i="2"/>
  <c r="N217" i="2"/>
  <c r="M217" i="2"/>
  <c r="L217" i="2"/>
  <c r="K217" i="2"/>
  <c r="J217" i="2"/>
  <c r="I217" i="2"/>
  <c r="N216" i="2"/>
  <c r="M216" i="2"/>
  <c r="L216" i="2"/>
  <c r="K216" i="2"/>
  <c r="J216" i="2"/>
  <c r="I216" i="2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N212" i="2"/>
  <c r="M212" i="2"/>
  <c r="L212" i="2"/>
  <c r="K212" i="2"/>
  <c r="J212" i="2"/>
  <c r="I212" i="2"/>
  <c r="N211" i="2"/>
  <c r="M211" i="2"/>
  <c r="L211" i="2"/>
  <c r="K211" i="2"/>
  <c r="J211" i="2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N206" i="2"/>
  <c r="M206" i="2"/>
  <c r="L206" i="2"/>
  <c r="K206" i="2"/>
  <c r="J206" i="2"/>
  <c r="I206" i="2"/>
  <c r="N205" i="2"/>
  <c r="M205" i="2"/>
  <c r="L205" i="2"/>
  <c r="K205" i="2"/>
  <c r="J205" i="2"/>
  <c r="I205" i="2"/>
  <c r="N204" i="2"/>
  <c r="M204" i="2"/>
  <c r="L204" i="2"/>
  <c r="K204" i="2"/>
  <c r="J204" i="2"/>
  <c r="I204" i="2"/>
  <c r="N203" i="2"/>
  <c r="M203" i="2"/>
  <c r="L203" i="2"/>
  <c r="K203" i="2"/>
  <c r="J203" i="2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M183" i="2"/>
  <c r="L183" i="2"/>
  <c r="K183" i="2"/>
  <c r="J183" i="2"/>
  <c r="I183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G101" i="2"/>
  <c r="H101" i="2" s="1"/>
  <c r="N100" i="2"/>
  <c r="M100" i="2"/>
  <c r="L100" i="2"/>
  <c r="K100" i="2"/>
  <c r="J100" i="2"/>
  <c r="I100" i="2"/>
  <c r="G100" i="2"/>
  <c r="H100" i="2" s="1"/>
  <c r="N99" i="2"/>
  <c r="M99" i="2"/>
  <c r="L99" i="2"/>
  <c r="K99" i="2"/>
  <c r="J99" i="2"/>
  <c r="I99" i="2"/>
  <c r="H99" i="2"/>
  <c r="G99" i="2"/>
  <c r="N98" i="2"/>
  <c r="M98" i="2"/>
  <c r="L98" i="2"/>
  <c r="K98" i="2"/>
  <c r="J98" i="2"/>
  <c r="I98" i="2"/>
  <c r="G98" i="2"/>
  <c r="H98" i="2" s="1"/>
  <c r="N97" i="2"/>
  <c r="M97" i="2"/>
  <c r="L97" i="2"/>
  <c r="K97" i="2"/>
  <c r="J97" i="2"/>
  <c r="I97" i="2"/>
  <c r="H97" i="2"/>
  <c r="G97" i="2"/>
  <c r="N96" i="2"/>
  <c r="M96" i="2"/>
  <c r="L96" i="2"/>
  <c r="K96" i="2"/>
  <c r="J96" i="2"/>
  <c r="I96" i="2"/>
  <c r="G96" i="2"/>
  <c r="H96" i="2" s="1"/>
  <c r="N95" i="2"/>
  <c r="M95" i="2"/>
  <c r="L95" i="2"/>
  <c r="K95" i="2"/>
  <c r="J95" i="2"/>
  <c r="I95" i="2"/>
  <c r="H95" i="2"/>
  <c r="G95" i="2"/>
  <c r="N94" i="2"/>
  <c r="M94" i="2"/>
  <c r="L94" i="2"/>
  <c r="K94" i="2"/>
  <c r="J94" i="2"/>
  <c r="I94" i="2"/>
  <c r="G94" i="2"/>
  <c r="H94" i="2" s="1"/>
  <c r="CX93" i="2"/>
  <c r="CW93" i="2"/>
  <c r="CV93" i="2"/>
  <c r="CU93" i="2"/>
  <c r="I93" i="2" s="1"/>
  <c r="N93" i="2"/>
  <c r="M93" i="2"/>
  <c r="L93" i="2"/>
  <c r="K93" i="2"/>
  <c r="J93" i="2"/>
  <c r="G93" i="2"/>
  <c r="P92" i="2"/>
  <c r="O92" i="2"/>
  <c r="I92" i="2" s="1"/>
  <c r="N92" i="2"/>
  <c r="M92" i="2"/>
  <c r="L92" i="2"/>
  <c r="K92" i="2"/>
  <c r="J92" i="2"/>
  <c r="G92" i="2"/>
  <c r="H92" i="2" s="1"/>
  <c r="CU91" i="2"/>
  <c r="M91" i="2" s="1"/>
  <c r="CB91" i="2"/>
  <c r="CA91" i="2"/>
  <c r="BZ91" i="2"/>
  <c r="BY91" i="2"/>
  <c r="BX91" i="2"/>
  <c r="BW91" i="2"/>
  <c r="BV91" i="2"/>
  <c r="BU91" i="2"/>
  <c r="BM91" i="2"/>
  <c r="BL91" i="2"/>
  <c r="BK91" i="2"/>
  <c r="BJ91" i="2"/>
  <c r="BI91" i="2"/>
  <c r="BH91" i="2"/>
  <c r="BG91" i="2"/>
  <c r="BF91" i="2"/>
  <c r="BD91" i="2"/>
  <c r="BC91" i="2"/>
  <c r="BB91" i="2"/>
  <c r="BA91" i="2"/>
  <c r="AS91" i="2"/>
  <c r="AR91" i="2"/>
  <c r="AQ91" i="2"/>
  <c r="AP91" i="2"/>
  <c r="AO91" i="2"/>
  <c r="AN91" i="2"/>
  <c r="AM91" i="2"/>
  <c r="AL91" i="2"/>
  <c r="AD91" i="2"/>
  <c r="AC91" i="2"/>
  <c r="AB91" i="2"/>
  <c r="AA91" i="2"/>
  <c r="Z91" i="2"/>
  <c r="Y91" i="2"/>
  <c r="X91" i="2"/>
  <c r="W91" i="2"/>
  <c r="V91" i="2"/>
  <c r="U91" i="2"/>
  <c r="T91" i="2"/>
  <c r="S91" i="2"/>
  <c r="K91" i="2" s="1"/>
  <c r="P91" i="2"/>
  <c r="J91" i="2" s="1"/>
  <c r="O91" i="2"/>
  <c r="N91" i="2"/>
  <c r="L91" i="2"/>
  <c r="G91" i="2"/>
  <c r="CU90" i="2"/>
  <c r="M90" i="2" s="1"/>
  <c r="N90" i="2"/>
  <c r="L90" i="2"/>
  <c r="K90" i="2"/>
  <c r="J90" i="2"/>
  <c r="I90" i="2"/>
  <c r="G90" i="2"/>
  <c r="H90" i="2" s="1"/>
  <c r="DV89" i="2"/>
  <c r="DQ89" i="2"/>
  <c r="N89" i="2" s="1"/>
  <c r="CM89" i="2"/>
  <c r="CL89" i="2"/>
  <c r="CK89" i="2"/>
  <c r="CJ89" i="2"/>
  <c r="L89" i="2" s="1"/>
  <c r="M89" i="2"/>
  <c r="K89" i="2"/>
  <c r="J89" i="2"/>
  <c r="G89" i="2"/>
  <c r="CB88" i="2"/>
  <c r="CA88" i="2"/>
  <c r="BZ88" i="2"/>
  <c r="BY88" i="2"/>
  <c r="BX88" i="2"/>
  <c r="BW88" i="2"/>
  <c r="BV88" i="2"/>
  <c r="BU88" i="2"/>
  <c r="BM88" i="2"/>
  <c r="BL88" i="2"/>
  <c r="BK88" i="2"/>
  <c r="BJ88" i="2"/>
  <c r="BI88" i="2"/>
  <c r="BH88" i="2"/>
  <c r="BG88" i="2"/>
  <c r="BF88" i="2"/>
  <c r="BD88" i="2"/>
  <c r="BC88" i="2"/>
  <c r="BB88" i="2"/>
  <c r="BA88" i="2"/>
  <c r="AS88" i="2"/>
  <c r="AR88" i="2"/>
  <c r="AQ88" i="2"/>
  <c r="AP88" i="2"/>
  <c r="AO88" i="2"/>
  <c r="AN88" i="2"/>
  <c r="AM88" i="2"/>
  <c r="AL88" i="2"/>
  <c r="AD88" i="2"/>
  <c r="AC88" i="2"/>
  <c r="AB88" i="2"/>
  <c r="AA88" i="2"/>
  <c r="K88" i="2" s="1"/>
  <c r="Z88" i="2"/>
  <c r="Y88" i="2"/>
  <c r="X88" i="2"/>
  <c r="W88" i="2"/>
  <c r="V88" i="2"/>
  <c r="U88" i="2"/>
  <c r="T88" i="2"/>
  <c r="I88" i="2" s="1"/>
  <c r="S88" i="2"/>
  <c r="N88" i="2"/>
  <c r="M88" i="2"/>
  <c r="L88" i="2"/>
  <c r="J88" i="2"/>
  <c r="G88" i="2"/>
  <c r="H88" i="2" s="1"/>
  <c r="CN87" i="2"/>
  <c r="N87" i="2"/>
  <c r="M87" i="2"/>
  <c r="L87" i="2"/>
  <c r="K87" i="2"/>
  <c r="J87" i="2"/>
  <c r="I87" i="2"/>
  <c r="G87" i="2"/>
  <c r="H87" i="2" s="1"/>
  <c r="CM86" i="2"/>
  <c r="CL86" i="2"/>
  <c r="CK86" i="2"/>
  <c r="I86" i="2" s="1"/>
  <c r="H86" i="2" s="1"/>
  <c r="CJ86" i="2"/>
  <c r="N86" i="2"/>
  <c r="M86" i="2"/>
  <c r="L86" i="2"/>
  <c r="K86" i="2"/>
  <c r="J86" i="2"/>
  <c r="G86" i="2"/>
  <c r="CX85" i="2"/>
  <c r="CW85" i="2"/>
  <c r="M85" i="2" s="1"/>
  <c r="CV85" i="2"/>
  <c r="CM85" i="2"/>
  <c r="CL85" i="2"/>
  <c r="CK85" i="2"/>
  <c r="CJ85" i="2"/>
  <c r="I85" i="2" s="1"/>
  <c r="H85" i="2" s="1"/>
  <c r="N85" i="2"/>
  <c r="L85" i="2"/>
  <c r="K85" i="2"/>
  <c r="J85" i="2"/>
  <c r="G85" i="2"/>
  <c r="EC84" i="2"/>
  <c r="DW84" i="2"/>
  <c r="DV84" i="2"/>
  <c r="DU84" i="2"/>
  <c r="DQ84" i="2"/>
  <c r="N84" i="2" s="1"/>
  <c r="M84" i="2"/>
  <c r="L84" i="2"/>
  <c r="K84" i="2"/>
  <c r="J84" i="2"/>
  <c r="I84" i="2"/>
  <c r="H84" i="2"/>
  <c r="G84" i="2"/>
  <c r="EC83" i="2"/>
  <c r="DW83" i="2"/>
  <c r="DV83" i="2"/>
  <c r="DU83" i="2"/>
  <c r="DQ83" i="2"/>
  <c r="N83" i="2" s="1"/>
  <c r="M83" i="2"/>
  <c r="L83" i="2"/>
  <c r="K83" i="2"/>
  <c r="J83" i="2"/>
  <c r="I83" i="2"/>
  <c r="G83" i="2"/>
  <c r="H83" i="2" s="1"/>
  <c r="FF82" i="2"/>
  <c r="I82" i="2" s="1"/>
  <c r="N82" i="2"/>
  <c r="M82" i="2"/>
  <c r="L82" i="2"/>
  <c r="K82" i="2"/>
  <c r="J82" i="2"/>
  <c r="G82" i="2"/>
  <c r="EG81" i="2"/>
  <c r="EF81" i="2"/>
  <c r="CN81" i="2"/>
  <c r="N81" i="2"/>
  <c r="M81" i="2"/>
  <c r="L81" i="2"/>
  <c r="K81" i="2"/>
  <c r="J81" i="2"/>
  <c r="I81" i="2"/>
  <c r="H81" i="2" s="1"/>
  <c r="G81" i="2"/>
  <c r="CN80" i="2"/>
  <c r="I80" i="2" s="1"/>
  <c r="N80" i="2"/>
  <c r="M80" i="2"/>
  <c r="L80" i="2"/>
  <c r="K80" i="2"/>
  <c r="J80" i="2"/>
  <c r="G80" i="2"/>
  <c r="CY79" i="2"/>
  <c r="I79" i="2" s="1"/>
  <c r="H79" i="2" s="1"/>
  <c r="N79" i="2"/>
  <c r="M79" i="2"/>
  <c r="L79" i="2"/>
  <c r="K79" i="2"/>
  <c r="J79" i="2"/>
  <c r="G79" i="2"/>
  <c r="EG78" i="2"/>
  <c r="EF78" i="2"/>
  <c r="N78" i="2"/>
  <c r="M78" i="2"/>
  <c r="L78" i="2"/>
  <c r="K78" i="2"/>
  <c r="J78" i="2"/>
  <c r="I78" i="2"/>
  <c r="G78" i="2"/>
  <c r="H78" i="2" s="1"/>
  <c r="CC77" i="2"/>
  <c r="BN77" i="2"/>
  <c r="K77" i="2" s="1"/>
  <c r="AT77" i="2"/>
  <c r="AE77" i="2"/>
  <c r="N77" i="2"/>
  <c r="M77" i="2"/>
  <c r="L77" i="2"/>
  <c r="J77" i="2"/>
  <c r="G77" i="2"/>
  <c r="CC76" i="2"/>
  <c r="BN76" i="2"/>
  <c r="AT76" i="2"/>
  <c r="AE76" i="2"/>
  <c r="K76" i="2" s="1"/>
  <c r="N76" i="2"/>
  <c r="M76" i="2"/>
  <c r="L76" i="2"/>
  <c r="J76" i="2"/>
  <c r="G76" i="2"/>
  <c r="CY75" i="2"/>
  <c r="M75" i="2" s="1"/>
  <c r="N75" i="2"/>
  <c r="L75" i="2"/>
  <c r="K75" i="2"/>
  <c r="J75" i="2"/>
  <c r="G75" i="2"/>
  <c r="EE74" i="2"/>
  <c r="I74" i="2" s="1"/>
  <c r="ED74" i="2"/>
  <c r="EB74" i="2"/>
  <c r="DX74" i="2"/>
  <c r="DT74" i="2"/>
  <c r="DS74" i="2"/>
  <c r="DR74" i="2"/>
  <c r="DP74" i="2"/>
  <c r="DO74" i="2"/>
  <c r="N74" i="2" s="1"/>
  <c r="M74" i="2"/>
  <c r="L74" i="2"/>
  <c r="K74" i="2"/>
  <c r="J74" i="2"/>
  <c r="G74" i="2"/>
  <c r="BE73" i="2"/>
  <c r="K73" i="2" s="1"/>
  <c r="N73" i="2"/>
  <c r="M73" i="2"/>
  <c r="L73" i="2"/>
  <c r="J73" i="2"/>
  <c r="I73" i="2"/>
  <c r="G73" i="2"/>
  <c r="H73" i="2" s="1"/>
  <c r="FH72" i="2"/>
  <c r="FF72" i="2"/>
  <c r="FC72" i="2"/>
  <c r="FB72" i="2"/>
  <c r="EU72" i="2"/>
  <c r="ES72" i="2"/>
  <c r="EQ72" i="2"/>
  <c r="I72" i="2" s="1"/>
  <c r="EO72" i="2"/>
  <c r="EL72" i="2"/>
  <c r="EK72" i="2"/>
  <c r="N72" i="2" s="1"/>
  <c r="EI72" i="2"/>
  <c r="M72" i="2"/>
  <c r="L72" i="2"/>
  <c r="K72" i="2"/>
  <c r="J72" i="2"/>
  <c r="G72" i="2"/>
  <c r="FH71" i="2"/>
  <c r="FF71" i="2"/>
  <c r="FC71" i="2"/>
  <c r="FB71" i="2"/>
  <c r="EV71" i="2"/>
  <c r="EU71" i="2"/>
  <c r="ES71" i="2"/>
  <c r="EQ71" i="2"/>
  <c r="EO71" i="2"/>
  <c r="EL71" i="2"/>
  <c r="EK71" i="2"/>
  <c r="I71" i="2" s="1"/>
  <c r="EI71" i="2"/>
  <c r="N71" i="2" s="1"/>
  <c r="M71" i="2"/>
  <c r="L71" i="2"/>
  <c r="K71" i="2"/>
  <c r="J71" i="2"/>
  <c r="G71" i="2"/>
  <c r="H71" i="2" s="1"/>
  <c r="FB70" i="2"/>
  <c r="N70" i="2" s="1"/>
  <c r="M70" i="2"/>
  <c r="L70" i="2"/>
  <c r="K70" i="2"/>
  <c r="J70" i="2"/>
  <c r="I70" i="2"/>
  <c r="G70" i="2"/>
  <c r="H70" i="2" s="1"/>
  <c r="EZ69" i="2"/>
  <c r="EV69" i="2"/>
  <c r="EU69" i="2"/>
  <c r="ES69" i="2"/>
  <c r="EQ69" i="2"/>
  <c r="EO69" i="2"/>
  <c r="EL69" i="2"/>
  <c r="N69" i="2" s="1"/>
  <c r="EI69" i="2"/>
  <c r="M69" i="2"/>
  <c r="L69" i="2"/>
  <c r="K69" i="2"/>
  <c r="J69" i="2"/>
  <c r="G69" i="2"/>
  <c r="FB68" i="2"/>
  <c r="N68" i="2" s="1"/>
  <c r="M68" i="2"/>
  <c r="L68" i="2"/>
  <c r="K68" i="2"/>
  <c r="J68" i="2"/>
  <c r="I68" i="2"/>
  <c r="G68" i="2"/>
  <c r="H68" i="2" s="1"/>
  <c r="EE67" i="2"/>
  <c r="ED67" i="2"/>
  <c r="EB67" i="2"/>
  <c r="EA67" i="2"/>
  <c r="DZ67" i="2"/>
  <c r="DY67" i="2"/>
  <c r="DX67" i="2"/>
  <c r="DT67" i="2"/>
  <c r="DS67" i="2"/>
  <c r="DR67" i="2"/>
  <c r="DP67" i="2"/>
  <c r="DO67" i="2"/>
  <c r="I67" i="2" s="1"/>
  <c r="N67" i="2"/>
  <c r="M67" i="2"/>
  <c r="L67" i="2"/>
  <c r="K67" i="2"/>
  <c r="J67" i="2"/>
  <c r="G67" i="2"/>
  <c r="EZ66" i="2"/>
  <c r="N66" i="2" s="1"/>
  <c r="M66" i="2"/>
  <c r="L66" i="2"/>
  <c r="K66" i="2"/>
  <c r="J66" i="2"/>
  <c r="G66" i="2"/>
  <c r="EZ65" i="2"/>
  <c r="N65" i="2" s="1"/>
  <c r="M65" i="2"/>
  <c r="L65" i="2"/>
  <c r="K65" i="2"/>
  <c r="J65" i="2"/>
  <c r="G65" i="2"/>
  <c r="FC64" i="2"/>
  <c r="N64" i="2"/>
  <c r="M64" i="2"/>
  <c r="L64" i="2"/>
  <c r="K64" i="2"/>
  <c r="J64" i="2"/>
  <c r="I64" i="2"/>
  <c r="H64" i="2"/>
  <c r="G64" i="2"/>
  <c r="FG63" i="2"/>
  <c r="FE63" i="2"/>
  <c r="FD63" i="2"/>
  <c r="FA63" i="2"/>
  <c r="EW63" i="2"/>
  <c r="ET63" i="2"/>
  <c r="ER63" i="2"/>
  <c r="EN63" i="2"/>
  <c r="EM63" i="2"/>
  <c r="I63" i="2" s="1"/>
  <c r="EJ63" i="2"/>
  <c r="EH63" i="2"/>
  <c r="M63" i="2"/>
  <c r="L63" i="2"/>
  <c r="K63" i="2"/>
  <c r="J63" i="2"/>
  <c r="G63" i="2"/>
  <c r="FA62" i="2"/>
  <c r="N62" i="2"/>
  <c r="M62" i="2"/>
  <c r="L62" i="2"/>
  <c r="K62" i="2"/>
  <c r="J62" i="2"/>
  <c r="I62" i="2"/>
  <c r="G62" i="2"/>
  <c r="H62" i="2" s="1"/>
  <c r="EY61" i="2"/>
  <c r="EX61" i="2"/>
  <c r="EW61" i="2"/>
  <c r="ET61" i="2"/>
  <c r="ER61" i="2"/>
  <c r="N61" i="2" s="1"/>
  <c r="M61" i="2"/>
  <c r="L61" i="2"/>
  <c r="K61" i="2"/>
  <c r="J61" i="2"/>
  <c r="G61" i="2"/>
  <c r="EX60" i="2"/>
  <c r="EP60" i="2"/>
  <c r="N60" i="2"/>
  <c r="M60" i="2"/>
  <c r="L60" i="2"/>
  <c r="K60" i="2"/>
  <c r="J60" i="2"/>
  <c r="I60" i="2"/>
  <c r="G60" i="2"/>
  <c r="H60" i="2" s="1"/>
  <c r="FG59" i="2"/>
  <c r="FE59" i="2"/>
  <c r="FD59" i="2"/>
  <c r="FA59" i="2"/>
  <c r="EP59" i="2"/>
  <c r="EN59" i="2"/>
  <c r="EM59" i="2"/>
  <c r="EJ59" i="2"/>
  <c r="EH59" i="2"/>
  <c r="I59" i="2" s="1"/>
  <c r="H59" i="2" s="1"/>
  <c r="M59" i="2"/>
  <c r="L59" i="2"/>
  <c r="K59" i="2"/>
  <c r="J59" i="2"/>
  <c r="G59" i="2"/>
  <c r="FG58" i="2"/>
  <c r="EY58" i="2"/>
  <c r="EX58" i="2"/>
  <c r="EP58" i="2"/>
  <c r="EN58" i="2"/>
  <c r="EM58" i="2"/>
  <c r="EJ58" i="2"/>
  <c r="EH58" i="2"/>
  <c r="I58" i="2" s="1"/>
  <c r="M58" i="2"/>
  <c r="L58" i="2"/>
  <c r="K58" i="2"/>
  <c r="J58" i="2"/>
  <c r="G58" i="2"/>
  <c r="H58" i="2" s="1"/>
  <c r="FD57" i="2"/>
  <c r="N57" i="2"/>
  <c r="M57" i="2"/>
  <c r="L57" i="2"/>
  <c r="K57" i="2"/>
  <c r="J57" i="2"/>
  <c r="I57" i="2"/>
  <c r="G57" i="2"/>
  <c r="H57" i="2" s="1"/>
  <c r="DM56" i="2"/>
  <c r="DK56" i="2"/>
  <c r="DI56" i="2"/>
  <c r="N56" i="2" s="1"/>
  <c r="CT56" i="2"/>
  <c r="CS56" i="2"/>
  <c r="L56" i="2" s="1"/>
  <c r="CR56" i="2"/>
  <c r="CQ56" i="2"/>
  <c r="M56" i="2"/>
  <c r="K56" i="2"/>
  <c r="J56" i="2"/>
  <c r="G56" i="2"/>
  <c r="DL55" i="2"/>
  <c r="DJ55" i="2"/>
  <c r="DG55" i="2"/>
  <c r="N55" i="2" s="1"/>
  <c r="M55" i="2"/>
  <c r="L55" i="2"/>
  <c r="K55" i="2"/>
  <c r="J55" i="2"/>
  <c r="G55" i="2"/>
  <c r="DN54" i="2"/>
  <c r="N54" i="2"/>
  <c r="M54" i="2"/>
  <c r="L54" i="2"/>
  <c r="K54" i="2"/>
  <c r="J54" i="2"/>
  <c r="I54" i="2"/>
  <c r="H54" i="2"/>
  <c r="G54" i="2"/>
  <c r="DH53" i="2"/>
  <c r="DE53" i="2"/>
  <c r="DD53" i="2"/>
  <c r="DC53" i="2"/>
  <c r="I53" i="2" s="1"/>
  <c r="DB53" i="2"/>
  <c r="N53" i="2"/>
  <c r="M53" i="2"/>
  <c r="L53" i="2"/>
  <c r="K53" i="2"/>
  <c r="J53" i="2"/>
  <c r="G53" i="2"/>
  <c r="DM52" i="2"/>
  <c r="DK52" i="2"/>
  <c r="DI52" i="2"/>
  <c r="N52" i="2" s="1"/>
  <c r="CH52" i="2"/>
  <c r="BS52" i="2"/>
  <c r="AY52" i="2"/>
  <c r="AJ52" i="2"/>
  <c r="K52" i="2" s="1"/>
  <c r="M52" i="2"/>
  <c r="L52" i="2"/>
  <c r="J52" i="2"/>
  <c r="G52" i="2"/>
  <c r="CE51" i="2"/>
  <c r="BP51" i="2"/>
  <c r="AV51" i="2"/>
  <c r="K51" i="2" s="1"/>
  <c r="AG51" i="2"/>
  <c r="N51" i="2"/>
  <c r="M51" i="2"/>
  <c r="L51" i="2"/>
  <c r="J51" i="2"/>
  <c r="G51" i="2"/>
  <c r="CT50" i="2"/>
  <c r="CS50" i="2"/>
  <c r="CR50" i="2"/>
  <c r="CQ50" i="2"/>
  <c r="L50" i="2" s="1"/>
  <c r="CE50" i="2"/>
  <c r="BP50" i="2"/>
  <c r="AV50" i="2"/>
  <c r="K50" i="2" s="1"/>
  <c r="AG50" i="2"/>
  <c r="N50" i="2"/>
  <c r="M50" i="2"/>
  <c r="J50" i="2"/>
  <c r="G50" i="2"/>
  <c r="DE49" i="2"/>
  <c r="DD49" i="2"/>
  <c r="DC49" i="2"/>
  <c r="DB49" i="2"/>
  <c r="DA49" i="2"/>
  <c r="I49" i="2" s="1"/>
  <c r="H49" i="2" s="1"/>
  <c r="N49" i="2"/>
  <c r="M49" i="2"/>
  <c r="L49" i="2"/>
  <c r="K49" i="2"/>
  <c r="J49" i="2"/>
  <c r="G49" i="2"/>
  <c r="DM48" i="2"/>
  <c r="DK48" i="2"/>
  <c r="DJ48" i="2"/>
  <c r="DI48" i="2"/>
  <c r="CZ48" i="2"/>
  <c r="CT48" i="2"/>
  <c r="CS48" i="2"/>
  <c r="CR48" i="2"/>
  <c r="CQ48" i="2"/>
  <c r="L48" i="2" s="1"/>
  <c r="N48" i="2"/>
  <c r="M48" i="2"/>
  <c r="K48" i="2"/>
  <c r="J48" i="2"/>
  <c r="G48" i="2"/>
  <c r="DB47" i="2"/>
  <c r="N47" i="2"/>
  <c r="M47" i="2"/>
  <c r="L47" i="2"/>
  <c r="K47" i="2"/>
  <c r="J47" i="2"/>
  <c r="I47" i="2"/>
  <c r="G47" i="2"/>
  <c r="H47" i="2" s="1"/>
  <c r="DN46" i="2"/>
  <c r="CP46" i="2"/>
  <c r="N46" i="2"/>
  <c r="M46" i="2"/>
  <c r="L46" i="2"/>
  <c r="K46" i="2"/>
  <c r="J46" i="2"/>
  <c r="I46" i="2"/>
  <c r="G46" i="2"/>
  <c r="H46" i="2" s="1"/>
  <c r="Q45" i="2"/>
  <c r="N45" i="2"/>
  <c r="M45" i="2"/>
  <c r="L45" i="2"/>
  <c r="K45" i="2"/>
  <c r="J45" i="2"/>
  <c r="I45" i="2"/>
  <c r="G45" i="2"/>
  <c r="H45" i="2" s="1"/>
  <c r="DJ44" i="2"/>
  <c r="DA44" i="2"/>
  <c r="CI44" i="2"/>
  <c r="CF44" i="2"/>
  <c r="BT44" i="2"/>
  <c r="BQ44" i="2"/>
  <c r="AZ44" i="2"/>
  <c r="AW44" i="2"/>
  <c r="AK44" i="2"/>
  <c r="AH44" i="2"/>
  <c r="N44" i="2"/>
  <c r="M44" i="2"/>
  <c r="L44" i="2"/>
  <c r="K44" i="2"/>
  <c r="J44" i="2"/>
  <c r="I44" i="2"/>
  <c r="G44" i="2"/>
  <c r="H44" i="2" s="1"/>
  <c r="DA43" i="2"/>
  <c r="M43" i="2" s="1"/>
  <c r="N43" i="2"/>
  <c r="L43" i="2"/>
  <c r="K43" i="2"/>
  <c r="J43" i="2"/>
  <c r="G43" i="2"/>
  <c r="DE42" i="2"/>
  <c r="M42" i="2" s="1"/>
  <c r="CO42" i="2"/>
  <c r="L42" i="2" s="1"/>
  <c r="CF42" i="2"/>
  <c r="BQ42" i="2"/>
  <c r="AW42" i="2"/>
  <c r="AH42" i="2"/>
  <c r="K42" i="2" s="1"/>
  <c r="Q42" i="2"/>
  <c r="J42" i="2" s="1"/>
  <c r="N42" i="2"/>
  <c r="G42" i="2"/>
  <c r="CI41" i="2"/>
  <c r="CG41" i="2"/>
  <c r="CF41" i="2"/>
  <c r="K41" i="2" s="1"/>
  <c r="CD41" i="2"/>
  <c r="BT41" i="2"/>
  <c r="BR41" i="2"/>
  <c r="BQ41" i="2"/>
  <c r="BO41" i="2"/>
  <c r="AZ41" i="2"/>
  <c r="AX41" i="2"/>
  <c r="AW41" i="2"/>
  <c r="AU41" i="2"/>
  <c r="AK41" i="2"/>
  <c r="AI41" i="2"/>
  <c r="AH41" i="2"/>
  <c r="AF41" i="2"/>
  <c r="N41" i="2"/>
  <c r="M41" i="2"/>
  <c r="L41" i="2"/>
  <c r="J41" i="2"/>
  <c r="G41" i="2"/>
  <c r="R40" i="2"/>
  <c r="J40" i="2" s="1"/>
  <c r="N40" i="2"/>
  <c r="M40" i="2"/>
  <c r="L40" i="2"/>
  <c r="K40" i="2"/>
  <c r="G40" i="2"/>
  <c r="DK39" i="2"/>
  <c r="DG39" i="2"/>
  <c r="N39" i="2" s="1"/>
  <c r="CP39" i="2"/>
  <c r="L39" i="2" s="1"/>
  <c r="CO39" i="2"/>
  <c r="CG39" i="2"/>
  <c r="CD39" i="2"/>
  <c r="BR39" i="2"/>
  <c r="BO39" i="2"/>
  <c r="AX39" i="2"/>
  <c r="AU39" i="2"/>
  <c r="AI39" i="2"/>
  <c r="AF39" i="2"/>
  <c r="M39" i="2"/>
  <c r="K39" i="2"/>
  <c r="J39" i="2"/>
  <c r="I39" i="2"/>
  <c r="H39" i="2" s="1"/>
  <c r="G39" i="2"/>
  <c r="DH38" i="2"/>
  <c r="N38" i="2" s="1"/>
  <c r="DG38" i="2"/>
  <c r="R38" i="2"/>
  <c r="J38" i="2" s="1"/>
  <c r="M38" i="2"/>
  <c r="L38" i="2"/>
  <c r="K38" i="2"/>
  <c r="G38" i="2"/>
  <c r="DN37" i="2"/>
  <c r="I37" i="2" s="1"/>
  <c r="N37" i="2"/>
  <c r="M37" i="2"/>
  <c r="L37" i="2"/>
  <c r="K37" i="2"/>
  <c r="J37" i="2"/>
  <c r="G37" i="2"/>
  <c r="H37" i="2" s="1"/>
  <c r="CT36" i="2"/>
  <c r="CS36" i="2"/>
  <c r="CR36" i="2"/>
  <c r="CQ36" i="2"/>
  <c r="L36" i="2" s="1"/>
  <c r="N36" i="2"/>
  <c r="M36" i="2"/>
  <c r="K36" i="2"/>
  <c r="J36" i="2"/>
  <c r="I36" i="2"/>
  <c r="H36" i="2" s="1"/>
  <c r="G36" i="2"/>
  <c r="DN35" i="2"/>
  <c r="N35" i="2" s="1"/>
  <c r="DE35" i="2"/>
  <c r="DD35" i="2"/>
  <c r="DC35" i="2"/>
  <c r="DB35" i="2"/>
  <c r="M35" i="2" s="1"/>
  <c r="CT35" i="2"/>
  <c r="CS35" i="2"/>
  <c r="CR35" i="2"/>
  <c r="CQ35" i="2"/>
  <c r="CI35" i="2"/>
  <c r="CH35" i="2"/>
  <c r="CE35" i="2"/>
  <c r="BT35" i="2"/>
  <c r="BS35" i="2"/>
  <c r="BP35" i="2"/>
  <c r="AZ35" i="2"/>
  <c r="AY35" i="2"/>
  <c r="AV35" i="2"/>
  <c r="AK35" i="2"/>
  <c r="AJ35" i="2"/>
  <c r="AG35" i="2"/>
  <c r="K35" i="2" s="1"/>
  <c r="L35" i="2"/>
  <c r="J35" i="2"/>
  <c r="G35" i="2"/>
  <c r="DL34" i="2"/>
  <c r="DJ34" i="2"/>
  <c r="DH34" i="2"/>
  <c r="DG34" i="2"/>
  <c r="N34" i="2" s="1"/>
  <c r="M34" i="2"/>
  <c r="L34" i="2"/>
  <c r="K34" i="2"/>
  <c r="J34" i="2"/>
  <c r="G34" i="2"/>
  <c r="CH33" i="2"/>
  <c r="BS33" i="2"/>
  <c r="AY33" i="2"/>
  <c r="AJ33" i="2"/>
  <c r="K33" i="2" s="1"/>
  <c r="Q33" i="2"/>
  <c r="J33" i="2" s="1"/>
  <c r="N33" i="2"/>
  <c r="M33" i="2"/>
  <c r="L33" i="2"/>
  <c r="G33" i="2"/>
  <c r="CO32" i="2"/>
  <c r="N32" i="2"/>
  <c r="M32" i="2"/>
  <c r="L32" i="2"/>
  <c r="K32" i="2"/>
  <c r="J32" i="2"/>
  <c r="I32" i="2"/>
  <c r="H32" i="2"/>
  <c r="G32" i="2"/>
  <c r="DN31" i="2"/>
  <c r="N31" i="2" s="1"/>
  <c r="CP31" i="2"/>
  <c r="L31" i="2" s="1"/>
  <c r="M31" i="2"/>
  <c r="K31" i="2"/>
  <c r="J31" i="2"/>
  <c r="G31" i="2"/>
  <c r="CF30" i="2"/>
  <c r="BQ30" i="2"/>
  <c r="AW30" i="2"/>
  <c r="AH30" i="2"/>
  <c r="K30" i="2" s="1"/>
  <c r="N30" i="2"/>
  <c r="M30" i="2"/>
  <c r="L30" i="2"/>
  <c r="J30" i="2"/>
  <c r="G30" i="2"/>
  <c r="CO29" i="2"/>
  <c r="N29" i="2"/>
  <c r="M29" i="2"/>
  <c r="L29" i="2"/>
  <c r="K29" i="2"/>
  <c r="J29" i="2"/>
  <c r="I29" i="2"/>
  <c r="G29" i="2"/>
  <c r="H29" i="2" s="1"/>
  <c r="CI28" i="2"/>
  <c r="CF28" i="2"/>
  <c r="CE28" i="2"/>
  <c r="BT28" i="2"/>
  <c r="BQ28" i="2"/>
  <c r="BP28" i="2"/>
  <c r="AZ28" i="2"/>
  <c r="I28" i="2" s="1"/>
  <c r="H28" i="2" s="1"/>
  <c r="AW28" i="2"/>
  <c r="AV28" i="2"/>
  <c r="AK28" i="2"/>
  <c r="AH28" i="2"/>
  <c r="AG28" i="2"/>
  <c r="N28" i="2"/>
  <c r="M28" i="2"/>
  <c r="L28" i="2"/>
  <c r="K28" i="2"/>
  <c r="J28" i="2"/>
  <c r="G28" i="2"/>
  <c r="CG27" i="2"/>
  <c r="CD27" i="2"/>
  <c r="BR27" i="2"/>
  <c r="I27" i="2" s="1"/>
  <c r="BO27" i="2"/>
  <c r="AX27" i="2"/>
  <c r="AU27" i="2"/>
  <c r="AI27" i="2"/>
  <c r="AF27" i="2"/>
  <c r="N27" i="2"/>
  <c r="M27" i="2"/>
  <c r="L27" i="2"/>
  <c r="K27" i="2"/>
  <c r="J27" i="2"/>
  <c r="G27" i="2"/>
  <c r="DD26" i="2"/>
  <c r="M26" i="2" s="1"/>
  <c r="DC26" i="2"/>
  <c r="N26" i="2"/>
  <c r="L26" i="2"/>
  <c r="K26" i="2"/>
  <c r="J26" i="2"/>
  <c r="I26" i="2"/>
  <c r="G26" i="2"/>
  <c r="H26" i="2" s="1"/>
  <c r="DD25" i="2"/>
  <c r="DC25" i="2"/>
  <c r="M25" i="2" s="1"/>
  <c r="N25" i="2"/>
  <c r="L25" i="2"/>
  <c r="K25" i="2"/>
  <c r="J25" i="2"/>
  <c r="G25" i="2"/>
  <c r="DD24" i="2"/>
  <c r="DC24" i="2"/>
  <c r="N24" i="2"/>
  <c r="M24" i="2"/>
  <c r="L24" i="2"/>
  <c r="K24" i="2"/>
  <c r="J24" i="2"/>
  <c r="I24" i="2"/>
  <c r="G24" i="2"/>
  <c r="H24" i="2" s="1"/>
  <c r="DE23" i="2"/>
  <c r="DB23" i="2"/>
  <c r="M23" i="2" s="1"/>
  <c r="N23" i="2"/>
  <c r="L23" i="2"/>
  <c r="K23" i="2"/>
  <c r="J23" i="2"/>
  <c r="I23" i="2"/>
  <c r="G23" i="2"/>
  <c r="H23" i="2" s="1"/>
  <c r="N22" i="2"/>
  <c r="M22" i="2"/>
  <c r="L22" i="2"/>
  <c r="K22" i="2"/>
  <c r="J22" i="2"/>
  <c r="I22" i="2"/>
  <c r="G22" i="2"/>
  <c r="H22" i="2" s="1"/>
  <c r="DL21" i="2"/>
  <c r="N21" i="2" s="1"/>
  <c r="CG21" i="2"/>
  <c r="BR21" i="2"/>
  <c r="K21" i="2" s="1"/>
  <c r="AX21" i="2"/>
  <c r="AI21" i="2"/>
  <c r="M21" i="2"/>
  <c r="L21" i="2"/>
  <c r="J21" i="2"/>
  <c r="I21" i="2"/>
  <c r="H21" i="2"/>
  <c r="G21" i="2"/>
  <c r="R20" i="2"/>
  <c r="I20" i="2" s="1"/>
  <c r="N20" i="2"/>
  <c r="M20" i="2"/>
  <c r="L20" i="2"/>
  <c r="K20" i="2"/>
  <c r="J20" i="2"/>
  <c r="G20" i="2"/>
  <c r="H20" i="2" s="1"/>
  <c r="DM19" i="2"/>
  <c r="DI19" i="2"/>
  <c r="N19" i="2" s="1"/>
  <c r="M19" i="2"/>
  <c r="L19" i="2"/>
  <c r="K19" i="2"/>
  <c r="J19" i="2"/>
  <c r="I19" i="2"/>
  <c r="G19" i="2"/>
  <c r="H19" i="2" s="1"/>
  <c r="CI18" i="2"/>
  <c r="BT18" i="2"/>
  <c r="AZ18" i="2"/>
  <c r="AK18" i="2"/>
  <c r="N18" i="2"/>
  <c r="M18" i="2"/>
  <c r="L18" i="2"/>
  <c r="K18" i="2"/>
  <c r="J18" i="2"/>
  <c r="I18" i="2"/>
  <c r="G18" i="2"/>
  <c r="H18" i="2" s="1"/>
  <c r="DH17" i="2"/>
  <c r="DG17" i="2"/>
  <c r="N17" i="2" s="1"/>
  <c r="M17" i="2"/>
  <c r="L17" i="2"/>
  <c r="K17" i="2"/>
  <c r="J17" i="2"/>
  <c r="I17" i="2"/>
  <c r="G17" i="2"/>
  <c r="H17" i="2" s="1"/>
  <c r="DL16" i="2"/>
  <c r="CD16" i="2"/>
  <c r="BO16" i="2"/>
  <c r="AU16" i="2"/>
  <c r="AF16" i="2"/>
  <c r="K16" i="2" s="1"/>
  <c r="N16" i="2"/>
  <c r="M16" i="2"/>
  <c r="L16" i="2"/>
  <c r="J16" i="2"/>
  <c r="G16" i="2"/>
  <c r="DN15" i="2"/>
  <c r="N15" i="2" s="1"/>
  <c r="DK15" i="2"/>
  <c r="M15" i="2"/>
  <c r="L15" i="2"/>
  <c r="K15" i="2"/>
  <c r="J15" i="2"/>
  <c r="I15" i="2"/>
  <c r="H15" i="2"/>
  <c r="G15" i="2"/>
  <c r="N14" i="2"/>
  <c r="M14" i="2"/>
  <c r="L14" i="2"/>
  <c r="K14" i="2"/>
  <c r="J14" i="2"/>
  <c r="I14" i="2"/>
  <c r="H14" i="2" s="1"/>
  <c r="G14" i="2"/>
  <c r="CZ13" i="2"/>
  <c r="N13" i="2"/>
  <c r="M13" i="2"/>
  <c r="L13" i="2"/>
  <c r="K13" i="2"/>
  <c r="J13" i="2"/>
  <c r="I13" i="2"/>
  <c r="G13" i="2"/>
  <c r="H13" i="2" s="1"/>
  <c r="CO12" i="2"/>
  <c r="I12" i="2" s="1"/>
  <c r="H12" i="2" s="1"/>
  <c r="N12" i="2"/>
  <c r="M12" i="2"/>
  <c r="L12" i="2"/>
  <c r="K12" i="2"/>
  <c r="J12" i="2"/>
  <c r="G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BL346" i="1"/>
  <c r="L346" i="1" s="1"/>
  <c r="K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V267" i="1"/>
  <c r="L267" i="1" s="1"/>
  <c r="K267" i="1"/>
  <c r="J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M201" i="1"/>
  <c r="L201" i="1" s="1"/>
  <c r="K201" i="1"/>
  <c r="J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AK142" i="1"/>
  <c r="AB142" i="1"/>
  <c r="V142" i="1"/>
  <c r="I142" i="1" s="1"/>
  <c r="L142" i="1"/>
  <c r="K142" i="1"/>
  <c r="J142" i="1"/>
  <c r="L141" i="1"/>
  <c r="K141" i="1"/>
  <c r="J141" i="1"/>
  <c r="I141" i="1"/>
  <c r="AK140" i="1"/>
  <c r="V140" i="1"/>
  <c r="L140" i="1" s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G126" i="1"/>
  <c r="L125" i="1"/>
  <c r="K125" i="1"/>
  <c r="J125" i="1"/>
  <c r="I125" i="1"/>
  <c r="G125" i="1"/>
  <c r="L124" i="1"/>
  <c r="K124" i="1"/>
  <c r="J124" i="1"/>
  <c r="I124" i="1"/>
  <c r="G124" i="1"/>
  <c r="H124" i="1" s="1"/>
  <c r="L123" i="1"/>
  <c r="K123" i="1"/>
  <c r="J123" i="1"/>
  <c r="I123" i="1"/>
  <c r="G123" i="1"/>
  <c r="L122" i="1"/>
  <c r="K122" i="1"/>
  <c r="J122" i="1"/>
  <c r="I122" i="1"/>
  <c r="G122" i="1"/>
  <c r="L121" i="1"/>
  <c r="K121" i="1"/>
  <c r="J121" i="1"/>
  <c r="I121" i="1"/>
  <c r="G121" i="1"/>
  <c r="L120" i="1"/>
  <c r="K120" i="1"/>
  <c r="J120" i="1"/>
  <c r="I120" i="1"/>
  <c r="G120" i="1"/>
  <c r="L119" i="1"/>
  <c r="K119" i="1"/>
  <c r="J119" i="1"/>
  <c r="I119" i="1"/>
  <c r="G119" i="1"/>
  <c r="H119" i="1" s="1"/>
  <c r="L118" i="1"/>
  <c r="K118" i="1"/>
  <c r="J118" i="1"/>
  <c r="I118" i="1"/>
  <c r="G118" i="1"/>
  <c r="L117" i="1"/>
  <c r="K117" i="1"/>
  <c r="J117" i="1"/>
  <c r="I117" i="1"/>
  <c r="G117" i="1"/>
  <c r="L116" i="1"/>
  <c r="K116" i="1"/>
  <c r="J116" i="1"/>
  <c r="I116" i="1"/>
  <c r="G116" i="1"/>
  <c r="L115" i="1"/>
  <c r="K115" i="1"/>
  <c r="J115" i="1"/>
  <c r="I115" i="1"/>
  <c r="G115" i="1"/>
  <c r="H115" i="1" s="1"/>
  <c r="L114" i="1"/>
  <c r="K114" i="1"/>
  <c r="J114" i="1"/>
  <c r="I114" i="1"/>
  <c r="G114" i="1"/>
  <c r="L113" i="1"/>
  <c r="K113" i="1"/>
  <c r="J113" i="1"/>
  <c r="I113" i="1"/>
  <c r="G113" i="1"/>
  <c r="H113" i="1" s="1"/>
  <c r="L112" i="1"/>
  <c r="K112" i="1"/>
  <c r="J112" i="1"/>
  <c r="I112" i="1"/>
  <c r="G112" i="1"/>
  <c r="L111" i="1"/>
  <c r="H111" i="1" s="1"/>
  <c r="K111" i="1"/>
  <c r="J111" i="1"/>
  <c r="I111" i="1"/>
  <c r="G111" i="1"/>
  <c r="L110" i="1"/>
  <c r="K110" i="1"/>
  <c r="J110" i="1"/>
  <c r="I110" i="1"/>
  <c r="G110" i="1"/>
  <c r="L109" i="1"/>
  <c r="K109" i="1"/>
  <c r="J109" i="1"/>
  <c r="I109" i="1"/>
  <c r="G109" i="1"/>
  <c r="L108" i="1"/>
  <c r="K108" i="1"/>
  <c r="J108" i="1"/>
  <c r="I108" i="1"/>
  <c r="G108" i="1"/>
  <c r="L107" i="1"/>
  <c r="K107" i="1"/>
  <c r="J107" i="1"/>
  <c r="I107" i="1"/>
  <c r="G107" i="1"/>
  <c r="L106" i="1"/>
  <c r="K106" i="1"/>
  <c r="J106" i="1"/>
  <c r="I106" i="1"/>
  <c r="G106" i="1"/>
  <c r="H106" i="1" s="1"/>
  <c r="L105" i="1"/>
  <c r="K105" i="1"/>
  <c r="J105" i="1"/>
  <c r="I105" i="1"/>
  <c r="G105" i="1"/>
  <c r="L104" i="1"/>
  <c r="K104" i="1"/>
  <c r="J104" i="1"/>
  <c r="I104" i="1"/>
  <c r="G104" i="1"/>
  <c r="L103" i="1"/>
  <c r="K103" i="1"/>
  <c r="J103" i="1"/>
  <c r="I103" i="1"/>
  <c r="G103" i="1"/>
  <c r="H103" i="1" s="1"/>
  <c r="L102" i="1"/>
  <c r="K102" i="1"/>
  <c r="J102" i="1"/>
  <c r="I102" i="1"/>
  <c r="G102" i="1"/>
  <c r="L101" i="1"/>
  <c r="K101" i="1"/>
  <c r="J101" i="1"/>
  <c r="I101" i="1"/>
  <c r="G101" i="1"/>
  <c r="L100" i="1"/>
  <c r="K100" i="1"/>
  <c r="J100" i="1"/>
  <c r="I100" i="1"/>
  <c r="G100" i="1"/>
  <c r="L99" i="1"/>
  <c r="K99" i="1"/>
  <c r="J99" i="1"/>
  <c r="I99" i="1"/>
  <c r="H99" i="1"/>
  <c r="G99" i="1"/>
  <c r="L98" i="1"/>
  <c r="K98" i="1"/>
  <c r="J98" i="1"/>
  <c r="I98" i="1"/>
  <c r="G98" i="1"/>
  <c r="L97" i="1"/>
  <c r="K97" i="1"/>
  <c r="J97" i="1"/>
  <c r="I97" i="1"/>
  <c r="G97" i="1"/>
  <c r="L96" i="1"/>
  <c r="K96" i="1"/>
  <c r="J96" i="1"/>
  <c r="I96" i="1"/>
  <c r="G96" i="1"/>
  <c r="H96" i="1" s="1"/>
  <c r="L95" i="1"/>
  <c r="H95" i="1" s="1"/>
  <c r="K95" i="1"/>
  <c r="J95" i="1"/>
  <c r="I95" i="1"/>
  <c r="G95" i="1"/>
  <c r="L94" i="1"/>
  <c r="K94" i="1"/>
  <c r="J94" i="1"/>
  <c r="I94" i="1"/>
  <c r="G94" i="1"/>
  <c r="L93" i="1"/>
  <c r="K93" i="1"/>
  <c r="J93" i="1"/>
  <c r="I93" i="1"/>
  <c r="G93" i="1"/>
  <c r="L92" i="1"/>
  <c r="K92" i="1"/>
  <c r="J92" i="1"/>
  <c r="I92" i="1"/>
  <c r="G92" i="1"/>
  <c r="L91" i="1"/>
  <c r="K91" i="1"/>
  <c r="J91" i="1"/>
  <c r="I91" i="1"/>
  <c r="G91" i="1"/>
  <c r="L90" i="1"/>
  <c r="K90" i="1"/>
  <c r="J90" i="1"/>
  <c r="I90" i="1"/>
  <c r="G90" i="1"/>
  <c r="L89" i="1"/>
  <c r="K89" i="1"/>
  <c r="J89" i="1"/>
  <c r="I89" i="1"/>
  <c r="G89" i="1"/>
  <c r="L88" i="1"/>
  <c r="K88" i="1"/>
  <c r="J88" i="1"/>
  <c r="I88" i="1"/>
  <c r="G88" i="1"/>
  <c r="EJ87" i="1"/>
  <c r="K87" i="1" s="1"/>
  <c r="BV87" i="1"/>
  <c r="BU87" i="1"/>
  <c r="AU87" i="1"/>
  <c r="I87" i="1" s="1"/>
  <c r="L87" i="1"/>
  <c r="J87" i="1"/>
  <c r="G87" i="1"/>
  <c r="AK86" i="1"/>
  <c r="L86" i="1" s="1"/>
  <c r="K86" i="1"/>
  <c r="J86" i="1"/>
  <c r="G86" i="1"/>
  <c r="DR85" i="1"/>
  <c r="CE85" i="1"/>
  <c r="J85" i="1" s="1"/>
  <c r="L85" i="1"/>
  <c r="K85" i="1"/>
  <c r="I85" i="1"/>
  <c r="G85" i="1"/>
  <c r="CE84" i="1"/>
  <c r="J84" i="1" s="1"/>
  <c r="AB84" i="1"/>
  <c r="I84" i="1" s="1"/>
  <c r="L84" i="1"/>
  <c r="K84" i="1"/>
  <c r="G84" i="1"/>
  <c r="H84" i="1" s="1"/>
  <c r="AK83" i="1"/>
  <c r="AB83" i="1"/>
  <c r="V83" i="1"/>
  <c r="I83" i="1" s="1"/>
  <c r="L83" i="1"/>
  <c r="K83" i="1"/>
  <c r="J83" i="1"/>
  <c r="G83" i="1"/>
  <c r="CA82" i="1"/>
  <c r="AB82" i="1"/>
  <c r="V82" i="1"/>
  <c r="L82" i="1" s="1"/>
  <c r="K82" i="1"/>
  <c r="J82" i="1"/>
  <c r="G82" i="1"/>
  <c r="EI81" i="1"/>
  <c r="K81" i="1" s="1"/>
  <c r="O81" i="1"/>
  <c r="L81" i="1" s="1"/>
  <c r="J81" i="1"/>
  <c r="G81" i="1"/>
  <c r="DR80" i="1"/>
  <c r="CE80" i="1"/>
  <c r="BJ80" i="1"/>
  <c r="L80" i="1" s="1"/>
  <c r="K80" i="1"/>
  <c r="I80" i="1"/>
  <c r="G80" i="1"/>
  <c r="EI79" i="1"/>
  <c r="K79" i="1" s="1"/>
  <c r="CE79" i="1"/>
  <c r="AE79" i="1"/>
  <c r="V79" i="1"/>
  <c r="L79" i="1" s="1"/>
  <c r="J79" i="1"/>
  <c r="I79" i="1"/>
  <c r="G79" i="1"/>
  <c r="H79" i="1" s="1"/>
  <c r="X78" i="1"/>
  <c r="V78" i="1"/>
  <c r="P78" i="1"/>
  <c r="L78" i="1" s="1"/>
  <c r="K78" i="1"/>
  <c r="J78" i="1"/>
  <c r="I78" i="1"/>
  <c r="G78" i="1"/>
  <c r="DX77" i="1"/>
  <c r="DQ77" i="1"/>
  <c r="L77" i="1"/>
  <c r="K77" i="1"/>
  <c r="J77" i="1"/>
  <c r="I77" i="1"/>
  <c r="G77" i="1"/>
  <c r="H77" i="1" s="1"/>
  <c r="CA76" i="1"/>
  <c r="AB76" i="1"/>
  <c r="L76" i="1" s="1"/>
  <c r="K76" i="1"/>
  <c r="J76" i="1"/>
  <c r="I76" i="1"/>
  <c r="G76" i="1"/>
  <c r="DX75" i="1"/>
  <c r="BS75" i="1"/>
  <c r="BQ75" i="1"/>
  <c r="BO75" i="1"/>
  <c r="BM75" i="1"/>
  <c r="J75" i="1" s="1"/>
  <c r="AK75" i="1"/>
  <c r="Z75" i="1"/>
  <c r="L75" i="1" s="1"/>
  <c r="K75" i="1"/>
  <c r="G75" i="1"/>
  <c r="H75" i="1" s="1"/>
  <c r="X74" i="1"/>
  <c r="L74" i="1" s="1"/>
  <c r="K74" i="1"/>
  <c r="J74" i="1"/>
  <c r="G74" i="1"/>
  <c r="BK73" i="1"/>
  <c r="L73" i="1" s="1"/>
  <c r="K73" i="1"/>
  <c r="I73" i="1"/>
  <c r="G73" i="1"/>
  <c r="AG72" i="1"/>
  <c r="Z72" i="1"/>
  <c r="I72" i="1" s="1"/>
  <c r="L72" i="1"/>
  <c r="K72" i="1"/>
  <c r="J72" i="1"/>
  <c r="G72" i="1"/>
  <c r="AG71" i="1"/>
  <c r="Z71" i="1"/>
  <c r="L71" i="1" s="1"/>
  <c r="K71" i="1"/>
  <c r="J71" i="1"/>
  <c r="I71" i="1"/>
  <c r="G71" i="1"/>
  <c r="BP70" i="1"/>
  <c r="J70" i="1" s="1"/>
  <c r="L70" i="1"/>
  <c r="K70" i="1"/>
  <c r="I70" i="1"/>
  <c r="G70" i="1"/>
  <c r="AB69" i="1"/>
  <c r="L69" i="1" s="1"/>
  <c r="K69" i="1"/>
  <c r="J69" i="1"/>
  <c r="G69" i="1"/>
  <c r="EI68" i="1"/>
  <c r="BL68" i="1"/>
  <c r="BI68" i="1"/>
  <c r="AK68" i="1"/>
  <c r="V68" i="1"/>
  <c r="I68" i="1" s="1"/>
  <c r="R68" i="1"/>
  <c r="Q68" i="1"/>
  <c r="O68" i="1"/>
  <c r="L68" i="1" s="1"/>
  <c r="K68" i="1"/>
  <c r="J68" i="1"/>
  <c r="G68" i="1"/>
  <c r="DD67" i="1"/>
  <c r="DB67" i="1"/>
  <c r="L67" i="1" s="1"/>
  <c r="K67" i="1"/>
  <c r="I67" i="1"/>
  <c r="G67" i="1"/>
  <c r="CD66" i="1"/>
  <c r="CC66" i="1"/>
  <c r="L66" i="1" s="1"/>
  <c r="K66" i="1"/>
  <c r="J66" i="1"/>
  <c r="I66" i="1"/>
  <c r="G66" i="1"/>
  <c r="H66" i="1" s="1"/>
  <c r="CA65" i="1"/>
  <c r="BZ65" i="1"/>
  <c r="BY65" i="1"/>
  <c r="L65" i="1" s="1"/>
  <c r="K65" i="1"/>
  <c r="J65" i="1"/>
  <c r="I65" i="1"/>
  <c r="G65" i="1"/>
  <c r="AK64" i="1"/>
  <c r="AB64" i="1"/>
  <c r="L64" i="1"/>
  <c r="K64" i="1"/>
  <c r="J64" i="1"/>
  <c r="I64" i="1"/>
  <c r="G64" i="1"/>
  <c r="EC63" i="1"/>
  <c r="EB63" i="1"/>
  <c r="DY63" i="1"/>
  <c r="DF63" i="1"/>
  <c r="CT63" i="1"/>
  <c r="CR63" i="1"/>
  <c r="CQ63" i="1"/>
  <c r="CP63" i="1"/>
  <c r="CL63" i="1"/>
  <c r="CJ63" i="1"/>
  <c r="BP63" i="1"/>
  <c r="L63" i="1" s="1"/>
  <c r="BN63" i="1"/>
  <c r="J63" i="1" s="1"/>
  <c r="K63" i="1"/>
  <c r="I63" i="1"/>
  <c r="G63" i="1"/>
  <c r="EG62" i="1"/>
  <c r="EF62" i="1"/>
  <c r="EA62" i="1"/>
  <c r="DZ62" i="1"/>
  <c r="DY62" i="1"/>
  <c r="DK62" i="1"/>
  <c r="DF62" i="1"/>
  <c r="DE62" i="1"/>
  <c r="DC62" i="1"/>
  <c r="CD62" i="1"/>
  <c r="CC62" i="1"/>
  <c r="BX62" i="1"/>
  <c r="BW62" i="1"/>
  <c r="T62" i="1"/>
  <c r="S62" i="1"/>
  <c r="N62" i="1"/>
  <c r="M62" i="1"/>
  <c r="I62" i="1" s="1"/>
  <c r="K62" i="1"/>
  <c r="J62" i="1"/>
  <c r="G62" i="1"/>
  <c r="CT61" i="1"/>
  <c r="CS61" i="1"/>
  <c r="CH61" i="1"/>
  <c r="J61" i="1" s="1"/>
  <c r="L61" i="1"/>
  <c r="K61" i="1"/>
  <c r="I61" i="1"/>
  <c r="G61" i="1"/>
  <c r="CF60" i="1"/>
  <c r="AI60" i="1"/>
  <c r="L60" i="1"/>
  <c r="K60" i="1"/>
  <c r="J60" i="1"/>
  <c r="I60" i="1"/>
  <c r="G60" i="1"/>
  <c r="DL59" i="1"/>
  <c r="J59" i="1" s="1"/>
  <c r="AE59" i="1"/>
  <c r="I59" i="1" s="1"/>
  <c r="L59" i="1"/>
  <c r="K59" i="1"/>
  <c r="G59" i="1"/>
  <c r="DY58" i="1"/>
  <c r="CU58" i="1"/>
  <c r="BW58" i="1"/>
  <c r="J58" i="1" s="1"/>
  <c r="L58" i="1"/>
  <c r="K58" i="1"/>
  <c r="I58" i="1"/>
  <c r="G58" i="1"/>
  <c r="DS57" i="1"/>
  <c r="DN57" i="1"/>
  <c r="DM57" i="1"/>
  <c r="DL57" i="1"/>
  <c r="CW57" i="1"/>
  <c r="CV57" i="1"/>
  <c r="J57" i="1" s="1"/>
  <c r="CK57" i="1"/>
  <c r="AM57" i="1"/>
  <c r="AL57" i="1"/>
  <c r="AI57" i="1"/>
  <c r="U57" i="1"/>
  <c r="L57" i="1" s="1"/>
  <c r="K57" i="1"/>
  <c r="G57" i="1"/>
  <c r="CJ56" i="1"/>
  <c r="AA56" i="1"/>
  <c r="L56" i="1" s="1"/>
  <c r="K56" i="1"/>
  <c r="J56" i="1"/>
  <c r="G56" i="1"/>
  <c r="CU55" i="1"/>
  <c r="CJ55" i="1"/>
  <c r="L55" i="1" s="1"/>
  <c r="CG55" i="1"/>
  <c r="CF55" i="1"/>
  <c r="K55" i="1"/>
  <c r="I55" i="1"/>
  <c r="G55" i="1"/>
  <c r="CY54" i="1"/>
  <c r="L54" i="1" s="1"/>
  <c r="K54" i="1"/>
  <c r="I54" i="1"/>
  <c r="G54" i="1"/>
  <c r="CI53" i="1"/>
  <c r="CH53" i="1"/>
  <c r="BD53" i="1"/>
  <c r="BC53" i="1"/>
  <c r="BB53" i="1"/>
  <c r="BA53" i="1"/>
  <c r="AX53" i="1"/>
  <c r="AW53" i="1"/>
  <c r="J53" i="1" s="1"/>
  <c r="AR53" i="1"/>
  <c r="AQ53" i="1"/>
  <c r="L53" i="1" s="1"/>
  <c r="K53" i="1"/>
  <c r="G53" i="1"/>
  <c r="DV52" i="1"/>
  <c r="L52" i="1" s="1"/>
  <c r="DU52" i="1"/>
  <c r="DT52" i="1"/>
  <c r="K52" i="1"/>
  <c r="I52" i="1"/>
  <c r="G52" i="1"/>
  <c r="DW51" i="1"/>
  <c r="DM51" i="1"/>
  <c r="DL51" i="1"/>
  <c r="CG51" i="1"/>
  <c r="CF51" i="1"/>
  <c r="BD51" i="1"/>
  <c r="BC51" i="1"/>
  <c r="BB51" i="1"/>
  <c r="BA51" i="1"/>
  <c r="AX51" i="1"/>
  <c r="AW51" i="1"/>
  <c r="J51" i="1" s="1"/>
  <c r="AR51" i="1"/>
  <c r="AQ51" i="1"/>
  <c r="AM51" i="1"/>
  <c r="AL51" i="1"/>
  <c r="AJ51" i="1"/>
  <c r="AH51" i="1"/>
  <c r="AA51" i="1"/>
  <c r="U51" i="1"/>
  <c r="L51" i="1" s="1"/>
  <c r="K51" i="1"/>
  <c r="I51" i="1"/>
  <c r="G51" i="1"/>
  <c r="DC50" i="1"/>
  <c r="L50" i="1"/>
  <c r="K50" i="1"/>
  <c r="J50" i="1"/>
  <c r="I50" i="1"/>
  <c r="G50" i="1"/>
  <c r="AL49" i="1"/>
  <c r="L49" i="1" s="1"/>
  <c r="K49" i="1"/>
  <c r="J49" i="1"/>
  <c r="G49" i="1"/>
  <c r="CT48" i="1"/>
  <c r="L48" i="1" s="1"/>
  <c r="AE48" i="1"/>
  <c r="K48" i="1"/>
  <c r="I48" i="1"/>
  <c r="G48" i="1"/>
  <c r="DU47" i="1"/>
  <c r="L47" i="1" s="1"/>
  <c r="K47" i="1"/>
  <c r="J47" i="1"/>
  <c r="I47" i="1"/>
  <c r="G47" i="1"/>
  <c r="CS46" i="1"/>
  <c r="J46" i="1" s="1"/>
  <c r="L46" i="1"/>
  <c r="K46" i="1"/>
  <c r="I46" i="1"/>
  <c r="G46" i="1"/>
  <c r="EF45" i="1"/>
  <c r="L45" i="1"/>
  <c r="K45" i="1"/>
  <c r="J45" i="1"/>
  <c r="I45" i="1"/>
  <c r="G45" i="1"/>
  <c r="O44" i="1"/>
  <c r="L44" i="1"/>
  <c r="K44" i="1"/>
  <c r="J44" i="1"/>
  <c r="I44" i="1"/>
  <c r="G44" i="1"/>
  <c r="CB43" i="1"/>
  <c r="L43" i="1"/>
  <c r="K43" i="1"/>
  <c r="J43" i="1"/>
  <c r="I43" i="1"/>
  <c r="G43" i="1"/>
  <c r="BR42" i="1"/>
  <c r="L42" i="1" s="1"/>
  <c r="K42" i="1"/>
  <c r="I42" i="1"/>
  <c r="G42" i="1"/>
  <c r="DG41" i="1"/>
  <c r="CX41" i="1"/>
  <c r="CO41" i="1"/>
  <c r="CB41" i="1"/>
  <c r="BR41" i="1"/>
  <c r="J41" i="1" s="1"/>
  <c r="P41" i="1"/>
  <c r="L41" i="1" s="1"/>
  <c r="H41" i="1" s="1"/>
  <c r="K41" i="1"/>
  <c r="I41" i="1"/>
  <c r="G41" i="1"/>
  <c r="AD40" i="1"/>
  <c r="Y40" i="1"/>
  <c r="I40" i="1" s="1"/>
  <c r="L40" i="1"/>
  <c r="K40" i="1"/>
  <c r="J40" i="1"/>
  <c r="G40" i="1"/>
  <c r="Y39" i="1"/>
  <c r="I39" i="1" s="1"/>
  <c r="L39" i="1"/>
  <c r="K39" i="1"/>
  <c r="J39" i="1"/>
  <c r="G39" i="1"/>
  <c r="ED38" i="1"/>
  <c r="DP38" i="1"/>
  <c r="DO38" i="1"/>
  <c r="DJ38" i="1"/>
  <c r="L38" i="1" s="1"/>
  <c r="CA38" i="1"/>
  <c r="BF38" i="1"/>
  <c r="BE38" i="1"/>
  <c r="AY38" i="1"/>
  <c r="K38" i="1"/>
  <c r="I38" i="1"/>
  <c r="G38" i="1"/>
  <c r="EH37" i="1"/>
  <c r="DP37" i="1"/>
  <c r="J37" i="1" s="1"/>
  <c r="CO37" i="1"/>
  <c r="O37" i="1"/>
  <c r="L37" i="1"/>
  <c r="K37" i="1"/>
  <c r="I37" i="1"/>
  <c r="G37" i="1"/>
  <c r="CB36" i="1"/>
  <c r="CA36" i="1"/>
  <c r="P36" i="1"/>
  <c r="O36" i="1"/>
  <c r="L36" i="1" s="1"/>
  <c r="K36" i="1"/>
  <c r="J36" i="1"/>
  <c r="G36" i="1"/>
  <c r="ED35" i="1"/>
  <c r="J35" i="1" s="1"/>
  <c r="L35" i="1"/>
  <c r="K35" i="1"/>
  <c r="I35" i="1"/>
  <c r="G35" i="1"/>
  <c r="EH34" i="1"/>
  <c r="DP34" i="1"/>
  <c r="CB34" i="1"/>
  <c r="L34" i="1" s="1"/>
  <c r="CA34" i="1"/>
  <c r="K34" i="1"/>
  <c r="I34" i="1"/>
  <c r="G34" i="1"/>
  <c r="BH33" i="1"/>
  <c r="J33" i="1" s="1"/>
  <c r="BF33" i="1"/>
  <c r="BE33" i="1"/>
  <c r="L33" i="1" s="1"/>
  <c r="K33" i="1"/>
  <c r="I33" i="1"/>
  <c r="G33" i="1"/>
  <c r="EE32" i="1"/>
  <c r="DI32" i="1"/>
  <c r="DA32" i="1"/>
  <c r="CZ32" i="1"/>
  <c r="CN32" i="1"/>
  <c r="CM32" i="1"/>
  <c r="BH32" i="1"/>
  <c r="BG32" i="1"/>
  <c r="J32" i="1" s="1"/>
  <c r="AZ32" i="1"/>
  <c r="AT32" i="1"/>
  <c r="AS32" i="1"/>
  <c r="AO32" i="1"/>
  <c r="AN32" i="1"/>
  <c r="Y32" i="1"/>
  <c r="W32" i="1"/>
  <c r="L32" i="1" s="1"/>
  <c r="K32" i="1"/>
  <c r="I32" i="1"/>
  <c r="G32" i="1"/>
  <c r="DP31" i="1"/>
  <c r="DO31" i="1"/>
  <c r="J31" i="1" s="1"/>
  <c r="P31" i="1"/>
  <c r="L31" i="1" s="1"/>
  <c r="O31" i="1"/>
  <c r="K31" i="1"/>
  <c r="G31" i="1"/>
  <c r="EH30" i="1"/>
  <c r="K30" i="1" s="1"/>
  <c r="DP30" i="1"/>
  <c r="DO30" i="1"/>
  <c r="DJ30" i="1"/>
  <c r="L30" i="1" s="1"/>
  <c r="I30" i="1"/>
  <c r="G30" i="1"/>
  <c r="DI29" i="1"/>
  <c r="DH29" i="1"/>
  <c r="BG29" i="1"/>
  <c r="AZ29" i="1"/>
  <c r="AY29" i="1"/>
  <c r="J29" i="1" s="1"/>
  <c r="AT29" i="1"/>
  <c r="AS29" i="1"/>
  <c r="AO29" i="1"/>
  <c r="AN29" i="1"/>
  <c r="I29" i="1" s="1"/>
  <c r="L29" i="1"/>
  <c r="K29" i="1"/>
  <c r="G29" i="1"/>
  <c r="BF28" i="1"/>
  <c r="BE28" i="1"/>
  <c r="L28" i="1"/>
  <c r="K28" i="1"/>
  <c r="J28" i="1"/>
  <c r="I28" i="1"/>
  <c r="G28" i="1"/>
  <c r="CN27" i="1"/>
  <c r="CM27" i="1"/>
  <c r="AF27" i="1"/>
  <c r="AD27" i="1"/>
  <c r="L27" i="1" s="1"/>
  <c r="K27" i="1"/>
  <c r="J27" i="1"/>
  <c r="I27" i="1"/>
  <c r="G27" i="1"/>
  <c r="Y26" i="1"/>
  <c r="W26" i="1"/>
  <c r="L26" i="1"/>
  <c r="K26" i="1"/>
  <c r="J26" i="1"/>
  <c r="I26" i="1"/>
  <c r="G26" i="1"/>
  <c r="DA25" i="1"/>
  <c r="CZ25" i="1"/>
  <c r="L25" i="1" s="1"/>
  <c r="K25" i="1"/>
  <c r="J25" i="1"/>
  <c r="I25" i="1"/>
  <c r="G25" i="1"/>
  <c r="EE24" i="1"/>
  <c r="DP24" i="1"/>
  <c r="DO24" i="1"/>
  <c r="DI24" i="1"/>
  <c r="DH24" i="1"/>
  <c r="DA24" i="1"/>
  <c r="CZ24" i="1"/>
  <c r="CN24" i="1"/>
  <c r="CM24" i="1"/>
  <c r="BH24" i="1"/>
  <c r="BG24" i="1"/>
  <c r="BF24" i="1"/>
  <c r="BE24" i="1"/>
  <c r="AZ24" i="1"/>
  <c r="J24" i="1" s="1"/>
  <c r="AY24" i="1"/>
  <c r="AT24" i="1"/>
  <c r="AS24" i="1"/>
  <c r="AO24" i="1"/>
  <c r="AN24" i="1"/>
  <c r="AF24" i="1"/>
  <c r="Y24" i="1"/>
  <c r="W24" i="1"/>
  <c r="L24" i="1" s="1"/>
  <c r="K24" i="1"/>
  <c r="G24" i="1"/>
  <c r="DG23" i="1"/>
  <c r="J23" i="1" s="1"/>
  <c r="L23" i="1"/>
  <c r="K23" i="1"/>
  <c r="I23" i="1"/>
  <c r="G23" i="1"/>
  <c r="DH22" i="1"/>
  <c r="L22" i="1"/>
  <c r="K22" i="1"/>
  <c r="J22" i="1"/>
  <c r="I22" i="1"/>
  <c r="G22" i="1"/>
  <c r="EH21" i="1"/>
  <c r="L21" i="1"/>
  <c r="K21" i="1"/>
  <c r="J21" i="1"/>
  <c r="I21" i="1"/>
  <c r="G21" i="1"/>
  <c r="AK20" i="1"/>
  <c r="AB20" i="1"/>
  <c r="L20" i="1" s="1"/>
  <c r="V20" i="1"/>
  <c r="K20" i="1"/>
  <c r="J20" i="1"/>
  <c r="G20" i="1"/>
  <c r="AB19" i="1"/>
  <c r="V19" i="1"/>
  <c r="L19" i="1"/>
  <c r="K19" i="1"/>
  <c r="J19" i="1"/>
  <c r="I19" i="1"/>
  <c r="G19" i="1"/>
  <c r="V18" i="1"/>
  <c r="L18" i="1" s="1"/>
  <c r="K18" i="1"/>
  <c r="J18" i="1"/>
  <c r="G18" i="1"/>
  <c r="AK17" i="1"/>
  <c r="L17" i="1" s="1"/>
  <c r="K17" i="1"/>
  <c r="J17" i="1"/>
  <c r="I17" i="1"/>
  <c r="G17" i="1"/>
  <c r="H17" i="1" s="1"/>
  <c r="AK16" i="1"/>
  <c r="AB16" i="1"/>
  <c r="V16" i="1"/>
  <c r="L16" i="1" s="1"/>
  <c r="K16" i="1"/>
  <c r="J16" i="1"/>
  <c r="G16" i="1"/>
  <c r="AK15" i="1"/>
  <c r="AB15" i="1"/>
  <c r="V15" i="1"/>
  <c r="L15" i="1"/>
  <c r="K15" i="1"/>
  <c r="J15" i="1"/>
  <c r="I15" i="1"/>
  <c r="G15" i="1"/>
  <c r="AK14" i="1"/>
  <c r="L14" i="1" s="1"/>
  <c r="AB14" i="1"/>
  <c r="K14" i="1"/>
  <c r="J14" i="1"/>
  <c r="G14" i="1"/>
  <c r="V13" i="1"/>
  <c r="I13" i="1" s="1"/>
  <c r="L13" i="1"/>
  <c r="K13" i="1"/>
  <c r="J13" i="1"/>
  <c r="G13" i="1"/>
  <c r="AK12" i="1"/>
  <c r="AB12" i="1"/>
  <c r="L12" i="1" s="1"/>
  <c r="K12" i="1"/>
  <c r="J12" i="1"/>
  <c r="G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EK7" i="1"/>
  <c r="L7" i="1" s="1"/>
  <c r="AV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H59" i="1" l="1"/>
  <c r="H39" i="1"/>
  <c r="H70" i="1"/>
  <c r="H55" i="1"/>
  <c r="H116" i="1"/>
  <c r="H51" i="1"/>
  <c r="H56" i="1"/>
  <c r="H71" i="1"/>
  <c r="H91" i="1"/>
  <c r="H110" i="1"/>
  <c r="H88" i="1"/>
  <c r="H30" i="1"/>
  <c r="H118" i="1"/>
  <c r="H90" i="1"/>
  <c r="H112" i="1"/>
  <c r="H109" i="1"/>
  <c r="H125" i="1"/>
  <c r="H33" i="1"/>
  <c r="H42" i="1"/>
  <c r="H45" i="1"/>
  <c r="H13" i="1"/>
  <c r="H29" i="1"/>
  <c r="H107" i="1"/>
  <c r="H16" i="1"/>
  <c r="H22" i="1"/>
  <c r="H80" i="1"/>
  <c r="H83" i="1"/>
  <c r="H85" i="1"/>
  <c r="H104" i="1"/>
  <c r="H61" i="1"/>
  <c r="H98" i="1"/>
  <c r="H101" i="1"/>
  <c r="H65" i="1"/>
  <c r="H25" i="1"/>
  <c r="H89" i="1"/>
  <c r="H121" i="1"/>
  <c r="H44" i="5"/>
  <c r="H51" i="5"/>
  <c r="H125" i="5"/>
  <c r="H34" i="5"/>
  <c r="H67" i="5"/>
  <c r="H80" i="5"/>
  <c r="H85" i="5"/>
  <c r="H59" i="5"/>
  <c r="H48" i="5"/>
  <c r="H72" i="5"/>
  <c r="H27" i="5"/>
  <c r="H122" i="5"/>
  <c r="H83" i="5"/>
  <c r="H110" i="5"/>
  <c r="H113" i="5"/>
  <c r="H98" i="5"/>
  <c r="H39" i="5"/>
  <c r="H42" i="5"/>
  <c r="H46" i="5"/>
  <c r="H70" i="5"/>
  <c r="H86" i="5"/>
  <c r="H89" i="5"/>
  <c r="H99" i="5"/>
  <c r="H56" i="5"/>
  <c r="H19" i="5"/>
  <c r="H30" i="5"/>
  <c r="H65" i="5"/>
  <c r="H73" i="5"/>
  <c r="H87" i="5"/>
  <c r="H14" i="5"/>
  <c r="H22" i="5"/>
  <c r="H32" i="5"/>
  <c r="H114" i="5"/>
  <c r="H124" i="5"/>
  <c r="H25" i="5"/>
  <c r="H54" i="5"/>
  <c r="H58" i="5"/>
  <c r="H115" i="5"/>
  <c r="H118" i="5"/>
  <c r="H76" i="5"/>
  <c r="H84" i="5"/>
  <c r="H90" i="5"/>
  <c r="H100" i="5"/>
  <c r="H103" i="5"/>
  <c r="H53" i="5"/>
  <c r="H74" i="5"/>
  <c r="H91" i="5"/>
  <c r="H122" i="1"/>
  <c r="H12" i="1"/>
  <c r="H23" i="1"/>
  <c r="H35" i="1"/>
  <c r="H53" i="1"/>
  <c r="H44" i="1"/>
  <c r="H20" i="1"/>
  <c r="H92" i="1"/>
  <c r="H126" i="1"/>
  <c r="H15" i="1"/>
  <c r="H21" i="1"/>
  <c r="H26" i="1"/>
  <c r="H123" i="1"/>
  <c r="H32" i="1"/>
  <c r="H38" i="1"/>
  <c r="H73" i="1"/>
  <c r="H81" i="1"/>
  <c r="H86" i="1"/>
  <c r="H114" i="1"/>
  <c r="H117" i="1"/>
  <c r="H120" i="1"/>
  <c r="H28" i="1"/>
  <c r="H24" i="1"/>
  <c r="H36" i="1"/>
  <c r="H40" i="1"/>
  <c r="H74" i="1"/>
  <c r="H87" i="1"/>
  <c r="H102" i="1"/>
  <c r="H105" i="1"/>
  <c r="H108" i="1"/>
  <c r="H58" i="1"/>
  <c r="H60" i="1"/>
  <c r="H93" i="1"/>
  <c r="H19" i="1"/>
  <c r="H46" i="1"/>
  <c r="H72" i="1"/>
  <c r="H94" i="1"/>
  <c r="H97" i="1"/>
  <c r="H100" i="1"/>
  <c r="H64" i="1"/>
  <c r="H14" i="1"/>
  <c r="H57" i="1"/>
  <c r="H43" i="1"/>
  <c r="H63" i="1"/>
  <c r="H50" i="1"/>
  <c r="H37" i="1"/>
  <c r="H67" i="1"/>
  <c r="H40" i="5"/>
  <c r="H23" i="5"/>
  <c r="H57" i="5"/>
  <c r="L26" i="5"/>
  <c r="H26" i="5" s="1"/>
  <c r="I31" i="5"/>
  <c r="L38" i="5"/>
  <c r="H38" i="5" s="1"/>
  <c r="L43" i="5"/>
  <c r="H43" i="5" s="1"/>
  <c r="I48" i="5"/>
  <c r="J55" i="5"/>
  <c r="L64" i="5"/>
  <c r="H64" i="5" s="1"/>
  <c r="L77" i="5"/>
  <c r="H77" i="5" s="1"/>
  <c r="L66" i="5"/>
  <c r="H66" i="5" s="1"/>
  <c r="L68" i="5"/>
  <c r="H68" i="5" s="1"/>
  <c r="L79" i="5"/>
  <c r="H79" i="5" s="1"/>
  <c r="I40" i="5"/>
  <c r="I72" i="5"/>
  <c r="I83" i="5"/>
  <c r="I87" i="5"/>
  <c r="I142" i="5"/>
  <c r="I15" i="5"/>
  <c r="I19" i="5"/>
  <c r="J23" i="5"/>
  <c r="J35" i="5"/>
  <c r="I37" i="5"/>
  <c r="J46" i="5"/>
  <c r="J58" i="5"/>
  <c r="I60" i="5"/>
  <c r="I7" i="5"/>
  <c r="I13" i="5"/>
  <c r="I44" i="5"/>
  <c r="I62" i="5"/>
  <c r="J70" i="5"/>
  <c r="J85" i="5"/>
  <c r="I17" i="5"/>
  <c r="I27" i="5"/>
  <c r="I76" i="5"/>
  <c r="I78" i="5"/>
  <c r="K21" i="5"/>
  <c r="J25" i="5"/>
  <c r="I51" i="5"/>
  <c r="J65" i="5"/>
  <c r="I29" i="5"/>
  <c r="J30" i="5"/>
  <c r="J42" i="5"/>
  <c r="J67" i="5"/>
  <c r="J346" i="5"/>
  <c r="J24" i="5"/>
  <c r="K45" i="5"/>
  <c r="H47" i="1"/>
  <c r="H78" i="1"/>
  <c r="H68" i="1"/>
  <c r="H74" i="2"/>
  <c r="H89" i="2"/>
  <c r="H18" i="1"/>
  <c r="H76" i="1"/>
  <c r="H27" i="2"/>
  <c r="H53" i="2"/>
  <c r="H56" i="2"/>
  <c r="H77" i="2"/>
  <c r="H35" i="2"/>
  <c r="H48" i="1"/>
  <c r="H63" i="2"/>
  <c r="H80" i="2"/>
  <c r="H82" i="1"/>
  <c r="H82" i="2"/>
  <c r="H93" i="2"/>
  <c r="H34" i="1"/>
  <c r="H43" i="2"/>
  <c r="H48" i="2"/>
  <c r="H27" i="1"/>
  <c r="H49" i="1"/>
  <c r="H52" i="1"/>
  <c r="H72" i="2"/>
  <c r="H31" i="1"/>
  <c r="H54" i="1"/>
  <c r="H69" i="1"/>
  <c r="H67" i="2"/>
  <c r="J30" i="1"/>
  <c r="J42" i="1"/>
  <c r="L62" i="1"/>
  <c r="H62" i="1" s="1"/>
  <c r="J67" i="1"/>
  <c r="N58" i="2"/>
  <c r="N59" i="2"/>
  <c r="I89" i="2"/>
  <c r="I49" i="1"/>
  <c r="I53" i="1"/>
  <c r="I75" i="1"/>
  <c r="J346" i="1"/>
  <c r="I35" i="2"/>
  <c r="N63" i="2"/>
  <c r="I66" i="2"/>
  <c r="H66" i="2" s="1"/>
  <c r="I75" i="2"/>
  <c r="H75" i="2" s="1"/>
  <c r="I24" i="1"/>
  <c r="J34" i="1"/>
  <c r="I36" i="1"/>
  <c r="J54" i="1"/>
  <c r="I56" i="1"/>
  <c r="J80" i="1"/>
  <c r="I82" i="1"/>
  <c r="I40" i="2"/>
  <c r="H40" i="2" s="1"/>
  <c r="I43" i="2"/>
  <c r="I267" i="1"/>
  <c r="I38" i="2"/>
  <c r="H38" i="2" s="1"/>
  <c r="I42" i="2"/>
  <c r="H42" i="2" s="1"/>
  <c r="I52" i="2"/>
  <c r="H52" i="2" s="1"/>
  <c r="I56" i="2"/>
  <c r="I14" i="1"/>
  <c r="I20" i="1"/>
  <c r="J73" i="1"/>
  <c r="I86" i="1"/>
  <c r="I12" i="1"/>
  <c r="I16" i="1"/>
  <c r="I18" i="1"/>
  <c r="I69" i="1"/>
  <c r="I31" i="2"/>
  <c r="H31" i="2" s="1"/>
  <c r="I34" i="2"/>
  <c r="H34" i="2" s="1"/>
  <c r="I61" i="2"/>
  <c r="H61" i="2" s="1"/>
  <c r="I77" i="2"/>
  <c r="J38" i="1"/>
  <c r="I50" i="2"/>
  <c r="H50" i="2" s="1"/>
  <c r="I51" i="2"/>
  <c r="H51" i="2" s="1"/>
  <c r="I69" i="2"/>
  <c r="H69" i="2" s="1"/>
  <c r="I91" i="2"/>
  <c r="H91" i="2" s="1"/>
  <c r="I25" i="2"/>
  <c r="H25" i="2" s="1"/>
  <c r="I33" i="2"/>
  <c r="H33" i="2" s="1"/>
  <c r="I55" i="2"/>
  <c r="H55" i="2" s="1"/>
  <c r="I65" i="2"/>
  <c r="H65" i="2" s="1"/>
  <c r="I31" i="1"/>
  <c r="J52" i="1"/>
  <c r="J55" i="1"/>
  <c r="I16" i="2"/>
  <c r="H16" i="2" s="1"/>
  <c r="I30" i="2"/>
  <c r="H30" i="2" s="1"/>
  <c r="I48" i="2"/>
  <c r="J48" i="1"/>
  <c r="I57" i="1"/>
  <c r="I74" i="1"/>
  <c r="I81" i="1"/>
  <c r="I201" i="1"/>
  <c r="I76" i="2"/>
  <c r="H76" i="2" s="1"/>
  <c r="I41" i="2"/>
  <c r="H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68" authorId="0" shapeId="0" xr:uid="{7EE82C20-D5A8-46B2-B89C-D5AACD2F458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69" authorId="0" shapeId="0" xr:uid="{A17986AC-FA71-4134-ACFA-C0DFBA11B5A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0" authorId="0" shapeId="0" xr:uid="{0EC28854-30DE-4022-A878-9D5D271F7DE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1" authorId="0" shapeId="0" xr:uid="{3ADC195F-4D3C-4B1A-9E14-A8F70858D3F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2" authorId="0" shapeId="0" xr:uid="{C3A63D0F-88D4-45AA-8B40-37FE8507BD6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3" authorId="0" shapeId="0" xr:uid="{7D180882-3B6A-45C5-B37E-D9F7AF8FCE4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68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69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0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7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97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198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199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00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0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02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03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  <comment ref="A204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名称待确定</t>
        </r>
      </text>
    </comment>
  </commentList>
</comments>
</file>

<file path=xl/sharedStrings.xml><?xml version="1.0" encoding="utf-8"?>
<sst xmlns="http://schemas.openxmlformats.org/spreadsheetml/2006/main" count="4356" uniqueCount="709">
  <si>
    <t>标红的是没尺寸的，人防弯头暂未详算</t>
  </si>
  <si>
    <t>地下二</t>
  </si>
  <si>
    <t>地下二第二批</t>
  </si>
  <si>
    <t>地下一第二批</t>
  </si>
  <si>
    <t>地下一第三批</t>
  </si>
  <si>
    <t>B0层</t>
  </si>
  <si>
    <t>问题</t>
  </si>
  <si>
    <t>备注</t>
  </si>
  <si>
    <t>风机处风管无尺寸；</t>
  </si>
  <si>
    <t>小管没有 尺寸</t>
  </si>
  <si>
    <t>风机处风管无尺寸；风口没尺寸</t>
  </si>
  <si>
    <t>有一段风管没尺寸</t>
  </si>
  <si>
    <t>未单独计算弯头，后期细化；
扩散室一小段风管竖向没距离）；风管小支管没尺寸</t>
  </si>
  <si>
    <t>静压箱没有尺寸</t>
  </si>
  <si>
    <t>小支管没有尺寸</t>
  </si>
  <si>
    <t>有风管没尺寸</t>
  </si>
  <si>
    <t>无风口尺寸</t>
  </si>
  <si>
    <t>电动阀名称待确定</t>
  </si>
  <si>
    <t>包含6#B二层部分</t>
  </si>
  <si>
    <t>包含立管和7#B二层部分</t>
  </si>
  <si>
    <t>立管已算</t>
  </si>
  <si>
    <t>部分管道没管径</t>
  </si>
  <si>
    <t>静压箱没尺寸</t>
  </si>
  <si>
    <t>包含楼上立管</t>
  </si>
  <si>
    <t>包含上面立管</t>
  </si>
  <si>
    <t>一段没管径</t>
  </si>
  <si>
    <t>一段没有尺寸</t>
  </si>
  <si>
    <t>名称</t>
  </si>
  <si>
    <t>板厚</t>
  </si>
  <si>
    <t>规格</t>
  </si>
  <si>
    <t>单位</t>
  </si>
  <si>
    <t>周长</t>
  </si>
  <si>
    <t>面积</t>
  </si>
  <si>
    <t>地下一</t>
  </si>
  <si>
    <t>B0</t>
  </si>
  <si>
    <t>汇总</t>
  </si>
  <si>
    <t>SF-B2-1</t>
  </si>
  <si>
    <t>BF-B2-1</t>
  </si>
  <si>
    <t>PY-B2-1</t>
  </si>
  <si>
    <t>PY-B2-2</t>
  </si>
  <si>
    <t>PF-B2-1</t>
  </si>
  <si>
    <t>PF-B2-2</t>
  </si>
  <si>
    <t>SF-B2-2</t>
  </si>
  <si>
    <t>BF-B2-2</t>
  </si>
  <si>
    <t>SBF-B2-3-1</t>
  </si>
  <si>
    <t>RF03</t>
  </si>
  <si>
    <t>PFY-B2-3-1</t>
  </si>
  <si>
    <t>RF04</t>
  </si>
  <si>
    <t>PFY-B2-3-2</t>
  </si>
  <si>
    <t>SBF-B2-3-2</t>
  </si>
  <si>
    <t>PFY-B2-4-1</t>
  </si>
  <si>
    <t>RPF-B2-1</t>
  </si>
  <si>
    <t>PFY-B2-5-1</t>
  </si>
  <si>
    <t>SBF-B2-4-1</t>
  </si>
  <si>
    <t>RBF-B1-1</t>
  </si>
  <si>
    <t>SBF-B2-5-1</t>
  </si>
  <si>
    <t>SBF-B2-6-1</t>
  </si>
  <si>
    <t>SBF-B2-6-2</t>
  </si>
  <si>
    <t>PFY-B2-6-1</t>
  </si>
  <si>
    <t>PFY-B2-6-2</t>
  </si>
  <si>
    <t>PF-1（带FD阀）</t>
  </si>
  <si>
    <t>PF-2</t>
  </si>
  <si>
    <t>诱导风机</t>
  </si>
  <si>
    <t>SBF-B1-10-1</t>
  </si>
  <si>
    <t>SBF-B1-10-2</t>
  </si>
  <si>
    <t>PFY-B1-10-1</t>
  </si>
  <si>
    <t>PFY-B1-10-2</t>
  </si>
  <si>
    <t>SBF-B1-9-1</t>
  </si>
  <si>
    <t>SBF-B1-9-2</t>
  </si>
  <si>
    <t>SBF-B1-8-1</t>
  </si>
  <si>
    <t>SBF-B1-8-2</t>
  </si>
  <si>
    <t>PFY-B1-8-2</t>
  </si>
  <si>
    <t>PFY-B1-8-1</t>
  </si>
  <si>
    <t>PFY-B1-9-1</t>
  </si>
  <si>
    <t>PFY-B1-9-2</t>
  </si>
  <si>
    <t>PF-B1-11-2</t>
  </si>
  <si>
    <t>PF-B1-11-3</t>
  </si>
  <si>
    <t>SF-B1-11-2</t>
  </si>
  <si>
    <t>BF-B1-11-1</t>
  </si>
  <si>
    <t>SF-B1-11-3</t>
  </si>
  <si>
    <t>SF-B1-11-1</t>
  </si>
  <si>
    <t>PF-B1-11-4</t>
  </si>
  <si>
    <t>PF-B1-11-1</t>
  </si>
  <si>
    <t>PF-B1-11-5</t>
  </si>
  <si>
    <t>PY-B1-11-1</t>
  </si>
  <si>
    <t>SF-B1-11-4</t>
  </si>
  <si>
    <t>70℃防火风口</t>
  </si>
  <si>
    <t>PF-1</t>
  </si>
  <si>
    <t>SF-B1-7-1</t>
  </si>
  <si>
    <t>BF-B1-7-1</t>
  </si>
  <si>
    <t>PF-B1-7-1</t>
  </si>
  <si>
    <t>PF-B1-7-2</t>
  </si>
  <si>
    <t>PY-B1-7-1</t>
  </si>
  <si>
    <t>PY-B1-7-2</t>
  </si>
  <si>
    <t>SF-B1-7-2</t>
  </si>
  <si>
    <t>BF-B1-7-2</t>
  </si>
  <si>
    <t>静音式排风机</t>
  </si>
  <si>
    <t>SBF-B1-3-1</t>
  </si>
  <si>
    <t>SBF-B1-3-2</t>
  </si>
  <si>
    <t>SBF-B1-1-1</t>
  </si>
  <si>
    <t>SBF-B1-1-2</t>
  </si>
  <si>
    <t>BF-B1-2-1-3</t>
  </si>
  <si>
    <t>PF-B1-2-4-1</t>
  </si>
  <si>
    <t>PF-B1-2-1</t>
  </si>
  <si>
    <t>PFY-B1-1-1</t>
  </si>
  <si>
    <t>PFY-B1-1-2</t>
  </si>
  <si>
    <t>PY-B1-2-1-2</t>
  </si>
  <si>
    <t>SF-B1-2-1</t>
  </si>
  <si>
    <t>BF-B1-2-1-1</t>
  </si>
  <si>
    <t>BF-B1-2-1-2</t>
  </si>
  <si>
    <t>SF-B1-2-2</t>
  </si>
  <si>
    <t>PF-B1-2-2</t>
  </si>
  <si>
    <t>SF-B1-2-3</t>
  </si>
  <si>
    <t>PF-B1-2-4-2</t>
  </si>
  <si>
    <t>PF-B1-2-4-3</t>
  </si>
  <si>
    <t>PY-B1-2-1-1</t>
  </si>
  <si>
    <t>PF-B1-2-3</t>
  </si>
  <si>
    <t>PFY-B1-3-1</t>
  </si>
  <si>
    <t>PFY-B1-3-2</t>
  </si>
  <si>
    <t>PF-B1-2-4-4</t>
  </si>
  <si>
    <t>PF-B1-2-4-5</t>
  </si>
  <si>
    <t>PF-B1-2-4-6</t>
  </si>
  <si>
    <t>SF-B1-5-1</t>
  </si>
  <si>
    <t>PF-B1-5-1</t>
  </si>
  <si>
    <t>PY-B1-5-1</t>
  </si>
  <si>
    <t>PFY-B1-6-2</t>
  </si>
  <si>
    <t>PFY-B1-6-1</t>
  </si>
  <si>
    <t>PY-B1-6-1</t>
  </si>
  <si>
    <t>BF-B1-6-1</t>
  </si>
  <si>
    <t>SBF-B1-6-1</t>
  </si>
  <si>
    <t>SBF-B1-6-2</t>
  </si>
  <si>
    <t>BF-B1-10-1</t>
  </si>
  <si>
    <t>PY-B1-10-1</t>
  </si>
  <si>
    <t>BF-B1-11-2</t>
  </si>
  <si>
    <t>BF-B1-11-3</t>
  </si>
  <si>
    <t>BF-B1-11-4</t>
  </si>
  <si>
    <t>SBF-B1-13-1</t>
  </si>
  <si>
    <t>PF-B1-13-1</t>
  </si>
  <si>
    <t>SF-B1-13-1</t>
  </si>
  <si>
    <t>BF-B1-12-1</t>
  </si>
  <si>
    <t>SF-B1-13-2</t>
  </si>
  <si>
    <t>PF-B1-13-2</t>
  </si>
  <si>
    <t>PY-B1-12-1</t>
  </si>
  <si>
    <t>PFY-B1-13-1</t>
  </si>
  <si>
    <t>SF-B0-1</t>
  </si>
  <si>
    <t>BF-B0-1</t>
  </si>
  <si>
    <t>PY-B0-1</t>
  </si>
  <si>
    <t>PF-B0-1</t>
  </si>
  <si>
    <t>余压阀（带FDS阀）</t>
  </si>
  <si>
    <t>风机</t>
  </si>
  <si>
    <t>台</t>
  </si>
  <si>
    <t>RF02（过滤吸收器）</t>
  </si>
  <si>
    <t>RF01（油网滤尘器）</t>
  </si>
  <si>
    <t>片</t>
  </si>
  <si>
    <t>静压式排风机</t>
  </si>
  <si>
    <t xml:space="preserve">PF-1 </t>
  </si>
  <si>
    <t>风管（人防）</t>
  </si>
  <si>
    <t>3mm</t>
  </si>
  <si>
    <t>米</t>
  </si>
  <si>
    <t>Φ</t>
  </si>
  <si>
    <t>风管（防排烟）</t>
  </si>
  <si>
    <t>1.5mm</t>
  </si>
  <si>
    <t>1.2mm</t>
  </si>
  <si>
    <t>1mm</t>
  </si>
  <si>
    <t>风管</t>
  </si>
  <si>
    <t>0.75mm</t>
  </si>
  <si>
    <t>0.6mm</t>
  </si>
  <si>
    <t>0.5mm</t>
  </si>
  <si>
    <t>堵板（人防）</t>
  </si>
  <si>
    <t>个</t>
  </si>
  <si>
    <t>堵板（防排烟）</t>
  </si>
  <si>
    <t>堵板</t>
  </si>
  <si>
    <t>软接头</t>
  </si>
  <si>
    <t>消声静压箱</t>
  </si>
  <si>
    <t>3400X1800X1200</t>
  </si>
  <si>
    <t>3200X1250X1000</t>
  </si>
  <si>
    <r>
      <rPr>
        <sz val="11"/>
        <color rgb="FFFF0000"/>
        <rFont val="Arial"/>
        <family val="2"/>
      </rPr>
      <t>3050X1600X</t>
    </r>
    <r>
      <rPr>
        <sz val="11"/>
        <color rgb="FFFF0000"/>
        <rFont val="宋体"/>
        <family val="3"/>
        <charset val="134"/>
      </rPr>
      <t>？</t>
    </r>
  </si>
  <si>
    <t>3000X1000X1000</t>
  </si>
  <si>
    <t>2400X1150X1000</t>
  </si>
  <si>
    <t>2000X1250X2100</t>
  </si>
  <si>
    <r>
      <rPr>
        <sz val="11"/>
        <color rgb="FFFF0000"/>
        <rFont val="Arial"/>
        <family val="2"/>
      </rPr>
      <t>1800X1250X</t>
    </r>
    <r>
      <rPr>
        <sz val="11"/>
        <color rgb="FFFF0000"/>
        <rFont val="宋体"/>
        <family val="3"/>
        <charset val="134"/>
      </rPr>
      <t>？</t>
    </r>
  </si>
  <si>
    <r>
      <rPr>
        <sz val="11"/>
        <color rgb="FFFF0000"/>
        <rFont val="Arial"/>
        <family val="2"/>
      </rPr>
      <t>1600X1250X</t>
    </r>
    <r>
      <rPr>
        <sz val="11"/>
        <color rgb="FFFF0000"/>
        <rFont val="宋体"/>
        <family val="3"/>
        <charset val="134"/>
      </rPr>
      <t>？</t>
    </r>
  </si>
  <si>
    <t>1200X1200X2000</t>
  </si>
  <si>
    <t>1000X3000X1000</t>
  </si>
  <si>
    <t>1000X2500X1000</t>
  </si>
  <si>
    <t>1000X1500X1200</t>
  </si>
  <si>
    <t>1000X1000X1700</t>
  </si>
  <si>
    <t>1000X1000X1500</t>
  </si>
  <si>
    <t>静压箱</t>
  </si>
  <si>
    <t>4200X1000X1000</t>
  </si>
  <si>
    <t>2600X1000X2000</t>
  </si>
  <si>
    <t>2600X1000X1000</t>
  </si>
  <si>
    <r>
      <rPr>
        <sz val="11"/>
        <color rgb="FFFF0000"/>
        <rFont val="Arial"/>
        <family val="2"/>
      </rPr>
      <t>2200X1000X</t>
    </r>
    <r>
      <rPr>
        <sz val="11"/>
        <color rgb="FFFF0000"/>
        <rFont val="宋体"/>
        <family val="3"/>
        <charset val="134"/>
      </rPr>
      <t>？</t>
    </r>
  </si>
  <si>
    <r>
      <rPr>
        <sz val="11"/>
        <color rgb="FFFF0000"/>
        <rFont val="Arial"/>
        <family val="2"/>
      </rPr>
      <t>2100X1000X</t>
    </r>
    <r>
      <rPr>
        <sz val="11"/>
        <color rgb="FFFF0000"/>
        <rFont val="宋体"/>
        <family val="3"/>
        <charset val="134"/>
      </rPr>
      <t>？</t>
    </r>
  </si>
  <si>
    <t>2000X2000X1000</t>
  </si>
  <si>
    <r>
      <rPr>
        <sz val="11"/>
        <color rgb="FFFF0000"/>
        <rFont val="Arial"/>
        <family val="2"/>
      </rPr>
      <t>1500X1750X</t>
    </r>
    <r>
      <rPr>
        <sz val="11"/>
        <color rgb="FFFF0000"/>
        <rFont val="宋体"/>
        <family val="3"/>
        <charset val="134"/>
      </rPr>
      <t>？</t>
    </r>
  </si>
  <si>
    <t>1500X1250X2100</t>
  </si>
  <si>
    <t>1500X800X1000</t>
  </si>
  <si>
    <t>1250X1250X2100</t>
  </si>
  <si>
    <t>1250X1250X1000</t>
  </si>
  <si>
    <t>1200X3000X1000</t>
  </si>
  <si>
    <r>
      <rPr>
        <sz val="11"/>
        <color rgb="FFFF0000"/>
        <rFont val="Arial"/>
        <family val="2"/>
      </rPr>
      <t>1000X1000X</t>
    </r>
    <r>
      <rPr>
        <sz val="11"/>
        <color rgb="FFFF0000"/>
        <rFont val="宋体"/>
        <family val="3"/>
        <charset val="134"/>
      </rPr>
      <t>？</t>
    </r>
  </si>
  <si>
    <t>消声器</t>
  </si>
  <si>
    <t>1600X500X900</t>
  </si>
  <si>
    <t>1400X500X900</t>
  </si>
  <si>
    <t>1250X800X900</t>
  </si>
  <si>
    <t>1250X630X900</t>
  </si>
  <si>
    <t>1000X800X900</t>
  </si>
  <si>
    <t>1000X500X900</t>
  </si>
  <si>
    <t>800X400X900</t>
  </si>
  <si>
    <t>消声弯头</t>
  </si>
  <si>
    <t>70℃简易防火阀（FD）</t>
  </si>
  <si>
    <t>手动复位，常开，70℃熔断</t>
  </si>
  <si>
    <t>70℃防火阀（FDS）</t>
  </si>
  <si>
    <t>手动复位，常开，70℃熔断，输出信号</t>
  </si>
  <si>
    <t>常开防火排烟阀（280SD）</t>
  </si>
  <si>
    <t>手动复位，24V信号关闭，常开，280℃熔断</t>
  </si>
  <si>
    <t>常闭排烟阀防火阀（280SFD）</t>
  </si>
  <si>
    <t>手动开启，远程手动，手动复位，24V信号开启，常闭，280℃熔断</t>
  </si>
  <si>
    <t>70℃防烟防火阀（MED）</t>
  </si>
  <si>
    <t>手动复位，风量调节，24V信号关闭，常开，70℃熔断，输出信号</t>
  </si>
  <si>
    <t>70℃远动防烟防火阀（MEE）</t>
  </si>
  <si>
    <t>手动复位，风量调节，24V信号开启，24V信号关闭，常开，70℃熔断，输出信号</t>
  </si>
  <si>
    <t>止回阀</t>
  </si>
  <si>
    <t>多叶对开调节阀</t>
  </si>
  <si>
    <t>电动多叶对开调节阀</t>
  </si>
  <si>
    <t>插板阀</t>
  </si>
  <si>
    <t>双连杆手电动两用密封阀</t>
  </si>
  <si>
    <t>风管密封肋</t>
  </si>
  <si>
    <t>超压排气</t>
  </si>
  <si>
    <t>单层百叶活动风口（DB）</t>
  </si>
  <si>
    <t>多叶防火排烟口（280GS）</t>
  </si>
  <si>
    <t>（1250+250）X630</t>
  </si>
  <si>
    <t>手动开启，远程手动，手动复位，24V信号关闭，常闭，280℃熔断</t>
  </si>
  <si>
    <t>多叶排烟口（GS）</t>
  </si>
  <si>
    <t>手动开启，远程手动，手动复位，24V信号开启，常闭</t>
  </si>
  <si>
    <t>（1000+250）X800</t>
  </si>
  <si>
    <t>双层百叶风口</t>
  </si>
  <si>
    <t>换气堵头</t>
  </si>
  <si>
    <t>套管</t>
  </si>
  <si>
    <t>13#</t>
  </si>
  <si>
    <t>6#</t>
  </si>
  <si>
    <t>7#</t>
  </si>
  <si>
    <t>8#</t>
  </si>
  <si>
    <t>9#</t>
  </si>
  <si>
    <t>14#</t>
  </si>
  <si>
    <t>13#一层</t>
  </si>
  <si>
    <t>13#二层</t>
  </si>
  <si>
    <t>13#屋顶</t>
  </si>
  <si>
    <t>6#首层A</t>
  </si>
  <si>
    <t>6#首层B</t>
  </si>
  <si>
    <t>6#二层A</t>
  </si>
  <si>
    <t>6#二层B</t>
  </si>
  <si>
    <t>6#A座三层</t>
  </si>
  <si>
    <t>6#A座四层</t>
  </si>
  <si>
    <t>6#A座五层</t>
  </si>
  <si>
    <t>6#A座六层</t>
  </si>
  <si>
    <t>6#A座七层</t>
  </si>
  <si>
    <t>6#A座八层</t>
  </si>
  <si>
    <t>6#A座九层</t>
  </si>
  <si>
    <t>6#A座十层</t>
  </si>
  <si>
    <t>6#屋顶A</t>
  </si>
  <si>
    <t>6#B座三层</t>
  </si>
  <si>
    <t>6#B座四层</t>
  </si>
  <si>
    <t>6#B座五层</t>
  </si>
  <si>
    <t>6#B座六层</t>
  </si>
  <si>
    <t>6#B座七层</t>
  </si>
  <si>
    <t>6#B座八层</t>
  </si>
  <si>
    <t>6#B座九层</t>
  </si>
  <si>
    <t>6#B座十层</t>
  </si>
  <si>
    <t>6#屋顶B</t>
  </si>
  <si>
    <t>7#首层A</t>
  </si>
  <si>
    <t>7#首层B</t>
  </si>
  <si>
    <t>7#二层A</t>
  </si>
  <si>
    <t>7#二层B</t>
  </si>
  <si>
    <t>7#A座三层</t>
  </si>
  <si>
    <t>7#A座四层</t>
  </si>
  <si>
    <t>7#A座五层</t>
  </si>
  <si>
    <t>7#A座六层</t>
  </si>
  <si>
    <t>7#A座七层</t>
  </si>
  <si>
    <t>7#A座八层</t>
  </si>
  <si>
    <t>7#A座九层</t>
  </si>
  <si>
    <t>7#A座十层</t>
  </si>
  <si>
    <t>7#屋顶A</t>
  </si>
  <si>
    <t>7#B座三层</t>
  </si>
  <si>
    <t>7#B座四层</t>
  </si>
  <si>
    <t>7#B座五层</t>
  </si>
  <si>
    <t>7#B座六层</t>
  </si>
  <si>
    <t>7#B座七层</t>
  </si>
  <si>
    <t>7#B座八层</t>
  </si>
  <si>
    <t>7#B座九层</t>
  </si>
  <si>
    <t>7#B座十层</t>
  </si>
  <si>
    <t>7#屋顶B</t>
  </si>
  <si>
    <t>首层</t>
  </si>
  <si>
    <t>二层</t>
  </si>
  <si>
    <t>三层</t>
  </si>
  <si>
    <t>四层</t>
  </si>
  <si>
    <t>屋顶</t>
  </si>
  <si>
    <t>防排烟</t>
  </si>
  <si>
    <t>一层</t>
  </si>
  <si>
    <t>部分没管径</t>
  </si>
  <si>
    <t>立管自垂百叶系统图、平面图B0、B2，相互矛盾</t>
  </si>
  <si>
    <t>立管风口系统图、平面图相互矛盾</t>
  </si>
  <si>
    <t>包含地下一部分加立管</t>
  </si>
  <si>
    <t>L=5000m³/h,N=1.1KW/380V</t>
  </si>
  <si>
    <t>没有软接；一段管没尺寸</t>
  </si>
  <si>
    <t>没有软接</t>
  </si>
  <si>
    <t>没有软接；一小段没尺寸；立管有问题，应到2F</t>
  </si>
  <si>
    <t>没有软接；一小段没尺寸</t>
  </si>
  <si>
    <t>没有软接；一小段没尺寸；立管风口有问题</t>
  </si>
  <si>
    <t>排气扇没有名称和型号</t>
  </si>
  <si>
    <t>没软接</t>
  </si>
  <si>
    <t>9#缺系统图</t>
  </si>
  <si>
    <t>有一段没尺寸；没软接</t>
  </si>
  <si>
    <t>有一段没尺寸；没软接；翻完没有标高</t>
  </si>
  <si>
    <t>看不懂那个方块是啥，若是静压箱，没尺寸</t>
  </si>
  <si>
    <t>有一段风管尺寸不明确</t>
  </si>
  <si>
    <t>风管没尺寸，静压箱没尺寸</t>
  </si>
  <si>
    <t>有一段没有尺寸</t>
  </si>
  <si>
    <t>14#静压箱均没尺寸</t>
  </si>
  <si>
    <t>有一段没管径</t>
  </si>
  <si>
    <t>有一部分没管径</t>
  </si>
  <si>
    <t>一层油烟和排风画反了</t>
  </si>
  <si>
    <t>6、7#</t>
  </si>
  <si>
    <t>换气扇</t>
  </si>
  <si>
    <t>JY-WD-1</t>
  </si>
  <si>
    <t>JY-WD-2</t>
  </si>
  <si>
    <t>PF-01</t>
  </si>
  <si>
    <t>PF-RF-01</t>
  </si>
  <si>
    <t>JY-RF-01</t>
  </si>
  <si>
    <t>JY-RF-02</t>
  </si>
  <si>
    <t>JY-RF-03</t>
  </si>
  <si>
    <t>BF-B1-5-1</t>
  </si>
  <si>
    <t>PY-RF-01</t>
  </si>
  <si>
    <t>PY-RF-02</t>
  </si>
  <si>
    <t>JY-RF-04</t>
  </si>
  <si>
    <t>排气扇</t>
  </si>
  <si>
    <t>P-1</t>
  </si>
  <si>
    <t>JY-RF-05</t>
  </si>
  <si>
    <t>JY-RF-06</t>
  </si>
  <si>
    <t>JY-RF-07</t>
  </si>
  <si>
    <t>SF-F1-01</t>
  </si>
  <si>
    <t>SF-F1-02</t>
  </si>
  <si>
    <t>SF-F1-03</t>
  </si>
  <si>
    <t>SF-F1-04</t>
  </si>
  <si>
    <t>SF-F1-05</t>
  </si>
  <si>
    <t>SF-F2-01</t>
  </si>
  <si>
    <t>SF-F2-02</t>
  </si>
  <si>
    <t>SF-F2-03</t>
  </si>
  <si>
    <t>SF-F2-04</t>
  </si>
  <si>
    <t>SF-F2-05</t>
  </si>
  <si>
    <t>SF-F3-01</t>
  </si>
  <si>
    <t>SF-F3-02</t>
  </si>
  <si>
    <t>PF-RF-28</t>
  </si>
  <si>
    <t>PF-RF-29</t>
  </si>
  <si>
    <t xml:space="preserve">PF-RF-1 </t>
  </si>
  <si>
    <t>PF-RF-2</t>
  </si>
  <si>
    <t>PF-RF-11</t>
  </si>
  <si>
    <t>PF-RF-12</t>
  </si>
  <si>
    <t>PF-RF-4</t>
  </si>
  <si>
    <t>PF-RF-3</t>
  </si>
  <si>
    <t>PF-RF-13</t>
  </si>
  <si>
    <t>PF-RF-14</t>
  </si>
  <si>
    <t>PF-RF-22</t>
  </si>
  <si>
    <t>PF-RF-21</t>
  </si>
  <si>
    <t>PF-RF-15</t>
  </si>
  <si>
    <t>PF-RF-16</t>
  </si>
  <si>
    <t>PF-RF-05</t>
  </si>
  <si>
    <t>PF-RF-06</t>
  </si>
  <si>
    <t>PF-RF-08</t>
  </si>
  <si>
    <t>PF-RF-07</t>
  </si>
  <si>
    <t>PF-RF-25</t>
  </si>
  <si>
    <t>PF-RF-26</t>
  </si>
  <si>
    <t>PF-RF-27</t>
  </si>
  <si>
    <t>PF-RF-17</t>
  </si>
  <si>
    <t>PF-RF-18</t>
  </si>
  <si>
    <t>PF-RF-10</t>
  </si>
  <si>
    <t>PF-RF-9</t>
  </si>
  <si>
    <t>PF-RF-23</t>
  </si>
  <si>
    <t>PF-RF-24</t>
  </si>
  <si>
    <t>PF-RF-19</t>
  </si>
  <si>
    <t>PF-RF-20</t>
  </si>
  <si>
    <t>PF-01（静音式风机）</t>
  </si>
  <si>
    <t>静音式风机</t>
  </si>
  <si>
    <t>JHQ-1</t>
  </si>
  <si>
    <t>JHQ-2</t>
  </si>
  <si>
    <t>HQ-01</t>
  </si>
  <si>
    <t>风管（油烟）</t>
  </si>
  <si>
    <t>堵板（排烟）</t>
  </si>
  <si>
    <t>风管连箱</t>
  </si>
  <si>
    <t>2200X1200X1200</t>
  </si>
  <si>
    <t>2000X1000X3000</t>
  </si>
  <si>
    <t>1800X800X800</t>
  </si>
  <si>
    <r>
      <rPr>
        <sz val="11"/>
        <color rgb="FFFF0000"/>
        <rFont val="Arial"/>
        <family val="2"/>
      </rPr>
      <t>1650X800X</t>
    </r>
    <r>
      <rPr>
        <sz val="11"/>
        <color rgb="FFFF0000"/>
        <rFont val="宋体"/>
        <family val="3"/>
        <charset val="134"/>
      </rPr>
      <t>？</t>
    </r>
  </si>
  <si>
    <r>
      <rPr>
        <sz val="11"/>
        <color rgb="FFFF0000"/>
        <rFont val="Arial"/>
        <family val="2"/>
      </rPr>
      <t>1450X800X</t>
    </r>
    <r>
      <rPr>
        <sz val="11"/>
        <color rgb="FFFF0000"/>
        <rFont val="宋体"/>
        <family val="3"/>
        <charset val="134"/>
      </rPr>
      <t>？</t>
    </r>
  </si>
  <si>
    <t>1400X800X800</t>
  </si>
  <si>
    <t>1200X1000X3000</t>
  </si>
  <si>
    <t>800X1600X3000</t>
  </si>
  <si>
    <t>800X1200X3000</t>
  </si>
  <si>
    <t>800X1000X3000</t>
  </si>
  <si>
    <t>800X800X3000</t>
  </si>
  <si>
    <t>150℃防火阀（150FDS）</t>
  </si>
  <si>
    <t>常闭排烟阀（280SFD）</t>
  </si>
  <si>
    <t>防雨百叶风口</t>
  </si>
  <si>
    <t>自垂百叶风口</t>
  </si>
  <si>
    <t>常闭电动多叶风口</t>
  </si>
  <si>
    <t>630X(800+250)</t>
  </si>
  <si>
    <t>500X(1000+250)</t>
  </si>
  <si>
    <t>400X(1100+250)</t>
  </si>
  <si>
    <t>单层活动百叶风口</t>
  </si>
  <si>
    <t>远控多叶排烟口</t>
  </si>
  <si>
    <t>400X（750+250）</t>
  </si>
  <si>
    <t>铅丝网</t>
  </si>
  <si>
    <t>序 号</t>
  </si>
  <si>
    <t>系 统 编 号</t>
  </si>
  <si>
    <t>设 备 名 称</t>
  </si>
  <si>
    <t xml:space="preserve"> 设 备 选 型</t>
  </si>
  <si>
    <t>风 量 m|/h</t>
  </si>
  <si>
    <t xml:space="preserve"> 全 压 Pa</t>
  </si>
  <si>
    <t xml:space="preserve"> 耗 电量
Kw</t>
  </si>
  <si>
    <t>转 数r/min</t>
  </si>
  <si>
    <t>噪 声dB(A)</t>
  </si>
  <si>
    <t>重 量Kg</t>
  </si>
  <si>
    <t>Ws</t>
  </si>
  <si>
    <t>数  量</t>
  </si>
  <si>
    <t xml:space="preserve"> 安 装 位 置</t>
  </si>
  <si>
    <t>服 务 范 围</t>
  </si>
  <si>
    <t>图上数量</t>
  </si>
  <si>
    <t>混流风机</t>
  </si>
  <si>
    <t>SWF-I-6.5</t>
  </si>
  <si>
    <t>屋顶机房</t>
  </si>
  <si>
    <t>地下楼梯间</t>
  </si>
  <si>
    <t>加压送风</t>
  </si>
  <si>
    <t>SWF-I-7</t>
  </si>
  <si>
    <t>地下楼梯间前室</t>
  </si>
  <si>
    <t>天花板用管道式换气扇</t>
  </si>
  <si>
    <t>BPT18-44A</t>
  </si>
  <si>
    <t>0.044(220v)</t>
  </si>
  <si>
    <t>--</t>
  </si>
  <si>
    <t>卫生间</t>
  </si>
  <si>
    <t>卫生间排风</t>
  </si>
  <si>
    <t>自带防倒流装置</t>
  </si>
  <si>
    <t>数量不一致</t>
  </si>
  <si>
    <t>序号</t>
  </si>
  <si>
    <t>设备编号</t>
  </si>
  <si>
    <t>风机形式</t>
  </si>
  <si>
    <t>风量</t>
  </si>
  <si>
    <t xml:space="preserve">机外静(全)压 </t>
  </si>
  <si>
    <t>电源</t>
  </si>
  <si>
    <t>转速</t>
  </si>
  <si>
    <t>噪声</t>
  </si>
  <si>
    <t>设备重量</t>
  </si>
  <si>
    <t>数量</t>
  </si>
  <si>
    <t>安装位置</t>
  </si>
  <si>
    <t>服务范围</t>
  </si>
  <si>
    <t>m3/h</t>
  </si>
  <si>
    <t>Pa</t>
  </si>
  <si>
    <t xml:space="preserve">配电量kW </t>
  </si>
  <si>
    <t>是否变频</t>
  </si>
  <si>
    <t>是否消防电源</t>
  </si>
  <si>
    <t xml:space="preserve">电压V </t>
  </si>
  <si>
    <t>rpm</t>
  </si>
  <si>
    <t>dB(A)</t>
  </si>
  <si>
    <t>Kg</t>
  </si>
  <si>
    <t>单速</t>
  </si>
  <si>
    <t>是</t>
  </si>
  <si>
    <t>10层屋面</t>
  </si>
  <si>
    <t>地上楼梯间加压送风</t>
  </si>
  <si>
    <t>地下楼梯间加压送风</t>
  </si>
  <si>
    <t>前室加压送风</t>
  </si>
  <si>
    <t>否</t>
  </si>
  <si>
    <t>平面为准</t>
  </si>
  <si>
    <t>自带止回阀功能</t>
  </si>
  <si>
    <t>设备表上没有这个</t>
  </si>
  <si>
    <t>消防高温排烟轴流风机</t>
  </si>
  <si>
    <t>屋面</t>
  </si>
  <si>
    <t>走廊排烟</t>
  </si>
  <si>
    <t>中庭排烟</t>
  </si>
  <si>
    <t>1#楼梯地上楼梯间加压送风</t>
  </si>
  <si>
    <t>1#楼梯地下楼梯间加压送风</t>
  </si>
  <si>
    <t>2#楼梯地上楼梯间加压送风</t>
  </si>
  <si>
    <t>2#楼梯地下楼梯间加压送风</t>
  </si>
  <si>
    <t>卫生间上空</t>
  </si>
  <si>
    <t>电梯机房</t>
  </si>
  <si>
    <t>电梯机房排风</t>
  </si>
  <si>
    <t>平面图没有这个</t>
  </si>
  <si>
    <t>首层公共区域走廊排烟、中庭排烟</t>
  </si>
  <si>
    <t>公共区域走廊排烟</t>
  </si>
  <si>
    <t>卫生间、电梯机房</t>
  </si>
  <si>
    <t>卫生间、电梯机房排风</t>
  </si>
  <si>
    <t>机外静压</t>
  </si>
  <si>
    <t>轴流风机</t>
  </si>
  <si>
    <t>-</t>
  </si>
  <si>
    <t>屋顶层</t>
  </si>
  <si>
    <t>3#楼梯地上楼梯间加压送风</t>
  </si>
  <si>
    <t>3#楼梯地下楼梯间加压送风</t>
  </si>
  <si>
    <t>4#楼梯地上楼梯间加压送风</t>
  </si>
  <si>
    <t>4#楼梯地下楼梯间加压送风</t>
  </si>
  <si>
    <t>高温排烟专用风机</t>
  </si>
  <si>
    <t>离心风机箱</t>
  </si>
  <si>
    <t>1#商业厨房局部排风(预留)</t>
  </si>
  <si>
    <t>PF-RF-02</t>
  </si>
  <si>
    <t>1#商业厨房全面排风兼做事故排风(预留)</t>
  </si>
  <si>
    <t>风机防爆</t>
  </si>
  <si>
    <t>PF-RF-03</t>
  </si>
  <si>
    <t>2#商业厨房局部排风(预留)</t>
  </si>
  <si>
    <t>PF-RF-04</t>
  </si>
  <si>
    <t>2#商业厨房全面排风兼做事故排风(预留)</t>
  </si>
  <si>
    <t>3#商业厨房局部排风(预留)</t>
  </si>
  <si>
    <t>3#商业厨房全面排风兼做事故排风(预留)</t>
  </si>
  <si>
    <t>4#商业厨房局部排风(预留)</t>
  </si>
  <si>
    <t>4#商业厨房全面排风兼做事故排风(预留)</t>
  </si>
  <si>
    <t>PF-RF-09</t>
  </si>
  <si>
    <t>5#商业厨房局部排风(预留)</t>
  </si>
  <si>
    <t>5#商业厨房全面排风兼做事故排风(预留)</t>
  </si>
  <si>
    <t>6#商业厨房局部排风(预留)</t>
  </si>
  <si>
    <t>6#商业厨房全面排风兼做事故排风(预留)</t>
  </si>
  <si>
    <t>7#商业厨房局部排风(预留)</t>
  </si>
  <si>
    <t>7#商业厨房全面排风兼做事故排风(预留)</t>
  </si>
  <si>
    <t>8#商业厨房局部排风(预留)</t>
  </si>
  <si>
    <t>8#商业厨房全面排风兼做事故排风(预留)</t>
  </si>
  <si>
    <t>9#商业厨房局部排风(预留)</t>
  </si>
  <si>
    <t>9#商业厨房全面排风兼做事故排风(预留)</t>
  </si>
  <si>
    <t>10#商业厨房局部排风(预留)</t>
  </si>
  <si>
    <t>10#商业厨房全面排风兼做事故排风(预留)</t>
  </si>
  <si>
    <t>12#商业厨房局部排风(预留)</t>
  </si>
  <si>
    <t>12#商业厨房全面排风兼做事故排风(预留)</t>
  </si>
  <si>
    <t>13#商业厨房局部排风(预留)</t>
  </si>
  <si>
    <t>13#商业厨房全面排风兼做事故排风(预留)</t>
  </si>
  <si>
    <t>B1-2#商业厨房局部排风(预留)</t>
  </si>
  <si>
    <t>B1-2#商业厨房全面排风兼做事故排风(预留)</t>
  </si>
  <si>
    <t>油烟净化器</t>
  </si>
  <si>
    <t>送(补)风系统设备表</t>
  </si>
  <si>
    <t>1#商业上空</t>
  </si>
  <si>
    <t>1#商业厨房局部补风(预留)</t>
  </si>
  <si>
    <t>2#商业上空</t>
  </si>
  <si>
    <t>2#商业厨房局部补风(预留)</t>
  </si>
  <si>
    <t>3#商业上空</t>
  </si>
  <si>
    <t>3#商业厨房局部补风(预留)</t>
  </si>
  <si>
    <t>4#商业上空</t>
  </si>
  <si>
    <t>4#商业厨房局部补风(预留)</t>
  </si>
  <si>
    <t>5#商业上空</t>
  </si>
  <si>
    <t>5#商业厨房局部补风(预留)</t>
  </si>
  <si>
    <t>6#商业上空</t>
  </si>
  <si>
    <t>6#商业厨房局部补风(预留)</t>
  </si>
  <si>
    <t>7#商业上空</t>
  </si>
  <si>
    <t>7#商业厨房局部补风(预留)</t>
  </si>
  <si>
    <t>8#商业上空</t>
  </si>
  <si>
    <t>8#商业厨房局部补风(预留)</t>
  </si>
  <si>
    <t>9#商业上空</t>
  </si>
  <si>
    <t>9#商业厨房局部补风(预留)</t>
  </si>
  <si>
    <t>10#商业上空</t>
  </si>
  <si>
    <t>10#商业厨房局部补风(预留)</t>
  </si>
  <si>
    <t>12#商业上空</t>
  </si>
  <si>
    <t>12#商业厨房局部补风(预留)</t>
  </si>
  <si>
    <t>13#商业上空</t>
  </si>
  <si>
    <t>13#商业厨房局部补风(预留)</t>
  </si>
  <si>
    <r>
      <rPr>
        <sz val="10"/>
        <rFont val="宋体"/>
        <family val="3"/>
        <charset val="134"/>
      </rPr>
      <t>地下室</t>
    </r>
    <r>
      <rPr>
        <sz val="10"/>
        <rFont val="Arial"/>
        <family val="2"/>
      </rPr>
      <t>B1</t>
    </r>
    <r>
      <rPr>
        <sz val="10"/>
        <rFont val="宋体"/>
        <family val="3"/>
        <charset val="134"/>
      </rPr>
      <t>层防排烟通风主要设备明细（第三批）</t>
    </r>
  </si>
  <si>
    <t>PFY-B1-1-1,2</t>
  </si>
  <si>
    <t>HTF消防高温轴流风机</t>
  </si>
  <si>
    <t>HTF-II-No10</t>
  </si>
  <si>
    <t>42969/28442</t>
  </si>
  <si>
    <t>665/291</t>
  </si>
  <si>
    <t>12/4</t>
  </si>
  <si>
    <t>90/81</t>
  </si>
  <si>
    <t>汽车库</t>
  </si>
  <si>
    <t>汽车库排烟兼排风</t>
  </si>
  <si>
    <t>SBF-B1-1-1,2</t>
  </si>
  <si>
    <t>低噪声混流风机</t>
  </si>
  <si>
    <t>SWF-I-7.5</t>
  </si>
  <si>
    <t>汽车库排烟兼排风补风</t>
  </si>
  <si>
    <t>PFY-B1-3-1,2</t>
  </si>
  <si>
    <t>SBF-B1-3-1,2</t>
  </si>
  <si>
    <t>PFY-B1-6-1,2</t>
  </si>
  <si>
    <t>SBF-B1-6-1,2</t>
  </si>
  <si>
    <t>PY-B1-7-1,2</t>
  </si>
  <si>
    <t>HTF-I-No10</t>
  </si>
  <si>
    <t>自行车库</t>
  </si>
  <si>
    <t>自行车库排烟</t>
  </si>
  <si>
    <t>PF-B1-7-1,2</t>
  </si>
  <si>
    <t>HL3-2A-4.5A</t>
  </si>
  <si>
    <t>自行车库排风</t>
  </si>
  <si>
    <t>BF-B1-7-1,2</t>
  </si>
  <si>
    <t>自行车库排烟补风</t>
  </si>
  <si>
    <t>SF-B1-7-1,2</t>
  </si>
  <si>
    <t>自行车库排风补风</t>
  </si>
  <si>
    <t>PY-B1-2-1-1,2</t>
  </si>
  <si>
    <t>HTF-I-No6</t>
  </si>
  <si>
    <t>设备区和物业</t>
  </si>
  <si>
    <t>设备区和物业排烟</t>
  </si>
  <si>
    <t>BF-B1-2-1-1,2</t>
  </si>
  <si>
    <t>SWF-I-5.5</t>
  </si>
  <si>
    <t>设备区</t>
  </si>
  <si>
    <t>设备区排烟补风</t>
  </si>
  <si>
    <t>HL3-2A-6.5A</t>
  </si>
  <si>
    <t>物业</t>
  </si>
  <si>
    <t>物业排烟补风</t>
  </si>
  <si>
    <t>HTF-I-No6.5</t>
  </si>
  <si>
    <t>设备区排烟</t>
  </si>
  <si>
    <t>不在咱们区域</t>
  </si>
  <si>
    <t>HTF-I-No11</t>
  </si>
  <si>
    <t>商业区</t>
  </si>
  <si>
    <t>商业区排烟</t>
  </si>
  <si>
    <t>商业区排烟补风</t>
  </si>
  <si>
    <t>DZ-I-2.5</t>
  </si>
  <si>
    <t>隔油间排风</t>
  </si>
  <si>
    <t>B1数量对不上</t>
  </si>
  <si>
    <t>PF-B1-11-1,2</t>
  </si>
  <si>
    <t>低噪声轴流风机</t>
  </si>
  <si>
    <t>1.2号两台风机</t>
  </si>
  <si>
    <t>BF-B1-11-2,3,4</t>
  </si>
  <si>
    <t>厨房全面排风兼事故排风补风预留
厨房局部排风补风预留</t>
  </si>
  <si>
    <t>104-1#变配电室</t>
  </si>
  <si>
    <t>变配电室排风</t>
  </si>
  <si>
    <t>变配电室排风补风</t>
  </si>
  <si>
    <t>104-2#变配电室</t>
  </si>
  <si>
    <t>104-4#变配电室</t>
  </si>
  <si>
    <t>北换热站</t>
  </si>
  <si>
    <t>北换热站排风</t>
  </si>
  <si>
    <t>北换热站排风补风</t>
  </si>
  <si>
    <t>SWF-II-6.5</t>
  </si>
  <si>
    <t>25124/16582</t>
  </si>
  <si>
    <t>524/230</t>
  </si>
  <si>
    <t>8/6.5</t>
  </si>
  <si>
    <t>1450/960</t>
  </si>
  <si>
    <t>82/74</t>
  </si>
  <si>
    <t>制冷机房</t>
  </si>
  <si>
    <t>制冷机房排风</t>
  </si>
  <si>
    <t>制冷机房排风补风</t>
  </si>
  <si>
    <t>南换热站</t>
  </si>
  <si>
    <t>南换热站排风</t>
  </si>
  <si>
    <t>南换热站排风补风</t>
  </si>
  <si>
    <t>PF-B1-2-4-1~3</t>
  </si>
  <si>
    <t>大堂空调机房</t>
  </si>
  <si>
    <t>过渡季排风</t>
  </si>
  <si>
    <t>PF-B1-2-4-4~6</t>
  </si>
  <si>
    <t>PF-B1-1</t>
  </si>
  <si>
    <t>没这个</t>
  </si>
  <si>
    <t>PF-02</t>
  </si>
  <si>
    <t>BPT25-56A</t>
  </si>
  <si>
    <t>0.150(220v)</t>
  </si>
  <si>
    <t>YDF-B-No3</t>
  </si>
  <si>
    <t>985-1350</t>
  </si>
  <si>
    <t>地下车库</t>
  </si>
  <si>
    <t>第三批设备表里没有，不确定是否与第二批型号形同</t>
  </si>
  <si>
    <r>
      <rPr>
        <sz val="10"/>
        <rFont val="宋体"/>
        <family val="3"/>
        <charset val="134"/>
      </rPr>
      <t>地下室</t>
    </r>
    <r>
      <rPr>
        <sz val="10"/>
        <rFont val="Arial"/>
        <family val="2"/>
      </rPr>
      <t>B1</t>
    </r>
    <r>
      <rPr>
        <sz val="10"/>
        <rFont val="宋体"/>
        <family val="3"/>
        <charset val="134"/>
      </rPr>
      <t>层防排烟通风主要设备明细（第二批）</t>
    </r>
  </si>
  <si>
    <t xml:space="preserve"> 耗 量电
Kw</t>
  </si>
  <si>
    <t>HTF消防高温轴流风机 HTF消防高温轴流风机</t>
  </si>
  <si>
    <t>设备不在我们区域</t>
  </si>
  <si>
    <t>低噪声混流风机 低噪声混流风机</t>
  </si>
  <si>
    <t>PFY-B1-8-1,2</t>
  </si>
  <si>
    <t>35000/24019</t>
  </si>
  <si>
    <t>770/338</t>
  </si>
  <si>
    <t>SBF-B1-8-1,2</t>
  </si>
  <si>
    <t>PFY-B1-9-1,2</t>
  </si>
  <si>
    <t>38200/25291</t>
  </si>
  <si>
    <t>736/322</t>
  </si>
  <si>
    <t>11/9</t>
  </si>
  <si>
    <t>SBF-B1-9-1,2</t>
  </si>
  <si>
    <t>PFY-B1-10-1,2</t>
  </si>
  <si>
    <t>SBF-B1-10-1,2</t>
  </si>
  <si>
    <t>104-3#变配电室</t>
  </si>
  <si>
    <t>中水泵房</t>
  </si>
  <si>
    <t>中水泵房室排风</t>
  </si>
  <si>
    <t>HL3-2A-4A</t>
  </si>
  <si>
    <t>给水泵房</t>
  </si>
  <si>
    <t>给水泵房室排风</t>
  </si>
  <si>
    <t>中水泵房室排风补风</t>
  </si>
  <si>
    <t>PF-B1-11-4,5</t>
  </si>
  <si>
    <t>消防泵房</t>
  </si>
  <si>
    <t>消防泵房排风</t>
  </si>
  <si>
    <r>
      <rPr>
        <sz val="10"/>
        <rFont val="Arial"/>
        <family val="2"/>
      </rPr>
      <t>4.5</t>
    </r>
    <r>
      <rPr>
        <sz val="10"/>
        <rFont val="宋体"/>
        <family val="3"/>
        <charset val="134"/>
      </rPr>
      <t>号应为两台</t>
    </r>
  </si>
  <si>
    <t>SF-B1-11-3,5</t>
  </si>
  <si>
    <t>消防泵房排风补风</t>
  </si>
  <si>
    <r>
      <rPr>
        <sz val="10"/>
        <rFont val="Arial"/>
        <family val="2"/>
      </rPr>
      <t>3.4</t>
    </r>
    <r>
      <rPr>
        <sz val="10"/>
        <rFont val="宋体"/>
        <family val="3"/>
        <charset val="134"/>
      </rPr>
      <t>号</t>
    </r>
  </si>
  <si>
    <t>PFY-B2-3-1,2</t>
  </si>
  <si>
    <t>SBF-B2-3-1,2</t>
  </si>
  <si>
    <t>PFY-B2-6-1,2</t>
  </si>
  <si>
    <t>SBF-B2-6-1,2</t>
  </si>
  <si>
    <t>编号</t>
  </si>
  <si>
    <t>规格型号</t>
  </si>
  <si>
    <t>SWF-I-7.0</t>
  </si>
  <si>
    <t>总设备表和人防设备表不一致</t>
  </si>
  <si>
    <t>人防排风机(RPF-B2-1)</t>
  </si>
  <si>
    <t xml:space="preserve">SWF-I-7.0 L=11319m|/h H=404Pa
N=3kW 81dB 104kg n=1450r/min  </t>
  </si>
  <si>
    <t>战时排风</t>
  </si>
  <si>
    <t>RBF-B2-1</t>
  </si>
  <si>
    <t>人防送风机(RBF-B2-1)</t>
  </si>
  <si>
    <t xml:space="preserve">SWF-I-6.5 L=12255m|/h H=350Pa
N=2.2kW 80dB 89kg n=1450r/min  </t>
  </si>
  <si>
    <t>战时送风</t>
  </si>
  <si>
    <t>PY-B2-1,2</t>
  </si>
  <si>
    <t>PF-B2-1,2</t>
  </si>
  <si>
    <t>BF-B2-1,2</t>
  </si>
  <si>
    <t>SF-B2-1,2</t>
  </si>
  <si>
    <t>带FD阀</t>
  </si>
  <si>
    <t>在第二版图中</t>
  </si>
  <si>
    <t>B2数量对不上</t>
  </si>
  <si>
    <t>人防区</t>
  </si>
  <si>
    <t>名    称</t>
  </si>
  <si>
    <t>RF01油网滤尘器</t>
  </si>
  <si>
    <t>LWP-D型  L=600~1600m|/h</t>
  </si>
  <si>
    <t>块</t>
  </si>
  <si>
    <t>RF02过滤吸收器</t>
  </si>
  <si>
    <t>RFP-1000型 L=1000m|/h 220V 10A</t>
  </si>
  <si>
    <t>RF03电动手摇风机</t>
  </si>
  <si>
    <t>F270-2型   L=500~1100m|/h
P=1225~568Pa  N=0.75KW(380V)</t>
  </si>
  <si>
    <r>
      <rPr>
        <sz val="10"/>
        <rFont val="宋体"/>
        <family val="3"/>
        <charset val="134"/>
      </rPr>
      <t>RF04人防排风机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战时排风</t>
    </r>
    <r>
      <rPr>
        <sz val="10"/>
        <rFont val="Arial"/>
        <family val="2"/>
      </rPr>
      <t>)</t>
    </r>
  </si>
  <si>
    <t xml:space="preserve">SWF(A)-1-4 L=3800m|/h H=367Pa
N=3.0kW 66dB 40kg n=1450r/min  </t>
  </si>
  <si>
    <t xml:space="preserve">SWF(A)-1-4 L=5000m|/h H=367Pa
N=3.0kW 66dB 40kg n=1450r/min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</si>
</sst>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0010-D1DD-44E7-907D-05D680DA4B3B}">
  <sheetPr filterMode="1"/>
  <dimension ref="A1:EL359"/>
  <sheetViews>
    <sheetView zoomScaleNormal="100" workbookViewId="0">
      <selection activeCell="D36" sqref="D36"/>
    </sheetView>
  </sheetViews>
  <sheetFormatPr defaultColWidth="9" defaultRowHeight="14" x14ac:dyDescent="0.25"/>
  <cols>
    <col min="1" max="1" width="24.7265625" customWidth="1"/>
    <col min="2" max="2" width="8.08984375" customWidth="1"/>
    <col min="3" max="4" width="9" customWidth="1"/>
    <col min="5" max="5" width="9" style="12" customWidth="1"/>
    <col min="6" max="6" width="9" style="6" customWidth="1"/>
    <col min="7" max="7" width="9" style="12" customWidth="1"/>
    <col min="8" max="8" width="10.36328125" style="18" customWidth="1"/>
    <col min="9" max="11" width="9" style="12" customWidth="1"/>
    <col min="12" max="12" width="8.26953125" style="18" bestFit="1" customWidth="1"/>
    <col min="13" max="20" width="9" customWidth="1"/>
    <col min="21" max="21" width="10.7265625" customWidth="1"/>
    <col min="22" max="22" width="9" customWidth="1"/>
    <col min="23" max="23" width="10.453125" customWidth="1"/>
    <col min="24" max="24" width="9" customWidth="1"/>
    <col min="25" max="25" width="10.7265625" customWidth="1"/>
    <col min="26" max="26" width="9" customWidth="1"/>
    <col min="27" max="27" width="11.08984375" customWidth="1"/>
    <col min="28" max="28" width="9" customWidth="1"/>
    <col min="29" max="29" width="8" customWidth="1"/>
    <col min="30" max="30" width="11.08984375" customWidth="1"/>
    <col min="31" max="31" width="9" customWidth="1"/>
    <col min="32" max="32" width="11.90625" customWidth="1"/>
    <col min="33" max="33" width="9" customWidth="1"/>
    <col min="34" max="34" width="11" customWidth="1"/>
    <col min="35" max="35" width="8.7265625" customWidth="1"/>
    <col min="36" max="36" width="10.90625" customWidth="1"/>
    <col min="37" max="37" width="9" customWidth="1"/>
    <col min="38" max="38" width="10.90625" customWidth="1"/>
    <col min="39" max="40" width="10.6328125" customWidth="1"/>
    <col min="41" max="41" width="10.7265625" customWidth="1"/>
    <col min="42" max="42" width="15.26953125" customWidth="1"/>
    <col min="43" max="43" width="10.90625" customWidth="1"/>
    <col min="44" max="46" width="11" customWidth="1"/>
    <col min="47" max="48" width="9" customWidth="1"/>
    <col min="49" max="49" width="11.08984375" customWidth="1"/>
    <col min="50" max="50" width="12.26953125" customWidth="1"/>
    <col min="51" max="52" width="9" customWidth="1"/>
    <col min="53" max="53" width="10.7265625" customWidth="1"/>
    <col min="54" max="54" width="10.453125" customWidth="1"/>
    <col min="55" max="55" width="11.36328125" customWidth="1"/>
    <col min="56" max="57" width="10.7265625" customWidth="1"/>
    <col min="58" max="58" width="11.6328125" customWidth="1"/>
    <col min="59" max="59" width="10.36328125" customWidth="1"/>
    <col min="60" max="60" width="10.453125" customWidth="1"/>
    <col min="61" max="61" width="10.90625" customWidth="1"/>
    <col min="62" max="62" width="11.36328125" customWidth="1"/>
    <col min="63" max="64" width="10.6328125" customWidth="1"/>
    <col min="65" max="65" width="10.36328125" customWidth="1"/>
    <col min="66" max="66" width="10.453125" customWidth="1"/>
    <col min="67" max="67" width="10.6328125" customWidth="1"/>
    <col min="68" max="68" width="11.08984375" customWidth="1"/>
    <col min="69" max="69" width="10.7265625" customWidth="1"/>
    <col min="70" max="70" width="10.6328125" customWidth="1"/>
    <col min="71" max="71" width="10.90625" customWidth="1"/>
    <col min="72" max="72" width="12.6328125" customWidth="1"/>
    <col min="73" max="73" width="4.90625" customWidth="1"/>
    <col min="74" max="74" width="5.08984375" customWidth="1"/>
    <col min="75" max="79" width="9" customWidth="1"/>
    <col min="80" max="80" width="9.7265625" customWidth="1"/>
    <col min="81" max="81" width="10" customWidth="1"/>
    <col min="82" max="82" width="10.26953125" customWidth="1"/>
    <col min="83" max="83" width="13.453125" customWidth="1"/>
    <col min="84" max="84" width="9.7265625" customWidth="1"/>
    <col min="85" max="87" width="10.6328125" customWidth="1"/>
    <col min="88" max="88" width="11.90625" customWidth="1"/>
    <col min="89" max="89" width="12" customWidth="1"/>
    <col min="90" max="90" width="9" customWidth="1"/>
    <col min="91" max="91" width="11.08984375" customWidth="1"/>
    <col min="92" max="92" width="11" customWidth="1"/>
    <col min="93" max="93" width="11.6328125" customWidth="1"/>
    <col min="94" max="94" width="10.453125" customWidth="1"/>
    <col min="95" max="95" width="12.08984375" customWidth="1"/>
    <col min="96" max="96" width="12.26953125" customWidth="1"/>
    <col min="97" max="97" width="10.36328125" customWidth="1"/>
    <col min="98" max="98" width="9" customWidth="1"/>
    <col min="99" max="99" width="10.26953125" customWidth="1"/>
    <col min="100" max="100" width="11.453125" customWidth="1"/>
    <col min="101" max="101" width="11.36328125" customWidth="1"/>
    <col min="102" max="102" width="12" customWidth="1"/>
    <col min="103" max="103" width="10.6328125" style="35" customWidth="1"/>
    <col min="104" max="104" width="11.453125" customWidth="1"/>
    <col min="105" max="105" width="10.6328125" customWidth="1"/>
    <col min="106" max="106" width="11.6328125" customWidth="1"/>
    <col min="107" max="107" width="11.90625" customWidth="1"/>
    <col min="108" max="108" width="11.36328125" customWidth="1"/>
    <col min="109" max="109" width="9.453125" customWidth="1"/>
    <col min="110" max="110" width="9" customWidth="1"/>
    <col min="111" max="111" width="11" customWidth="1"/>
    <col min="112" max="112" width="11.08984375" customWidth="1"/>
    <col min="113" max="113" width="10.36328125" customWidth="1"/>
    <col min="114" max="114" width="10.08984375" customWidth="1"/>
    <col min="115" max="115" width="9" customWidth="1"/>
    <col min="116" max="116" width="10.6328125" customWidth="1"/>
    <col min="117" max="117" width="11.08984375" customWidth="1"/>
    <col min="118" max="118" width="10.90625" customWidth="1"/>
    <col min="119" max="119" width="11.90625" customWidth="1"/>
    <col min="120" max="120" width="10.453125" customWidth="1"/>
    <col min="121" max="121" width="11" customWidth="1"/>
    <col min="122" max="122" width="12.453125" customWidth="1"/>
    <col min="123" max="123" width="11.08984375" customWidth="1"/>
    <col min="124" max="124" width="10.6328125" customWidth="1"/>
    <col min="125" max="125" width="10.36328125" customWidth="1"/>
    <col min="126" max="126" width="10.6328125" customWidth="1"/>
    <col min="127" max="128" width="11.36328125" customWidth="1"/>
    <col min="129" max="130" width="11" customWidth="1"/>
    <col min="131" max="131" width="11.08984375" customWidth="1"/>
    <col min="132" max="132" width="11" customWidth="1"/>
    <col min="133" max="133" width="11.36328125" customWidth="1"/>
    <col min="134" max="134" width="11" customWidth="1"/>
    <col min="135" max="135" width="11.08984375" customWidth="1"/>
    <col min="136" max="140" width="9" style="35" customWidth="1"/>
    <col min="141" max="141" width="9" customWidth="1"/>
    <col min="142" max="142" width="17.08984375" customWidth="1"/>
  </cols>
  <sheetData>
    <row r="1" spans="1:142" x14ac:dyDescent="0.25">
      <c r="A1" s="25" t="s">
        <v>0</v>
      </c>
      <c r="B1" s="25"/>
      <c r="C1" s="19"/>
      <c r="D1" s="19"/>
      <c r="E1" s="19"/>
      <c r="F1" s="20"/>
      <c r="G1" s="19"/>
      <c r="H1" s="21"/>
      <c r="I1" s="19"/>
      <c r="J1" s="19"/>
      <c r="K1" s="19"/>
      <c r="L1" s="21"/>
      <c r="M1" s="30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 t="s">
        <v>2</v>
      </c>
      <c r="AR1" s="30"/>
      <c r="AS1" s="30"/>
      <c r="AT1" s="30"/>
      <c r="AU1" s="30"/>
      <c r="AV1" s="30"/>
      <c r="AW1" s="19" t="s">
        <v>3</v>
      </c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 t="s">
        <v>4</v>
      </c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33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33" t="s">
        <v>5</v>
      </c>
      <c r="EG1" s="33"/>
      <c r="EH1" s="33"/>
      <c r="EI1" s="33"/>
      <c r="EJ1" s="33"/>
      <c r="EK1" s="19"/>
      <c r="EL1" s="19"/>
    </row>
    <row r="2" spans="1:142" s="29" customFormat="1" ht="40" hidden="1" customHeight="1" x14ac:dyDescent="0.25">
      <c r="A2" s="20" t="s">
        <v>6</v>
      </c>
      <c r="B2" s="20"/>
      <c r="C2" s="20"/>
      <c r="D2" s="20"/>
      <c r="E2" s="20"/>
      <c r="F2" s="20" t="s">
        <v>7</v>
      </c>
      <c r="G2" s="20"/>
      <c r="H2" s="22"/>
      <c r="I2" s="20"/>
      <c r="J2" s="20"/>
      <c r="K2" s="20"/>
      <c r="L2" s="22"/>
      <c r="M2" s="42" t="s">
        <v>8</v>
      </c>
      <c r="N2" s="42"/>
      <c r="O2" s="20" t="s">
        <v>9</v>
      </c>
      <c r="P2" s="20"/>
      <c r="Q2" s="20"/>
      <c r="R2" s="20"/>
      <c r="S2" s="42" t="s">
        <v>10</v>
      </c>
      <c r="T2" s="42"/>
      <c r="U2" s="20" t="s">
        <v>11</v>
      </c>
      <c r="V2" s="26" t="s">
        <v>12</v>
      </c>
      <c r="W2" s="20"/>
      <c r="X2" s="20"/>
      <c r="Y2" s="20" t="s">
        <v>13</v>
      </c>
      <c r="Z2" s="20"/>
      <c r="AA2" s="20"/>
      <c r="AB2" s="26"/>
      <c r="AC2" s="26"/>
      <c r="AD2" s="20"/>
      <c r="AE2" s="20" t="s">
        <v>14</v>
      </c>
      <c r="AF2" s="20"/>
      <c r="AG2" s="20"/>
      <c r="AH2" s="20"/>
      <c r="AI2" s="20"/>
      <c r="AJ2" s="20"/>
      <c r="AK2" s="20" t="s">
        <v>15</v>
      </c>
      <c r="AL2" s="20" t="s">
        <v>15</v>
      </c>
      <c r="AM2" s="20" t="s">
        <v>15</v>
      </c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 t="s">
        <v>16</v>
      </c>
      <c r="CF2" s="20"/>
      <c r="CG2" s="20"/>
      <c r="CH2" s="20"/>
      <c r="CI2" s="20"/>
      <c r="CJ2" s="20"/>
      <c r="CK2" s="20" t="s">
        <v>17</v>
      </c>
      <c r="CL2" s="20"/>
      <c r="CM2" s="20"/>
      <c r="CN2" s="20"/>
      <c r="CO2" s="20"/>
      <c r="CP2" s="20"/>
      <c r="CQ2" s="20"/>
      <c r="CR2" s="20"/>
      <c r="CS2" s="20"/>
      <c r="CT2" s="20" t="s">
        <v>18</v>
      </c>
      <c r="CU2" s="20"/>
      <c r="CV2" s="20"/>
      <c r="CW2" s="20"/>
      <c r="CX2" s="20"/>
      <c r="CY2" s="31"/>
      <c r="CZ2" s="20"/>
      <c r="DA2" s="20"/>
      <c r="DB2" s="20"/>
      <c r="DC2" s="20"/>
      <c r="DD2" s="20"/>
      <c r="DE2" s="20"/>
      <c r="DF2" s="31" t="s">
        <v>19</v>
      </c>
      <c r="DG2" s="20" t="s">
        <v>20</v>
      </c>
      <c r="DH2" s="20" t="s">
        <v>20</v>
      </c>
      <c r="DI2" s="20"/>
      <c r="DJ2" s="20"/>
      <c r="DK2" s="20"/>
      <c r="DL2" s="20" t="s">
        <v>21</v>
      </c>
      <c r="DM2" s="20" t="s">
        <v>21</v>
      </c>
      <c r="DN2" s="20"/>
      <c r="DO2" s="20"/>
      <c r="DP2" s="20"/>
      <c r="DQ2" s="20"/>
      <c r="DR2" s="20"/>
      <c r="DS2" s="20"/>
      <c r="DT2" s="20"/>
      <c r="DU2" s="20" t="s">
        <v>22</v>
      </c>
      <c r="DV2" s="20"/>
      <c r="DW2" s="20"/>
      <c r="DX2" s="20" t="s">
        <v>23</v>
      </c>
      <c r="DY2" s="20" t="s">
        <v>24</v>
      </c>
      <c r="DZ2" s="20"/>
      <c r="EA2" s="20"/>
      <c r="EB2" s="20"/>
      <c r="EC2" s="20"/>
      <c r="ED2" s="20"/>
      <c r="EE2" s="20" t="s">
        <v>25</v>
      </c>
      <c r="EF2" s="31" t="s">
        <v>24</v>
      </c>
      <c r="EG2" s="31"/>
      <c r="EH2" s="31" t="s">
        <v>24</v>
      </c>
      <c r="EI2" s="31" t="s">
        <v>26</v>
      </c>
      <c r="EJ2" s="31"/>
      <c r="EK2" s="20"/>
      <c r="EL2" s="20"/>
    </row>
    <row r="3" spans="1:142" hidden="1" x14ac:dyDescent="0.25">
      <c r="A3" s="19" t="s">
        <v>27</v>
      </c>
      <c r="B3" s="19" t="s">
        <v>28</v>
      </c>
      <c r="C3" s="19" t="s">
        <v>29</v>
      </c>
      <c r="D3" s="19"/>
      <c r="E3" s="19" t="s">
        <v>30</v>
      </c>
      <c r="F3" s="20"/>
      <c r="G3" s="19" t="s">
        <v>31</v>
      </c>
      <c r="H3" s="21" t="s">
        <v>32</v>
      </c>
      <c r="I3" s="19" t="s">
        <v>1</v>
      </c>
      <c r="J3" s="19" t="s">
        <v>33</v>
      </c>
      <c r="K3" s="19" t="s">
        <v>34</v>
      </c>
      <c r="L3" s="21" t="s">
        <v>35</v>
      </c>
      <c r="M3" s="19" t="s">
        <v>36</v>
      </c>
      <c r="N3" s="19" t="s">
        <v>37</v>
      </c>
      <c r="O3" s="19" t="s">
        <v>38</v>
      </c>
      <c r="P3" s="19" t="s">
        <v>39</v>
      </c>
      <c r="Q3" s="19" t="s">
        <v>40</v>
      </c>
      <c r="R3" s="19" t="s">
        <v>41</v>
      </c>
      <c r="S3" s="19" t="s">
        <v>42</v>
      </c>
      <c r="T3" s="19" t="s">
        <v>43</v>
      </c>
      <c r="U3" s="19" t="s">
        <v>44</v>
      </c>
      <c r="V3" s="19" t="s">
        <v>45</v>
      </c>
      <c r="W3" s="19" t="s">
        <v>46</v>
      </c>
      <c r="X3" s="19" t="s">
        <v>47</v>
      </c>
      <c r="Y3" s="19" t="s">
        <v>48</v>
      </c>
      <c r="Z3" s="19" t="s">
        <v>47</v>
      </c>
      <c r="AA3" s="19" t="s">
        <v>49</v>
      </c>
      <c r="AB3" s="19" t="s">
        <v>45</v>
      </c>
      <c r="AC3" s="19"/>
      <c r="AD3" s="19" t="s">
        <v>50</v>
      </c>
      <c r="AE3" s="19" t="s">
        <v>51</v>
      </c>
      <c r="AF3" s="19" t="s">
        <v>52</v>
      </c>
      <c r="AG3" s="19" t="s">
        <v>47</v>
      </c>
      <c r="AH3" s="19" t="s">
        <v>53</v>
      </c>
      <c r="AI3" s="19" t="s">
        <v>54</v>
      </c>
      <c r="AJ3" s="19" t="s">
        <v>55</v>
      </c>
      <c r="AK3" s="19" t="s">
        <v>45</v>
      </c>
      <c r="AL3" s="19" t="s">
        <v>56</v>
      </c>
      <c r="AM3" s="19" t="s">
        <v>57</v>
      </c>
      <c r="AN3" s="19" t="s">
        <v>58</v>
      </c>
      <c r="AO3" s="19" t="s">
        <v>59</v>
      </c>
      <c r="AP3" s="19" t="s">
        <v>60</v>
      </c>
      <c r="AQ3" s="19" t="s">
        <v>56</v>
      </c>
      <c r="AR3" s="19" t="s">
        <v>57</v>
      </c>
      <c r="AS3" s="19" t="s">
        <v>58</v>
      </c>
      <c r="AT3" s="19" t="s">
        <v>59</v>
      </c>
      <c r="AU3" s="19" t="s">
        <v>61</v>
      </c>
      <c r="AV3" s="19" t="s">
        <v>62</v>
      </c>
      <c r="AW3" s="19" t="s">
        <v>63</v>
      </c>
      <c r="AX3" s="19" t="s">
        <v>64</v>
      </c>
      <c r="AY3" s="19" t="s">
        <v>65</v>
      </c>
      <c r="AZ3" s="19" t="s">
        <v>66</v>
      </c>
      <c r="BA3" s="19" t="s">
        <v>67</v>
      </c>
      <c r="BB3" s="19" t="s">
        <v>68</v>
      </c>
      <c r="BC3" s="19" t="s">
        <v>69</v>
      </c>
      <c r="BD3" s="19" t="s">
        <v>70</v>
      </c>
      <c r="BE3" s="19" t="s">
        <v>71</v>
      </c>
      <c r="BF3" s="19" t="s">
        <v>72</v>
      </c>
      <c r="BG3" s="19" t="s">
        <v>73</v>
      </c>
      <c r="BH3" s="19" t="s">
        <v>74</v>
      </c>
      <c r="BI3" s="19" t="s">
        <v>75</v>
      </c>
      <c r="BJ3" s="19" t="s">
        <v>76</v>
      </c>
      <c r="BK3" s="19" t="s">
        <v>77</v>
      </c>
      <c r="BL3" s="19" t="s">
        <v>78</v>
      </c>
      <c r="BM3" s="19" t="s">
        <v>79</v>
      </c>
      <c r="BN3" s="19" t="s">
        <v>80</v>
      </c>
      <c r="BO3" s="19" t="s">
        <v>81</v>
      </c>
      <c r="BP3" s="19" t="s">
        <v>82</v>
      </c>
      <c r="BQ3" s="19" t="s">
        <v>83</v>
      </c>
      <c r="BR3" s="19" t="s">
        <v>84</v>
      </c>
      <c r="BS3" s="19" t="s">
        <v>85</v>
      </c>
      <c r="BT3" s="19" t="s">
        <v>86</v>
      </c>
      <c r="BU3" s="19" t="s">
        <v>87</v>
      </c>
      <c r="BV3" s="19" t="s">
        <v>61</v>
      </c>
      <c r="BW3" s="19" t="s">
        <v>88</v>
      </c>
      <c r="BX3" s="19" t="s">
        <v>89</v>
      </c>
      <c r="BY3" s="19" t="s">
        <v>90</v>
      </c>
      <c r="BZ3" s="19" t="s">
        <v>91</v>
      </c>
      <c r="CA3" s="19" t="s">
        <v>92</v>
      </c>
      <c r="CB3" s="19" t="s">
        <v>93</v>
      </c>
      <c r="CC3" s="19" t="s">
        <v>94</v>
      </c>
      <c r="CD3" s="19" t="s">
        <v>95</v>
      </c>
      <c r="CE3" s="19" t="s">
        <v>96</v>
      </c>
      <c r="CF3" s="19" t="s">
        <v>97</v>
      </c>
      <c r="CG3" s="19" t="s">
        <v>98</v>
      </c>
      <c r="CH3" s="19" t="s">
        <v>99</v>
      </c>
      <c r="CI3" s="19" t="s">
        <v>100</v>
      </c>
      <c r="CJ3" s="19" t="s">
        <v>101</v>
      </c>
      <c r="CK3" s="19" t="s">
        <v>102</v>
      </c>
      <c r="CL3" s="19" t="s">
        <v>103</v>
      </c>
      <c r="CM3" s="19" t="s">
        <v>104</v>
      </c>
      <c r="CN3" s="19" t="s">
        <v>105</v>
      </c>
      <c r="CO3" s="19" t="s">
        <v>106</v>
      </c>
      <c r="CP3" s="19" t="s">
        <v>107</v>
      </c>
      <c r="CQ3" s="19" t="s">
        <v>108</v>
      </c>
      <c r="CR3" s="19" t="s">
        <v>109</v>
      </c>
      <c r="CS3" s="19" t="s">
        <v>110</v>
      </c>
      <c r="CT3" s="19" t="s">
        <v>111</v>
      </c>
      <c r="CU3" s="19" t="s">
        <v>112</v>
      </c>
      <c r="CV3" s="19" t="s">
        <v>113</v>
      </c>
      <c r="CW3" s="19" t="s">
        <v>114</v>
      </c>
      <c r="CX3" s="19" t="s">
        <v>115</v>
      </c>
      <c r="CY3" s="33" t="s">
        <v>116</v>
      </c>
      <c r="CZ3" s="19" t="s">
        <v>117</v>
      </c>
      <c r="DA3" s="19" t="s">
        <v>118</v>
      </c>
      <c r="DB3" s="19" t="s">
        <v>119</v>
      </c>
      <c r="DC3" s="19" t="s">
        <v>120</v>
      </c>
      <c r="DD3" s="19" t="s">
        <v>121</v>
      </c>
      <c r="DE3" s="19" t="s">
        <v>122</v>
      </c>
      <c r="DF3" s="19" t="s">
        <v>123</v>
      </c>
      <c r="DG3" s="19" t="s">
        <v>124</v>
      </c>
      <c r="DH3" s="19" t="s">
        <v>125</v>
      </c>
      <c r="DI3" s="19" t="s">
        <v>126</v>
      </c>
      <c r="DJ3" s="19" t="s">
        <v>127</v>
      </c>
      <c r="DK3" s="19" t="s">
        <v>128</v>
      </c>
      <c r="DL3" s="19" t="s">
        <v>129</v>
      </c>
      <c r="DM3" s="19" t="s">
        <v>130</v>
      </c>
      <c r="DN3" s="19" t="s">
        <v>131</v>
      </c>
      <c r="DO3" s="19" t="s">
        <v>132</v>
      </c>
      <c r="DP3" s="19" t="s">
        <v>84</v>
      </c>
      <c r="DQ3" s="19" t="s">
        <v>75</v>
      </c>
      <c r="DR3" s="19" t="s">
        <v>96</v>
      </c>
      <c r="DS3" s="19" t="s">
        <v>78</v>
      </c>
      <c r="DT3" s="19" t="s">
        <v>133</v>
      </c>
      <c r="DU3" s="19" t="s">
        <v>134</v>
      </c>
      <c r="DV3" s="19" t="s">
        <v>135</v>
      </c>
      <c r="DW3" s="19" t="s">
        <v>136</v>
      </c>
      <c r="DX3" s="19" t="s">
        <v>82</v>
      </c>
      <c r="DY3" s="19" t="s">
        <v>137</v>
      </c>
      <c r="DZ3" s="19" t="s">
        <v>138</v>
      </c>
      <c r="EA3" s="19" t="s">
        <v>139</v>
      </c>
      <c r="EB3" s="19" t="s">
        <v>140</v>
      </c>
      <c r="EC3" s="19" t="s">
        <v>141</v>
      </c>
      <c r="ED3" s="19" t="s">
        <v>142</v>
      </c>
      <c r="EE3" s="19" t="s">
        <v>143</v>
      </c>
      <c r="EF3" s="33" t="s">
        <v>144</v>
      </c>
      <c r="EG3" s="33" t="s">
        <v>145</v>
      </c>
      <c r="EH3" s="33" t="s">
        <v>146</v>
      </c>
      <c r="EI3" s="33" t="s">
        <v>147</v>
      </c>
      <c r="EJ3" s="33" t="s">
        <v>87</v>
      </c>
      <c r="EK3" s="19" t="s">
        <v>62</v>
      </c>
      <c r="EL3" s="19" t="s">
        <v>148</v>
      </c>
    </row>
    <row r="4" spans="1:142" hidden="1" x14ac:dyDescent="0.25">
      <c r="A4" s="19" t="s">
        <v>149</v>
      </c>
      <c r="B4" s="19"/>
      <c r="C4" s="19"/>
      <c r="D4" s="19"/>
      <c r="E4" s="19" t="s">
        <v>150</v>
      </c>
      <c r="F4" s="20"/>
      <c r="G4" s="19"/>
      <c r="H4" s="21"/>
      <c r="I4" s="19">
        <f>SUM(M4:AV4)</f>
        <v>48</v>
      </c>
      <c r="J4" s="19">
        <f>SUM(AW4:EE4)</f>
        <v>82</v>
      </c>
      <c r="K4" s="19">
        <f>SUM(EF4:EM4)</f>
        <v>4</v>
      </c>
      <c r="L4" s="21">
        <f>SUM(M4:EM4)</f>
        <v>134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5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7</v>
      </c>
      <c r="AC4" s="19"/>
      <c r="AD4" s="19">
        <v>1</v>
      </c>
      <c r="AE4" s="19">
        <v>1</v>
      </c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7</v>
      </c>
      <c r="AL4" s="19">
        <v>1</v>
      </c>
      <c r="AM4" s="19">
        <v>1</v>
      </c>
      <c r="AN4" s="19">
        <v>1</v>
      </c>
      <c r="AO4" s="19">
        <v>1</v>
      </c>
      <c r="AP4" s="19"/>
      <c r="AQ4" s="19">
        <v>1</v>
      </c>
      <c r="AR4" s="19">
        <v>1</v>
      </c>
      <c r="AS4" s="19">
        <v>1</v>
      </c>
      <c r="AT4" s="19">
        <v>1</v>
      </c>
      <c r="AU4" s="19"/>
      <c r="AV4" s="19"/>
      <c r="AW4" s="19">
        <v>1</v>
      </c>
      <c r="AX4" s="19">
        <v>1</v>
      </c>
      <c r="AY4" s="19">
        <v>1</v>
      </c>
      <c r="AZ4" s="19">
        <v>1</v>
      </c>
      <c r="BA4" s="19">
        <v>1</v>
      </c>
      <c r="BB4" s="19">
        <v>1</v>
      </c>
      <c r="BC4" s="19">
        <v>1</v>
      </c>
      <c r="BD4" s="19">
        <v>1</v>
      </c>
      <c r="BE4" s="19">
        <v>1</v>
      </c>
      <c r="BF4" s="19">
        <v>1</v>
      </c>
      <c r="BG4" s="19">
        <v>1</v>
      </c>
      <c r="BH4" s="19">
        <v>1</v>
      </c>
      <c r="BI4" s="19">
        <v>1</v>
      </c>
      <c r="BJ4" s="19">
        <v>1</v>
      </c>
      <c r="BK4" s="19">
        <v>1</v>
      </c>
      <c r="BL4" s="19">
        <v>1</v>
      </c>
      <c r="BM4" s="19">
        <v>1</v>
      </c>
      <c r="BN4" s="19">
        <v>1</v>
      </c>
      <c r="BO4" s="19">
        <v>1</v>
      </c>
      <c r="BP4" s="19">
        <v>1</v>
      </c>
      <c r="BQ4" s="19">
        <v>1</v>
      </c>
      <c r="BR4" s="19">
        <v>1</v>
      </c>
      <c r="BS4" s="19">
        <v>1</v>
      </c>
      <c r="BT4" s="19"/>
      <c r="BU4" s="19"/>
      <c r="BV4" s="19"/>
      <c r="BW4" s="19">
        <v>1</v>
      </c>
      <c r="BX4" s="19">
        <v>1</v>
      </c>
      <c r="BY4" s="19">
        <v>1</v>
      </c>
      <c r="BZ4" s="19">
        <v>1</v>
      </c>
      <c r="CA4" s="19">
        <v>1</v>
      </c>
      <c r="CB4" s="19">
        <v>1</v>
      </c>
      <c r="CC4" s="19">
        <v>1</v>
      </c>
      <c r="CD4" s="19">
        <v>1</v>
      </c>
      <c r="CE4" s="19"/>
      <c r="CF4" s="19">
        <v>1</v>
      </c>
      <c r="CG4" s="19">
        <v>1</v>
      </c>
      <c r="CH4" s="19">
        <v>1</v>
      </c>
      <c r="CI4" s="19">
        <v>1</v>
      </c>
      <c r="CJ4" s="19">
        <v>1</v>
      </c>
      <c r="CK4" s="19">
        <v>1</v>
      </c>
      <c r="CL4" s="19">
        <v>1</v>
      </c>
      <c r="CM4" s="19">
        <v>1</v>
      </c>
      <c r="CN4" s="19">
        <v>1</v>
      </c>
      <c r="CO4" s="19">
        <v>1</v>
      </c>
      <c r="CP4" s="19">
        <v>1</v>
      </c>
      <c r="CQ4" s="19">
        <v>1</v>
      </c>
      <c r="CR4" s="19">
        <v>1</v>
      </c>
      <c r="CS4" s="19">
        <v>1</v>
      </c>
      <c r="CT4" s="19">
        <v>1</v>
      </c>
      <c r="CU4" s="19">
        <v>1</v>
      </c>
      <c r="CV4" s="19">
        <v>1</v>
      </c>
      <c r="CW4" s="19">
        <v>1</v>
      </c>
      <c r="CX4" s="19">
        <v>1</v>
      </c>
      <c r="CY4" s="33">
        <v>1</v>
      </c>
      <c r="CZ4" s="19">
        <v>1</v>
      </c>
      <c r="DA4" s="19">
        <v>1</v>
      </c>
      <c r="DB4" s="19">
        <v>1</v>
      </c>
      <c r="DC4" s="19">
        <v>1</v>
      </c>
      <c r="DD4" s="19">
        <v>1</v>
      </c>
      <c r="DE4" s="19">
        <v>1</v>
      </c>
      <c r="DF4" s="19">
        <v>1</v>
      </c>
      <c r="DG4" s="19">
        <v>1</v>
      </c>
      <c r="DH4" s="19">
        <v>1</v>
      </c>
      <c r="DI4" s="19">
        <v>1</v>
      </c>
      <c r="DJ4" s="19">
        <v>1</v>
      </c>
      <c r="DK4" s="19">
        <v>1</v>
      </c>
      <c r="DL4" s="19">
        <v>1</v>
      </c>
      <c r="DM4" s="19">
        <v>1</v>
      </c>
      <c r="DN4" s="19">
        <v>1</v>
      </c>
      <c r="DO4" s="19">
        <v>1</v>
      </c>
      <c r="DP4" s="19">
        <v>1</v>
      </c>
      <c r="DQ4" s="19">
        <v>1</v>
      </c>
      <c r="DR4" s="19"/>
      <c r="DS4" s="19">
        <v>1</v>
      </c>
      <c r="DT4" s="19">
        <v>1</v>
      </c>
      <c r="DU4" s="19">
        <v>1</v>
      </c>
      <c r="DV4" s="19">
        <v>1</v>
      </c>
      <c r="DW4" s="19">
        <v>1</v>
      </c>
      <c r="DX4" s="19">
        <v>1</v>
      </c>
      <c r="DY4" s="19">
        <v>1</v>
      </c>
      <c r="DZ4" s="19">
        <v>1</v>
      </c>
      <c r="EA4" s="19">
        <v>1</v>
      </c>
      <c r="EB4" s="19">
        <v>1</v>
      </c>
      <c r="EC4" s="19">
        <v>1</v>
      </c>
      <c r="ED4" s="19">
        <v>1</v>
      </c>
      <c r="EE4" s="19">
        <v>1</v>
      </c>
      <c r="EF4" s="33">
        <v>1</v>
      </c>
      <c r="EG4" s="33">
        <v>1</v>
      </c>
      <c r="EH4" s="33">
        <v>1</v>
      </c>
      <c r="EI4" s="33">
        <v>1</v>
      </c>
      <c r="EJ4" s="33"/>
      <c r="EK4" s="19"/>
      <c r="EL4" s="19"/>
    </row>
    <row r="5" spans="1:142" hidden="1" x14ac:dyDescent="0.25">
      <c r="A5" s="19" t="s">
        <v>151</v>
      </c>
      <c r="B5" s="19"/>
      <c r="C5" s="19"/>
      <c r="D5" s="19"/>
      <c r="E5" s="19" t="s">
        <v>150</v>
      </c>
      <c r="F5" s="20"/>
      <c r="G5" s="19"/>
      <c r="H5" s="21"/>
      <c r="I5" s="19">
        <f>SUM(M5:AV5)</f>
        <v>11</v>
      </c>
      <c r="J5" s="19">
        <f t="shared" ref="J5:J68" si="0">SUM(AW5:EE5)</f>
        <v>0</v>
      </c>
      <c r="K5" s="19">
        <f t="shared" ref="K5:K68" si="1">SUM(EF5:EM5)</f>
        <v>0</v>
      </c>
      <c r="L5" s="21">
        <f t="shared" ref="L5:L68" si="2">SUM(M5:EM5)</f>
        <v>11</v>
      </c>
      <c r="M5" s="19"/>
      <c r="N5" s="19"/>
      <c r="O5" s="19"/>
      <c r="P5" s="19"/>
      <c r="Q5" s="19"/>
      <c r="R5" s="19"/>
      <c r="S5" s="19"/>
      <c r="T5" s="19"/>
      <c r="U5" s="19"/>
      <c r="V5" s="19">
        <v>3</v>
      </c>
      <c r="W5" s="19"/>
      <c r="X5" s="19"/>
      <c r="Y5" s="19"/>
      <c r="Z5" s="19"/>
      <c r="AA5" s="19"/>
      <c r="AB5" s="19">
        <v>4</v>
      </c>
      <c r="AC5" s="19"/>
      <c r="AD5" s="19"/>
      <c r="AE5" s="19"/>
      <c r="AF5" s="19"/>
      <c r="AG5" s="19"/>
      <c r="AH5" s="19"/>
      <c r="AI5" s="19"/>
      <c r="AJ5" s="19"/>
      <c r="AK5" s="19">
        <v>4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33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33"/>
      <c r="EG5" s="33"/>
      <c r="EH5" s="33"/>
      <c r="EI5" s="33"/>
      <c r="EJ5" s="33"/>
      <c r="EK5" s="19"/>
      <c r="EL5" s="19"/>
    </row>
    <row r="6" spans="1:142" hidden="1" x14ac:dyDescent="0.25">
      <c r="A6" s="19" t="s">
        <v>152</v>
      </c>
      <c r="B6" s="19"/>
      <c r="C6" s="19"/>
      <c r="D6" s="19"/>
      <c r="E6" s="19" t="s">
        <v>153</v>
      </c>
      <c r="F6" s="20"/>
      <c r="G6" s="19"/>
      <c r="H6" s="21"/>
      <c r="I6" s="19">
        <f>SUM(M6:AV6)</f>
        <v>32</v>
      </c>
      <c r="J6" s="19">
        <f t="shared" si="0"/>
        <v>0</v>
      </c>
      <c r="K6" s="19">
        <f t="shared" si="1"/>
        <v>0</v>
      </c>
      <c r="L6" s="21">
        <f t="shared" si="2"/>
        <v>32</v>
      </c>
      <c r="M6" s="19"/>
      <c r="N6" s="19"/>
      <c r="O6" s="19"/>
      <c r="P6" s="19"/>
      <c r="Q6" s="19"/>
      <c r="R6" s="19"/>
      <c r="S6" s="19"/>
      <c r="T6" s="19"/>
      <c r="U6" s="19"/>
      <c r="V6" s="19">
        <v>6</v>
      </c>
      <c r="W6" s="19"/>
      <c r="X6" s="19"/>
      <c r="Y6" s="19"/>
      <c r="Z6" s="19"/>
      <c r="AA6" s="19"/>
      <c r="AB6" s="19">
        <v>8</v>
      </c>
      <c r="AC6" s="19">
        <v>10</v>
      </c>
      <c r="AD6" s="19"/>
      <c r="AE6" s="19"/>
      <c r="AF6" s="19"/>
      <c r="AG6" s="19"/>
      <c r="AH6" s="19"/>
      <c r="AI6" s="19"/>
      <c r="AJ6" s="19"/>
      <c r="AK6" s="19">
        <v>8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33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33"/>
      <c r="EG6" s="33"/>
      <c r="EH6" s="33"/>
      <c r="EI6" s="33"/>
      <c r="EJ6" s="33"/>
      <c r="EK6" s="19"/>
      <c r="EL6" s="19"/>
    </row>
    <row r="7" spans="1:142" hidden="1" x14ac:dyDescent="0.25">
      <c r="A7" s="19" t="s">
        <v>62</v>
      </c>
      <c r="B7" s="19"/>
      <c r="C7" s="19"/>
      <c r="D7" s="19"/>
      <c r="E7" s="19" t="s">
        <v>150</v>
      </c>
      <c r="F7" s="20"/>
      <c r="G7" s="19"/>
      <c r="H7" s="21"/>
      <c r="I7" s="19">
        <f>SUM(M7:AV7)</f>
        <v>97</v>
      </c>
      <c r="J7" s="19">
        <f t="shared" si="0"/>
        <v>0</v>
      </c>
      <c r="K7" s="19">
        <f t="shared" si="1"/>
        <v>173</v>
      </c>
      <c r="L7" s="21">
        <f t="shared" si="2"/>
        <v>270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f>75+22</f>
        <v>97</v>
      </c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33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33"/>
      <c r="EG7" s="33"/>
      <c r="EH7" s="33"/>
      <c r="EI7" s="33"/>
      <c r="EJ7" s="33"/>
      <c r="EK7" s="19">
        <f>74+99</f>
        <v>173</v>
      </c>
      <c r="EL7" s="19"/>
    </row>
    <row r="8" spans="1:142" hidden="1" x14ac:dyDescent="0.25">
      <c r="A8" s="19" t="s">
        <v>154</v>
      </c>
      <c r="B8" s="19"/>
      <c r="C8" s="19"/>
      <c r="D8" s="19"/>
      <c r="E8" s="19" t="s">
        <v>150</v>
      </c>
      <c r="F8" s="20"/>
      <c r="G8" s="19"/>
      <c r="H8" s="21"/>
      <c r="I8" s="19">
        <f>SUM(M8:AV8)</f>
        <v>0</v>
      </c>
      <c r="J8" s="19">
        <f t="shared" si="0"/>
        <v>5</v>
      </c>
      <c r="K8" s="19">
        <f t="shared" si="1"/>
        <v>0</v>
      </c>
      <c r="L8" s="21">
        <f t="shared" si="2"/>
        <v>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>
        <v>3</v>
      </c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33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>
        <v>2</v>
      </c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33"/>
      <c r="EG8" s="33"/>
      <c r="EH8" s="33"/>
      <c r="EI8" s="33"/>
      <c r="EJ8" s="33"/>
      <c r="EK8" s="19"/>
      <c r="EL8" s="19"/>
    </row>
    <row r="9" spans="1:142" hidden="1" x14ac:dyDescent="0.25">
      <c r="A9" s="19" t="s">
        <v>60</v>
      </c>
      <c r="B9" s="19"/>
      <c r="C9" s="19"/>
      <c r="D9" s="19"/>
      <c r="E9" s="19" t="s">
        <v>150</v>
      </c>
      <c r="F9" s="20"/>
      <c r="G9" s="19"/>
      <c r="H9" s="21"/>
      <c r="I9" s="19">
        <f t="shared" ref="I9:I69" si="3">SUM(M9:AV9)</f>
        <v>26</v>
      </c>
      <c r="J9" s="19">
        <f t="shared" si="0"/>
        <v>0</v>
      </c>
      <c r="K9" s="19">
        <f t="shared" si="1"/>
        <v>32</v>
      </c>
      <c r="L9" s="21">
        <f t="shared" si="2"/>
        <v>58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>
        <v>26</v>
      </c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33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33"/>
      <c r="EG9" s="33"/>
      <c r="EH9" s="33"/>
      <c r="EI9" s="33"/>
      <c r="EJ9" s="33">
        <v>32</v>
      </c>
      <c r="EK9" s="19"/>
      <c r="EL9" s="19"/>
    </row>
    <row r="10" spans="1:142" hidden="1" x14ac:dyDescent="0.25">
      <c r="A10" s="19" t="s">
        <v>155</v>
      </c>
      <c r="B10" s="19"/>
      <c r="C10" s="19"/>
      <c r="D10" s="19"/>
      <c r="E10" s="19" t="s">
        <v>150</v>
      </c>
      <c r="F10" s="20"/>
      <c r="G10" s="19"/>
      <c r="H10" s="21"/>
      <c r="I10" s="19">
        <f t="shared" si="3"/>
        <v>0</v>
      </c>
      <c r="J10" s="19">
        <f t="shared" si="0"/>
        <v>10</v>
      </c>
      <c r="K10" s="19">
        <f t="shared" si="1"/>
        <v>1</v>
      </c>
      <c r="L10" s="21">
        <f t="shared" si="2"/>
        <v>11</v>
      </c>
      <c r="M10" s="19"/>
      <c r="N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>
        <v>10</v>
      </c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33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33"/>
      <c r="EG10" s="33"/>
      <c r="EH10" s="33"/>
      <c r="EI10" s="33"/>
      <c r="EJ10" s="33">
        <v>1</v>
      </c>
      <c r="EK10" s="19"/>
      <c r="EL10" s="19"/>
    </row>
    <row r="11" spans="1:142" hidden="1" x14ac:dyDescent="0.25">
      <c r="A11" s="19" t="s">
        <v>61</v>
      </c>
      <c r="B11" s="19"/>
      <c r="C11" s="19"/>
      <c r="D11" s="19"/>
      <c r="E11" s="19" t="s">
        <v>150</v>
      </c>
      <c r="F11" s="20"/>
      <c r="G11" s="19"/>
      <c r="H11" s="21"/>
      <c r="I11" s="19">
        <f t="shared" si="3"/>
        <v>1</v>
      </c>
      <c r="J11" s="19">
        <f t="shared" si="0"/>
        <v>1</v>
      </c>
      <c r="K11" s="19">
        <f t="shared" si="1"/>
        <v>0</v>
      </c>
      <c r="L11" s="21">
        <f t="shared" si="2"/>
        <v>2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>
        <v>1</v>
      </c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>
        <v>1</v>
      </c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33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33"/>
      <c r="EG11" s="33"/>
      <c r="EH11" s="33"/>
      <c r="EI11" s="33"/>
      <c r="EJ11" s="33"/>
      <c r="EK11" s="19"/>
      <c r="EL11" s="19"/>
    </row>
    <row r="12" spans="1:142" hidden="1" x14ac:dyDescent="0.25">
      <c r="A12" s="19" t="s">
        <v>156</v>
      </c>
      <c r="B12" s="19" t="s">
        <v>157</v>
      </c>
      <c r="C12" s="19">
        <v>800</v>
      </c>
      <c r="D12" s="19">
        <v>320</v>
      </c>
      <c r="E12" s="19" t="s">
        <v>158</v>
      </c>
      <c r="F12" s="20"/>
      <c r="G12" s="19">
        <f>(C12/1000+D12/1000)*2</f>
        <v>2.2400000000000002</v>
      </c>
      <c r="H12" s="21">
        <f>G12*L12</f>
        <v>37.255680000000005</v>
      </c>
      <c r="I12" s="19">
        <f t="shared" si="3"/>
        <v>16.632000000000001</v>
      </c>
      <c r="J12" s="19">
        <f t="shared" si="0"/>
        <v>0</v>
      </c>
      <c r="K12" s="19">
        <f t="shared" si="1"/>
        <v>0</v>
      </c>
      <c r="L12" s="21">
        <f t="shared" si="2"/>
        <v>16.632000000000001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>
        <f>6.607+0.8</f>
        <v>7.407</v>
      </c>
      <c r="AC12" s="19"/>
      <c r="AD12" s="19"/>
      <c r="AE12" s="19"/>
      <c r="AF12" s="19"/>
      <c r="AG12" s="19"/>
      <c r="AH12" s="19"/>
      <c r="AI12" s="19"/>
      <c r="AJ12" s="19"/>
      <c r="AK12" s="19">
        <f>9.425-0.2</f>
        <v>9.2250000000000014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33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33"/>
      <c r="EG12" s="33"/>
      <c r="EH12" s="33"/>
      <c r="EI12" s="33"/>
      <c r="EJ12" s="33"/>
      <c r="EK12" s="19"/>
      <c r="EL12" s="19"/>
    </row>
    <row r="13" spans="1:142" hidden="1" x14ac:dyDescent="0.25">
      <c r="A13" s="19" t="s">
        <v>156</v>
      </c>
      <c r="B13" s="19" t="s">
        <v>157</v>
      </c>
      <c r="C13" s="19">
        <v>630</v>
      </c>
      <c r="D13" s="19">
        <v>320</v>
      </c>
      <c r="E13" s="19" t="s">
        <v>158</v>
      </c>
      <c r="F13" s="20"/>
      <c r="G13" s="19">
        <f t="shared" ref="G13:G76" si="4">(C13/1000+D13/1000)*2</f>
        <v>1.9</v>
      </c>
      <c r="H13" s="21">
        <f t="shared" ref="H13:H76" si="5">G13*L13</f>
        <v>10.3208</v>
      </c>
      <c r="I13" s="19">
        <f t="shared" si="3"/>
        <v>5.4320000000000004</v>
      </c>
      <c r="J13" s="19">
        <f t="shared" si="0"/>
        <v>0</v>
      </c>
      <c r="K13" s="19">
        <f t="shared" si="1"/>
        <v>0</v>
      </c>
      <c r="L13" s="21">
        <f t="shared" si="2"/>
        <v>5.4320000000000004</v>
      </c>
      <c r="M13" s="19"/>
      <c r="N13" s="19"/>
      <c r="O13" s="19"/>
      <c r="P13" s="19"/>
      <c r="Q13" s="19"/>
      <c r="R13" s="19"/>
      <c r="S13" s="19"/>
      <c r="T13" s="19"/>
      <c r="U13" s="19"/>
      <c r="V13" s="19">
        <f>5.432</f>
        <v>5.4320000000000004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33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33"/>
      <c r="EG13" s="33"/>
      <c r="EH13" s="33"/>
      <c r="EI13" s="33"/>
      <c r="EJ13" s="33"/>
      <c r="EK13" s="19"/>
      <c r="EL13" s="19"/>
    </row>
    <row r="14" spans="1:142" hidden="1" x14ac:dyDescent="0.25">
      <c r="A14" s="19" t="s">
        <v>156</v>
      </c>
      <c r="B14" s="19" t="s">
        <v>157</v>
      </c>
      <c r="C14" s="24" t="s">
        <v>159</v>
      </c>
      <c r="D14" s="19">
        <v>600</v>
      </c>
      <c r="E14" s="19" t="s">
        <v>158</v>
      </c>
      <c r="F14" s="20"/>
      <c r="G14" s="19">
        <f t="shared" ref="G14:G20" si="6">3.14*D14/1000</f>
        <v>1.8839999999999999</v>
      </c>
      <c r="H14" s="21">
        <f t="shared" si="5"/>
        <v>56.401308000000007</v>
      </c>
      <c r="I14" s="19">
        <f t="shared" si="3"/>
        <v>29.937000000000005</v>
      </c>
      <c r="J14" s="19">
        <f t="shared" si="0"/>
        <v>0</v>
      </c>
      <c r="K14" s="19">
        <f t="shared" si="1"/>
        <v>0</v>
      </c>
      <c r="L14" s="21">
        <f t="shared" si="2"/>
        <v>29.937000000000005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>
        <f>1.813+4.45+3.761-0.4+1.45+0.9+0.3</f>
        <v>12.274000000000001</v>
      </c>
      <c r="AC14" s="19"/>
      <c r="AD14" s="19"/>
      <c r="AE14" s="19"/>
      <c r="AF14" s="19"/>
      <c r="AG14" s="19"/>
      <c r="AH14" s="19"/>
      <c r="AI14" s="19"/>
      <c r="AJ14" s="19"/>
      <c r="AK14" s="19">
        <f>5.327+5.35+0.9+0.3+4.761-0.4+1.425</f>
        <v>17.663000000000004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33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33"/>
      <c r="EG14" s="33"/>
      <c r="EH14" s="33"/>
      <c r="EI14" s="33"/>
      <c r="EJ14" s="33"/>
      <c r="EK14" s="19"/>
      <c r="EL14" s="19"/>
    </row>
    <row r="15" spans="1:142" hidden="1" x14ac:dyDescent="0.25">
      <c r="A15" s="19" t="s">
        <v>156</v>
      </c>
      <c r="B15" s="19" t="s">
        <v>157</v>
      </c>
      <c r="C15" s="24" t="s">
        <v>159</v>
      </c>
      <c r="D15" s="19">
        <v>500</v>
      </c>
      <c r="E15" s="19" t="s">
        <v>158</v>
      </c>
      <c r="F15" s="20"/>
      <c r="G15" s="19">
        <f t="shared" si="6"/>
        <v>1.57</v>
      </c>
      <c r="H15" s="21">
        <f t="shared" si="5"/>
        <v>56.105520000000006</v>
      </c>
      <c r="I15" s="19">
        <f t="shared" si="3"/>
        <v>35.736000000000004</v>
      </c>
      <c r="J15" s="19">
        <f t="shared" si="0"/>
        <v>0</v>
      </c>
      <c r="K15" s="19">
        <f t="shared" si="1"/>
        <v>0</v>
      </c>
      <c r="L15" s="21">
        <f t="shared" si="2"/>
        <v>35.736000000000004</v>
      </c>
      <c r="M15" s="19"/>
      <c r="N15" s="19"/>
      <c r="O15" s="19"/>
      <c r="P15" s="19"/>
      <c r="Q15" s="19"/>
      <c r="R15" s="19"/>
      <c r="S15" s="19"/>
      <c r="T15" s="19"/>
      <c r="U15" s="19"/>
      <c r="V15" s="19">
        <f>1.61+3.3+3.661-0.4+1.699+(0.9+0.25)</f>
        <v>11.02</v>
      </c>
      <c r="W15" s="19"/>
      <c r="X15" s="19"/>
      <c r="Y15" s="19"/>
      <c r="Z15" s="19"/>
      <c r="AA15" s="19"/>
      <c r="AB15" s="19">
        <f>5.719+1.288+3.94+1.285+1.285+0.7+3.45+0.6-0.4</f>
        <v>17.867000000000004</v>
      </c>
      <c r="AC15" s="19"/>
      <c r="AD15" s="19"/>
      <c r="AE15" s="19"/>
      <c r="AF15" s="19"/>
      <c r="AG15" s="19"/>
      <c r="AH15" s="19"/>
      <c r="AI15" s="19"/>
      <c r="AJ15" s="19"/>
      <c r="AK15" s="19">
        <f>1.139+1.285-0.2+0.575+4.45-0.4</f>
        <v>6.8489999999999993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33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33"/>
      <c r="EG15" s="33"/>
      <c r="EH15" s="33"/>
      <c r="EI15" s="33"/>
      <c r="EJ15" s="33"/>
      <c r="EK15" s="19"/>
      <c r="EL15" s="19"/>
    </row>
    <row r="16" spans="1:142" hidden="1" x14ac:dyDescent="0.25">
      <c r="A16" s="19" t="s">
        <v>156</v>
      </c>
      <c r="B16" s="19" t="s">
        <v>157</v>
      </c>
      <c r="C16" s="24" t="s">
        <v>159</v>
      </c>
      <c r="D16" s="19">
        <v>400</v>
      </c>
      <c r="E16" s="19" t="s">
        <v>158</v>
      </c>
      <c r="F16" s="20"/>
      <c r="G16" s="19">
        <f t="shared" si="6"/>
        <v>1.256</v>
      </c>
      <c r="H16" s="21">
        <f t="shared" si="5"/>
        <v>68.429392000000007</v>
      </c>
      <c r="I16" s="19">
        <f t="shared" si="3"/>
        <v>54.482000000000006</v>
      </c>
      <c r="J16" s="19">
        <f t="shared" si="0"/>
        <v>0</v>
      </c>
      <c r="K16" s="19">
        <f t="shared" si="1"/>
        <v>0</v>
      </c>
      <c r="L16" s="21">
        <f t="shared" si="2"/>
        <v>54.482000000000006</v>
      </c>
      <c r="M16" s="19"/>
      <c r="N16" s="19"/>
      <c r="O16" s="19"/>
      <c r="P16" s="19"/>
      <c r="Q16" s="19"/>
      <c r="R16" s="19"/>
      <c r="S16" s="19"/>
      <c r="T16" s="19"/>
      <c r="U16" s="19"/>
      <c r="V16" s="25">
        <f>4.208+1.588+3.939-0.2+1.285+1.285+0.7+3.45+0.6-0.4+2.457+2.424+0.3+0.3+0.32+0.32</f>
        <v>22.576000000000004</v>
      </c>
      <c r="W16" s="19"/>
      <c r="X16" s="19"/>
      <c r="Y16" s="19"/>
      <c r="Z16" s="19"/>
      <c r="AA16" s="19"/>
      <c r="AB16" s="19">
        <f>(2.457+2.424+0.32*2+0.3*2)*2</f>
        <v>12.241999999999999</v>
      </c>
      <c r="AC16" s="19"/>
      <c r="AD16" s="19"/>
      <c r="AE16" s="19"/>
      <c r="AF16" s="19"/>
      <c r="AG16" s="19"/>
      <c r="AH16" s="19"/>
      <c r="AI16" s="19"/>
      <c r="AJ16" s="19"/>
      <c r="AK16" s="19">
        <f>4.494+(1.71-0.2+2.421+0.32*4+2.374)*2</f>
        <v>19.664000000000001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33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33"/>
      <c r="EG16" s="33"/>
      <c r="EH16" s="33"/>
      <c r="EI16" s="33"/>
      <c r="EJ16" s="33"/>
      <c r="EK16" s="19"/>
      <c r="EL16" s="19"/>
    </row>
    <row r="17" spans="1:142" hidden="1" x14ac:dyDescent="0.25">
      <c r="A17" s="19" t="s">
        <v>156</v>
      </c>
      <c r="B17" s="19" t="s">
        <v>157</v>
      </c>
      <c r="C17" s="24" t="s">
        <v>159</v>
      </c>
      <c r="D17" s="19">
        <v>320</v>
      </c>
      <c r="E17" s="19" t="s">
        <v>158</v>
      </c>
      <c r="F17" s="20"/>
      <c r="G17" s="19">
        <f t="shared" si="6"/>
        <v>1.0048000000000001</v>
      </c>
      <c r="H17" s="21">
        <f t="shared" si="5"/>
        <v>4.7326080000000008</v>
      </c>
      <c r="I17" s="19">
        <f t="shared" si="3"/>
        <v>4.71</v>
      </c>
      <c r="J17" s="19">
        <f t="shared" si="0"/>
        <v>0</v>
      </c>
      <c r="K17" s="19">
        <f t="shared" si="1"/>
        <v>0</v>
      </c>
      <c r="L17" s="21">
        <f t="shared" si="2"/>
        <v>4.71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>
        <f>1.637*2+1.436</f>
        <v>4.71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33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33"/>
      <c r="EG17" s="33"/>
      <c r="EH17" s="33"/>
      <c r="EI17" s="33"/>
      <c r="EJ17" s="33"/>
      <c r="EK17" s="19"/>
      <c r="EL17" s="19"/>
    </row>
    <row r="18" spans="1:142" hidden="1" x14ac:dyDescent="0.25">
      <c r="A18" s="19" t="s">
        <v>156</v>
      </c>
      <c r="B18" s="19" t="s">
        <v>157</v>
      </c>
      <c r="C18" s="24" t="s">
        <v>159</v>
      </c>
      <c r="D18" s="19">
        <v>300</v>
      </c>
      <c r="E18" s="19" t="s">
        <v>158</v>
      </c>
      <c r="F18" s="20"/>
      <c r="G18" s="19">
        <f t="shared" si="6"/>
        <v>0.94199999999999995</v>
      </c>
      <c r="H18" s="21">
        <f t="shared" si="5"/>
        <v>4.7768819999999996</v>
      </c>
      <c r="I18" s="19">
        <f t="shared" si="3"/>
        <v>5.0709999999999997</v>
      </c>
      <c r="J18" s="19">
        <f t="shared" si="0"/>
        <v>0</v>
      </c>
      <c r="K18" s="19">
        <f t="shared" si="1"/>
        <v>0</v>
      </c>
      <c r="L18" s="21">
        <f t="shared" si="2"/>
        <v>5.0709999999999997</v>
      </c>
      <c r="M18" s="19"/>
      <c r="N18" s="19"/>
      <c r="O18" s="19"/>
      <c r="P18" s="19"/>
      <c r="Q18" s="19"/>
      <c r="R18" s="19"/>
      <c r="S18" s="19"/>
      <c r="T18" s="19"/>
      <c r="U18" s="19"/>
      <c r="V18" s="19">
        <f>2.457+0.324+0.29+2</f>
        <v>5.0709999999999997</v>
      </c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33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33"/>
      <c r="EG18" s="33"/>
      <c r="EH18" s="33"/>
      <c r="EI18" s="33"/>
      <c r="EJ18" s="33"/>
      <c r="EK18" s="19"/>
      <c r="EL18" s="19"/>
    </row>
    <row r="19" spans="1:142" hidden="1" x14ac:dyDescent="0.25">
      <c r="A19" s="19" t="s">
        <v>156</v>
      </c>
      <c r="B19" s="19" t="s">
        <v>157</v>
      </c>
      <c r="C19" s="24" t="s">
        <v>159</v>
      </c>
      <c r="D19" s="19">
        <v>250</v>
      </c>
      <c r="E19" s="19" t="s">
        <v>158</v>
      </c>
      <c r="F19" s="20"/>
      <c r="G19" s="19">
        <f t="shared" si="6"/>
        <v>0.78500000000000003</v>
      </c>
      <c r="H19" s="21">
        <f t="shared" si="5"/>
        <v>11.101470000000001</v>
      </c>
      <c r="I19" s="19">
        <f t="shared" si="3"/>
        <v>14.142000000000001</v>
      </c>
      <c r="J19" s="19">
        <f t="shared" si="0"/>
        <v>0</v>
      </c>
      <c r="K19" s="19">
        <f t="shared" si="1"/>
        <v>0</v>
      </c>
      <c r="L19" s="21">
        <f t="shared" si="2"/>
        <v>14.142000000000001</v>
      </c>
      <c r="M19" s="19"/>
      <c r="N19" s="19"/>
      <c r="O19" s="19"/>
      <c r="P19" s="19"/>
      <c r="Q19" s="19"/>
      <c r="R19" s="19"/>
      <c r="S19" s="19"/>
      <c r="T19" s="19"/>
      <c r="U19" s="19"/>
      <c r="V19" s="19">
        <f>1.022*2+1.36*3</f>
        <v>6.1240000000000006</v>
      </c>
      <c r="W19" s="19"/>
      <c r="X19" s="19"/>
      <c r="Y19" s="19"/>
      <c r="Z19" s="19"/>
      <c r="AA19" s="19"/>
      <c r="AB19" s="19">
        <f>(1.07*3+1.202*4)</f>
        <v>8.0180000000000007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33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33"/>
      <c r="EG19" s="33"/>
      <c r="EH19" s="33"/>
      <c r="EI19" s="33"/>
      <c r="EJ19" s="33"/>
      <c r="EK19" s="19"/>
      <c r="EL19" s="19"/>
    </row>
    <row r="20" spans="1:142" hidden="1" x14ac:dyDescent="0.25">
      <c r="A20" s="19" t="s">
        <v>156</v>
      </c>
      <c r="B20" s="19" t="s">
        <v>157</v>
      </c>
      <c r="C20" s="24" t="s">
        <v>159</v>
      </c>
      <c r="D20" s="19">
        <v>200</v>
      </c>
      <c r="E20" s="19" t="s">
        <v>158</v>
      </c>
      <c r="F20" s="20"/>
      <c r="G20" s="19">
        <f t="shared" si="6"/>
        <v>0.628</v>
      </c>
      <c r="H20" s="21">
        <f t="shared" si="5"/>
        <v>24.04926</v>
      </c>
      <c r="I20" s="19">
        <f t="shared" si="3"/>
        <v>38.295000000000002</v>
      </c>
      <c r="J20" s="19">
        <f t="shared" si="0"/>
        <v>0</v>
      </c>
      <c r="K20" s="19">
        <f t="shared" si="1"/>
        <v>0</v>
      </c>
      <c r="L20" s="21">
        <f t="shared" si="2"/>
        <v>38.295000000000002</v>
      </c>
      <c r="M20" s="19"/>
      <c r="N20" s="19"/>
      <c r="O20" s="19"/>
      <c r="P20" s="19"/>
      <c r="Q20" s="19"/>
      <c r="R20" s="19"/>
      <c r="S20" s="19"/>
      <c r="T20" s="19"/>
      <c r="U20" s="19"/>
      <c r="V20" s="19">
        <f>(1.85+2.59-1.05+1.05-0.355)*3</f>
        <v>12.254999999999997</v>
      </c>
      <c r="W20" s="19"/>
      <c r="X20" s="19"/>
      <c r="Y20" s="19"/>
      <c r="Z20" s="19"/>
      <c r="AA20" s="19"/>
      <c r="AB20" s="19">
        <f>(2.75-0.16+1.65-1.05-1.05-0.355)*7</f>
        <v>12.495000000000005</v>
      </c>
      <c r="AC20" s="19"/>
      <c r="AD20" s="19"/>
      <c r="AE20" s="19"/>
      <c r="AF20" s="19"/>
      <c r="AG20" s="19"/>
      <c r="AH20" s="19"/>
      <c r="AI20" s="19"/>
      <c r="AJ20" s="19"/>
      <c r="AK20" s="19">
        <f>(1.8+2.75-0.16-1.05-1.05-0.355)*7</f>
        <v>13.545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33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33"/>
      <c r="EG20" s="33"/>
      <c r="EH20" s="33"/>
      <c r="EI20" s="33"/>
      <c r="EJ20" s="33"/>
      <c r="EK20" s="19"/>
      <c r="EL20" s="19"/>
    </row>
    <row r="21" spans="1:142" hidden="1" x14ac:dyDescent="0.25">
      <c r="A21" s="19" t="s">
        <v>160</v>
      </c>
      <c r="B21" s="19"/>
      <c r="C21" s="24">
        <v>3300</v>
      </c>
      <c r="D21" s="19">
        <v>700</v>
      </c>
      <c r="E21" s="19" t="s">
        <v>158</v>
      </c>
      <c r="F21" s="20"/>
      <c r="G21" s="19">
        <f t="shared" si="4"/>
        <v>8</v>
      </c>
      <c r="H21" s="21">
        <f t="shared" si="5"/>
        <v>69.2</v>
      </c>
      <c r="I21" s="19">
        <f t="shared" si="3"/>
        <v>0</v>
      </c>
      <c r="J21" s="19">
        <f t="shared" si="0"/>
        <v>0</v>
      </c>
      <c r="K21" s="19">
        <f t="shared" si="1"/>
        <v>8.65</v>
      </c>
      <c r="L21" s="21">
        <f t="shared" si="2"/>
        <v>8.65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33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33"/>
      <c r="EG21" s="33"/>
      <c r="EH21" s="33">
        <f>8.65</f>
        <v>8.65</v>
      </c>
      <c r="EI21" s="33"/>
      <c r="EJ21" s="33"/>
      <c r="EK21" s="19"/>
      <c r="EL21" s="19"/>
    </row>
    <row r="22" spans="1:142" hidden="1" x14ac:dyDescent="0.25">
      <c r="A22" s="25" t="s">
        <v>160</v>
      </c>
      <c r="B22" s="25"/>
      <c r="C22" s="27">
        <v>2250</v>
      </c>
      <c r="D22" s="25">
        <v>650</v>
      </c>
      <c r="E22" s="25" t="s">
        <v>158</v>
      </c>
      <c r="F22" s="26"/>
      <c r="G22" s="19">
        <f t="shared" si="4"/>
        <v>5.8</v>
      </c>
      <c r="H22" s="21">
        <f t="shared" si="5"/>
        <v>43.5</v>
      </c>
      <c r="I22" s="19">
        <f t="shared" si="3"/>
        <v>0</v>
      </c>
      <c r="J22" s="19">
        <f t="shared" si="0"/>
        <v>7.5</v>
      </c>
      <c r="K22" s="19">
        <f t="shared" si="1"/>
        <v>0</v>
      </c>
      <c r="L22" s="21">
        <f t="shared" si="2"/>
        <v>7.5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33"/>
      <c r="CZ22" s="19"/>
      <c r="DA22" s="19"/>
      <c r="DB22" s="19"/>
      <c r="DC22" s="19"/>
      <c r="DD22" s="19"/>
      <c r="DE22" s="19"/>
      <c r="DF22" s="19"/>
      <c r="DG22" s="19"/>
      <c r="DH22" s="19">
        <f>(6.25-3.45+0.2+4.5)</f>
        <v>7.5</v>
      </c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33"/>
      <c r="EG22" s="33"/>
      <c r="EH22" s="33"/>
      <c r="EI22" s="33"/>
      <c r="EJ22" s="33"/>
      <c r="EK22" s="19"/>
      <c r="EL22" s="19"/>
    </row>
    <row r="23" spans="1:142" hidden="1" x14ac:dyDescent="0.25">
      <c r="A23" s="25" t="s">
        <v>160</v>
      </c>
      <c r="B23" s="25"/>
      <c r="C23" s="27">
        <v>2200</v>
      </c>
      <c r="D23" s="25">
        <v>650</v>
      </c>
      <c r="E23" s="25" t="s">
        <v>158</v>
      </c>
      <c r="F23" s="26"/>
      <c r="G23" s="19">
        <f t="shared" si="4"/>
        <v>5.7</v>
      </c>
      <c r="H23" s="21">
        <f t="shared" si="5"/>
        <v>42.75</v>
      </c>
      <c r="I23" s="19">
        <f t="shared" si="3"/>
        <v>0</v>
      </c>
      <c r="J23" s="19">
        <f t="shared" si="0"/>
        <v>7.5</v>
      </c>
      <c r="K23" s="19">
        <f t="shared" si="1"/>
        <v>0</v>
      </c>
      <c r="L23" s="21">
        <f t="shared" si="2"/>
        <v>7.5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33"/>
      <c r="CZ23" s="19"/>
      <c r="DA23" s="19"/>
      <c r="DB23" s="19"/>
      <c r="DC23" s="19"/>
      <c r="DD23" s="19"/>
      <c r="DE23" s="19"/>
      <c r="DF23" s="19"/>
      <c r="DG23" s="19">
        <f>(6.25-3.45+0.2+4.5)</f>
        <v>7.5</v>
      </c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33"/>
      <c r="EG23" s="33"/>
      <c r="EH23" s="33"/>
      <c r="EI23" s="33"/>
      <c r="EJ23" s="33"/>
      <c r="EK23" s="19"/>
      <c r="EL23" s="19"/>
    </row>
    <row r="24" spans="1:142" hidden="1" x14ac:dyDescent="0.25">
      <c r="A24" s="19" t="s">
        <v>160</v>
      </c>
      <c r="B24" s="19" t="s">
        <v>161</v>
      </c>
      <c r="C24" s="24">
        <v>1600</v>
      </c>
      <c r="D24" s="19">
        <v>500</v>
      </c>
      <c r="E24" s="19" t="s">
        <v>158</v>
      </c>
      <c r="F24" s="20"/>
      <c r="G24" s="19">
        <f t="shared" si="4"/>
        <v>4.2</v>
      </c>
      <c r="H24" s="21">
        <f t="shared" si="5"/>
        <v>3026.1504</v>
      </c>
      <c r="I24" s="19">
        <f t="shared" si="3"/>
        <v>203.38799999999998</v>
      </c>
      <c r="J24" s="19">
        <f t="shared" si="0"/>
        <v>517.12399999999991</v>
      </c>
      <c r="K24" s="19">
        <f t="shared" si="1"/>
        <v>0</v>
      </c>
      <c r="L24" s="21">
        <f t="shared" si="2"/>
        <v>720.51199999999994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>
        <f>2.016-0.2+7.143+10.6</f>
        <v>19.558999999999997</v>
      </c>
      <c r="X24" s="19"/>
      <c r="Y24" s="19">
        <f>5.25-0.2+13.886</f>
        <v>18.936</v>
      </c>
      <c r="Z24" s="19"/>
      <c r="AA24" s="19"/>
      <c r="AB24" s="19"/>
      <c r="AC24" s="19"/>
      <c r="AD24" s="19"/>
      <c r="AE24" s="19"/>
      <c r="AF24" s="19">
        <f>1.284-0.2+1.615-0.2+0.819+3.773-0.2+7.122-0.2</f>
        <v>13.812999999999999</v>
      </c>
      <c r="AG24" s="19"/>
      <c r="AH24" s="19"/>
      <c r="AI24" s="19"/>
      <c r="AJ24" s="19"/>
      <c r="AK24" s="19"/>
      <c r="AL24" s="19"/>
      <c r="AM24" s="19"/>
      <c r="AN24" s="19">
        <f>1.286-0.2+7.992+30.869-0.2+6.399-0.2</f>
        <v>45.945999999999998</v>
      </c>
      <c r="AO24" s="19">
        <f>1.959-0.2+7.779+5.5-0.2+18.06</f>
        <v>32.897999999999996</v>
      </c>
      <c r="AP24" s="19"/>
      <c r="AQ24" s="19"/>
      <c r="AR24" s="19"/>
      <c r="AS24" s="19">
        <f>10.95-0.4+14.1+6.583-0.2</f>
        <v>31.032999999999998</v>
      </c>
      <c r="AT24" s="19">
        <f>0.32+2-0.2+19.9-0.2+6.183-0.2+13.4</f>
        <v>41.203000000000003</v>
      </c>
      <c r="AU24" s="19"/>
      <c r="AV24" s="19"/>
      <c r="AW24" s="19"/>
      <c r="AX24" s="19"/>
      <c r="AY24" s="19">
        <f>11.159-0.4+6.586-0.2+14.1+14.764</f>
        <v>46.009</v>
      </c>
      <c r="AZ24" s="19">
        <f>0.52+1.86-0.2+17.401+6.183-0.2+3.725</f>
        <v>29.289000000000001</v>
      </c>
      <c r="BA24" s="19"/>
      <c r="BB24" s="19"/>
      <c r="BC24" s="19"/>
      <c r="BD24" s="19"/>
      <c r="BE24" s="19">
        <f>1.585-0.2+2.065+7.181-0.2</f>
        <v>10.431000000000001</v>
      </c>
      <c r="BF24" s="19">
        <f>1.585-0.2+5.515+6.2+5.896-0.2</f>
        <v>18.795999999999999</v>
      </c>
      <c r="BG24" s="19">
        <f>2.364+3.085-0.2+10.775-0.4+6.2+13.3</f>
        <v>35.124000000000002</v>
      </c>
      <c r="BH24" s="19">
        <f>2.55-0.2+6.231-0.2+14.6-0.2+11.052</f>
        <v>33.832999999999998</v>
      </c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>
        <f>33.544-0.998-0.2+11.098+5.68-0.2</f>
        <v>48.923999999999992</v>
      </c>
      <c r="CN24" s="19">
        <f>0.72+6.712-0.2+53.667+(3.45-2.85)-0.2</f>
        <v>61.298999999999999</v>
      </c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33"/>
      <c r="CZ24" s="19">
        <f>1.8-0.2+1.044-0.2+0.78+6.484-0.2+27.08-0.2</f>
        <v>36.387999999999998</v>
      </c>
      <c r="DA24" s="19">
        <f>1.6-0.2+0.78+23.759-0.6+31.486</f>
        <v>56.825000000000003</v>
      </c>
      <c r="DB24" s="19"/>
      <c r="DC24" s="19"/>
      <c r="DD24" s="19"/>
      <c r="DE24" s="19"/>
      <c r="DF24" s="19"/>
      <c r="DG24" s="19"/>
      <c r="DH24" s="19">
        <f>6.481-0.4+22.346-0.2</f>
        <v>28.227</v>
      </c>
      <c r="DI24" s="19">
        <f>0.519+5.226-0.2+59.813-0.2</f>
        <v>65.158000000000001</v>
      </c>
      <c r="DJ24" s="19"/>
      <c r="DK24" s="19"/>
      <c r="DL24" s="19"/>
      <c r="DM24" s="19"/>
      <c r="DN24" s="19"/>
      <c r="DO24" s="19">
        <f>2.15-0.4+0.748+5.983-0.2</f>
        <v>8.2810000000000006</v>
      </c>
      <c r="DP24" s="19">
        <f>2.15-0.4+0.748+4.872-0.2</f>
        <v>7.17</v>
      </c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>
        <f>7.127-0.2+14.561-0.4+10.282</f>
        <v>31.37</v>
      </c>
      <c r="EF24" s="33"/>
      <c r="EG24" s="33"/>
      <c r="EH24" s="33"/>
      <c r="EI24" s="33"/>
      <c r="EJ24" s="33"/>
      <c r="EK24" s="19"/>
      <c r="EL24" s="19"/>
    </row>
    <row r="25" spans="1:142" hidden="1" x14ac:dyDescent="0.25">
      <c r="A25" s="19" t="s">
        <v>160</v>
      </c>
      <c r="B25" s="19" t="s">
        <v>161</v>
      </c>
      <c r="C25" s="24">
        <v>1600</v>
      </c>
      <c r="D25" s="19">
        <v>400</v>
      </c>
      <c r="E25" s="19" t="s">
        <v>158</v>
      </c>
      <c r="F25" s="20"/>
      <c r="G25" s="19">
        <f t="shared" si="4"/>
        <v>4</v>
      </c>
      <c r="H25" s="21">
        <f t="shared" si="5"/>
        <v>152.30799999999999</v>
      </c>
      <c r="I25" s="19">
        <f t="shared" si="3"/>
        <v>0</v>
      </c>
      <c r="J25" s="19">
        <f t="shared" si="0"/>
        <v>38.076999999999998</v>
      </c>
      <c r="K25" s="19">
        <f t="shared" si="1"/>
        <v>0</v>
      </c>
      <c r="L25" s="21">
        <f t="shared" si="2"/>
        <v>38.076999999999998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33"/>
      <c r="CZ25" s="19">
        <f>18.723</f>
        <v>18.722999999999999</v>
      </c>
      <c r="DA25" s="19">
        <f>19.354</f>
        <v>19.353999999999999</v>
      </c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33"/>
      <c r="EG25" s="33"/>
      <c r="EH25" s="33"/>
      <c r="EI25" s="33"/>
      <c r="EJ25" s="33"/>
      <c r="EK25" s="19"/>
      <c r="EL25" s="19"/>
    </row>
    <row r="26" spans="1:142" hidden="1" x14ac:dyDescent="0.25">
      <c r="A26" s="19" t="s">
        <v>160</v>
      </c>
      <c r="B26" s="19" t="s">
        <v>162</v>
      </c>
      <c r="C26" s="24">
        <v>1400</v>
      </c>
      <c r="D26" s="19">
        <v>630</v>
      </c>
      <c r="E26" s="19" t="s">
        <v>158</v>
      </c>
      <c r="F26" s="20"/>
      <c r="G26" s="19">
        <f t="shared" si="4"/>
        <v>4.0599999999999996</v>
      </c>
      <c r="H26" s="21">
        <f t="shared" si="5"/>
        <v>23.316579999999995</v>
      </c>
      <c r="I26" s="19">
        <f t="shared" si="3"/>
        <v>5.7429999999999994</v>
      </c>
      <c r="J26" s="19">
        <f t="shared" si="0"/>
        <v>0</v>
      </c>
      <c r="K26" s="19">
        <f t="shared" si="1"/>
        <v>0</v>
      </c>
      <c r="L26" s="21">
        <f t="shared" si="2"/>
        <v>5.7429999999999994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f>1.63-0.2+1.579-0.2</f>
        <v>2.8089999999999997</v>
      </c>
      <c r="X26" s="19"/>
      <c r="Y26" s="19">
        <f>2.23-0.2+1.104-0.2</f>
        <v>2.9339999999999997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33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33"/>
      <c r="EG26" s="33"/>
      <c r="EH26" s="33"/>
      <c r="EI26" s="33"/>
      <c r="EJ26" s="33"/>
      <c r="EK26" s="19"/>
      <c r="EL26" s="19"/>
    </row>
    <row r="27" spans="1:142" hidden="1" x14ac:dyDescent="0.25">
      <c r="A27" s="19" t="s">
        <v>160</v>
      </c>
      <c r="B27" s="19" t="s">
        <v>162</v>
      </c>
      <c r="C27" s="24">
        <v>1400</v>
      </c>
      <c r="D27" s="19">
        <v>500</v>
      </c>
      <c r="E27" s="19" t="s">
        <v>158</v>
      </c>
      <c r="F27" s="20"/>
      <c r="G27" s="19">
        <f t="shared" si="4"/>
        <v>3.8</v>
      </c>
      <c r="H27" s="21">
        <f t="shared" si="5"/>
        <v>126.12199999999999</v>
      </c>
      <c r="I27" s="19">
        <f t="shared" si="3"/>
        <v>29.69</v>
      </c>
      <c r="J27" s="19">
        <f t="shared" si="0"/>
        <v>3.5</v>
      </c>
      <c r="K27" s="19">
        <f t="shared" si="1"/>
        <v>0</v>
      </c>
      <c r="L27" s="21">
        <f t="shared" si="2"/>
        <v>33.19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>
        <f>1.813-0.4</f>
        <v>1.4129999999999998</v>
      </c>
      <c r="AE27" s="19"/>
      <c r="AF27" s="19">
        <f>7.615+20.662</f>
        <v>28.277000000000001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>
        <f>2.15-0.4</f>
        <v>1.75</v>
      </c>
      <c r="CN27" s="19">
        <f>2.15-0.4</f>
        <v>1.75</v>
      </c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33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33"/>
      <c r="EG27" s="33"/>
      <c r="EH27" s="33"/>
      <c r="EI27" s="33"/>
      <c r="EJ27" s="33"/>
      <c r="EK27" s="19"/>
      <c r="EL27" s="19"/>
    </row>
    <row r="28" spans="1:142" hidden="1" x14ac:dyDescent="0.25">
      <c r="A28" s="19" t="s">
        <v>160</v>
      </c>
      <c r="B28" s="19" t="s">
        <v>162</v>
      </c>
      <c r="C28" s="24">
        <v>1400</v>
      </c>
      <c r="D28" s="19">
        <v>400</v>
      </c>
      <c r="E28" s="19" t="s">
        <v>158</v>
      </c>
      <c r="F28" s="20"/>
      <c r="G28" s="19">
        <f t="shared" si="4"/>
        <v>3.5999999999999996</v>
      </c>
      <c r="H28" s="21">
        <f t="shared" si="5"/>
        <v>201.17159999999998</v>
      </c>
      <c r="I28" s="19">
        <f t="shared" si="3"/>
        <v>0</v>
      </c>
      <c r="J28" s="19">
        <f t="shared" si="0"/>
        <v>55.881</v>
      </c>
      <c r="K28" s="19">
        <f t="shared" si="1"/>
        <v>0</v>
      </c>
      <c r="L28" s="21">
        <f t="shared" si="2"/>
        <v>55.881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>
        <f>5.45-0.2+10.6+10.205</f>
        <v>26.055</v>
      </c>
      <c r="BF28" s="19">
        <f>16.6-0.2+13.426</f>
        <v>29.826000000000001</v>
      </c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33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33"/>
      <c r="EG28" s="33"/>
      <c r="EH28" s="33"/>
      <c r="EI28" s="33"/>
      <c r="EJ28" s="33"/>
      <c r="EK28" s="19"/>
      <c r="EL28" s="19"/>
    </row>
    <row r="29" spans="1:142" hidden="1" x14ac:dyDescent="0.25">
      <c r="A29" s="19" t="s">
        <v>160</v>
      </c>
      <c r="B29" s="19" t="s">
        <v>162</v>
      </c>
      <c r="C29" s="19">
        <v>1250</v>
      </c>
      <c r="D29" s="19">
        <v>630</v>
      </c>
      <c r="E29" s="19" t="s">
        <v>158</v>
      </c>
      <c r="F29" s="20"/>
      <c r="G29" s="19">
        <f t="shared" si="4"/>
        <v>3.76</v>
      </c>
      <c r="H29" s="21">
        <f t="shared" si="5"/>
        <v>54.091359999999995</v>
      </c>
      <c r="I29" s="19">
        <f t="shared" si="3"/>
        <v>6.6389999999999993</v>
      </c>
      <c r="J29" s="19">
        <f t="shared" si="0"/>
        <v>7.7469999999999999</v>
      </c>
      <c r="K29" s="19">
        <f t="shared" si="1"/>
        <v>0</v>
      </c>
      <c r="L29" s="21">
        <f t="shared" si="2"/>
        <v>14.385999999999999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>
        <f>1.093-0.4+0.568</f>
        <v>1.2609999999999999</v>
      </c>
      <c r="AO29" s="19">
        <f>1.801-0.4+1.079</f>
        <v>2.4799999999999995</v>
      </c>
      <c r="AP29" s="19"/>
      <c r="AQ29" s="19"/>
      <c r="AR29" s="19"/>
      <c r="AS29" s="19">
        <f>1.363-0.4+0.486</f>
        <v>1.4489999999999998</v>
      </c>
      <c r="AT29" s="19">
        <f>1.363-0.4+0.486</f>
        <v>1.4489999999999998</v>
      </c>
      <c r="AU29" s="19"/>
      <c r="AV29" s="19"/>
      <c r="AW29" s="19"/>
      <c r="AX29" s="19"/>
      <c r="AY29" s="19">
        <f>1.363-0.4+0.486</f>
        <v>1.4489999999999998</v>
      </c>
      <c r="AZ29" s="19">
        <f>1.363-0.4+0.486</f>
        <v>1.4489999999999998</v>
      </c>
      <c r="BA29" s="19"/>
      <c r="BB29" s="19"/>
      <c r="BC29" s="19"/>
      <c r="BD29" s="19"/>
      <c r="BE29" s="19"/>
      <c r="BF29" s="19"/>
      <c r="BG29" s="19">
        <f>1.36-0.4+0.589</f>
        <v>1.5489999999999999</v>
      </c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33"/>
      <c r="CZ29" s="19"/>
      <c r="DA29" s="19"/>
      <c r="DB29" s="19"/>
      <c r="DC29" s="19"/>
      <c r="DD29" s="19"/>
      <c r="DE29" s="19"/>
      <c r="DF29" s="19"/>
      <c r="DG29" s="19"/>
      <c r="DH29" s="19">
        <f>2.05-0.4</f>
        <v>1.65</v>
      </c>
      <c r="DI29" s="19">
        <f>2.05-0.4</f>
        <v>1.65</v>
      </c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33"/>
      <c r="EG29" s="33"/>
      <c r="EH29" s="33"/>
      <c r="EI29" s="33"/>
      <c r="EJ29" s="33"/>
      <c r="EK29" s="19"/>
      <c r="EL29" s="19"/>
    </row>
    <row r="30" spans="1:142" hidden="1" x14ac:dyDescent="0.25">
      <c r="A30" s="19" t="s">
        <v>160</v>
      </c>
      <c r="B30" s="19" t="s">
        <v>162</v>
      </c>
      <c r="C30" s="19">
        <v>1250</v>
      </c>
      <c r="D30" s="19">
        <v>500</v>
      </c>
      <c r="E30" s="19" t="s">
        <v>158</v>
      </c>
      <c r="F30" s="20"/>
      <c r="G30" s="19">
        <f t="shared" si="4"/>
        <v>3.5</v>
      </c>
      <c r="H30" s="21">
        <f t="shared" si="5"/>
        <v>424.77399999999994</v>
      </c>
      <c r="I30" s="19">
        <f t="shared" si="3"/>
        <v>0</v>
      </c>
      <c r="J30" s="19">
        <f t="shared" si="0"/>
        <v>106.48899999999999</v>
      </c>
      <c r="K30" s="19">
        <f t="shared" si="1"/>
        <v>14.875</v>
      </c>
      <c r="L30" s="21">
        <f t="shared" si="2"/>
        <v>121.36399999999999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33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>
        <f>4.75-0.4+0.507+1+48.124-0.2</f>
        <v>53.780999999999999</v>
      </c>
      <c r="DK30" s="19"/>
      <c r="DL30" s="19"/>
      <c r="DM30" s="19"/>
      <c r="DN30" s="19"/>
      <c r="DO30" s="19">
        <f>22.1+11.6</f>
        <v>33.700000000000003</v>
      </c>
      <c r="DP30" s="19">
        <f>19.208-0.2</f>
        <v>19.007999999999999</v>
      </c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33"/>
      <c r="EG30" s="33"/>
      <c r="EH30" s="33">
        <f>15.075-0.2</f>
        <v>14.875</v>
      </c>
      <c r="EI30" s="33"/>
      <c r="EJ30" s="33"/>
      <c r="EK30" s="19"/>
      <c r="EL30" s="19"/>
    </row>
    <row r="31" spans="1:142" hidden="1" x14ac:dyDescent="0.25">
      <c r="A31" s="19" t="s">
        <v>160</v>
      </c>
      <c r="B31" s="19" t="s">
        <v>162</v>
      </c>
      <c r="C31" s="19">
        <v>1250</v>
      </c>
      <c r="D31" s="19">
        <v>400</v>
      </c>
      <c r="E31" s="19" t="s">
        <v>158</v>
      </c>
      <c r="F31" s="20"/>
      <c r="G31" s="19">
        <f t="shared" si="4"/>
        <v>3.3</v>
      </c>
      <c r="H31" s="21">
        <f t="shared" si="5"/>
        <v>295.83839999999998</v>
      </c>
      <c r="I31" s="19">
        <f t="shared" si="3"/>
        <v>45.158000000000001</v>
      </c>
      <c r="J31" s="19">
        <f t="shared" si="0"/>
        <v>44.489999999999995</v>
      </c>
      <c r="K31" s="19">
        <f t="shared" si="1"/>
        <v>0</v>
      </c>
      <c r="L31" s="21">
        <f t="shared" si="2"/>
        <v>89.647999999999996</v>
      </c>
      <c r="M31" s="19"/>
      <c r="N31" s="19"/>
      <c r="O31" s="19">
        <f>12.274-0.2</f>
        <v>12.074</v>
      </c>
      <c r="P31" s="19">
        <f>2.775-0.2+7.925+13.832+8.752</f>
        <v>33.084000000000003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33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>
        <f>14.54</f>
        <v>14.54</v>
      </c>
      <c r="DP31" s="19">
        <f>29.95</f>
        <v>29.95</v>
      </c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33"/>
      <c r="EG31" s="33"/>
      <c r="EH31" s="33"/>
      <c r="EI31" s="33"/>
      <c r="EJ31" s="33"/>
      <c r="EK31" s="19"/>
      <c r="EL31" s="19"/>
    </row>
    <row r="32" spans="1:142" hidden="1" x14ac:dyDescent="0.25">
      <c r="A32" s="19" t="s">
        <v>160</v>
      </c>
      <c r="B32" s="19" t="s">
        <v>162</v>
      </c>
      <c r="C32" s="19">
        <v>1250</v>
      </c>
      <c r="D32" s="19">
        <v>320</v>
      </c>
      <c r="E32" s="19" t="s">
        <v>158</v>
      </c>
      <c r="F32" s="20"/>
      <c r="G32" s="19">
        <f t="shared" si="4"/>
        <v>3.14</v>
      </c>
      <c r="H32" s="21">
        <f t="shared" si="5"/>
        <v>1025.5868</v>
      </c>
      <c r="I32" s="19">
        <f t="shared" si="3"/>
        <v>144.60600000000002</v>
      </c>
      <c r="J32" s="19">
        <f t="shared" si="0"/>
        <v>182.01400000000001</v>
      </c>
      <c r="K32" s="19">
        <f t="shared" si="1"/>
        <v>0</v>
      </c>
      <c r="L32" s="21">
        <f t="shared" si="2"/>
        <v>326.62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>
        <f>14.628</f>
        <v>14.628</v>
      </c>
      <c r="X32" s="19"/>
      <c r="Y32" s="19">
        <f>7.859+16.632</f>
        <v>24.491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>
        <f>3.107+21.984</f>
        <v>25.091000000000001</v>
      </c>
      <c r="AO32" s="19">
        <f>11.456+4.645</f>
        <v>16.100999999999999</v>
      </c>
      <c r="AP32" s="19"/>
      <c r="AQ32" s="19"/>
      <c r="AR32" s="19"/>
      <c r="AS32" s="19">
        <f>15.15+16+20.8</f>
        <v>51.95</v>
      </c>
      <c r="AT32" s="19">
        <f>12.345</f>
        <v>12.345000000000001</v>
      </c>
      <c r="AU32" s="19"/>
      <c r="AV32" s="19"/>
      <c r="AW32" s="19"/>
      <c r="AX32" s="19"/>
      <c r="AY32" s="19"/>
      <c r="AZ32" s="19">
        <f>13.748</f>
        <v>13.747999999999999</v>
      </c>
      <c r="BA32" s="19"/>
      <c r="BB32" s="19"/>
      <c r="BC32" s="19"/>
      <c r="BD32" s="19"/>
      <c r="BE32" s="19"/>
      <c r="BF32" s="19"/>
      <c r="BG32" s="19">
        <f>2.559+20.3</f>
        <v>22.859000000000002</v>
      </c>
      <c r="BH32" s="19">
        <f>14.476</f>
        <v>14.476000000000001</v>
      </c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>
        <f>13.556</f>
        <v>13.555999999999999</v>
      </c>
      <c r="CN32" s="19">
        <f>13.783</f>
        <v>13.782999999999999</v>
      </c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33"/>
      <c r="CZ32" s="19">
        <f>22.117</f>
        <v>22.117000000000001</v>
      </c>
      <c r="DA32" s="19">
        <f>22.367</f>
        <v>22.367000000000001</v>
      </c>
      <c r="DB32" s="19"/>
      <c r="DC32" s="19"/>
      <c r="DD32" s="19"/>
      <c r="DE32" s="19"/>
      <c r="DF32" s="19"/>
      <c r="DG32" s="19"/>
      <c r="DH32" s="19">
        <v>17.893000000000001</v>
      </c>
      <c r="DI32" s="19">
        <f>22.31</f>
        <v>22.31</v>
      </c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25">
        <f>2.323-0.4+1.876+15.106</f>
        <v>18.905000000000001</v>
      </c>
      <c r="EF32" s="33"/>
      <c r="EG32" s="33"/>
      <c r="EH32" s="33"/>
      <c r="EI32" s="33"/>
      <c r="EJ32" s="33"/>
      <c r="EK32" s="19"/>
      <c r="EL32" s="19"/>
    </row>
    <row r="33" spans="1:142" x14ac:dyDescent="0.25">
      <c r="A33" s="19" t="s">
        <v>160</v>
      </c>
      <c r="B33" s="19" t="s">
        <v>162</v>
      </c>
      <c r="C33" s="19">
        <v>1000</v>
      </c>
      <c r="D33" s="19">
        <v>800</v>
      </c>
      <c r="E33" s="19" t="s">
        <v>158</v>
      </c>
      <c r="F33" s="20"/>
      <c r="G33" s="19">
        <f t="shared" si="4"/>
        <v>3.6</v>
      </c>
      <c r="H33" s="21">
        <f t="shared" si="5"/>
        <v>37.112400000000008</v>
      </c>
      <c r="I33" s="19">
        <f t="shared" si="3"/>
        <v>0</v>
      </c>
      <c r="J33" s="19">
        <f t="shared" si="0"/>
        <v>10.309000000000001</v>
      </c>
      <c r="K33" s="19">
        <f t="shared" si="1"/>
        <v>0</v>
      </c>
      <c r="L33" s="21">
        <f t="shared" si="2"/>
        <v>10.309000000000001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>
        <f>1.45-0.2+0.744-0.2</f>
        <v>1.794</v>
      </c>
      <c r="BF33" s="19">
        <f>4.716-0.2+0.95-0.2</f>
        <v>5.266</v>
      </c>
      <c r="BG33" s="19"/>
      <c r="BH33" s="19">
        <f>1.36-0.4+0.589+1.7</f>
        <v>3.2489999999999997</v>
      </c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33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33"/>
      <c r="EG33" s="33"/>
      <c r="EH33" s="33"/>
      <c r="EI33" s="33"/>
      <c r="EJ33" s="33"/>
      <c r="EK33" s="19"/>
      <c r="EL33" s="19"/>
    </row>
    <row r="34" spans="1:142" x14ac:dyDescent="0.25">
      <c r="A34" s="19" t="s">
        <v>160</v>
      </c>
      <c r="B34" s="19" t="s">
        <v>162</v>
      </c>
      <c r="C34" s="19">
        <v>1000</v>
      </c>
      <c r="D34" s="19">
        <v>630</v>
      </c>
      <c r="E34" s="19" t="s">
        <v>158</v>
      </c>
      <c r="F34" s="20"/>
      <c r="G34" s="19">
        <f t="shared" si="4"/>
        <v>3.26</v>
      </c>
      <c r="H34" s="21">
        <f t="shared" si="5"/>
        <v>140.06915999999998</v>
      </c>
      <c r="I34" s="19">
        <f t="shared" si="3"/>
        <v>0</v>
      </c>
      <c r="J34" s="19">
        <f t="shared" si="0"/>
        <v>40.516999999999996</v>
      </c>
      <c r="K34" s="19">
        <f t="shared" si="1"/>
        <v>2.4489999999999998</v>
      </c>
      <c r="L34" s="21">
        <f t="shared" si="2"/>
        <v>42.965999999999994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>
        <f>1.37+2.045-0.4</f>
        <v>3.0150000000000001</v>
      </c>
      <c r="CB34" s="19">
        <f>1.37+2.045-0.4</f>
        <v>3.0150000000000001</v>
      </c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33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>
        <f>18.987+15.5</f>
        <v>34.486999999999995</v>
      </c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33"/>
      <c r="EG34" s="33"/>
      <c r="EH34" s="33">
        <f>1.775-0.4+0.524+0.55</f>
        <v>2.4489999999999998</v>
      </c>
      <c r="EI34" s="33"/>
      <c r="EJ34" s="33"/>
      <c r="EK34" s="19"/>
      <c r="EL34" s="19"/>
    </row>
    <row r="35" spans="1:142" x14ac:dyDescent="0.25">
      <c r="A35" s="19" t="s">
        <v>160</v>
      </c>
      <c r="B35" s="19" t="s">
        <v>162</v>
      </c>
      <c r="C35" s="19">
        <v>1000</v>
      </c>
      <c r="D35" s="19">
        <v>550</v>
      </c>
      <c r="E35" s="19" t="s">
        <v>158</v>
      </c>
      <c r="F35" s="20"/>
      <c r="G35" s="19">
        <f t="shared" si="4"/>
        <v>3.1</v>
      </c>
      <c r="H35" s="21">
        <f t="shared" si="5"/>
        <v>60.081099999999999</v>
      </c>
      <c r="I35" s="19">
        <f t="shared" si="3"/>
        <v>0</v>
      </c>
      <c r="J35" s="19">
        <f t="shared" si="0"/>
        <v>19.381</v>
      </c>
      <c r="K35" s="19">
        <f t="shared" si="1"/>
        <v>0</v>
      </c>
      <c r="L35" s="21">
        <f t="shared" si="2"/>
        <v>19.381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33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>
        <f>1.514-0.4+18.867-0.6</f>
        <v>19.381</v>
      </c>
      <c r="EE35" s="19"/>
      <c r="EF35" s="33"/>
      <c r="EG35" s="33"/>
      <c r="EH35" s="33"/>
      <c r="EI35" s="33"/>
      <c r="EJ35" s="33"/>
      <c r="EK35" s="19"/>
      <c r="EL35" s="19"/>
    </row>
    <row r="36" spans="1:142" x14ac:dyDescent="0.25">
      <c r="A36" s="19" t="s">
        <v>160</v>
      </c>
      <c r="B36" s="19" t="s">
        <v>162</v>
      </c>
      <c r="C36" s="19">
        <v>1000</v>
      </c>
      <c r="D36" s="19">
        <v>500</v>
      </c>
      <c r="E36" s="19" t="s">
        <v>158</v>
      </c>
      <c r="F36" s="20"/>
      <c r="G36" s="19">
        <f t="shared" si="4"/>
        <v>3</v>
      </c>
      <c r="H36" s="21">
        <f t="shared" si="5"/>
        <v>144.756</v>
      </c>
      <c r="I36" s="19">
        <f t="shared" si="3"/>
        <v>6.33</v>
      </c>
      <c r="J36" s="19">
        <f t="shared" si="0"/>
        <v>41.921999999999997</v>
      </c>
      <c r="K36" s="19">
        <f t="shared" si="1"/>
        <v>0</v>
      </c>
      <c r="L36" s="21">
        <f t="shared" si="2"/>
        <v>48.252000000000002</v>
      </c>
      <c r="M36" s="19"/>
      <c r="N36" s="19"/>
      <c r="O36" s="19">
        <f>2.195-0.4+1.37</f>
        <v>3.165</v>
      </c>
      <c r="P36" s="19">
        <f>2.195-0.4+1.37</f>
        <v>3.165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>
        <f>18.347-0.2</f>
        <v>18.147000000000002</v>
      </c>
      <c r="CB36" s="19">
        <f>2.775-0.2+9+12.2</f>
        <v>23.774999999999999</v>
      </c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33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33"/>
      <c r="EG36" s="33"/>
      <c r="EH36" s="33"/>
      <c r="EI36" s="33"/>
      <c r="EJ36" s="33"/>
      <c r="EK36" s="19"/>
      <c r="EL36" s="19"/>
    </row>
    <row r="37" spans="1:142" x14ac:dyDescent="0.25">
      <c r="A37" s="19" t="s">
        <v>160</v>
      </c>
      <c r="B37" s="19" t="s">
        <v>162</v>
      </c>
      <c r="C37" s="19">
        <v>1000</v>
      </c>
      <c r="D37" s="19">
        <v>400</v>
      </c>
      <c r="E37" s="19" t="s">
        <v>158</v>
      </c>
      <c r="F37" s="20"/>
      <c r="G37" s="19">
        <f t="shared" si="4"/>
        <v>2.8</v>
      </c>
      <c r="H37" s="21">
        <f t="shared" si="5"/>
        <v>218.6352</v>
      </c>
      <c r="I37" s="19">
        <f t="shared" si="3"/>
        <v>10.142999999999999</v>
      </c>
      <c r="J37" s="19">
        <f t="shared" si="0"/>
        <v>46.823</v>
      </c>
      <c r="K37" s="19">
        <f t="shared" si="1"/>
        <v>21.117999999999999</v>
      </c>
      <c r="L37" s="21">
        <f t="shared" si="2"/>
        <v>78.084000000000003</v>
      </c>
      <c r="M37" s="19"/>
      <c r="N37" s="19"/>
      <c r="O37" s="19">
        <f>(3.581-0.2)*3</f>
        <v>10.142999999999999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>
        <f>1.199+0.951-0.2+30.786-0.6</f>
        <v>32.136000000000003</v>
      </c>
      <c r="CP37" s="19"/>
      <c r="CQ37" s="19"/>
      <c r="CR37" s="19"/>
      <c r="CS37" s="19"/>
      <c r="CT37" s="19"/>
      <c r="CU37" s="19"/>
      <c r="CV37" s="19"/>
      <c r="CW37" s="19"/>
      <c r="CX37" s="19"/>
      <c r="CY37" s="33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>
        <f>7.828-0.4+7.659-0.4</f>
        <v>14.686999999999999</v>
      </c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33"/>
      <c r="EG37" s="33"/>
      <c r="EH37" s="33">
        <f>3.31-0.2+3.305-0.2+15.103-0.2</f>
        <v>21.117999999999999</v>
      </c>
      <c r="EI37" s="33"/>
      <c r="EJ37" s="33"/>
      <c r="EK37" s="19"/>
      <c r="EL37" s="19"/>
    </row>
    <row r="38" spans="1:142" x14ac:dyDescent="0.25">
      <c r="A38" s="19" t="s">
        <v>160</v>
      </c>
      <c r="B38" s="19" t="s">
        <v>162</v>
      </c>
      <c r="C38" s="19">
        <v>1000</v>
      </c>
      <c r="D38" s="19">
        <v>320</v>
      </c>
      <c r="E38" s="19" t="s">
        <v>158</v>
      </c>
      <c r="F38" s="20"/>
      <c r="G38" s="19">
        <f t="shared" si="4"/>
        <v>2.64</v>
      </c>
      <c r="H38" s="21">
        <f t="shared" si="5"/>
        <v>639.22847999999999</v>
      </c>
      <c r="I38" s="19">
        <f t="shared" si="3"/>
        <v>14.015000000000001</v>
      </c>
      <c r="J38" s="19">
        <f t="shared" si="0"/>
        <v>228.11699999999996</v>
      </c>
      <c r="K38" s="19">
        <f t="shared" si="1"/>
        <v>0</v>
      </c>
      <c r="L38" s="21">
        <f t="shared" si="2"/>
        <v>242.13199999999998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>
        <v>14.015000000000001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>
        <f>6.035+17.4+11.472</f>
        <v>34.906999999999996</v>
      </c>
      <c r="AZ38" s="19"/>
      <c r="BA38" s="19"/>
      <c r="BB38" s="19"/>
      <c r="BC38" s="19"/>
      <c r="BD38" s="19"/>
      <c r="BE38" s="19">
        <f>13.967</f>
        <v>13.967000000000001</v>
      </c>
      <c r="BF38" s="19">
        <f>11.897</f>
        <v>11.897</v>
      </c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>
        <f>(4.431-0.4)*3</f>
        <v>12.093</v>
      </c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33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>
        <f>4.236-0.4+17.43+4.111+4.616-0.2</f>
        <v>29.792999999999999</v>
      </c>
      <c r="DK38" s="19"/>
      <c r="DL38" s="19"/>
      <c r="DM38" s="19"/>
      <c r="DN38" s="19"/>
      <c r="DO38" s="19">
        <f>9.133+8.734-0.8-0.8+11.488-0.2+9.744-0.4+9.744-0.4+4.217-0.4+7.803-0.4</f>
        <v>57.462999999999994</v>
      </c>
      <c r="DP38" s="19">
        <f>23.877-0.4+(5.086-0.4)*3+6.026-0.4-4.489-0.4</f>
        <v>38.271999999999998</v>
      </c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>
        <f>18.342-0.4+11.983-0.2</f>
        <v>29.725000000000001</v>
      </c>
      <c r="EE38" s="19"/>
      <c r="EF38" s="33"/>
      <c r="EG38" s="33"/>
      <c r="EH38" s="33"/>
      <c r="EI38" s="33"/>
      <c r="EJ38" s="33"/>
      <c r="EK38" s="19"/>
      <c r="EL38" s="19"/>
    </row>
    <row r="39" spans="1:142" x14ac:dyDescent="0.25">
      <c r="A39" s="19" t="s">
        <v>160</v>
      </c>
      <c r="B39" s="19" t="s">
        <v>162</v>
      </c>
      <c r="C39" s="19">
        <v>1000</v>
      </c>
      <c r="D39" s="19">
        <v>250</v>
      </c>
      <c r="E39" s="19" t="s">
        <v>158</v>
      </c>
      <c r="F39" s="20"/>
      <c r="G39" s="19">
        <f t="shared" si="4"/>
        <v>2.5</v>
      </c>
      <c r="H39" s="21">
        <f t="shared" si="5"/>
        <v>10.925000000000001</v>
      </c>
      <c r="I39" s="19">
        <f t="shared" si="3"/>
        <v>4.37</v>
      </c>
      <c r="J39" s="19">
        <f t="shared" si="0"/>
        <v>0</v>
      </c>
      <c r="K39" s="19">
        <f t="shared" si="1"/>
        <v>0</v>
      </c>
      <c r="L39" s="21">
        <f t="shared" si="2"/>
        <v>4.37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>
        <f>4.57-0.2</f>
        <v>4.37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33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33"/>
      <c r="EG39" s="33"/>
      <c r="EH39" s="33"/>
      <c r="EI39" s="33"/>
      <c r="EJ39" s="33"/>
      <c r="EK39" s="19"/>
      <c r="EL39" s="19"/>
    </row>
    <row r="40" spans="1:142" hidden="1" x14ac:dyDescent="0.25">
      <c r="A40" s="19" t="s">
        <v>160</v>
      </c>
      <c r="B40" s="19" t="s">
        <v>162</v>
      </c>
      <c r="C40" s="24" t="s">
        <v>159</v>
      </c>
      <c r="D40" s="19">
        <v>1000</v>
      </c>
      <c r="E40" s="19" t="s">
        <v>158</v>
      </c>
      <c r="F40" s="20"/>
      <c r="G40" s="19">
        <f>3.14*D40/1000</f>
        <v>3.14</v>
      </c>
      <c r="H40" s="21">
        <f t="shared" si="5"/>
        <v>4.9926000000000004</v>
      </c>
      <c r="I40" s="19">
        <f t="shared" si="3"/>
        <v>1.59</v>
      </c>
      <c r="J40" s="19">
        <f t="shared" si="0"/>
        <v>0</v>
      </c>
      <c r="K40" s="19">
        <f t="shared" si="1"/>
        <v>0</v>
      </c>
      <c r="L40" s="21">
        <f t="shared" si="2"/>
        <v>1.59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>
        <f>0.654</f>
        <v>0.65400000000000003</v>
      </c>
      <c r="Z40" s="19"/>
      <c r="AA40" s="19"/>
      <c r="AB40" s="19"/>
      <c r="AC40" s="19"/>
      <c r="AD40" s="19">
        <f>0.936</f>
        <v>0.93600000000000005</v>
      </c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33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33"/>
      <c r="EG40" s="33"/>
      <c r="EH40" s="33"/>
      <c r="EI40" s="33"/>
      <c r="EJ40" s="33"/>
      <c r="EK40" s="19"/>
      <c r="EL40" s="19"/>
    </row>
    <row r="41" spans="1:142" hidden="1" x14ac:dyDescent="0.25">
      <c r="A41" s="19" t="s">
        <v>160</v>
      </c>
      <c r="B41" s="19" t="s">
        <v>163</v>
      </c>
      <c r="C41" s="19">
        <v>800</v>
      </c>
      <c r="D41" s="19">
        <v>400</v>
      </c>
      <c r="E41" s="19" t="s">
        <v>158</v>
      </c>
      <c r="F41" s="20"/>
      <c r="G41" s="19">
        <f t="shared" si="4"/>
        <v>2.4000000000000004</v>
      </c>
      <c r="H41" s="21">
        <f t="shared" si="5"/>
        <v>251.21040000000002</v>
      </c>
      <c r="I41" s="19">
        <f t="shared" si="3"/>
        <v>25.542000000000002</v>
      </c>
      <c r="J41" s="19">
        <f t="shared" si="0"/>
        <v>79.128999999999991</v>
      </c>
      <c r="K41" s="19">
        <f t="shared" si="1"/>
        <v>0</v>
      </c>
      <c r="L41" s="21">
        <f t="shared" si="2"/>
        <v>104.67099999999999</v>
      </c>
      <c r="M41" s="19"/>
      <c r="N41" s="19"/>
      <c r="O41" s="19"/>
      <c r="P41" s="19">
        <f>3.2-0.2+12.042+(3.7-0.2)*3</f>
        <v>25.542000000000002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>
        <f>2.275-0.4+3.74-0.2+3.115</f>
        <v>8.5300000000000011</v>
      </c>
      <c r="BS41" s="19"/>
      <c r="BT41" s="19"/>
      <c r="BU41" s="19"/>
      <c r="BV41" s="19"/>
      <c r="BW41" s="19"/>
      <c r="BX41" s="19"/>
      <c r="BY41" s="19"/>
      <c r="BZ41" s="19"/>
      <c r="CA41" s="19"/>
      <c r="CB41" s="19">
        <f>4.025-0.2+4+4.523-0.2+4.505-0.2+2.257+17.868-0.2</f>
        <v>36.378</v>
      </c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>
        <f>2.15-0.4</f>
        <v>1.75</v>
      </c>
      <c r="CP41" s="19"/>
      <c r="CQ41" s="19"/>
      <c r="CR41" s="19"/>
      <c r="CS41" s="19"/>
      <c r="CT41" s="19"/>
      <c r="CU41" s="19"/>
      <c r="CV41" s="19"/>
      <c r="CW41" s="19"/>
      <c r="CX41" s="19">
        <f>2.049-0.4+0.709+19.403-0.2</f>
        <v>21.561</v>
      </c>
      <c r="CY41" s="33"/>
      <c r="CZ41" s="19"/>
      <c r="DA41" s="19"/>
      <c r="DB41" s="19"/>
      <c r="DC41" s="19"/>
      <c r="DD41" s="19"/>
      <c r="DE41" s="19"/>
      <c r="DF41" s="19"/>
      <c r="DG41" s="19">
        <f>1.35-0.4+1.647+8.513-0.2</f>
        <v>10.91</v>
      </c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33"/>
      <c r="EG41" s="33"/>
      <c r="EH41" s="33"/>
      <c r="EI41" s="33"/>
      <c r="EJ41" s="33"/>
      <c r="EK41" s="19"/>
      <c r="EL41" s="19"/>
    </row>
    <row r="42" spans="1:142" hidden="1" x14ac:dyDescent="0.25">
      <c r="A42" s="19" t="s">
        <v>160</v>
      </c>
      <c r="B42" s="19" t="s">
        <v>163</v>
      </c>
      <c r="C42" s="19">
        <v>630</v>
      </c>
      <c r="D42" s="19">
        <v>250</v>
      </c>
      <c r="E42" s="19" t="s">
        <v>158</v>
      </c>
      <c r="F42" s="20"/>
      <c r="G42" s="19">
        <f t="shared" si="4"/>
        <v>1.76</v>
      </c>
      <c r="H42" s="21">
        <f t="shared" si="5"/>
        <v>29.157920000000001</v>
      </c>
      <c r="I42" s="19">
        <f t="shared" si="3"/>
        <v>0</v>
      </c>
      <c r="J42" s="19">
        <f t="shared" si="0"/>
        <v>16.567</v>
      </c>
      <c r="K42" s="19">
        <f t="shared" si="1"/>
        <v>0</v>
      </c>
      <c r="L42" s="21">
        <f t="shared" si="2"/>
        <v>16.567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>
        <f>0.835+5.085+5+5.647</f>
        <v>16.567</v>
      </c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33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33"/>
      <c r="EG42" s="33"/>
      <c r="EH42" s="33"/>
      <c r="EI42" s="33"/>
      <c r="EJ42" s="33"/>
      <c r="EK42" s="19"/>
      <c r="EL42" s="19"/>
    </row>
    <row r="43" spans="1:142" hidden="1" x14ac:dyDescent="0.25">
      <c r="A43" s="19" t="s">
        <v>160</v>
      </c>
      <c r="B43" s="19" t="s">
        <v>163</v>
      </c>
      <c r="C43" s="19">
        <v>500</v>
      </c>
      <c r="D43" s="19">
        <v>320</v>
      </c>
      <c r="E43" s="19" t="s">
        <v>158</v>
      </c>
      <c r="F43" s="20"/>
      <c r="G43" s="19">
        <f t="shared" si="4"/>
        <v>1.6400000000000001</v>
      </c>
      <c r="H43" s="21">
        <f t="shared" si="5"/>
        <v>43.745360000000005</v>
      </c>
      <c r="I43" s="19">
        <f t="shared" si="3"/>
        <v>1.37</v>
      </c>
      <c r="J43" s="19">
        <f t="shared" si="0"/>
        <v>25.304000000000002</v>
      </c>
      <c r="K43" s="19">
        <f t="shared" si="1"/>
        <v>0</v>
      </c>
      <c r="L43" s="21">
        <f t="shared" si="2"/>
        <v>26.674000000000003</v>
      </c>
      <c r="M43" s="19"/>
      <c r="N43" s="19"/>
      <c r="O43" s="19"/>
      <c r="P43" s="19">
        <v>1.37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>
        <f>3.473+11.131-0.2+10.9</f>
        <v>25.304000000000002</v>
      </c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33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33"/>
      <c r="EG43" s="33"/>
      <c r="EH43" s="33"/>
      <c r="EI43" s="33"/>
      <c r="EJ43" s="33"/>
      <c r="EK43" s="19"/>
      <c r="EL43" s="19"/>
    </row>
    <row r="44" spans="1:142" hidden="1" x14ac:dyDescent="0.25">
      <c r="A44" s="19" t="s">
        <v>160</v>
      </c>
      <c r="B44" s="19" t="s">
        <v>163</v>
      </c>
      <c r="C44" s="19">
        <v>400</v>
      </c>
      <c r="D44" s="19">
        <v>320</v>
      </c>
      <c r="E44" s="19" t="s">
        <v>158</v>
      </c>
      <c r="F44" s="20"/>
      <c r="G44" s="19">
        <f t="shared" si="4"/>
        <v>1.44</v>
      </c>
      <c r="H44" s="21">
        <f t="shared" si="5"/>
        <v>16.732799999999997</v>
      </c>
      <c r="I44" s="19">
        <f t="shared" si="3"/>
        <v>11.62</v>
      </c>
      <c r="J44" s="19">
        <f t="shared" si="0"/>
        <v>0</v>
      </c>
      <c r="K44" s="19">
        <f t="shared" si="1"/>
        <v>0</v>
      </c>
      <c r="L44" s="21">
        <f t="shared" si="2"/>
        <v>11.62</v>
      </c>
      <c r="M44" s="19"/>
      <c r="N44" s="19"/>
      <c r="O44" s="19">
        <f>11.62</f>
        <v>11.62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33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33"/>
      <c r="EG44" s="33"/>
      <c r="EH44" s="33"/>
      <c r="EI44" s="33"/>
      <c r="EJ44" s="33"/>
      <c r="EK44" s="19"/>
      <c r="EL44" s="19"/>
    </row>
    <row r="45" spans="1:142" hidden="1" x14ac:dyDescent="0.25">
      <c r="A45" s="19" t="s">
        <v>164</v>
      </c>
      <c r="B45" s="19" t="s">
        <v>162</v>
      </c>
      <c r="C45" s="19">
        <v>3200</v>
      </c>
      <c r="D45" s="19">
        <v>800</v>
      </c>
      <c r="E45" s="19" t="s">
        <v>158</v>
      </c>
      <c r="F45" s="20"/>
      <c r="G45" s="19">
        <f t="shared" si="4"/>
        <v>8</v>
      </c>
      <c r="H45" s="21">
        <f t="shared" si="5"/>
        <v>69.2</v>
      </c>
      <c r="I45" s="19">
        <f t="shared" si="3"/>
        <v>0</v>
      </c>
      <c r="J45" s="19">
        <f t="shared" si="0"/>
        <v>0</v>
      </c>
      <c r="K45" s="19">
        <f t="shared" si="1"/>
        <v>8.65</v>
      </c>
      <c r="L45" s="21">
        <f t="shared" si="2"/>
        <v>8.65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33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33">
        <f>8.65</f>
        <v>8.65</v>
      </c>
      <c r="EG45" s="33"/>
      <c r="EH45" s="33"/>
      <c r="EI45" s="33"/>
      <c r="EJ45" s="33"/>
      <c r="EK45" s="19"/>
      <c r="EL45" s="19"/>
    </row>
    <row r="46" spans="1:142" hidden="1" x14ac:dyDescent="0.25">
      <c r="A46" s="19" t="s">
        <v>164</v>
      </c>
      <c r="B46" s="19" t="s">
        <v>162</v>
      </c>
      <c r="C46" s="19">
        <v>2100</v>
      </c>
      <c r="D46" s="19">
        <v>1070</v>
      </c>
      <c r="E46" s="19" t="s">
        <v>158</v>
      </c>
      <c r="F46" s="20"/>
      <c r="G46" s="19">
        <f t="shared" si="4"/>
        <v>6.34</v>
      </c>
      <c r="H46" s="21">
        <f t="shared" si="5"/>
        <v>16.484000000000002</v>
      </c>
      <c r="I46" s="19">
        <f t="shared" si="3"/>
        <v>0</v>
      </c>
      <c r="J46" s="19">
        <f t="shared" si="0"/>
        <v>2.6</v>
      </c>
      <c r="K46" s="19">
        <f t="shared" si="1"/>
        <v>0</v>
      </c>
      <c r="L46" s="21">
        <f t="shared" si="2"/>
        <v>2.6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>
        <f>6.25-3.25-0.4</f>
        <v>2.6</v>
      </c>
      <c r="CT46" s="19"/>
      <c r="CU46" s="19"/>
      <c r="CV46" s="19"/>
      <c r="CW46" s="19"/>
      <c r="CX46" s="19"/>
      <c r="CY46" s="33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33"/>
      <c r="EG46" s="33"/>
      <c r="EH46" s="33"/>
      <c r="EI46" s="33"/>
      <c r="EJ46" s="33"/>
      <c r="EK46" s="19"/>
      <c r="EL46" s="19"/>
    </row>
    <row r="47" spans="1:142" hidden="1" x14ac:dyDescent="0.25">
      <c r="A47" s="19" t="s">
        <v>164</v>
      </c>
      <c r="B47" s="19" t="s">
        <v>162</v>
      </c>
      <c r="C47" s="19">
        <v>2000</v>
      </c>
      <c r="D47" s="19">
        <v>800</v>
      </c>
      <c r="E47" s="19" t="s">
        <v>158</v>
      </c>
      <c r="F47" s="20"/>
      <c r="G47" s="19">
        <f t="shared" si="4"/>
        <v>5.6</v>
      </c>
      <c r="H47" s="21">
        <f t="shared" si="5"/>
        <v>155.4616</v>
      </c>
      <c r="I47" s="19">
        <f t="shared" si="3"/>
        <v>0</v>
      </c>
      <c r="J47" s="19">
        <f t="shared" si="0"/>
        <v>27.761000000000003</v>
      </c>
      <c r="K47" s="19">
        <f t="shared" si="1"/>
        <v>0</v>
      </c>
      <c r="L47" s="21">
        <f t="shared" si="2"/>
        <v>27.761000000000003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33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>
        <f>28.161-0.4</f>
        <v>27.761000000000003</v>
      </c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33"/>
      <c r="EG47" s="33"/>
      <c r="EH47" s="33"/>
      <c r="EI47" s="33"/>
      <c r="EJ47" s="33"/>
      <c r="EK47" s="19"/>
      <c r="EL47" s="19"/>
    </row>
    <row r="48" spans="1:142" hidden="1" x14ac:dyDescent="0.25">
      <c r="A48" s="19" t="s">
        <v>164</v>
      </c>
      <c r="B48" s="19" t="s">
        <v>162</v>
      </c>
      <c r="C48" s="19">
        <v>1600</v>
      </c>
      <c r="D48" s="19">
        <v>500</v>
      </c>
      <c r="E48" s="19" t="s">
        <v>158</v>
      </c>
      <c r="F48" s="20"/>
      <c r="G48" s="19">
        <f t="shared" si="4"/>
        <v>4.2</v>
      </c>
      <c r="H48" s="21">
        <f t="shared" si="5"/>
        <v>265.05360000000002</v>
      </c>
      <c r="I48" s="19">
        <f t="shared" si="3"/>
        <v>47.19</v>
      </c>
      <c r="J48" s="19">
        <f t="shared" si="0"/>
        <v>15.917999999999999</v>
      </c>
      <c r="K48" s="19">
        <f t="shared" si="1"/>
        <v>0</v>
      </c>
      <c r="L48" s="21">
        <f t="shared" si="2"/>
        <v>63.107999999999997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>
        <f>47.39-0.2</f>
        <v>47.19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>
        <f>6.25-3.25+0.4+0.818+(8.7+6.25-3.25)</f>
        <v>15.917999999999999</v>
      </c>
      <c r="CU48" s="19"/>
      <c r="CV48" s="19"/>
      <c r="CW48" s="19"/>
      <c r="CX48" s="19"/>
      <c r="CY48" s="33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33"/>
      <c r="EG48" s="33"/>
      <c r="EH48" s="33"/>
      <c r="EI48" s="33"/>
      <c r="EJ48" s="33"/>
      <c r="EK48" s="19"/>
      <c r="EL48" s="19"/>
    </row>
    <row r="49" spans="1:142" hidden="1" x14ac:dyDescent="0.25">
      <c r="A49" s="19" t="s">
        <v>164</v>
      </c>
      <c r="B49" s="19" t="s">
        <v>163</v>
      </c>
      <c r="C49" s="19">
        <v>1400</v>
      </c>
      <c r="D49" s="19">
        <v>1000</v>
      </c>
      <c r="E49" s="19" t="s">
        <v>158</v>
      </c>
      <c r="F49" s="20"/>
      <c r="G49" s="19">
        <f t="shared" si="4"/>
        <v>4.8</v>
      </c>
      <c r="H49" s="21">
        <f t="shared" si="5"/>
        <v>3.84</v>
      </c>
      <c r="I49" s="19">
        <f t="shared" si="3"/>
        <v>0.8</v>
      </c>
      <c r="J49" s="19">
        <f t="shared" si="0"/>
        <v>0</v>
      </c>
      <c r="K49" s="19">
        <f t="shared" si="1"/>
        <v>0</v>
      </c>
      <c r="L49" s="21">
        <f t="shared" si="2"/>
        <v>0.8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f>1-0.2</f>
        <v>0.8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33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33"/>
      <c r="EG49" s="33"/>
      <c r="EH49" s="33"/>
      <c r="EI49" s="33"/>
      <c r="EJ49" s="33"/>
      <c r="EK49" s="19"/>
      <c r="EL49" s="19"/>
    </row>
    <row r="50" spans="1:142" hidden="1" x14ac:dyDescent="0.25">
      <c r="A50" s="19" t="s">
        <v>164</v>
      </c>
      <c r="B50" s="19" t="s">
        <v>163</v>
      </c>
      <c r="C50" s="19">
        <v>1400</v>
      </c>
      <c r="D50" s="19">
        <v>800</v>
      </c>
      <c r="E50" s="19" t="s">
        <v>158</v>
      </c>
      <c r="F50" s="20"/>
      <c r="G50" s="19">
        <f t="shared" si="4"/>
        <v>4.4000000000000004</v>
      </c>
      <c r="H50" s="21">
        <f t="shared" si="5"/>
        <v>45.944800000000008</v>
      </c>
      <c r="I50" s="19">
        <f t="shared" si="3"/>
        <v>0</v>
      </c>
      <c r="J50" s="19">
        <f t="shared" si="0"/>
        <v>10.442</v>
      </c>
      <c r="K50" s="19">
        <f t="shared" si="1"/>
        <v>0</v>
      </c>
      <c r="L50" s="21">
        <f t="shared" si="2"/>
        <v>10.442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33"/>
      <c r="CZ50" s="19"/>
      <c r="DA50" s="19"/>
      <c r="DB50" s="19"/>
      <c r="DC50" s="19">
        <f>0.7-0.2+9.942</f>
        <v>10.442</v>
      </c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33"/>
      <c r="EG50" s="33"/>
      <c r="EH50" s="33"/>
      <c r="EI50" s="33"/>
      <c r="EJ50" s="33"/>
      <c r="EK50" s="19"/>
      <c r="EL50" s="19"/>
    </row>
    <row r="51" spans="1:142" hidden="1" x14ac:dyDescent="0.25">
      <c r="A51" s="19" t="s">
        <v>164</v>
      </c>
      <c r="B51" s="19" t="s">
        <v>163</v>
      </c>
      <c r="C51" s="19">
        <v>1400</v>
      </c>
      <c r="D51" s="19">
        <v>500</v>
      </c>
      <c r="E51" s="19" t="s">
        <v>158</v>
      </c>
      <c r="F51" s="20"/>
      <c r="G51" s="19">
        <f t="shared" si="4"/>
        <v>3.8</v>
      </c>
      <c r="H51" s="21">
        <f t="shared" si="5"/>
        <v>708.6354</v>
      </c>
      <c r="I51" s="19">
        <f t="shared" si="3"/>
        <v>90.617000000000004</v>
      </c>
      <c r="J51" s="19">
        <f t="shared" si="0"/>
        <v>95.866</v>
      </c>
      <c r="K51" s="19">
        <f t="shared" si="1"/>
        <v>0</v>
      </c>
      <c r="L51" s="21">
        <f t="shared" si="2"/>
        <v>186.483</v>
      </c>
      <c r="M51" s="19"/>
      <c r="N51" s="19"/>
      <c r="O51" s="19"/>
      <c r="P51" s="19"/>
      <c r="Q51" s="19"/>
      <c r="R51" s="19"/>
      <c r="S51" s="19"/>
      <c r="T51" s="19"/>
      <c r="U51" s="19">
        <f>1.884+1.572+2.31+0.692+5.703-0.4</f>
        <v>11.761000000000001</v>
      </c>
      <c r="V51" s="19"/>
      <c r="W51" s="19"/>
      <c r="X51" s="19"/>
      <c r="Y51" s="19"/>
      <c r="Z51" s="19"/>
      <c r="AA51" s="19">
        <f>2.481+6.888-0.4</f>
        <v>8.9689999999999994</v>
      </c>
      <c r="AB51" s="19"/>
      <c r="AC51" s="19"/>
      <c r="AD51" s="19"/>
      <c r="AE51" s="19"/>
      <c r="AF51" s="19"/>
      <c r="AG51" s="19"/>
      <c r="AH51" s="19">
        <f>4.553-0.2+8.302+3.357+1.747-0.2+2.1-0.2+1.602+0.962-0.2+4.415</f>
        <v>26.238000000000003</v>
      </c>
      <c r="AI51" s="19"/>
      <c r="AJ51" s="19">
        <f>3.15-0.4+2.525+2.76-0.2+1.073+1.403-0.2+5.193</f>
        <v>15.304</v>
      </c>
      <c r="AK51" s="19"/>
      <c r="AL51" s="19">
        <f>6.668-0.2</f>
        <v>6.468</v>
      </c>
      <c r="AM51" s="19">
        <f>6.668-0.2</f>
        <v>6.468</v>
      </c>
      <c r="AN51" s="19"/>
      <c r="AO51" s="19"/>
      <c r="AP51" s="19"/>
      <c r="AQ51" s="19">
        <f>2.73-0.2+7.6-0.2</f>
        <v>9.93</v>
      </c>
      <c r="AR51" s="19">
        <f>0.929-0.2+4.95-0.2</f>
        <v>5.4790000000000001</v>
      </c>
      <c r="AS51" s="19"/>
      <c r="AT51" s="19"/>
      <c r="AU51" s="19"/>
      <c r="AV51" s="19"/>
      <c r="AW51" s="19">
        <f>2.78-0.2+7.603-0.2</f>
        <v>9.9830000000000005</v>
      </c>
      <c r="AX51" s="19">
        <f>0.98-0.2+4.973-0.2</f>
        <v>5.5529999999999999</v>
      </c>
      <c r="AY51" s="19"/>
      <c r="AZ51" s="19"/>
      <c r="BA51" s="19">
        <f>1.857-0.2+6.569-0.2</f>
        <v>8.0259999999999998</v>
      </c>
      <c r="BB51" s="19">
        <f>1.857-0.2+6.569-0.2</f>
        <v>8.0259999999999998</v>
      </c>
      <c r="BC51" s="19">
        <f>1.126+5.799-0.4</f>
        <v>6.5250000000000004</v>
      </c>
      <c r="BD51" s="19">
        <f>1.126+5.799-0.4</f>
        <v>6.5250000000000004</v>
      </c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>
        <f>7.692-0.4</f>
        <v>7.2919999999999998</v>
      </c>
      <c r="CG51" s="19">
        <f>1.38-0.2+9.146-0.2</f>
        <v>10.126000000000001</v>
      </c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33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>
        <f>7.692-0.4</f>
        <v>7.2919999999999998</v>
      </c>
      <c r="DM51" s="19">
        <f>1.38-0.2+9.147</f>
        <v>10.327</v>
      </c>
      <c r="DN51" s="19"/>
      <c r="DO51" s="19"/>
      <c r="DP51" s="19"/>
      <c r="DQ51" s="19"/>
      <c r="DR51" s="19"/>
      <c r="DS51" s="19"/>
      <c r="DT51" s="19"/>
      <c r="DU51" s="19"/>
      <c r="DV51" s="19"/>
      <c r="DW51" s="19">
        <f>2.365-0.4+14.426-0.2</f>
        <v>16.191000000000003</v>
      </c>
      <c r="DX51" s="19"/>
      <c r="DY51" s="19"/>
      <c r="DZ51" s="19"/>
      <c r="EA51" s="19"/>
      <c r="EB51" s="19"/>
      <c r="EC51" s="19"/>
      <c r="ED51" s="19"/>
      <c r="EE51" s="19"/>
      <c r="EF51" s="33"/>
      <c r="EG51" s="33"/>
      <c r="EH51" s="33"/>
      <c r="EI51" s="33"/>
      <c r="EJ51" s="33"/>
      <c r="EK51" s="19"/>
      <c r="EL51" s="19"/>
    </row>
    <row r="52" spans="1:142" hidden="1" x14ac:dyDescent="0.25">
      <c r="A52" s="19" t="s">
        <v>164</v>
      </c>
      <c r="B52" s="19" t="s">
        <v>163</v>
      </c>
      <c r="C52" s="19">
        <v>1250</v>
      </c>
      <c r="D52" s="19">
        <v>800</v>
      </c>
      <c r="E52" s="19" t="s">
        <v>158</v>
      </c>
      <c r="F52" s="20"/>
      <c r="G52" s="19">
        <f t="shared" si="4"/>
        <v>4.0999999999999996</v>
      </c>
      <c r="H52" s="21">
        <f t="shared" si="5"/>
        <v>161.69989999999996</v>
      </c>
      <c r="I52" s="19">
        <f t="shared" si="3"/>
        <v>0</v>
      </c>
      <c r="J52" s="19">
        <f t="shared" si="0"/>
        <v>39.438999999999993</v>
      </c>
      <c r="K52" s="19">
        <f t="shared" si="1"/>
        <v>0</v>
      </c>
      <c r="L52" s="21">
        <f t="shared" si="2"/>
        <v>39.438999999999993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33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>
        <f>2.45-0.4+1.96+28.232-0.4</f>
        <v>31.841999999999999</v>
      </c>
      <c r="DU52" s="19">
        <f>2.45-0.4+1.747</f>
        <v>3.7970000000000006</v>
      </c>
      <c r="DV52" s="19">
        <f>2.45-0.4+1.75</f>
        <v>3.8000000000000003</v>
      </c>
      <c r="DW52" s="19"/>
      <c r="DX52" s="19"/>
      <c r="DY52" s="19"/>
      <c r="DZ52" s="19"/>
      <c r="EA52" s="19"/>
      <c r="EB52" s="19"/>
      <c r="EC52" s="19"/>
      <c r="ED52" s="19"/>
      <c r="EE52" s="19"/>
      <c r="EF52" s="33"/>
      <c r="EG52" s="33"/>
      <c r="EH52" s="33"/>
      <c r="EI52" s="33"/>
      <c r="EJ52" s="33"/>
      <c r="EK52" s="19"/>
      <c r="EL52" s="19"/>
    </row>
    <row r="53" spans="1:142" hidden="1" x14ac:dyDescent="0.25">
      <c r="A53" s="19" t="s">
        <v>164</v>
      </c>
      <c r="B53" s="19" t="s">
        <v>163</v>
      </c>
      <c r="C53" s="19">
        <v>1250</v>
      </c>
      <c r="D53" s="19">
        <v>630</v>
      </c>
      <c r="E53" s="19" t="s">
        <v>158</v>
      </c>
      <c r="F53" s="20"/>
      <c r="G53" s="19">
        <f t="shared" si="4"/>
        <v>3.76</v>
      </c>
      <c r="H53" s="21">
        <f t="shared" si="5"/>
        <v>135.17576</v>
      </c>
      <c r="I53" s="19">
        <f t="shared" si="3"/>
        <v>2</v>
      </c>
      <c r="J53" s="19">
        <f t="shared" si="0"/>
        <v>33.951000000000001</v>
      </c>
      <c r="K53" s="19">
        <f t="shared" si="1"/>
        <v>0</v>
      </c>
      <c r="L53" s="21">
        <f t="shared" si="2"/>
        <v>35.951000000000001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>
        <f>0.722-0.2+0.478</f>
        <v>1</v>
      </c>
      <c r="AR53" s="19">
        <f>0.7-0.2+0.5</f>
        <v>1</v>
      </c>
      <c r="AS53" s="19"/>
      <c r="AT53" s="19"/>
      <c r="AU53" s="19"/>
      <c r="AV53" s="19"/>
      <c r="AW53" s="19">
        <f>0.701-0.2+0.448</f>
        <v>0.94899999999999984</v>
      </c>
      <c r="AX53" s="19">
        <f>0.701-0.2+0.448</f>
        <v>0.94899999999999984</v>
      </c>
      <c r="AY53" s="19"/>
      <c r="AZ53" s="19"/>
      <c r="BA53" s="19">
        <f>0.967+0.782-0.2</f>
        <v>1.5490000000000002</v>
      </c>
      <c r="BB53" s="19">
        <f>0.967+0.782-0.2</f>
        <v>1.5490000000000002</v>
      </c>
      <c r="BC53" s="19">
        <f>0.817+0.782-0.2</f>
        <v>1.399</v>
      </c>
      <c r="BD53" s="19">
        <f>0.817+0.782-0.2</f>
        <v>1.399</v>
      </c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>
        <f>0.699+1.189-0.2+4.474-0.2+9.358-0.2</f>
        <v>15.120000000000001</v>
      </c>
      <c r="CI53" s="19">
        <f>0.699+1.19-0.2+2.956-0.2+6.792-0.2</f>
        <v>11.036999999999999</v>
      </c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33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33"/>
      <c r="EG53" s="33"/>
      <c r="EH53" s="33"/>
      <c r="EI53" s="33"/>
      <c r="EJ53" s="33"/>
      <c r="EK53" s="19"/>
      <c r="EL53" s="19"/>
    </row>
    <row r="54" spans="1:142" hidden="1" x14ac:dyDescent="0.25">
      <c r="A54" s="19" t="s">
        <v>164</v>
      </c>
      <c r="B54" s="19" t="s">
        <v>163</v>
      </c>
      <c r="C54" s="19">
        <v>1250</v>
      </c>
      <c r="D54" s="19">
        <v>500</v>
      </c>
      <c r="E54" s="19" t="s">
        <v>158</v>
      </c>
      <c r="F54" s="20"/>
      <c r="G54" s="19">
        <f t="shared" si="4"/>
        <v>3.5</v>
      </c>
      <c r="H54" s="21">
        <f t="shared" si="5"/>
        <v>41.950999999999993</v>
      </c>
      <c r="I54" s="19">
        <f t="shared" si="3"/>
        <v>0</v>
      </c>
      <c r="J54" s="19">
        <f t="shared" si="0"/>
        <v>11.985999999999999</v>
      </c>
      <c r="K54" s="19">
        <f t="shared" si="1"/>
        <v>0</v>
      </c>
      <c r="L54" s="21">
        <f t="shared" si="2"/>
        <v>11.985999999999999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33">
        <f>5.334-0.2+2.454-0.2+3.45-0.25-0.2+1.998-0.4</f>
        <v>11.985999999999999</v>
      </c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33"/>
      <c r="EG54" s="33"/>
      <c r="EH54" s="33"/>
      <c r="EI54" s="33"/>
      <c r="EJ54" s="33"/>
      <c r="EK54" s="19"/>
      <c r="EL54" s="19"/>
    </row>
    <row r="55" spans="1:142" x14ac:dyDescent="0.25">
      <c r="A55" s="19" t="s">
        <v>164</v>
      </c>
      <c r="B55" s="19" t="s">
        <v>163</v>
      </c>
      <c r="C55" s="19">
        <v>1000</v>
      </c>
      <c r="D55" s="19">
        <v>800</v>
      </c>
      <c r="E55" s="19" t="s">
        <v>158</v>
      </c>
      <c r="F55" s="20"/>
      <c r="G55" s="19">
        <f t="shared" si="4"/>
        <v>3.6</v>
      </c>
      <c r="H55" s="21">
        <f t="shared" si="5"/>
        <v>57.459600000000002</v>
      </c>
      <c r="I55" s="19">
        <f t="shared" si="3"/>
        <v>0</v>
      </c>
      <c r="J55" s="19">
        <f t="shared" si="0"/>
        <v>15.961</v>
      </c>
      <c r="K55" s="19">
        <f t="shared" si="1"/>
        <v>0</v>
      </c>
      <c r="L55" s="21">
        <f t="shared" si="2"/>
        <v>15.961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>
        <f>0.717-0.2+0.382</f>
        <v>0.89899999999999991</v>
      </c>
      <c r="CG55" s="19">
        <f>0.717-0.2+0.482</f>
        <v>0.99899999999999989</v>
      </c>
      <c r="CH55" s="19"/>
      <c r="CI55" s="19"/>
      <c r="CJ55" s="19">
        <f>1.2+1.07-0.4+0.1</f>
        <v>1.9700000000000002</v>
      </c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>
        <f>9.693+1.4+1.4-0.4</f>
        <v>12.093</v>
      </c>
      <c r="CV55" s="19"/>
      <c r="CW55" s="19"/>
      <c r="CX55" s="19"/>
      <c r="CY55" s="33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33"/>
      <c r="EG55" s="33"/>
      <c r="EH55" s="33"/>
      <c r="EI55" s="33"/>
      <c r="EJ55" s="33"/>
      <c r="EK55" s="19"/>
      <c r="EL55" s="19"/>
    </row>
    <row r="56" spans="1:142" x14ac:dyDescent="0.25">
      <c r="A56" s="19" t="s">
        <v>164</v>
      </c>
      <c r="B56" s="19" t="s">
        <v>163</v>
      </c>
      <c r="C56" s="19">
        <v>1000</v>
      </c>
      <c r="D56" s="19">
        <v>630</v>
      </c>
      <c r="E56" s="19" t="s">
        <v>158</v>
      </c>
      <c r="F56" s="20"/>
      <c r="G56" s="19">
        <f t="shared" si="4"/>
        <v>3.26</v>
      </c>
      <c r="H56" s="21">
        <f t="shared" si="5"/>
        <v>42.74512</v>
      </c>
      <c r="I56" s="19">
        <f t="shared" si="3"/>
        <v>6.2500000000000009</v>
      </c>
      <c r="J56" s="19">
        <f t="shared" si="0"/>
        <v>6.8620000000000001</v>
      </c>
      <c r="K56" s="19">
        <f t="shared" si="1"/>
        <v>0</v>
      </c>
      <c r="L56" s="21">
        <f t="shared" si="2"/>
        <v>13.112000000000002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>
        <f>1.199-0.2+3.301+1.95</f>
        <v>6.2500000000000009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>
        <f>7.062-0.2</f>
        <v>6.8620000000000001</v>
      </c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33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33"/>
      <c r="EG56" s="33"/>
      <c r="EH56" s="33"/>
      <c r="EI56" s="33"/>
      <c r="EJ56" s="33"/>
      <c r="EK56" s="19"/>
      <c r="EL56" s="19"/>
    </row>
    <row r="57" spans="1:142" x14ac:dyDescent="0.25">
      <c r="A57" s="19" t="s">
        <v>164</v>
      </c>
      <c r="B57" s="19" t="s">
        <v>163</v>
      </c>
      <c r="C57" s="19">
        <v>1000</v>
      </c>
      <c r="D57" s="19">
        <v>500</v>
      </c>
      <c r="E57" s="19" t="s">
        <v>158</v>
      </c>
      <c r="F57" s="20"/>
      <c r="G57" s="19">
        <f t="shared" si="4"/>
        <v>3</v>
      </c>
      <c r="H57" s="21">
        <f t="shared" si="5"/>
        <v>273.72000000000003</v>
      </c>
      <c r="I57" s="19">
        <f t="shared" si="3"/>
        <v>49.482999999999997</v>
      </c>
      <c r="J57" s="19">
        <f t="shared" si="0"/>
        <v>41.757000000000005</v>
      </c>
      <c r="K57" s="19">
        <f t="shared" si="1"/>
        <v>0</v>
      </c>
      <c r="L57" s="21">
        <f t="shared" si="2"/>
        <v>91.240000000000009</v>
      </c>
      <c r="M57" s="19"/>
      <c r="N57" s="19"/>
      <c r="O57" s="19"/>
      <c r="P57" s="19"/>
      <c r="Q57" s="19"/>
      <c r="R57" s="19"/>
      <c r="S57" s="19"/>
      <c r="T57" s="19"/>
      <c r="U57" s="25">
        <f>1.55-0.2</f>
        <v>1.35</v>
      </c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>
        <f>2.83+4.149-0.4+39.73-0.2</f>
        <v>46.108999999999995</v>
      </c>
      <c r="AJ57" s="19"/>
      <c r="AK57" s="19"/>
      <c r="AL57" s="25">
        <f>1.212-0.2</f>
        <v>1.012</v>
      </c>
      <c r="AM57" s="25">
        <f>1.212-0.2</f>
        <v>1.012</v>
      </c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>
        <f>8.946-0.4+1.325-0.2</f>
        <v>9.6709999999999994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>
        <f>3.93-0.4+0.475+1.025-0.2</f>
        <v>4.8299999999999992</v>
      </c>
      <c r="CW57" s="19">
        <f>3.93-0.4+0.475+0.925-0.2</f>
        <v>4.7299999999999995</v>
      </c>
      <c r="CX57" s="19"/>
      <c r="CY57" s="33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25">
        <f>0.717-0.2+0.532</f>
        <v>1.0489999999999999</v>
      </c>
      <c r="DM57" s="25">
        <f>0.717-0.2+0.632</f>
        <v>1.149</v>
      </c>
      <c r="DN57" s="19">
        <f>1.6-0.4+1.576+6.248-0.2</f>
        <v>8.8240000000000016</v>
      </c>
      <c r="DO57" s="19"/>
      <c r="DP57" s="19"/>
      <c r="DQ57" s="19"/>
      <c r="DR57" s="19"/>
      <c r="DS57" s="19">
        <f>2.25-0.4+1.95+7.904-0.2</f>
        <v>11.504000000000001</v>
      </c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33"/>
      <c r="EG57" s="33"/>
      <c r="EH57" s="33"/>
      <c r="EI57" s="33"/>
      <c r="EJ57" s="33"/>
      <c r="EK57" s="19"/>
      <c r="EL57" s="19"/>
    </row>
    <row r="58" spans="1:142" x14ac:dyDescent="0.25">
      <c r="A58" s="19" t="s">
        <v>164</v>
      </c>
      <c r="B58" s="19" t="s">
        <v>163</v>
      </c>
      <c r="C58" s="19">
        <v>1000</v>
      </c>
      <c r="D58" s="19">
        <v>400</v>
      </c>
      <c r="E58" s="19" t="s">
        <v>158</v>
      </c>
      <c r="F58" s="20"/>
      <c r="G58" s="19">
        <f t="shared" si="4"/>
        <v>2.8</v>
      </c>
      <c r="H58" s="21">
        <f t="shared" si="5"/>
        <v>77.14</v>
      </c>
      <c r="I58" s="19">
        <f t="shared" si="3"/>
        <v>0</v>
      </c>
      <c r="J58" s="19">
        <f t="shared" si="0"/>
        <v>27.55</v>
      </c>
      <c r="K58" s="19">
        <f t="shared" si="1"/>
        <v>0</v>
      </c>
      <c r="L58" s="21">
        <f t="shared" si="2"/>
        <v>27.55</v>
      </c>
      <c r="M58" s="19"/>
      <c r="N58" s="19"/>
      <c r="O58" s="19"/>
      <c r="P58" s="19"/>
      <c r="Q58" s="19"/>
      <c r="R58" s="19"/>
      <c r="S58" s="19"/>
      <c r="T58" s="19"/>
      <c r="U58" s="25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5"/>
      <c r="AM58" s="25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>
        <f>4.112-0.4</f>
        <v>3.7120000000000002</v>
      </c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>
        <f>11.565+4.623-0.2-0.4</f>
        <v>15.587999999999999</v>
      </c>
      <c r="CV58" s="19"/>
      <c r="CW58" s="19"/>
      <c r="CX58" s="19"/>
      <c r="CY58" s="33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>
        <f>6.6+5.1-3.45</f>
        <v>8.25</v>
      </c>
      <c r="DZ58" s="19"/>
      <c r="EA58" s="19"/>
      <c r="EB58" s="19"/>
      <c r="EC58" s="19"/>
      <c r="ED58" s="19"/>
      <c r="EE58" s="19"/>
      <c r="EF58" s="33"/>
      <c r="EG58" s="33"/>
      <c r="EH58" s="33"/>
      <c r="EI58" s="33"/>
      <c r="EJ58" s="33"/>
      <c r="EK58" s="19"/>
      <c r="EL58" s="19"/>
    </row>
    <row r="59" spans="1:142" hidden="1" x14ac:dyDescent="0.25">
      <c r="A59" s="19" t="s">
        <v>164</v>
      </c>
      <c r="B59" s="19" t="s">
        <v>163</v>
      </c>
      <c r="C59" s="24" t="s">
        <v>159</v>
      </c>
      <c r="D59" s="19">
        <v>1000</v>
      </c>
      <c r="E59" s="19" t="s">
        <v>158</v>
      </c>
      <c r="F59" s="20"/>
      <c r="G59" s="19">
        <f>3.14*D59/1000</f>
        <v>3.14</v>
      </c>
      <c r="H59" s="21">
        <f t="shared" si="5"/>
        <v>24.856240000000003</v>
      </c>
      <c r="I59" s="19">
        <f t="shared" si="3"/>
        <v>7.766</v>
      </c>
      <c r="J59" s="19">
        <f t="shared" si="0"/>
        <v>0.15</v>
      </c>
      <c r="K59" s="19">
        <f t="shared" si="1"/>
        <v>0</v>
      </c>
      <c r="L59" s="21">
        <f t="shared" si="2"/>
        <v>7.9160000000000004</v>
      </c>
      <c r="M59" s="19"/>
      <c r="N59" s="19"/>
      <c r="O59" s="19"/>
      <c r="P59" s="19"/>
      <c r="Q59" s="19"/>
      <c r="R59" s="19"/>
      <c r="S59" s="19"/>
      <c r="T59" s="19"/>
      <c r="U59" s="25"/>
      <c r="V59" s="19"/>
      <c r="W59" s="19"/>
      <c r="X59" s="19"/>
      <c r="Y59" s="19"/>
      <c r="Z59" s="19"/>
      <c r="AA59" s="19"/>
      <c r="AB59" s="19"/>
      <c r="AC59" s="19"/>
      <c r="AD59" s="19"/>
      <c r="AE59" s="19">
        <f>7.767-0.8+1.6-1.301+0.5</f>
        <v>7.766</v>
      </c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33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>
        <f>0.15</f>
        <v>0.15</v>
      </c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33"/>
      <c r="EG59" s="33"/>
      <c r="EH59" s="33"/>
      <c r="EI59" s="33"/>
      <c r="EJ59" s="33"/>
      <c r="EK59" s="19"/>
      <c r="EL59" s="19"/>
    </row>
    <row r="60" spans="1:142" hidden="1" x14ac:dyDescent="0.25">
      <c r="A60" s="19" t="s">
        <v>164</v>
      </c>
      <c r="B60" s="19" t="s">
        <v>165</v>
      </c>
      <c r="C60" s="24" t="s">
        <v>159</v>
      </c>
      <c r="D60" s="19">
        <v>800</v>
      </c>
      <c r="E60" s="19" t="s">
        <v>158</v>
      </c>
      <c r="F60" s="20"/>
      <c r="G60" s="19">
        <f>3.14*D60/1000</f>
        <v>2.512</v>
      </c>
      <c r="H60" s="21">
        <f t="shared" si="5"/>
        <v>9.7817280000000011</v>
      </c>
      <c r="I60" s="19">
        <f t="shared" si="3"/>
        <v>3.7440000000000002</v>
      </c>
      <c r="J60" s="19">
        <f t="shared" si="0"/>
        <v>0.15</v>
      </c>
      <c r="K60" s="19">
        <f t="shared" si="1"/>
        <v>0</v>
      </c>
      <c r="L60" s="21">
        <f t="shared" si="2"/>
        <v>3.8940000000000001</v>
      </c>
      <c r="M60" s="19"/>
      <c r="N60" s="19"/>
      <c r="O60" s="19"/>
      <c r="P60" s="19"/>
      <c r="Q60" s="19"/>
      <c r="R60" s="19"/>
      <c r="S60" s="19"/>
      <c r="T60" s="19"/>
      <c r="U60" s="25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>
        <f>3.6-0.4+0.275+0.269</f>
        <v>3.7440000000000002</v>
      </c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>
        <f>0.15</f>
        <v>0.15</v>
      </c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33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33"/>
      <c r="EG60" s="33"/>
      <c r="EH60" s="33"/>
      <c r="EI60" s="33"/>
      <c r="EJ60" s="33"/>
      <c r="EK60" s="19"/>
      <c r="EL60" s="19"/>
    </row>
    <row r="61" spans="1:142" hidden="1" x14ac:dyDescent="0.25">
      <c r="A61" s="19" t="s">
        <v>164</v>
      </c>
      <c r="B61" s="19" t="s">
        <v>165</v>
      </c>
      <c r="C61" s="19">
        <v>800</v>
      </c>
      <c r="D61" s="19">
        <v>800</v>
      </c>
      <c r="E61" s="19" t="s">
        <v>158</v>
      </c>
      <c r="F61" s="20"/>
      <c r="G61" s="19">
        <f t="shared" si="4"/>
        <v>3.2</v>
      </c>
      <c r="H61" s="21">
        <f t="shared" si="5"/>
        <v>52.031999999999996</v>
      </c>
      <c r="I61" s="19">
        <f t="shared" si="3"/>
        <v>0</v>
      </c>
      <c r="J61" s="19">
        <f t="shared" si="0"/>
        <v>16.259999999999998</v>
      </c>
      <c r="K61" s="19">
        <f t="shared" si="1"/>
        <v>0</v>
      </c>
      <c r="L61" s="21">
        <f t="shared" si="2"/>
        <v>16.259999999999998</v>
      </c>
      <c r="M61" s="19"/>
      <c r="N61" s="19"/>
      <c r="O61" s="19"/>
      <c r="P61" s="19"/>
      <c r="Q61" s="19"/>
      <c r="R61" s="19"/>
      <c r="S61" s="19"/>
      <c r="T61" s="19"/>
      <c r="U61" s="25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>
        <f>1.55-0.2</f>
        <v>1.35</v>
      </c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>
        <f>1.255-0.4+3.538</f>
        <v>4.3929999999999998</v>
      </c>
      <c r="CT61" s="19">
        <f>1.756-0.4+5.637-0.2+3.724</f>
        <v>10.516999999999999</v>
      </c>
      <c r="CU61" s="19"/>
      <c r="CV61" s="19"/>
      <c r="CW61" s="19"/>
      <c r="CX61" s="19"/>
      <c r="CY61" s="33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33"/>
      <c r="EG61" s="33"/>
      <c r="EH61" s="33"/>
      <c r="EI61" s="33"/>
      <c r="EJ61" s="33"/>
      <c r="EK61" s="19"/>
      <c r="EL61" s="19"/>
    </row>
    <row r="62" spans="1:142" hidden="1" x14ac:dyDescent="0.25">
      <c r="A62" s="19" t="s">
        <v>164</v>
      </c>
      <c r="B62" s="19" t="s">
        <v>165</v>
      </c>
      <c r="C62" s="19">
        <v>800</v>
      </c>
      <c r="D62" s="19">
        <v>500</v>
      </c>
      <c r="E62" s="19" t="s">
        <v>158</v>
      </c>
      <c r="F62" s="20"/>
      <c r="G62" s="19">
        <f t="shared" si="4"/>
        <v>2.6</v>
      </c>
      <c r="H62" s="21">
        <f t="shared" si="5"/>
        <v>310.10460000000006</v>
      </c>
      <c r="I62" s="19">
        <f t="shared" si="3"/>
        <v>18.582000000000001</v>
      </c>
      <c r="J62" s="19">
        <f t="shared" si="0"/>
        <v>92.697000000000003</v>
      </c>
      <c r="K62" s="19">
        <f t="shared" si="1"/>
        <v>7.9920000000000009</v>
      </c>
      <c r="L62" s="21">
        <f t="shared" si="2"/>
        <v>119.27100000000002</v>
      </c>
      <c r="M62" s="25">
        <f>1.083-0.2+1.057+4.112-0.4</f>
        <v>5.6519999999999992</v>
      </c>
      <c r="N62" s="25">
        <f>1.083-0.2+1.057</f>
        <v>1.94</v>
      </c>
      <c r="O62" s="19"/>
      <c r="P62" s="19"/>
      <c r="Q62" s="19"/>
      <c r="R62" s="19"/>
      <c r="S62" s="25">
        <f>1.494-0.2+1.845+5.112-0.4</f>
        <v>7.8510000000000009</v>
      </c>
      <c r="T62" s="25">
        <f>1.494-0.2+1.845</f>
        <v>3.1390000000000002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>
        <f>1.083-0.2+1.057</f>
        <v>1.94</v>
      </c>
      <c r="BX62" s="19">
        <f>1.083-0.2+1.057</f>
        <v>1.94</v>
      </c>
      <c r="BY62" s="19"/>
      <c r="BZ62" s="19"/>
      <c r="CA62" s="19"/>
      <c r="CB62" s="19"/>
      <c r="CC62" s="19">
        <f>0.95-0.2+0.945+3-0.2+5.486-0.4</f>
        <v>9.5809999999999995</v>
      </c>
      <c r="CD62" s="19">
        <f>0.95-0.2+0.945</f>
        <v>1.6949999999999998</v>
      </c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33"/>
      <c r="CZ62" s="19"/>
      <c r="DA62" s="19"/>
      <c r="DB62" s="19"/>
      <c r="DC62" s="19">
        <f>7.167-0.2+1.725-0.2</f>
        <v>8.4920000000000009</v>
      </c>
      <c r="DD62" s="19"/>
      <c r="DE62" s="19">
        <f>1.305-0.4+2.264</f>
        <v>3.1689999999999996</v>
      </c>
      <c r="DF62" s="19">
        <f>5.108-0.6+4.142-0.2+(0.728+1.594-0.2)+(4.5+6.25)</f>
        <v>21.322000000000003</v>
      </c>
      <c r="DG62" s="19"/>
      <c r="DH62" s="19"/>
      <c r="DI62" s="19"/>
      <c r="DJ62" s="19"/>
      <c r="DK62" s="19">
        <f>0.265-0.2+4.58-0.2+7.622-0.4</f>
        <v>11.667</v>
      </c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>
        <f>4.114+5.972-0.2-0.4</f>
        <v>9.4860000000000007</v>
      </c>
      <c r="DZ62" s="19">
        <f>2.227+13.915-0.6</f>
        <v>15.542</v>
      </c>
      <c r="EA62" s="19">
        <f>1.15-0.2+0.484+6.829-0.4</f>
        <v>7.8629999999999995</v>
      </c>
      <c r="EB62" s="19"/>
      <c r="EC62" s="19"/>
      <c r="ED62" s="19"/>
      <c r="EE62" s="19"/>
      <c r="EF62" s="33">
        <f>1.483-0.4+1.057+4.112-0.4</f>
        <v>5.8520000000000003</v>
      </c>
      <c r="EG62" s="33">
        <f>1.483-0.4+1.057</f>
        <v>2.14</v>
      </c>
      <c r="EH62" s="33"/>
      <c r="EI62" s="33"/>
      <c r="EJ62" s="33"/>
      <c r="EK62" s="19"/>
      <c r="EL62" s="19"/>
    </row>
    <row r="63" spans="1:142" hidden="1" x14ac:dyDescent="0.25">
      <c r="A63" s="19" t="s">
        <v>164</v>
      </c>
      <c r="B63" s="19" t="s">
        <v>165</v>
      </c>
      <c r="C63" s="19">
        <v>800</v>
      </c>
      <c r="D63" s="19">
        <v>400</v>
      </c>
      <c r="E63" s="19" t="s">
        <v>158</v>
      </c>
      <c r="F63" s="20"/>
      <c r="G63" s="19">
        <f t="shared" si="4"/>
        <v>2.4000000000000004</v>
      </c>
      <c r="H63" s="21">
        <f t="shared" si="5"/>
        <v>228.19680000000005</v>
      </c>
      <c r="I63" s="19">
        <f t="shared" si="3"/>
        <v>0</v>
      </c>
      <c r="J63" s="19">
        <f t="shared" si="0"/>
        <v>95.082000000000008</v>
      </c>
      <c r="K63" s="19">
        <f t="shared" si="1"/>
        <v>0</v>
      </c>
      <c r="L63" s="21">
        <f t="shared" si="2"/>
        <v>95.082000000000008</v>
      </c>
      <c r="M63" s="25"/>
      <c r="N63" s="25"/>
      <c r="O63" s="19"/>
      <c r="P63" s="19"/>
      <c r="Q63" s="19"/>
      <c r="R63" s="19"/>
      <c r="S63" s="25"/>
      <c r="T63" s="25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>
        <f>0.763-0.2+0.561+3.592-0.2</f>
        <v>4.516</v>
      </c>
      <c r="BO63" s="19"/>
      <c r="BP63" s="19">
        <f>5.25-0.2+2.075+2.725-0.4+15.6-0.4</f>
        <v>24.65</v>
      </c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>
        <f>1.26+2-0.2+2.325</f>
        <v>5.3849999999999998</v>
      </c>
      <c r="CK63" s="19"/>
      <c r="CL63" s="19">
        <f>1.77-0.4+2.259</f>
        <v>3.629</v>
      </c>
      <c r="CM63" s="19"/>
      <c r="CN63" s="19"/>
      <c r="CO63" s="19"/>
      <c r="CP63" s="19">
        <f>3.466-0.4+1.099-0.2+2.279</f>
        <v>6.2439999999999998</v>
      </c>
      <c r="CQ63" s="19">
        <f>2.296-0.2+0.376+2.328-0.2</f>
        <v>4.5999999999999988</v>
      </c>
      <c r="CR63" s="19">
        <f>2.296-0.2+0.376+2.328-0.2</f>
        <v>4.5999999999999988</v>
      </c>
      <c r="CS63" s="19"/>
      <c r="CT63" s="19">
        <f>0.85+(6.25-1.85+0.2)</f>
        <v>5.45</v>
      </c>
      <c r="CU63" s="19"/>
      <c r="CV63" s="19"/>
      <c r="CW63" s="19"/>
      <c r="CX63" s="19"/>
      <c r="CY63" s="33"/>
      <c r="CZ63" s="19"/>
      <c r="DA63" s="19"/>
      <c r="DB63" s="19"/>
      <c r="DC63" s="19"/>
      <c r="DD63" s="19"/>
      <c r="DE63" s="19"/>
      <c r="DF63" s="19">
        <f>1.075+3.25-0.25-0.2</f>
        <v>3.875</v>
      </c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>
        <f>0.75+(7.6-1.85+0.2)</f>
        <v>6.7</v>
      </c>
      <c r="DZ63" s="19"/>
      <c r="EA63" s="19"/>
      <c r="EB63" s="19">
        <f>1.295-0.2+2.195-0.2</f>
        <v>3.09</v>
      </c>
      <c r="EC63" s="19">
        <f>2.176+20.567-1+(4.05-3.45)</f>
        <v>22.343000000000004</v>
      </c>
      <c r="ED63" s="19"/>
      <c r="EE63" s="19"/>
      <c r="EF63" s="33"/>
      <c r="EG63" s="33"/>
      <c r="EH63" s="33"/>
      <c r="EI63" s="33"/>
      <c r="EJ63" s="33"/>
      <c r="EK63" s="19"/>
      <c r="EL63" s="19"/>
    </row>
    <row r="64" spans="1:142" hidden="1" x14ac:dyDescent="0.25">
      <c r="A64" s="19" t="s">
        <v>164</v>
      </c>
      <c r="B64" s="19" t="s">
        <v>165</v>
      </c>
      <c r="C64" s="19">
        <v>800</v>
      </c>
      <c r="D64" s="19">
        <v>320</v>
      </c>
      <c r="E64" s="19" t="s">
        <v>158</v>
      </c>
      <c r="F64" s="20"/>
      <c r="G64" s="19">
        <f t="shared" si="4"/>
        <v>2.2400000000000002</v>
      </c>
      <c r="H64" s="21">
        <f t="shared" si="5"/>
        <v>106.10208000000002</v>
      </c>
      <c r="I64" s="19">
        <f t="shared" si="3"/>
        <v>47.367000000000004</v>
      </c>
      <c r="J64" s="19">
        <f t="shared" si="0"/>
        <v>0</v>
      </c>
      <c r="K64" s="19">
        <f t="shared" si="1"/>
        <v>0</v>
      </c>
      <c r="L64" s="21">
        <f t="shared" si="2"/>
        <v>47.367000000000004</v>
      </c>
      <c r="M64" s="25"/>
      <c r="N64" s="25"/>
      <c r="O64" s="19"/>
      <c r="P64" s="19"/>
      <c r="Q64" s="19"/>
      <c r="R64" s="19"/>
      <c r="S64" s="25"/>
      <c r="T64" s="25"/>
      <c r="U64" s="19"/>
      <c r="V64" s="19"/>
      <c r="W64" s="19"/>
      <c r="X64" s="19"/>
      <c r="Y64" s="19"/>
      <c r="Z64" s="19"/>
      <c r="AA64" s="19"/>
      <c r="AB64" s="19">
        <f>15.25</f>
        <v>15.25</v>
      </c>
      <c r="AC64" s="19"/>
      <c r="AD64" s="19"/>
      <c r="AE64" s="19"/>
      <c r="AF64" s="19"/>
      <c r="AG64" s="19"/>
      <c r="AH64" s="19"/>
      <c r="AI64" s="19"/>
      <c r="AJ64" s="19"/>
      <c r="AK64" s="19">
        <f>6.067+26.05</f>
        <v>32.117000000000004</v>
      </c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33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33"/>
      <c r="EG64" s="33"/>
      <c r="EH64" s="33"/>
      <c r="EI64" s="33"/>
      <c r="EJ64" s="33"/>
      <c r="EK64" s="19"/>
      <c r="EL64" s="19"/>
    </row>
    <row r="65" spans="1:142" hidden="1" x14ac:dyDescent="0.25">
      <c r="A65" s="19" t="s">
        <v>164</v>
      </c>
      <c r="B65" s="19" t="s">
        <v>165</v>
      </c>
      <c r="C65" s="19">
        <v>800</v>
      </c>
      <c r="D65" s="19">
        <v>250</v>
      </c>
      <c r="E65" s="19" t="s">
        <v>158</v>
      </c>
      <c r="F65" s="20"/>
      <c r="G65" s="19">
        <f t="shared" si="4"/>
        <v>2.1</v>
      </c>
      <c r="H65" s="21">
        <f t="shared" si="5"/>
        <v>76.574399999999997</v>
      </c>
      <c r="I65" s="19">
        <f t="shared" si="3"/>
        <v>0</v>
      </c>
      <c r="J65" s="19">
        <f t="shared" si="0"/>
        <v>36.463999999999999</v>
      </c>
      <c r="K65" s="19">
        <f t="shared" si="1"/>
        <v>0</v>
      </c>
      <c r="L65" s="21">
        <f t="shared" si="2"/>
        <v>36.463999999999999</v>
      </c>
      <c r="M65" s="25"/>
      <c r="N65" s="25"/>
      <c r="O65" s="19"/>
      <c r="P65" s="19"/>
      <c r="Q65" s="19"/>
      <c r="R65" s="19"/>
      <c r="S65" s="25"/>
      <c r="T65" s="25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>
        <f>1.474+2.15-0.4</f>
        <v>3.2239999999999998</v>
      </c>
      <c r="BZ65" s="19">
        <f>1.474+2.15-0.4</f>
        <v>3.2239999999999998</v>
      </c>
      <c r="CA65" s="19">
        <f>8.497-0.2+21.719</f>
        <v>30.016000000000002</v>
      </c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33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33"/>
      <c r="EG65" s="33"/>
      <c r="EH65" s="33"/>
      <c r="EI65" s="33"/>
      <c r="EJ65" s="33"/>
      <c r="EK65" s="19"/>
      <c r="EL65" s="19"/>
    </row>
    <row r="66" spans="1:142" hidden="1" x14ac:dyDescent="0.25">
      <c r="A66" s="19" t="s">
        <v>164</v>
      </c>
      <c r="B66" s="19" t="s">
        <v>165</v>
      </c>
      <c r="C66" s="24" t="s">
        <v>159</v>
      </c>
      <c r="D66" s="19">
        <v>710</v>
      </c>
      <c r="E66" s="19" t="s">
        <v>158</v>
      </c>
      <c r="F66" s="20"/>
      <c r="G66" s="19">
        <f t="shared" ref="G66:G71" si="7">3.14*D66/1000</f>
        <v>2.2294</v>
      </c>
      <c r="H66" s="21">
        <f t="shared" si="5"/>
        <v>1.3153459999999999</v>
      </c>
      <c r="I66" s="19">
        <f t="shared" si="3"/>
        <v>0</v>
      </c>
      <c r="J66" s="19">
        <f t="shared" si="0"/>
        <v>0.59</v>
      </c>
      <c r="K66" s="19">
        <f t="shared" si="1"/>
        <v>0</v>
      </c>
      <c r="L66" s="21">
        <f t="shared" si="2"/>
        <v>0.59</v>
      </c>
      <c r="M66" s="25"/>
      <c r="N66" s="25"/>
      <c r="O66" s="19"/>
      <c r="P66" s="19"/>
      <c r="Q66" s="19"/>
      <c r="R66" s="19"/>
      <c r="S66" s="25"/>
      <c r="T66" s="25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>
        <f>0.295</f>
        <v>0.29499999999999998</v>
      </c>
      <c r="CD66" s="19">
        <f>0.295</f>
        <v>0.29499999999999998</v>
      </c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33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33"/>
      <c r="EG66" s="33"/>
      <c r="EH66" s="33"/>
      <c r="EI66" s="33"/>
      <c r="EJ66" s="33"/>
      <c r="EK66" s="19"/>
      <c r="EL66" s="19"/>
    </row>
    <row r="67" spans="1:142" hidden="1" x14ac:dyDescent="0.25">
      <c r="A67" s="19" t="s">
        <v>164</v>
      </c>
      <c r="B67" s="19" t="s">
        <v>165</v>
      </c>
      <c r="C67" s="19">
        <v>630</v>
      </c>
      <c r="D67" s="19">
        <v>630</v>
      </c>
      <c r="E67" s="19" t="s">
        <v>158</v>
      </c>
      <c r="F67" s="20"/>
      <c r="G67" s="19">
        <f t="shared" si="4"/>
        <v>2.52</v>
      </c>
      <c r="H67" s="21">
        <f t="shared" si="5"/>
        <v>13.499639999999998</v>
      </c>
      <c r="I67" s="19">
        <f t="shared" si="3"/>
        <v>0</v>
      </c>
      <c r="J67" s="19">
        <f t="shared" si="0"/>
        <v>5.3569999999999993</v>
      </c>
      <c r="K67" s="19">
        <f t="shared" si="1"/>
        <v>0</v>
      </c>
      <c r="L67" s="21">
        <f t="shared" si="2"/>
        <v>5.3569999999999993</v>
      </c>
      <c r="M67" s="25"/>
      <c r="N67" s="25"/>
      <c r="O67" s="19"/>
      <c r="P67" s="19"/>
      <c r="Q67" s="19"/>
      <c r="R67" s="19"/>
      <c r="S67" s="25"/>
      <c r="T67" s="25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33"/>
      <c r="CZ67" s="19"/>
      <c r="DA67" s="19"/>
      <c r="DB67" s="19">
        <f>0.775-0.2+2.43-0.2</f>
        <v>2.8049999999999997</v>
      </c>
      <c r="DC67" s="19"/>
      <c r="DD67" s="19">
        <f>1.925-0.2+1.027-0.2</f>
        <v>2.5519999999999996</v>
      </c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33"/>
      <c r="EG67" s="33"/>
      <c r="EH67" s="33"/>
      <c r="EI67" s="33"/>
      <c r="EJ67" s="33"/>
      <c r="EK67" s="19"/>
      <c r="EL67" s="19"/>
    </row>
    <row r="68" spans="1:142" hidden="1" x14ac:dyDescent="0.25">
      <c r="A68" s="19" t="s">
        <v>164</v>
      </c>
      <c r="B68" s="19" t="s">
        <v>165</v>
      </c>
      <c r="C68" s="19">
        <v>630</v>
      </c>
      <c r="D68" s="19">
        <v>320</v>
      </c>
      <c r="E68" s="19" t="s">
        <v>158</v>
      </c>
      <c r="F68" s="20"/>
      <c r="G68" s="19">
        <f t="shared" si="4"/>
        <v>1.9</v>
      </c>
      <c r="H68" s="21">
        <f t="shared" si="5"/>
        <v>257.94970000000001</v>
      </c>
      <c r="I68" s="19">
        <f t="shared" si="3"/>
        <v>69.049000000000007</v>
      </c>
      <c r="J68" s="19">
        <f t="shared" si="0"/>
        <v>27.44</v>
      </c>
      <c r="K68" s="19">
        <f t="shared" si="1"/>
        <v>39.273999999999994</v>
      </c>
      <c r="L68" s="21">
        <f t="shared" si="2"/>
        <v>135.76300000000001</v>
      </c>
      <c r="M68" s="25"/>
      <c r="N68" s="25"/>
      <c r="O68" s="19">
        <f>8.475-0.2+21.719</f>
        <v>29.994</v>
      </c>
      <c r="P68" s="19"/>
      <c r="Q68" s="19">
        <f>2.3-0.4+1.474</f>
        <v>3.3739999999999997</v>
      </c>
      <c r="R68" s="19">
        <f>2.3-0.4+1.474</f>
        <v>3.3739999999999997</v>
      </c>
      <c r="S68" s="19"/>
      <c r="T68" s="19"/>
      <c r="U68" s="19"/>
      <c r="V68" s="19">
        <f>6.869+17.748</f>
        <v>24.617000000000001</v>
      </c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>
        <f>7.69</f>
        <v>7.69</v>
      </c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>
        <f>2.025-0.4+17.779-0.2+5.25-3.45</f>
        <v>21.004000000000001</v>
      </c>
      <c r="BJ68" s="19"/>
      <c r="BK68" s="19"/>
      <c r="BL68" s="19">
        <f>2.475-0.2+4.561-0.4</f>
        <v>6.4359999999999999</v>
      </c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33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33"/>
      <c r="EG68" s="33"/>
      <c r="EH68" s="33"/>
      <c r="EI68" s="33">
        <f>0.774+0.8+37.9-0.2</f>
        <v>39.273999999999994</v>
      </c>
      <c r="EJ68" s="33"/>
      <c r="EK68" s="19"/>
      <c r="EL68" s="19"/>
    </row>
    <row r="69" spans="1:142" hidden="1" x14ac:dyDescent="0.25">
      <c r="A69" s="19" t="s">
        <v>164</v>
      </c>
      <c r="B69" s="19" t="s">
        <v>165</v>
      </c>
      <c r="C69" s="19">
        <v>630</v>
      </c>
      <c r="D69" s="19">
        <v>250</v>
      </c>
      <c r="E69" s="19" t="s">
        <v>158</v>
      </c>
      <c r="F69" s="20"/>
      <c r="G69" s="19">
        <f t="shared" si="4"/>
        <v>1.76</v>
      </c>
      <c r="H69" s="21">
        <f t="shared" si="5"/>
        <v>15.84</v>
      </c>
      <c r="I69" s="19">
        <f t="shared" si="3"/>
        <v>9</v>
      </c>
      <c r="J69" s="19">
        <f t="shared" ref="J69:J132" si="8">SUM(AW69:EE69)</f>
        <v>0</v>
      </c>
      <c r="K69" s="19">
        <f t="shared" ref="K69:K132" si="9">SUM(EF69:EM69)</f>
        <v>0</v>
      </c>
      <c r="L69" s="21">
        <f t="shared" ref="L69:L132" si="10">SUM(M69:EM69)</f>
        <v>9</v>
      </c>
      <c r="M69" s="25"/>
      <c r="N69" s="25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>
        <f>9</f>
        <v>9</v>
      </c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33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33"/>
      <c r="EG69" s="33"/>
      <c r="EH69" s="33"/>
      <c r="EI69" s="33"/>
      <c r="EJ69" s="33"/>
      <c r="EK69" s="19"/>
      <c r="EL69" s="19"/>
    </row>
    <row r="70" spans="1:142" hidden="1" x14ac:dyDescent="0.25">
      <c r="A70" s="19" t="s">
        <v>164</v>
      </c>
      <c r="B70" s="19" t="s">
        <v>165</v>
      </c>
      <c r="C70" s="24" t="s">
        <v>159</v>
      </c>
      <c r="D70" s="19">
        <v>630</v>
      </c>
      <c r="E70" s="19" t="s">
        <v>158</v>
      </c>
      <c r="F70" s="20"/>
      <c r="G70" s="19">
        <f t="shared" si="7"/>
        <v>1.9782</v>
      </c>
      <c r="H70" s="21">
        <f t="shared" si="5"/>
        <v>0.39563999999999999</v>
      </c>
      <c r="I70" s="19">
        <f t="shared" ref="I70:I133" si="11">SUM(M70:AV70)</f>
        <v>0</v>
      </c>
      <c r="J70" s="19">
        <f t="shared" si="8"/>
        <v>0.2</v>
      </c>
      <c r="K70" s="19">
        <f t="shared" si="9"/>
        <v>0</v>
      </c>
      <c r="L70" s="21">
        <f t="shared" si="10"/>
        <v>0.2</v>
      </c>
      <c r="M70" s="25"/>
      <c r="N70" s="25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>
        <f>0.2</f>
        <v>0.2</v>
      </c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33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33"/>
      <c r="EG70" s="33"/>
      <c r="EH70" s="33"/>
      <c r="EI70" s="33"/>
      <c r="EJ70" s="33"/>
      <c r="EK70" s="19"/>
      <c r="EL70" s="19"/>
    </row>
    <row r="71" spans="1:142" hidden="1" x14ac:dyDescent="0.25">
      <c r="A71" s="19" t="s">
        <v>164</v>
      </c>
      <c r="B71" s="19" t="s">
        <v>165</v>
      </c>
      <c r="C71" s="24" t="s">
        <v>159</v>
      </c>
      <c r="D71" s="19">
        <v>600</v>
      </c>
      <c r="E71" s="19" t="s">
        <v>158</v>
      </c>
      <c r="F71" s="20"/>
      <c r="G71" s="19">
        <f t="shared" si="7"/>
        <v>1.8839999999999999</v>
      </c>
      <c r="H71" s="21">
        <f t="shared" si="5"/>
        <v>28.205363999999999</v>
      </c>
      <c r="I71" s="19">
        <f t="shared" si="11"/>
        <v>14.971</v>
      </c>
      <c r="J71" s="19">
        <f t="shared" si="8"/>
        <v>0</v>
      </c>
      <c r="K71" s="19">
        <f t="shared" si="9"/>
        <v>0</v>
      </c>
      <c r="L71" s="21">
        <f t="shared" si="10"/>
        <v>14.971</v>
      </c>
      <c r="M71" s="25"/>
      <c r="N71" s="25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>
        <f>2.4-0.2+2.143+3.5-0.2+1.124</f>
        <v>8.7669999999999995</v>
      </c>
      <c r="AA71" s="19"/>
      <c r="AB71" s="19"/>
      <c r="AC71" s="19"/>
      <c r="AD71" s="19"/>
      <c r="AE71" s="19"/>
      <c r="AF71" s="19"/>
      <c r="AG71" s="19">
        <f>1.85-0.2+4.754-0.2</f>
        <v>6.2039999999999997</v>
      </c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33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33"/>
      <c r="EG71" s="33"/>
      <c r="EH71" s="33"/>
      <c r="EI71" s="33"/>
      <c r="EJ71" s="33"/>
      <c r="EK71" s="19"/>
      <c r="EL71" s="19"/>
    </row>
    <row r="72" spans="1:142" hidden="1" x14ac:dyDescent="0.25">
      <c r="A72" s="19" t="s">
        <v>164</v>
      </c>
      <c r="B72" s="19" t="s">
        <v>165</v>
      </c>
      <c r="C72" s="19">
        <v>600</v>
      </c>
      <c r="D72" s="19">
        <v>400</v>
      </c>
      <c r="E72" s="19" t="s">
        <v>158</v>
      </c>
      <c r="F72" s="20"/>
      <c r="G72" s="19">
        <f t="shared" si="4"/>
        <v>2</v>
      </c>
      <c r="H72" s="21">
        <f t="shared" si="5"/>
        <v>98.144000000000005</v>
      </c>
      <c r="I72" s="19">
        <f t="shared" si="11"/>
        <v>49.072000000000003</v>
      </c>
      <c r="J72" s="19">
        <f t="shared" si="8"/>
        <v>0</v>
      </c>
      <c r="K72" s="19">
        <f t="shared" si="9"/>
        <v>0</v>
      </c>
      <c r="L72" s="21">
        <f t="shared" si="10"/>
        <v>49.072000000000003</v>
      </c>
      <c r="M72" s="25"/>
      <c r="N72" s="25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>
        <f>7.425</f>
        <v>7.4249999999999998</v>
      </c>
      <c r="AA72" s="19"/>
      <c r="AB72" s="19"/>
      <c r="AC72" s="19"/>
      <c r="AD72" s="19"/>
      <c r="AE72" s="19"/>
      <c r="AF72" s="19"/>
      <c r="AG72" s="19">
        <f>5.114+20.289+16.244</f>
        <v>41.647000000000006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33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33"/>
      <c r="EG72" s="33"/>
      <c r="EH72" s="33"/>
      <c r="EI72" s="33"/>
      <c r="EJ72" s="33"/>
      <c r="EK72" s="19"/>
      <c r="EL72" s="19"/>
    </row>
    <row r="73" spans="1:142" hidden="1" x14ac:dyDescent="0.25">
      <c r="A73" s="19" t="s">
        <v>164</v>
      </c>
      <c r="B73" s="19" t="s">
        <v>165</v>
      </c>
      <c r="C73" s="19">
        <v>600</v>
      </c>
      <c r="D73" s="19">
        <v>320</v>
      </c>
      <c r="E73" s="19" t="s">
        <v>158</v>
      </c>
      <c r="F73" s="20"/>
      <c r="G73" s="19">
        <f t="shared" si="4"/>
        <v>1.8399999999999999</v>
      </c>
      <c r="H73" s="21">
        <f t="shared" si="5"/>
        <v>6.3535199999999996</v>
      </c>
      <c r="I73" s="19">
        <f t="shared" si="11"/>
        <v>0</v>
      </c>
      <c r="J73" s="19">
        <f t="shared" si="8"/>
        <v>3.4529999999999998</v>
      </c>
      <c r="K73" s="19">
        <f t="shared" si="9"/>
        <v>0</v>
      </c>
      <c r="L73" s="21">
        <f t="shared" si="10"/>
        <v>3.4529999999999998</v>
      </c>
      <c r="M73" s="25"/>
      <c r="N73" s="25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>
        <f>1.324-0.2+2.529-0.2</f>
        <v>3.4529999999999998</v>
      </c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33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33"/>
      <c r="EG73" s="33"/>
      <c r="EH73" s="33"/>
      <c r="EI73" s="33"/>
      <c r="EJ73" s="33"/>
      <c r="EK73" s="19"/>
      <c r="EL73" s="19"/>
    </row>
    <row r="74" spans="1:142" hidden="1" x14ac:dyDescent="0.25">
      <c r="A74" s="19" t="s">
        <v>164</v>
      </c>
      <c r="B74" s="19" t="s">
        <v>165</v>
      </c>
      <c r="C74" s="19">
        <v>500</v>
      </c>
      <c r="D74" s="19">
        <v>400</v>
      </c>
      <c r="E74" s="19" t="s">
        <v>158</v>
      </c>
      <c r="F74" s="20"/>
      <c r="G74" s="19">
        <f t="shared" si="4"/>
        <v>1.8</v>
      </c>
      <c r="H74" s="21">
        <f t="shared" si="5"/>
        <v>57.412800000000004</v>
      </c>
      <c r="I74" s="19">
        <f t="shared" si="11"/>
        <v>31.896000000000001</v>
      </c>
      <c r="J74" s="19">
        <f t="shared" si="8"/>
        <v>0</v>
      </c>
      <c r="K74" s="19">
        <f t="shared" si="9"/>
        <v>0</v>
      </c>
      <c r="L74" s="21">
        <f t="shared" si="10"/>
        <v>31.896000000000001</v>
      </c>
      <c r="M74" s="25"/>
      <c r="N74" s="25"/>
      <c r="O74" s="19"/>
      <c r="P74" s="19"/>
      <c r="Q74" s="19"/>
      <c r="R74" s="19"/>
      <c r="S74" s="19"/>
      <c r="T74" s="19"/>
      <c r="U74" s="19"/>
      <c r="V74" s="19"/>
      <c r="W74" s="19"/>
      <c r="X74" s="19">
        <f>6.862+3.137+4.405+17.492</f>
        <v>31.896000000000001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33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33"/>
      <c r="EG74" s="33"/>
      <c r="EH74" s="33"/>
      <c r="EI74" s="33"/>
      <c r="EJ74" s="33"/>
      <c r="EK74" s="19"/>
      <c r="EL74" s="19"/>
    </row>
    <row r="75" spans="1:142" hidden="1" x14ac:dyDescent="0.25">
      <c r="A75" s="19" t="s">
        <v>164</v>
      </c>
      <c r="B75" s="19" t="s">
        <v>165</v>
      </c>
      <c r="C75" s="19">
        <v>500</v>
      </c>
      <c r="D75" s="19">
        <v>320</v>
      </c>
      <c r="E75" s="19" t="s">
        <v>158</v>
      </c>
      <c r="F75" s="20"/>
      <c r="G75" s="19">
        <f t="shared" si="4"/>
        <v>1.6400000000000001</v>
      </c>
      <c r="H75" s="21">
        <f t="shared" si="5"/>
        <v>185.59880000000001</v>
      </c>
      <c r="I75" s="19">
        <f t="shared" si="11"/>
        <v>27.613999999999997</v>
      </c>
      <c r="J75" s="19">
        <f t="shared" si="8"/>
        <v>85.555999999999997</v>
      </c>
      <c r="K75" s="19">
        <f t="shared" si="9"/>
        <v>0</v>
      </c>
      <c r="L75" s="21">
        <f t="shared" si="10"/>
        <v>113.17</v>
      </c>
      <c r="M75" s="25"/>
      <c r="N75" s="25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>
        <f>5.6+8.008+5.606</f>
        <v>19.213999999999999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>
        <f>8.4</f>
        <v>8.4</v>
      </c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>
        <f>2.525-0.2+12.425-0.4+9.1+2.3+5.605-0.2</f>
        <v>31.155000000000001</v>
      </c>
      <c r="BN75" s="19"/>
      <c r="BO75" s="19">
        <f>2.529+16.175-0.4+3.54+(5.9-5.25)</f>
        <v>22.494</v>
      </c>
      <c r="BP75" s="19"/>
      <c r="BQ75" s="19">
        <f>3.079+5.925-0.8+1.3+5.25-4.75</f>
        <v>10.004</v>
      </c>
      <c r="BR75" s="19"/>
      <c r="BS75" s="19">
        <f>2.529-0.2+1.324+1.1-0.2</f>
        <v>4.5529999999999999</v>
      </c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33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>
        <f>14.2+6.6-3.45</f>
        <v>17.349999999999998</v>
      </c>
      <c r="DY75" s="19"/>
      <c r="DZ75" s="19"/>
      <c r="EA75" s="19"/>
      <c r="EB75" s="19"/>
      <c r="EC75" s="19"/>
      <c r="ED75" s="19"/>
      <c r="EE75" s="19"/>
      <c r="EF75" s="33"/>
      <c r="EG75" s="33"/>
      <c r="EH75" s="33"/>
      <c r="EI75" s="33"/>
      <c r="EJ75" s="33"/>
      <c r="EK75" s="19"/>
      <c r="EL75" s="19"/>
    </row>
    <row r="76" spans="1:142" hidden="1" x14ac:dyDescent="0.25">
      <c r="A76" s="19" t="s">
        <v>164</v>
      </c>
      <c r="B76" s="19" t="s">
        <v>165</v>
      </c>
      <c r="C76" s="19">
        <v>500</v>
      </c>
      <c r="D76" s="19">
        <v>250</v>
      </c>
      <c r="E76" s="19" t="s">
        <v>158</v>
      </c>
      <c r="F76" s="20"/>
      <c r="G76" s="19">
        <f t="shared" si="4"/>
        <v>1.5</v>
      </c>
      <c r="H76" s="21">
        <f t="shared" si="5"/>
        <v>39.630000000000003</v>
      </c>
      <c r="I76" s="19">
        <f t="shared" si="11"/>
        <v>14.7</v>
      </c>
      <c r="J76" s="19">
        <f t="shared" si="8"/>
        <v>11.72</v>
      </c>
      <c r="K76" s="19">
        <f t="shared" si="9"/>
        <v>0</v>
      </c>
      <c r="L76" s="21">
        <f t="shared" si="10"/>
        <v>26.42</v>
      </c>
      <c r="M76" s="25"/>
      <c r="N76" s="25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>
        <f>8.4</f>
        <v>8.4</v>
      </c>
      <c r="AC76" s="19"/>
      <c r="AD76" s="19"/>
      <c r="AE76" s="19"/>
      <c r="AF76" s="19"/>
      <c r="AG76" s="19"/>
      <c r="AH76" s="19"/>
      <c r="AI76" s="19"/>
      <c r="AJ76" s="19"/>
      <c r="AK76" s="19">
        <v>6.3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>
        <f>11.72</f>
        <v>11.72</v>
      </c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33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33"/>
      <c r="EG76" s="33"/>
      <c r="EH76" s="33"/>
      <c r="EI76" s="33"/>
      <c r="EJ76" s="33"/>
      <c r="EK76" s="19"/>
      <c r="EL76" s="19"/>
    </row>
    <row r="77" spans="1:142" hidden="1" x14ac:dyDescent="0.25">
      <c r="A77" s="19" t="s">
        <v>164</v>
      </c>
      <c r="B77" s="19" t="s">
        <v>165</v>
      </c>
      <c r="C77" s="19">
        <v>500</v>
      </c>
      <c r="D77" s="19">
        <v>200</v>
      </c>
      <c r="E77" s="19" t="s">
        <v>158</v>
      </c>
      <c r="F77" s="20"/>
      <c r="G77" s="19">
        <f>(C77/1000+D77/1000)*2</f>
        <v>1.4</v>
      </c>
      <c r="H77" s="21">
        <f t="shared" ref="H77:H126" si="12">G77*L77</f>
        <v>19.801600000000001</v>
      </c>
      <c r="I77" s="19">
        <f t="shared" si="11"/>
        <v>0</v>
      </c>
      <c r="J77" s="19">
        <f t="shared" si="8"/>
        <v>14.144</v>
      </c>
      <c r="K77" s="19">
        <f t="shared" si="9"/>
        <v>0</v>
      </c>
      <c r="L77" s="21">
        <f t="shared" si="10"/>
        <v>14.144</v>
      </c>
      <c r="M77" s="25"/>
      <c r="N77" s="25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33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>
        <f>1.223+8.217-0.4</f>
        <v>9.0400000000000009</v>
      </c>
      <c r="DR77" s="19"/>
      <c r="DS77" s="19"/>
      <c r="DT77" s="19"/>
      <c r="DU77" s="19"/>
      <c r="DV77" s="19"/>
      <c r="DW77" s="19"/>
      <c r="DX77" s="19">
        <f>1.223+4.281-0.4</f>
        <v>5.1039999999999992</v>
      </c>
      <c r="DY77" s="19"/>
      <c r="DZ77" s="19"/>
      <c r="EA77" s="19"/>
      <c r="EB77" s="19"/>
      <c r="EC77" s="19"/>
      <c r="ED77" s="19"/>
      <c r="EE77" s="19"/>
      <c r="EF77" s="33"/>
      <c r="EG77" s="33"/>
      <c r="EH77" s="33"/>
      <c r="EI77" s="33"/>
      <c r="EJ77" s="33"/>
      <c r="EK77" s="19"/>
      <c r="EL77" s="19"/>
    </row>
    <row r="78" spans="1:142" hidden="1" x14ac:dyDescent="0.25">
      <c r="A78" s="19" t="s">
        <v>164</v>
      </c>
      <c r="B78" s="19" t="s">
        <v>165</v>
      </c>
      <c r="C78" s="24" t="s">
        <v>159</v>
      </c>
      <c r="D78" s="19">
        <v>500</v>
      </c>
      <c r="E78" s="19" t="s">
        <v>158</v>
      </c>
      <c r="F78" s="20"/>
      <c r="G78" s="19">
        <f>3.14*D78/1000</f>
        <v>1.57</v>
      </c>
      <c r="H78" s="21">
        <f t="shared" si="12"/>
        <v>85.48178999999999</v>
      </c>
      <c r="I78" s="19">
        <f t="shared" si="11"/>
        <v>54.446999999999996</v>
      </c>
      <c r="J78" s="19">
        <f t="shared" si="8"/>
        <v>0</v>
      </c>
      <c r="K78" s="19">
        <f t="shared" si="9"/>
        <v>0</v>
      </c>
      <c r="L78" s="21">
        <f t="shared" si="10"/>
        <v>54.446999999999996</v>
      </c>
      <c r="M78" s="25"/>
      <c r="N78" s="25"/>
      <c r="O78" s="19"/>
      <c r="P78" s="19">
        <f>8.557-0.2+10.305-1.37+2.669-0.2+20.227</f>
        <v>39.988</v>
      </c>
      <c r="Q78" s="19"/>
      <c r="R78" s="19"/>
      <c r="S78" s="19"/>
      <c r="T78" s="19"/>
      <c r="U78" s="19"/>
      <c r="V78" s="19">
        <f>8.9</f>
        <v>8.9</v>
      </c>
      <c r="W78" s="19"/>
      <c r="X78" s="19">
        <f>5.325-0.4+0.634</f>
        <v>5.5590000000000002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33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33"/>
      <c r="EG78" s="33"/>
      <c r="EH78" s="33"/>
      <c r="EI78" s="33"/>
      <c r="EJ78" s="33"/>
      <c r="EK78" s="19"/>
      <c r="EL78" s="19"/>
    </row>
    <row r="79" spans="1:142" hidden="1" x14ac:dyDescent="0.25">
      <c r="A79" s="19" t="s">
        <v>164</v>
      </c>
      <c r="B79" s="19" t="s">
        <v>166</v>
      </c>
      <c r="C79" s="19">
        <v>400</v>
      </c>
      <c r="D79" s="19">
        <v>320</v>
      </c>
      <c r="E79" s="19" t="s">
        <v>158</v>
      </c>
      <c r="F79" s="20"/>
      <c r="G79" s="19">
        <f t="shared" ref="G79:G84" si="13">(C79/1000+D79/1000)*2</f>
        <v>1.44</v>
      </c>
      <c r="H79" s="21">
        <f t="shared" si="12"/>
        <v>62.599679999999999</v>
      </c>
      <c r="I79" s="19">
        <f t="shared" si="11"/>
        <v>12.100000000000001</v>
      </c>
      <c r="J79" s="19">
        <f t="shared" si="8"/>
        <v>19.752000000000002</v>
      </c>
      <c r="K79" s="19">
        <f t="shared" si="9"/>
        <v>11.62</v>
      </c>
      <c r="L79" s="21">
        <f t="shared" si="10"/>
        <v>43.472000000000001</v>
      </c>
      <c r="M79" s="25"/>
      <c r="N79" s="25"/>
      <c r="O79" s="19"/>
      <c r="P79" s="19"/>
      <c r="Q79" s="19"/>
      <c r="R79" s="19"/>
      <c r="S79" s="19"/>
      <c r="T79" s="19"/>
      <c r="U79" s="19"/>
      <c r="V79" s="19">
        <f>2.7</f>
        <v>2.7</v>
      </c>
      <c r="W79" s="19"/>
      <c r="X79" s="19"/>
      <c r="Y79" s="19"/>
      <c r="Z79" s="19"/>
      <c r="AA79" s="19"/>
      <c r="AB79" s="19"/>
      <c r="AC79" s="19"/>
      <c r="AD79" s="19"/>
      <c r="AE79" s="25">
        <f>9.6-0.2</f>
        <v>9.4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>
        <f>2.446+9.914+5.2+4.472-0.2-2.08</f>
        <v>19.752000000000002</v>
      </c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33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33"/>
      <c r="EG79" s="33"/>
      <c r="EH79" s="33"/>
      <c r="EI79" s="33">
        <f>11.62</f>
        <v>11.62</v>
      </c>
      <c r="EJ79" s="33"/>
      <c r="EK79" s="19"/>
      <c r="EL79" s="19"/>
    </row>
    <row r="80" spans="1:142" hidden="1" x14ac:dyDescent="0.25">
      <c r="A80" s="19" t="s">
        <v>164</v>
      </c>
      <c r="B80" s="19" t="s">
        <v>166</v>
      </c>
      <c r="C80" s="19">
        <v>400</v>
      </c>
      <c r="D80" s="19">
        <v>250</v>
      </c>
      <c r="E80" s="19" t="s">
        <v>158</v>
      </c>
      <c r="F80" s="20"/>
      <c r="G80" s="19">
        <f t="shared" si="13"/>
        <v>1.3</v>
      </c>
      <c r="H80" s="21">
        <f t="shared" si="12"/>
        <v>65.782600000000002</v>
      </c>
      <c r="I80" s="19">
        <f t="shared" si="11"/>
        <v>0</v>
      </c>
      <c r="J80" s="19">
        <f t="shared" si="8"/>
        <v>50.601999999999997</v>
      </c>
      <c r="K80" s="19">
        <f t="shared" si="9"/>
        <v>0</v>
      </c>
      <c r="L80" s="21">
        <f t="shared" si="10"/>
        <v>50.601999999999997</v>
      </c>
      <c r="M80" s="25"/>
      <c r="N80" s="25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5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>
        <f>1.75-0.2+4.15+25.855-0.4+5.25-3.45</f>
        <v>32.954999999999998</v>
      </c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>
        <f>1.28+2.449-0.2+2.133+2.156+2.08-0.2</f>
        <v>9.6980000000000004</v>
      </c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33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>
        <f>2.809-0.4+1.167+3.423-0.2+1.15</f>
        <v>7.9489999999999998</v>
      </c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33"/>
      <c r="EG80" s="33"/>
      <c r="EH80" s="33"/>
      <c r="EI80" s="33"/>
      <c r="EJ80" s="33"/>
      <c r="EK80" s="19"/>
      <c r="EL80" s="19"/>
    </row>
    <row r="81" spans="1:142" hidden="1" x14ac:dyDescent="0.25">
      <c r="A81" s="19" t="s">
        <v>164</v>
      </c>
      <c r="B81" s="19" t="s">
        <v>166</v>
      </c>
      <c r="C81" s="19">
        <v>320</v>
      </c>
      <c r="D81" s="19">
        <v>320</v>
      </c>
      <c r="E81" s="19" t="s">
        <v>158</v>
      </c>
      <c r="F81" s="20"/>
      <c r="G81" s="19">
        <f t="shared" si="13"/>
        <v>1.28</v>
      </c>
      <c r="H81" s="21">
        <f t="shared" si="12"/>
        <v>10.036479999999999</v>
      </c>
      <c r="I81" s="19">
        <f t="shared" si="11"/>
        <v>2.0999999999999996</v>
      </c>
      <c r="J81" s="19">
        <f t="shared" si="8"/>
        <v>0</v>
      </c>
      <c r="K81" s="19">
        <f t="shared" si="9"/>
        <v>5.7409999999999997</v>
      </c>
      <c r="L81" s="21">
        <f t="shared" si="10"/>
        <v>7.8409999999999993</v>
      </c>
      <c r="M81" s="19"/>
      <c r="N81" s="19"/>
      <c r="O81" s="25">
        <f>2.3-0.2</f>
        <v>2.0999999999999996</v>
      </c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33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33"/>
      <c r="EG81" s="33"/>
      <c r="EH81" s="33"/>
      <c r="EI81" s="34">
        <f>5.741</f>
        <v>5.7409999999999997</v>
      </c>
      <c r="EJ81" s="33"/>
      <c r="EK81" s="19"/>
      <c r="EL81" s="19"/>
    </row>
    <row r="82" spans="1:142" hidden="1" x14ac:dyDescent="0.25">
      <c r="A82" s="19" t="s">
        <v>164</v>
      </c>
      <c r="B82" s="19" t="s">
        <v>166</v>
      </c>
      <c r="C82" s="24">
        <v>320</v>
      </c>
      <c r="D82" s="19">
        <v>250</v>
      </c>
      <c r="E82" s="19" t="s">
        <v>158</v>
      </c>
      <c r="F82" s="20"/>
      <c r="G82" s="19">
        <f t="shared" si="13"/>
        <v>1.1400000000000001</v>
      </c>
      <c r="H82" s="21">
        <f t="shared" si="12"/>
        <v>135.01248000000001</v>
      </c>
      <c r="I82" s="19">
        <f t="shared" si="11"/>
        <v>116.33199999999999</v>
      </c>
      <c r="J82" s="19">
        <f t="shared" si="8"/>
        <v>2.0999999999999996</v>
      </c>
      <c r="K82" s="19">
        <f t="shared" si="9"/>
        <v>0</v>
      </c>
      <c r="L82" s="21">
        <f t="shared" si="10"/>
        <v>118.43199999999999</v>
      </c>
      <c r="M82" s="19"/>
      <c r="N82" s="19"/>
      <c r="O82" s="25"/>
      <c r="P82" s="19"/>
      <c r="Q82" s="19"/>
      <c r="R82" s="19"/>
      <c r="S82" s="19"/>
      <c r="T82" s="19"/>
      <c r="U82" s="19"/>
      <c r="V82" s="25">
        <f>5.7+(2.963+3.763*4)+17.954+3.742</f>
        <v>45.410999999999994</v>
      </c>
      <c r="W82" s="19"/>
      <c r="X82" s="19"/>
      <c r="Y82" s="19"/>
      <c r="Z82" s="19"/>
      <c r="AA82" s="19"/>
      <c r="AB82" s="19">
        <f>8.101+12.564+12.564+12.564+12.564+12.564</f>
        <v>70.920999999999992</v>
      </c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>
        <f>2.3-0.2</f>
        <v>2.0999999999999996</v>
      </c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33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33"/>
      <c r="EG82" s="33"/>
      <c r="EH82" s="33"/>
      <c r="EI82" s="33"/>
      <c r="EJ82" s="33"/>
      <c r="EK82" s="19"/>
      <c r="EL82" s="19"/>
    </row>
    <row r="83" spans="1:142" hidden="1" x14ac:dyDescent="0.25">
      <c r="A83" s="19" t="s">
        <v>164</v>
      </c>
      <c r="B83" s="19" t="s">
        <v>166</v>
      </c>
      <c r="C83" s="24">
        <v>320</v>
      </c>
      <c r="D83" s="19">
        <v>160</v>
      </c>
      <c r="E83" s="19" t="s">
        <v>158</v>
      </c>
      <c r="F83" s="20"/>
      <c r="G83" s="19">
        <f t="shared" si="13"/>
        <v>0.96</v>
      </c>
      <c r="H83" s="21">
        <f t="shared" si="12"/>
        <v>104.29727999999999</v>
      </c>
      <c r="I83" s="19">
        <f t="shared" si="11"/>
        <v>108.64299999999999</v>
      </c>
      <c r="J83" s="19">
        <f t="shared" si="8"/>
        <v>0</v>
      </c>
      <c r="K83" s="19">
        <f t="shared" si="9"/>
        <v>0</v>
      </c>
      <c r="L83" s="21">
        <f t="shared" si="10"/>
        <v>108.64299999999999</v>
      </c>
      <c r="M83" s="19"/>
      <c r="N83" s="19"/>
      <c r="O83" s="25"/>
      <c r="P83" s="19"/>
      <c r="Q83" s="19"/>
      <c r="R83" s="19"/>
      <c r="S83" s="19"/>
      <c r="T83" s="19"/>
      <c r="U83" s="19"/>
      <c r="V83" s="32">
        <f>8.367+3.786+12.963</f>
        <v>25.116</v>
      </c>
      <c r="W83" s="19"/>
      <c r="X83" s="19"/>
      <c r="Y83" s="19"/>
      <c r="Z83" s="19"/>
      <c r="AA83" s="19"/>
      <c r="AB83" s="19">
        <f>10.003+9.904</f>
        <v>19.907</v>
      </c>
      <c r="AC83" s="19"/>
      <c r="AD83" s="19"/>
      <c r="AE83" s="19"/>
      <c r="AF83" s="19"/>
      <c r="AG83" s="19"/>
      <c r="AH83" s="19"/>
      <c r="AI83" s="19"/>
      <c r="AJ83" s="19"/>
      <c r="AK83" s="19">
        <f>4.178+13.646+31.964+14.032-0.2</f>
        <v>63.61999999999999</v>
      </c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33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33"/>
      <c r="EG83" s="33"/>
      <c r="EH83" s="33"/>
      <c r="EI83" s="33"/>
      <c r="EJ83" s="33"/>
      <c r="EK83" s="19"/>
      <c r="EL83" s="19"/>
    </row>
    <row r="84" spans="1:142" hidden="1" x14ac:dyDescent="0.25">
      <c r="A84" s="19" t="s">
        <v>164</v>
      </c>
      <c r="B84" s="19" t="s">
        <v>166</v>
      </c>
      <c r="C84" s="24">
        <v>320</v>
      </c>
      <c r="D84" s="19">
        <v>120</v>
      </c>
      <c r="E84" s="19" t="s">
        <v>158</v>
      </c>
      <c r="F84" s="20"/>
      <c r="G84" s="19">
        <f t="shared" si="13"/>
        <v>0.88</v>
      </c>
      <c r="H84" s="21">
        <f t="shared" si="12"/>
        <v>18.43336</v>
      </c>
      <c r="I84" s="19">
        <f t="shared" si="11"/>
        <v>18.788</v>
      </c>
      <c r="J84" s="19">
        <f t="shared" si="8"/>
        <v>2.1589999999999998</v>
      </c>
      <c r="K84" s="19">
        <f t="shared" si="9"/>
        <v>0</v>
      </c>
      <c r="L84" s="21">
        <f t="shared" si="10"/>
        <v>20.946999999999999</v>
      </c>
      <c r="M84" s="19"/>
      <c r="N84" s="19"/>
      <c r="O84" s="25"/>
      <c r="P84" s="19"/>
      <c r="Q84" s="19"/>
      <c r="R84" s="19"/>
      <c r="S84" s="19"/>
      <c r="T84" s="19"/>
      <c r="U84" s="19"/>
      <c r="V84" s="32"/>
      <c r="W84" s="19"/>
      <c r="X84" s="19"/>
      <c r="Y84" s="19"/>
      <c r="Z84" s="19"/>
      <c r="AA84" s="19"/>
      <c r="AB84" s="19">
        <f>6.146+12.642</f>
        <v>18.788</v>
      </c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>
        <f>0.75+1.609-0.2</f>
        <v>2.1589999999999998</v>
      </c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33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33"/>
      <c r="EG84" s="33"/>
      <c r="EH84" s="33"/>
      <c r="EI84" s="33"/>
      <c r="EJ84" s="33"/>
      <c r="EK84" s="19"/>
      <c r="EL84" s="19"/>
    </row>
    <row r="85" spans="1:142" hidden="1" x14ac:dyDescent="0.25">
      <c r="A85" s="19" t="s">
        <v>164</v>
      </c>
      <c r="B85" s="19" t="s">
        <v>167</v>
      </c>
      <c r="C85" s="24" t="s">
        <v>159</v>
      </c>
      <c r="D85" s="19">
        <v>300</v>
      </c>
      <c r="E85" s="19" t="s">
        <v>158</v>
      </c>
      <c r="F85" s="20"/>
      <c r="G85" s="19">
        <f>3.14*D85/1000</f>
        <v>0.94199999999999995</v>
      </c>
      <c r="H85" s="21">
        <f t="shared" si="12"/>
        <v>4.1448</v>
      </c>
      <c r="I85" s="19">
        <f t="shared" si="11"/>
        <v>0</v>
      </c>
      <c r="J85" s="19">
        <f t="shared" si="8"/>
        <v>4.4000000000000004</v>
      </c>
      <c r="K85" s="19">
        <f t="shared" si="9"/>
        <v>0</v>
      </c>
      <c r="L85" s="21">
        <f t="shared" si="10"/>
        <v>4.4000000000000004</v>
      </c>
      <c r="M85" s="19"/>
      <c r="N85" s="19"/>
      <c r="O85" s="25"/>
      <c r="P85" s="19"/>
      <c r="Q85" s="19"/>
      <c r="R85" s="19"/>
      <c r="S85" s="19"/>
      <c r="T85" s="19"/>
      <c r="U85" s="19"/>
      <c r="V85" s="32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>
        <f>0.1+0.1+0.1+0.1</f>
        <v>0.4</v>
      </c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33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>
        <f>4</f>
        <v>4</v>
      </c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33"/>
      <c r="EG85" s="33"/>
      <c r="EH85" s="33"/>
      <c r="EI85" s="33"/>
      <c r="EJ85" s="33"/>
      <c r="EK85" s="19"/>
      <c r="EL85" s="19"/>
    </row>
    <row r="86" spans="1:142" hidden="1" x14ac:dyDescent="0.25">
      <c r="A86" s="19" t="s">
        <v>164</v>
      </c>
      <c r="B86" s="19" t="s">
        <v>167</v>
      </c>
      <c r="C86" s="24">
        <v>250</v>
      </c>
      <c r="D86" s="19">
        <v>160</v>
      </c>
      <c r="E86" s="19" t="s">
        <v>158</v>
      </c>
      <c r="F86" s="20"/>
      <c r="G86" s="19">
        <f>(C86/1000+D86/1000)*2</f>
        <v>0.82000000000000006</v>
      </c>
      <c r="H86" s="21">
        <f t="shared" si="12"/>
        <v>38.550660000000008</v>
      </c>
      <c r="I86" s="19">
        <f t="shared" si="11"/>
        <v>47.013000000000005</v>
      </c>
      <c r="J86" s="19">
        <f t="shared" si="8"/>
        <v>0</v>
      </c>
      <c r="K86" s="19">
        <f t="shared" si="9"/>
        <v>0</v>
      </c>
      <c r="L86" s="21">
        <f t="shared" si="10"/>
        <v>47.013000000000005</v>
      </c>
      <c r="M86" s="19"/>
      <c r="N86" s="19"/>
      <c r="O86" s="25"/>
      <c r="P86" s="19"/>
      <c r="Q86" s="19"/>
      <c r="R86" s="19"/>
      <c r="S86" s="19"/>
      <c r="T86" s="19"/>
      <c r="U86" s="19"/>
      <c r="V86" s="32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25">
        <f>10.425+10.43+5.279+10.469+10.41</f>
        <v>47.013000000000005</v>
      </c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33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33"/>
      <c r="EG86" s="33"/>
      <c r="EH86" s="33"/>
      <c r="EI86" s="33"/>
      <c r="EJ86" s="33"/>
      <c r="EK86" s="19"/>
      <c r="EL86" s="19"/>
    </row>
    <row r="87" spans="1:142" hidden="1" x14ac:dyDescent="0.25">
      <c r="A87" s="19" t="s">
        <v>164</v>
      </c>
      <c r="B87" s="19" t="s">
        <v>167</v>
      </c>
      <c r="C87" s="24" t="s">
        <v>159</v>
      </c>
      <c r="D87" s="19">
        <v>200</v>
      </c>
      <c r="E87" s="19" t="s">
        <v>158</v>
      </c>
      <c r="F87" s="20"/>
      <c r="G87" s="19">
        <f>3.14*D87/1000</f>
        <v>0.628</v>
      </c>
      <c r="H87" s="21">
        <f t="shared" si="12"/>
        <v>9.5424600000000002</v>
      </c>
      <c r="I87" s="19">
        <f t="shared" si="11"/>
        <v>1.099</v>
      </c>
      <c r="J87" s="19">
        <f t="shared" si="8"/>
        <v>12.847</v>
      </c>
      <c r="K87" s="19">
        <f t="shared" si="9"/>
        <v>1.2490000000000001</v>
      </c>
      <c r="L87" s="21">
        <f t="shared" si="10"/>
        <v>15.195</v>
      </c>
      <c r="M87" s="19"/>
      <c r="N87" s="19"/>
      <c r="O87" s="25"/>
      <c r="P87" s="19"/>
      <c r="Q87" s="19"/>
      <c r="R87" s="19"/>
      <c r="S87" s="19"/>
      <c r="T87" s="19"/>
      <c r="U87" s="19"/>
      <c r="V87" s="32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5"/>
      <c r="AL87" s="19"/>
      <c r="AM87" s="19"/>
      <c r="AN87" s="19"/>
      <c r="AO87" s="19"/>
      <c r="AP87" s="19"/>
      <c r="AQ87" s="19"/>
      <c r="AR87" s="19"/>
      <c r="AS87" s="19"/>
      <c r="AT87" s="19"/>
      <c r="AU87" s="19">
        <f>1.299-0.2</f>
        <v>1.099</v>
      </c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>
        <f>(1.3-0.2)*5+(1.049-0.2)*3+(2.05-0.2)*2</f>
        <v>11.747</v>
      </c>
      <c r="BV87" s="19">
        <f>1.3-0.2</f>
        <v>1.1000000000000001</v>
      </c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33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33"/>
      <c r="EG87" s="33"/>
      <c r="EH87" s="33"/>
      <c r="EI87" s="33"/>
      <c r="EJ87" s="33">
        <f>1.449-0.2</f>
        <v>1.2490000000000001</v>
      </c>
      <c r="EK87" s="19"/>
      <c r="EL87" s="19"/>
    </row>
    <row r="88" spans="1:142" hidden="1" x14ac:dyDescent="0.25">
      <c r="A88" s="19" t="s">
        <v>168</v>
      </c>
      <c r="B88" s="19" t="s">
        <v>157</v>
      </c>
      <c r="C88" s="19">
        <v>800</v>
      </c>
      <c r="D88" s="19">
        <v>320</v>
      </c>
      <c r="E88" s="19" t="s">
        <v>169</v>
      </c>
      <c r="F88" s="20"/>
      <c r="G88" s="19">
        <f>C88/1000*D88/1000</f>
        <v>0.25600000000000001</v>
      </c>
      <c r="H88" s="21">
        <f t="shared" si="12"/>
        <v>0.25600000000000001</v>
      </c>
      <c r="I88" s="19">
        <f t="shared" si="11"/>
        <v>1</v>
      </c>
      <c r="J88" s="19">
        <f t="shared" si="8"/>
        <v>0</v>
      </c>
      <c r="K88" s="19">
        <f t="shared" si="9"/>
        <v>0</v>
      </c>
      <c r="L88" s="21">
        <f t="shared" si="10"/>
        <v>1</v>
      </c>
      <c r="M88" s="19"/>
      <c r="N88" s="19"/>
      <c r="O88" s="25"/>
      <c r="P88" s="19"/>
      <c r="Q88" s="19"/>
      <c r="R88" s="19"/>
      <c r="S88" s="19"/>
      <c r="T88" s="19"/>
      <c r="U88" s="19"/>
      <c r="V88" s="32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>
        <v>1</v>
      </c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33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33"/>
      <c r="EG88" s="33"/>
      <c r="EH88" s="33"/>
      <c r="EI88" s="33"/>
      <c r="EJ88" s="33"/>
      <c r="EK88" s="19"/>
      <c r="EL88" s="19"/>
    </row>
    <row r="89" spans="1:142" hidden="1" x14ac:dyDescent="0.25">
      <c r="A89" s="19" t="s">
        <v>168</v>
      </c>
      <c r="B89" s="19" t="s">
        <v>157</v>
      </c>
      <c r="C89" s="19">
        <v>630</v>
      </c>
      <c r="D89" s="19">
        <v>320</v>
      </c>
      <c r="E89" s="19" t="s">
        <v>169</v>
      </c>
      <c r="F89" s="20"/>
      <c r="G89" s="19">
        <f t="shared" ref="G89:G126" si="14">C89/1000*D89/1000</f>
        <v>0.2016</v>
      </c>
      <c r="H89" s="21">
        <f t="shared" si="12"/>
        <v>0.2016</v>
      </c>
      <c r="I89" s="19">
        <f t="shared" si="11"/>
        <v>1</v>
      </c>
      <c r="J89" s="19">
        <f t="shared" si="8"/>
        <v>0</v>
      </c>
      <c r="K89" s="19">
        <f t="shared" si="9"/>
        <v>0</v>
      </c>
      <c r="L89" s="21">
        <f t="shared" si="10"/>
        <v>1</v>
      </c>
      <c r="M89" s="19"/>
      <c r="N89" s="19"/>
      <c r="O89" s="25"/>
      <c r="P89" s="19"/>
      <c r="Q89" s="19"/>
      <c r="R89" s="19"/>
      <c r="S89" s="19"/>
      <c r="T89" s="19"/>
      <c r="U89" s="19"/>
      <c r="V89" s="19">
        <v>1</v>
      </c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33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33"/>
      <c r="EG89" s="33"/>
      <c r="EH89" s="33"/>
      <c r="EI89" s="33"/>
      <c r="EJ89" s="33"/>
      <c r="EK89" s="19"/>
      <c r="EL89" s="19"/>
    </row>
    <row r="90" spans="1:142" hidden="1" x14ac:dyDescent="0.25">
      <c r="A90" s="19" t="s">
        <v>168</v>
      </c>
      <c r="B90" s="19" t="s">
        <v>157</v>
      </c>
      <c r="C90" s="24" t="s">
        <v>159</v>
      </c>
      <c r="D90" s="19">
        <v>400</v>
      </c>
      <c r="E90" s="19" t="s">
        <v>169</v>
      </c>
      <c r="F90" s="20"/>
      <c r="G90" s="19">
        <f>3.14*D90/1000*D90/1000</f>
        <v>0.50239999999999996</v>
      </c>
      <c r="H90" s="21">
        <f t="shared" si="12"/>
        <v>0.50239999999999996</v>
      </c>
      <c r="I90" s="19">
        <f t="shared" si="11"/>
        <v>1</v>
      </c>
      <c r="J90" s="19">
        <f t="shared" si="8"/>
        <v>0</v>
      </c>
      <c r="K90" s="19">
        <f t="shared" si="9"/>
        <v>0</v>
      </c>
      <c r="L90" s="21">
        <f t="shared" si="10"/>
        <v>1</v>
      </c>
      <c r="M90" s="19"/>
      <c r="N90" s="19"/>
      <c r="O90" s="25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>
        <v>1</v>
      </c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33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33"/>
      <c r="EG90" s="33"/>
      <c r="EH90" s="33"/>
      <c r="EI90" s="33"/>
      <c r="EJ90" s="33"/>
      <c r="EK90" s="19"/>
      <c r="EL90" s="19"/>
    </row>
    <row r="91" spans="1:142" hidden="1" x14ac:dyDescent="0.25">
      <c r="A91" s="19" t="s">
        <v>170</v>
      </c>
      <c r="B91" s="19" t="s">
        <v>161</v>
      </c>
      <c r="C91" s="19">
        <v>1600</v>
      </c>
      <c r="D91" s="19">
        <v>500</v>
      </c>
      <c r="E91" s="19" t="s">
        <v>169</v>
      </c>
      <c r="F91" s="20"/>
      <c r="G91" s="19">
        <f t="shared" si="14"/>
        <v>0.8</v>
      </c>
      <c r="H91" s="21">
        <f t="shared" si="12"/>
        <v>12.8</v>
      </c>
      <c r="I91" s="19">
        <f t="shared" si="11"/>
        <v>4</v>
      </c>
      <c r="J91" s="19">
        <f t="shared" si="8"/>
        <v>12</v>
      </c>
      <c r="K91" s="19">
        <f t="shared" si="9"/>
        <v>0</v>
      </c>
      <c r="L91" s="21">
        <f t="shared" si="10"/>
        <v>16</v>
      </c>
      <c r="M91" s="19"/>
      <c r="N91" s="19"/>
      <c r="O91" s="25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>
        <v>1</v>
      </c>
      <c r="AG91" s="19"/>
      <c r="AH91" s="19"/>
      <c r="AI91" s="19"/>
      <c r="AJ91" s="19"/>
      <c r="AK91" s="19"/>
      <c r="AL91" s="19"/>
      <c r="AM91" s="19"/>
      <c r="AN91" s="19"/>
      <c r="AO91" s="19">
        <v>1</v>
      </c>
      <c r="AP91" s="19"/>
      <c r="AQ91" s="19"/>
      <c r="AR91" s="19"/>
      <c r="AS91" s="19">
        <v>1</v>
      </c>
      <c r="AT91" s="19">
        <v>1</v>
      </c>
      <c r="AU91" s="19"/>
      <c r="AV91" s="19"/>
      <c r="AW91" s="19"/>
      <c r="AX91" s="19"/>
      <c r="AY91" s="19">
        <v>1</v>
      </c>
      <c r="AZ91" s="19">
        <v>1</v>
      </c>
      <c r="BA91" s="19"/>
      <c r="BB91" s="19"/>
      <c r="BC91" s="19"/>
      <c r="BD91" s="19"/>
      <c r="BE91" s="19">
        <v>1</v>
      </c>
      <c r="BF91" s="19">
        <v>1</v>
      </c>
      <c r="BG91" s="19">
        <v>1</v>
      </c>
      <c r="BH91" s="19">
        <v>1</v>
      </c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>
        <v>1</v>
      </c>
      <c r="CN91" s="19">
        <v>1</v>
      </c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33"/>
      <c r="CZ91" s="19">
        <v>1</v>
      </c>
      <c r="DA91" s="19">
        <v>1</v>
      </c>
      <c r="DB91" s="19"/>
      <c r="DC91" s="19"/>
      <c r="DD91" s="19"/>
      <c r="DE91" s="19"/>
      <c r="DF91" s="19"/>
      <c r="DG91" s="19"/>
      <c r="DH91" s="19">
        <v>1</v>
      </c>
      <c r="DI91" s="19">
        <v>1</v>
      </c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33"/>
      <c r="EG91" s="33"/>
      <c r="EH91" s="33"/>
      <c r="EI91" s="33"/>
      <c r="EJ91" s="33"/>
      <c r="EK91" s="19"/>
      <c r="EL91" s="19"/>
    </row>
    <row r="92" spans="1:142" hidden="1" x14ac:dyDescent="0.25">
      <c r="A92" s="19" t="s">
        <v>170</v>
      </c>
      <c r="B92" s="19" t="s">
        <v>162</v>
      </c>
      <c r="C92" s="19">
        <v>1250</v>
      </c>
      <c r="D92" s="19">
        <v>320</v>
      </c>
      <c r="E92" s="19" t="s">
        <v>169</v>
      </c>
      <c r="F92" s="20"/>
      <c r="G92" s="19">
        <f t="shared" si="14"/>
        <v>0.4</v>
      </c>
      <c r="H92" s="21">
        <f t="shared" si="12"/>
        <v>6</v>
      </c>
      <c r="I92" s="19">
        <f t="shared" si="11"/>
        <v>6</v>
      </c>
      <c r="J92" s="19">
        <f t="shared" si="8"/>
        <v>9</v>
      </c>
      <c r="K92" s="19">
        <f t="shared" si="9"/>
        <v>0</v>
      </c>
      <c r="L92" s="21">
        <f t="shared" si="10"/>
        <v>15</v>
      </c>
      <c r="M92" s="19"/>
      <c r="N92" s="19"/>
      <c r="O92" s="25"/>
      <c r="P92" s="19"/>
      <c r="Q92" s="19"/>
      <c r="R92" s="19"/>
      <c r="S92" s="19"/>
      <c r="T92" s="19"/>
      <c r="U92" s="19"/>
      <c r="V92" s="19"/>
      <c r="W92" s="19">
        <v>1</v>
      </c>
      <c r="X92" s="19"/>
      <c r="Y92" s="19">
        <v>1</v>
      </c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>
        <v>3</v>
      </c>
      <c r="AT92" s="19">
        <v>1</v>
      </c>
      <c r="AU92" s="19"/>
      <c r="AV92" s="19"/>
      <c r="AW92" s="19"/>
      <c r="AX92" s="19"/>
      <c r="AY92" s="19"/>
      <c r="AZ92" s="19">
        <v>1</v>
      </c>
      <c r="BA92" s="19"/>
      <c r="BB92" s="19"/>
      <c r="BC92" s="19"/>
      <c r="BD92" s="19"/>
      <c r="BE92" s="19"/>
      <c r="BF92" s="19"/>
      <c r="BG92" s="19">
        <v>1</v>
      </c>
      <c r="BH92" s="19">
        <v>1</v>
      </c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>
        <v>1</v>
      </c>
      <c r="CN92" s="19">
        <v>1</v>
      </c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33"/>
      <c r="CZ92" s="19">
        <v>1</v>
      </c>
      <c r="DA92" s="19">
        <v>1</v>
      </c>
      <c r="DB92" s="19"/>
      <c r="DC92" s="19"/>
      <c r="DD92" s="19"/>
      <c r="DE92" s="19"/>
      <c r="DF92" s="19"/>
      <c r="DG92" s="19"/>
      <c r="DH92" s="19">
        <v>1</v>
      </c>
      <c r="DI92" s="19">
        <v>1</v>
      </c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33"/>
      <c r="EG92" s="33"/>
      <c r="EH92" s="33"/>
      <c r="EI92" s="33"/>
      <c r="EJ92" s="33"/>
      <c r="EK92" s="19"/>
      <c r="EL92" s="19"/>
    </row>
    <row r="93" spans="1:142" x14ac:dyDescent="0.25">
      <c r="A93" s="19" t="s">
        <v>170</v>
      </c>
      <c r="B93" s="19" t="s">
        <v>162</v>
      </c>
      <c r="C93" s="19">
        <v>1000</v>
      </c>
      <c r="D93" s="19">
        <v>500</v>
      </c>
      <c r="E93" s="19" t="s">
        <v>169</v>
      </c>
      <c r="F93" s="20"/>
      <c r="G93" s="19">
        <f t="shared" si="14"/>
        <v>0.5</v>
      </c>
      <c r="H93" s="21">
        <f t="shared" si="12"/>
        <v>0.5</v>
      </c>
      <c r="I93" s="19">
        <f t="shared" si="11"/>
        <v>1</v>
      </c>
      <c r="J93" s="19">
        <f t="shared" si="8"/>
        <v>0</v>
      </c>
      <c r="K93" s="19">
        <f t="shared" si="9"/>
        <v>0</v>
      </c>
      <c r="L93" s="21">
        <f t="shared" si="10"/>
        <v>1</v>
      </c>
      <c r="M93" s="19"/>
      <c r="N93" s="19"/>
      <c r="O93" s="25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>
        <v>1</v>
      </c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33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33"/>
      <c r="EG93" s="33"/>
      <c r="EH93" s="33"/>
      <c r="EI93" s="33"/>
      <c r="EJ93" s="33"/>
      <c r="EK93" s="19"/>
      <c r="EL93" s="19"/>
    </row>
    <row r="94" spans="1:142" x14ac:dyDescent="0.25">
      <c r="A94" s="19" t="s">
        <v>170</v>
      </c>
      <c r="B94" s="19" t="s">
        <v>162</v>
      </c>
      <c r="C94" s="19">
        <v>1000</v>
      </c>
      <c r="D94" s="19">
        <v>400</v>
      </c>
      <c r="E94" s="19" t="s">
        <v>169</v>
      </c>
      <c r="F94" s="20"/>
      <c r="G94" s="19">
        <f t="shared" si="14"/>
        <v>0.4</v>
      </c>
      <c r="H94" s="21">
        <f t="shared" si="12"/>
        <v>2.4000000000000004</v>
      </c>
      <c r="I94" s="19">
        <f t="shared" si="11"/>
        <v>3</v>
      </c>
      <c r="J94" s="19">
        <f t="shared" si="8"/>
        <v>3</v>
      </c>
      <c r="K94" s="19">
        <f t="shared" si="9"/>
        <v>0</v>
      </c>
      <c r="L94" s="21">
        <f t="shared" si="10"/>
        <v>6</v>
      </c>
      <c r="M94" s="25"/>
      <c r="N94" s="25"/>
      <c r="O94" s="19">
        <v>3</v>
      </c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>
        <v>1</v>
      </c>
      <c r="CP94" s="19"/>
      <c r="CQ94" s="19"/>
      <c r="CR94" s="19"/>
      <c r="CS94" s="19"/>
      <c r="CT94" s="19"/>
      <c r="CU94" s="19"/>
      <c r="CV94" s="19"/>
      <c r="CW94" s="19"/>
      <c r="CX94" s="19"/>
      <c r="CY94" s="33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>
        <v>2</v>
      </c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33"/>
      <c r="EG94" s="33"/>
      <c r="EH94" s="33"/>
      <c r="EI94" s="33"/>
      <c r="EJ94" s="33"/>
      <c r="EK94" s="19"/>
      <c r="EL94" s="19"/>
    </row>
    <row r="95" spans="1:142" x14ac:dyDescent="0.25">
      <c r="A95" s="19" t="s">
        <v>170</v>
      </c>
      <c r="B95" s="19" t="s">
        <v>162</v>
      </c>
      <c r="C95" s="19">
        <v>1000</v>
      </c>
      <c r="D95" s="19">
        <v>320</v>
      </c>
      <c r="E95" s="19" t="s">
        <v>169</v>
      </c>
      <c r="F95" s="20"/>
      <c r="G95" s="19">
        <f t="shared" si="14"/>
        <v>0.32</v>
      </c>
      <c r="H95" s="21">
        <f t="shared" si="12"/>
        <v>4.16</v>
      </c>
      <c r="I95" s="19">
        <f t="shared" si="11"/>
        <v>1</v>
      </c>
      <c r="J95" s="19">
        <f t="shared" si="8"/>
        <v>12</v>
      </c>
      <c r="K95" s="19">
        <f t="shared" si="9"/>
        <v>0</v>
      </c>
      <c r="L95" s="21">
        <f t="shared" si="10"/>
        <v>13</v>
      </c>
      <c r="M95" s="25"/>
      <c r="N95" s="25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>
        <v>1</v>
      </c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>
        <v>1</v>
      </c>
      <c r="AZ95" s="19"/>
      <c r="BA95" s="19"/>
      <c r="BB95" s="19"/>
      <c r="BC95" s="19"/>
      <c r="BD95" s="19"/>
      <c r="BE95" s="19">
        <v>1</v>
      </c>
      <c r="BF95" s="19">
        <v>1</v>
      </c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>
        <v>3</v>
      </c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33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>
        <v>2</v>
      </c>
      <c r="DK95" s="19"/>
      <c r="DL95" s="19"/>
      <c r="DM95" s="19"/>
      <c r="DN95" s="19"/>
      <c r="DO95" s="19"/>
      <c r="DP95" s="19">
        <v>4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33"/>
      <c r="EG95" s="33"/>
      <c r="EH95" s="33"/>
      <c r="EI95" s="33"/>
      <c r="EJ95" s="33"/>
      <c r="EK95" s="19"/>
      <c r="EL95" s="19"/>
    </row>
    <row r="96" spans="1:142" x14ac:dyDescent="0.25">
      <c r="A96" s="19" t="s">
        <v>170</v>
      </c>
      <c r="B96" s="19" t="s">
        <v>162</v>
      </c>
      <c r="C96" s="19">
        <v>1000</v>
      </c>
      <c r="D96" s="19">
        <v>250</v>
      </c>
      <c r="E96" s="19" t="s">
        <v>169</v>
      </c>
      <c r="F96" s="20"/>
      <c r="G96" s="19">
        <f t="shared" si="14"/>
        <v>0.25</v>
      </c>
      <c r="H96" s="21">
        <f t="shared" si="12"/>
        <v>0.25</v>
      </c>
      <c r="I96" s="19">
        <f t="shared" si="11"/>
        <v>1</v>
      </c>
      <c r="J96" s="19">
        <f t="shared" si="8"/>
        <v>0</v>
      </c>
      <c r="K96" s="19">
        <f t="shared" si="9"/>
        <v>0</v>
      </c>
      <c r="L96" s="21">
        <f t="shared" si="10"/>
        <v>1</v>
      </c>
      <c r="M96" s="25"/>
      <c r="N96" s="25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>
        <v>1</v>
      </c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33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33"/>
      <c r="EG96" s="33"/>
      <c r="EH96" s="33"/>
      <c r="EI96" s="33"/>
      <c r="EJ96" s="33"/>
      <c r="EK96" s="19"/>
      <c r="EL96" s="19"/>
    </row>
    <row r="97" spans="1:142" hidden="1" x14ac:dyDescent="0.25">
      <c r="A97" s="19" t="s">
        <v>170</v>
      </c>
      <c r="B97" s="19" t="s">
        <v>163</v>
      </c>
      <c r="C97" s="19">
        <v>800</v>
      </c>
      <c r="D97" s="19">
        <v>420</v>
      </c>
      <c r="E97" s="19" t="s">
        <v>169</v>
      </c>
      <c r="F97" s="20"/>
      <c r="G97" s="19">
        <f t="shared" si="14"/>
        <v>0.33600000000000002</v>
      </c>
      <c r="H97" s="21">
        <f t="shared" si="12"/>
        <v>1.3440000000000001</v>
      </c>
      <c r="I97" s="19">
        <f t="shared" si="11"/>
        <v>4</v>
      </c>
      <c r="J97" s="19">
        <f t="shared" si="8"/>
        <v>0</v>
      </c>
      <c r="K97" s="19">
        <f t="shared" si="9"/>
        <v>0</v>
      </c>
      <c r="L97" s="21">
        <f t="shared" si="10"/>
        <v>4</v>
      </c>
      <c r="M97" s="25"/>
      <c r="N97" s="25"/>
      <c r="O97" s="19"/>
      <c r="P97" s="19">
        <v>4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33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33"/>
      <c r="EG97" s="33"/>
      <c r="EH97" s="33"/>
      <c r="EI97" s="33"/>
      <c r="EJ97" s="33"/>
      <c r="EK97" s="19"/>
      <c r="EL97" s="19"/>
    </row>
    <row r="98" spans="1:142" hidden="1" x14ac:dyDescent="0.25">
      <c r="A98" s="19" t="s">
        <v>170</v>
      </c>
      <c r="B98" s="19" t="s">
        <v>163</v>
      </c>
      <c r="C98" s="19">
        <v>800</v>
      </c>
      <c r="D98" s="19">
        <v>400</v>
      </c>
      <c r="E98" s="19" t="s">
        <v>169</v>
      </c>
      <c r="F98" s="20"/>
      <c r="G98" s="19">
        <f t="shared" si="14"/>
        <v>0.32</v>
      </c>
      <c r="H98" s="21">
        <f t="shared" si="12"/>
        <v>1.28</v>
      </c>
      <c r="I98" s="19">
        <f t="shared" si="11"/>
        <v>0</v>
      </c>
      <c r="J98" s="19">
        <f t="shared" si="8"/>
        <v>4</v>
      </c>
      <c r="K98" s="19">
        <f t="shared" si="9"/>
        <v>0</v>
      </c>
      <c r="L98" s="21">
        <f t="shared" si="10"/>
        <v>4</v>
      </c>
      <c r="M98" s="25"/>
      <c r="N98" s="25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>
        <v>4</v>
      </c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33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33"/>
      <c r="EG98" s="33"/>
      <c r="EH98" s="33"/>
      <c r="EI98" s="33"/>
      <c r="EJ98" s="33"/>
      <c r="EK98" s="19"/>
      <c r="EL98" s="19"/>
    </row>
    <row r="99" spans="1:142" hidden="1" x14ac:dyDescent="0.25">
      <c r="A99" s="19" t="s">
        <v>170</v>
      </c>
      <c r="B99" s="19" t="s">
        <v>163</v>
      </c>
      <c r="C99" s="19">
        <v>630</v>
      </c>
      <c r="D99" s="19">
        <v>250</v>
      </c>
      <c r="E99" s="19" t="s">
        <v>169</v>
      </c>
      <c r="F99" s="20"/>
      <c r="G99" s="19">
        <f t="shared" si="14"/>
        <v>0.1575</v>
      </c>
      <c r="H99" s="21">
        <f t="shared" si="12"/>
        <v>0.1575</v>
      </c>
      <c r="I99" s="19">
        <f t="shared" si="11"/>
        <v>0</v>
      </c>
      <c r="J99" s="19">
        <f t="shared" si="8"/>
        <v>1</v>
      </c>
      <c r="K99" s="19">
        <f t="shared" si="9"/>
        <v>0</v>
      </c>
      <c r="L99" s="21">
        <f t="shared" si="10"/>
        <v>1</v>
      </c>
      <c r="M99" s="25"/>
      <c r="N99" s="25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>
        <v>1</v>
      </c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33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33"/>
      <c r="EG99" s="33"/>
      <c r="EH99" s="33"/>
      <c r="EI99" s="33"/>
      <c r="EJ99" s="33"/>
      <c r="EK99" s="19"/>
      <c r="EL99" s="19"/>
    </row>
    <row r="100" spans="1:142" hidden="1" x14ac:dyDescent="0.25">
      <c r="A100" s="19" t="s">
        <v>170</v>
      </c>
      <c r="B100" s="19" t="s">
        <v>163</v>
      </c>
      <c r="C100" s="19">
        <v>500</v>
      </c>
      <c r="D100" s="19">
        <v>420</v>
      </c>
      <c r="E100" s="19" t="s">
        <v>169</v>
      </c>
      <c r="F100" s="20"/>
      <c r="G100" s="19">
        <f t="shared" si="14"/>
        <v>0.21</v>
      </c>
      <c r="H100" s="21">
        <f t="shared" si="12"/>
        <v>0.21</v>
      </c>
      <c r="I100" s="19">
        <f t="shared" si="11"/>
        <v>1</v>
      </c>
      <c r="J100" s="19">
        <f t="shared" si="8"/>
        <v>0</v>
      </c>
      <c r="K100" s="19">
        <f t="shared" si="9"/>
        <v>0</v>
      </c>
      <c r="L100" s="21">
        <f t="shared" si="10"/>
        <v>1</v>
      </c>
      <c r="M100" s="25"/>
      <c r="N100" s="25"/>
      <c r="O100" s="19">
        <v>1</v>
      </c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33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33"/>
      <c r="EG100" s="33"/>
      <c r="EH100" s="33"/>
      <c r="EI100" s="33"/>
      <c r="EJ100" s="33"/>
      <c r="EK100" s="19"/>
      <c r="EL100" s="19"/>
    </row>
    <row r="101" spans="1:142" hidden="1" x14ac:dyDescent="0.25">
      <c r="A101" s="19" t="s">
        <v>170</v>
      </c>
      <c r="B101" s="19" t="s">
        <v>163</v>
      </c>
      <c r="C101" s="19">
        <v>500</v>
      </c>
      <c r="D101" s="19">
        <v>320</v>
      </c>
      <c r="E101" s="19" t="s">
        <v>169</v>
      </c>
      <c r="F101" s="20"/>
      <c r="G101" s="19">
        <f t="shared" si="14"/>
        <v>0.16</v>
      </c>
      <c r="H101" s="21">
        <f t="shared" si="12"/>
        <v>0.32</v>
      </c>
      <c r="I101" s="19">
        <f t="shared" si="11"/>
        <v>0</v>
      </c>
      <c r="J101" s="19">
        <f t="shared" si="8"/>
        <v>2</v>
      </c>
      <c r="K101" s="19">
        <f t="shared" si="9"/>
        <v>0</v>
      </c>
      <c r="L101" s="21">
        <f t="shared" si="10"/>
        <v>2</v>
      </c>
      <c r="M101" s="25"/>
      <c r="N101" s="25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>
        <v>2</v>
      </c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33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33"/>
      <c r="EG101" s="33"/>
      <c r="EH101" s="33"/>
      <c r="EI101" s="33"/>
      <c r="EJ101" s="33"/>
      <c r="EK101" s="19"/>
      <c r="EL101" s="19"/>
    </row>
    <row r="102" spans="1:142" hidden="1" x14ac:dyDescent="0.25">
      <c r="A102" s="19" t="s">
        <v>170</v>
      </c>
      <c r="B102" s="19" t="s">
        <v>165</v>
      </c>
      <c r="C102" s="19">
        <v>320</v>
      </c>
      <c r="D102" s="19">
        <v>320</v>
      </c>
      <c r="E102" s="19" t="s">
        <v>169</v>
      </c>
      <c r="F102" s="20"/>
      <c r="G102" s="19">
        <f t="shared" si="14"/>
        <v>0.1024</v>
      </c>
      <c r="H102" s="21">
        <f t="shared" si="12"/>
        <v>0.1024</v>
      </c>
      <c r="I102" s="19">
        <f t="shared" si="11"/>
        <v>1</v>
      </c>
      <c r="J102" s="19">
        <f t="shared" si="8"/>
        <v>0</v>
      </c>
      <c r="K102" s="19">
        <f t="shared" si="9"/>
        <v>0</v>
      </c>
      <c r="L102" s="21">
        <f t="shared" si="10"/>
        <v>1</v>
      </c>
      <c r="M102" s="25"/>
      <c r="N102" s="25"/>
      <c r="O102" s="25">
        <v>1</v>
      </c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33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33"/>
      <c r="EG102" s="33"/>
      <c r="EH102" s="33"/>
      <c r="EI102" s="33"/>
      <c r="EJ102" s="33"/>
      <c r="EK102" s="19"/>
      <c r="EL102" s="19"/>
    </row>
    <row r="103" spans="1:142" hidden="1" x14ac:dyDescent="0.25">
      <c r="A103" s="19" t="s">
        <v>171</v>
      </c>
      <c r="B103" s="19" t="s">
        <v>162</v>
      </c>
      <c r="C103" s="19">
        <v>1600</v>
      </c>
      <c r="D103" s="19">
        <v>500</v>
      </c>
      <c r="E103" s="19" t="s">
        <v>169</v>
      </c>
      <c r="F103" s="20"/>
      <c r="G103" s="19">
        <f t="shared" si="14"/>
        <v>0.8</v>
      </c>
      <c r="H103" s="21">
        <f t="shared" si="12"/>
        <v>1.6</v>
      </c>
      <c r="I103" s="19">
        <f t="shared" si="11"/>
        <v>2</v>
      </c>
      <c r="J103" s="19">
        <f t="shared" si="8"/>
        <v>0</v>
      </c>
      <c r="K103" s="19">
        <f t="shared" si="9"/>
        <v>0</v>
      </c>
      <c r="L103" s="21">
        <f t="shared" si="10"/>
        <v>2</v>
      </c>
      <c r="M103" s="25"/>
      <c r="N103" s="25"/>
      <c r="O103" s="25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>
        <v>1</v>
      </c>
      <c r="AF103" s="19"/>
      <c r="AG103" s="19"/>
      <c r="AH103" s="19"/>
      <c r="AI103" s="19"/>
      <c r="AJ103" s="19"/>
      <c r="AK103" s="19"/>
      <c r="AL103" s="19"/>
      <c r="AM103" s="19"/>
      <c r="AN103" s="19">
        <v>1</v>
      </c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33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33"/>
      <c r="EG103" s="33"/>
      <c r="EH103" s="33"/>
      <c r="EI103" s="33"/>
      <c r="EJ103" s="33"/>
      <c r="EK103" s="19"/>
      <c r="EL103" s="19"/>
    </row>
    <row r="104" spans="1:142" hidden="1" x14ac:dyDescent="0.25">
      <c r="A104" s="19" t="s">
        <v>171</v>
      </c>
      <c r="B104" s="19" t="s">
        <v>163</v>
      </c>
      <c r="C104" s="19">
        <v>1400</v>
      </c>
      <c r="D104" s="19">
        <v>500</v>
      </c>
      <c r="E104" s="19" t="s">
        <v>169</v>
      </c>
      <c r="F104" s="20"/>
      <c r="G104" s="19">
        <f t="shared" si="14"/>
        <v>0.7</v>
      </c>
      <c r="H104" s="21">
        <f t="shared" si="12"/>
        <v>13.299999999999999</v>
      </c>
      <c r="I104" s="19">
        <f t="shared" si="11"/>
        <v>8</v>
      </c>
      <c r="J104" s="19">
        <f t="shared" si="8"/>
        <v>11</v>
      </c>
      <c r="K104" s="19">
        <f t="shared" si="9"/>
        <v>0</v>
      </c>
      <c r="L104" s="21">
        <f t="shared" si="10"/>
        <v>19</v>
      </c>
      <c r="M104" s="25"/>
      <c r="N104" s="25"/>
      <c r="O104" s="25"/>
      <c r="P104" s="19"/>
      <c r="Q104" s="19"/>
      <c r="R104" s="19"/>
      <c r="S104" s="19"/>
      <c r="T104" s="19"/>
      <c r="U104" s="19">
        <v>1</v>
      </c>
      <c r="V104" s="19"/>
      <c r="W104" s="19"/>
      <c r="X104" s="19"/>
      <c r="Y104" s="19"/>
      <c r="Z104" s="19"/>
      <c r="AA104" s="19">
        <v>1</v>
      </c>
      <c r="AB104" s="19"/>
      <c r="AC104" s="19"/>
      <c r="AD104" s="19"/>
      <c r="AE104" s="19"/>
      <c r="AF104" s="19"/>
      <c r="AG104" s="19"/>
      <c r="AH104" s="19">
        <v>1</v>
      </c>
      <c r="AI104" s="19"/>
      <c r="AJ104" s="19">
        <v>1</v>
      </c>
      <c r="AK104" s="19"/>
      <c r="AL104" s="19">
        <v>1</v>
      </c>
      <c r="AM104" s="19">
        <v>1</v>
      </c>
      <c r="AN104" s="19"/>
      <c r="AO104" s="19"/>
      <c r="AP104" s="19"/>
      <c r="AQ104" s="19">
        <v>1</v>
      </c>
      <c r="AR104" s="19">
        <v>1</v>
      </c>
      <c r="AS104" s="19"/>
      <c r="AT104" s="19"/>
      <c r="AU104" s="19"/>
      <c r="AV104" s="19"/>
      <c r="AW104" s="19">
        <v>1</v>
      </c>
      <c r="AX104" s="19">
        <v>1</v>
      </c>
      <c r="AY104" s="19"/>
      <c r="AZ104" s="19"/>
      <c r="BA104" s="19">
        <v>1</v>
      </c>
      <c r="BB104" s="19">
        <v>1</v>
      </c>
      <c r="BC104" s="19">
        <v>1</v>
      </c>
      <c r="BD104" s="19">
        <v>1</v>
      </c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>
        <v>1</v>
      </c>
      <c r="CG104" s="19">
        <v>1</v>
      </c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33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>
        <v>1</v>
      </c>
      <c r="DM104" s="19">
        <v>1</v>
      </c>
      <c r="DN104" s="19"/>
      <c r="DO104" s="19"/>
      <c r="DP104" s="19"/>
      <c r="DQ104" s="19"/>
      <c r="DR104" s="19"/>
      <c r="DS104" s="19"/>
      <c r="DT104" s="19"/>
      <c r="DU104" s="19"/>
      <c r="DV104" s="19"/>
      <c r="DW104" s="19">
        <v>1</v>
      </c>
      <c r="DX104" s="19"/>
      <c r="DY104" s="19"/>
      <c r="DZ104" s="19"/>
      <c r="EA104" s="19"/>
      <c r="EB104" s="19"/>
      <c r="EC104" s="19"/>
      <c r="ED104" s="19"/>
      <c r="EE104" s="19"/>
      <c r="EF104" s="33"/>
      <c r="EG104" s="33"/>
      <c r="EH104" s="33"/>
      <c r="EI104" s="33"/>
      <c r="EJ104" s="33"/>
      <c r="EK104" s="19"/>
      <c r="EL104" s="19"/>
    </row>
    <row r="105" spans="1:142" hidden="1" x14ac:dyDescent="0.25">
      <c r="A105" s="19" t="s">
        <v>171</v>
      </c>
      <c r="B105" s="19" t="s">
        <v>163</v>
      </c>
      <c r="C105" s="19">
        <v>1250</v>
      </c>
      <c r="D105" s="19">
        <v>630</v>
      </c>
      <c r="E105" s="19" t="s">
        <v>169</v>
      </c>
      <c r="F105" s="20"/>
      <c r="G105" s="19">
        <f t="shared" si="14"/>
        <v>0.78749999999999998</v>
      </c>
      <c r="H105" s="21">
        <f t="shared" si="12"/>
        <v>1.575</v>
      </c>
      <c r="I105" s="19">
        <f t="shared" si="11"/>
        <v>0</v>
      </c>
      <c r="J105" s="19">
        <f t="shared" si="8"/>
        <v>2</v>
      </c>
      <c r="K105" s="19">
        <f t="shared" si="9"/>
        <v>0</v>
      </c>
      <c r="L105" s="21">
        <f t="shared" si="10"/>
        <v>2</v>
      </c>
      <c r="M105" s="25"/>
      <c r="N105" s="25"/>
      <c r="O105" s="25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>
        <v>1</v>
      </c>
      <c r="CI105" s="19">
        <v>1</v>
      </c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33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33"/>
      <c r="EG105" s="33"/>
      <c r="EH105" s="33"/>
      <c r="EI105" s="33"/>
      <c r="EJ105" s="33"/>
      <c r="EK105" s="19"/>
      <c r="EL105" s="19"/>
    </row>
    <row r="106" spans="1:142" hidden="1" x14ac:dyDescent="0.25">
      <c r="A106" s="19" t="s">
        <v>171</v>
      </c>
      <c r="B106" s="19" t="s">
        <v>163</v>
      </c>
      <c r="C106" s="19">
        <v>1250</v>
      </c>
      <c r="D106" s="19">
        <v>320</v>
      </c>
      <c r="E106" s="19" t="s">
        <v>169</v>
      </c>
      <c r="F106" s="20"/>
      <c r="G106" s="19">
        <f t="shared" si="14"/>
        <v>0.4</v>
      </c>
      <c r="H106" s="21">
        <f t="shared" si="12"/>
        <v>0.4</v>
      </c>
      <c r="I106" s="19">
        <f t="shared" si="11"/>
        <v>1</v>
      </c>
      <c r="J106" s="19">
        <f t="shared" si="8"/>
        <v>0</v>
      </c>
      <c r="K106" s="19">
        <f t="shared" si="9"/>
        <v>0</v>
      </c>
      <c r="L106" s="21">
        <f t="shared" si="10"/>
        <v>1</v>
      </c>
      <c r="M106" s="25"/>
      <c r="N106" s="25"/>
      <c r="O106" s="25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>
        <v>1</v>
      </c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33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33"/>
      <c r="EG106" s="33"/>
      <c r="EH106" s="33"/>
      <c r="EI106" s="33"/>
      <c r="EJ106" s="33"/>
      <c r="EK106" s="19"/>
      <c r="EL106" s="19"/>
    </row>
    <row r="107" spans="1:142" x14ac:dyDescent="0.25">
      <c r="A107" s="19" t="s">
        <v>171</v>
      </c>
      <c r="B107" s="19" t="s">
        <v>163</v>
      </c>
      <c r="C107" s="19">
        <v>1000</v>
      </c>
      <c r="D107" s="19">
        <v>500</v>
      </c>
      <c r="E107" s="19" t="s">
        <v>169</v>
      </c>
      <c r="F107" s="20"/>
      <c r="G107" s="19">
        <f t="shared" si="14"/>
        <v>0.5</v>
      </c>
      <c r="H107" s="21">
        <f t="shared" si="12"/>
        <v>2.5</v>
      </c>
      <c r="I107" s="19">
        <f t="shared" si="11"/>
        <v>0</v>
      </c>
      <c r="J107" s="19">
        <f t="shared" si="8"/>
        <v>5</v>
      </c>
      <c r="K107" s="19">
        <f t="shared" si="9"/>
        <v>0</v>
      </c>
      <c r="L107" s="21">
        <f t="shared" si="10"/>
        <v>5</v>
      </c>
      <c r="M107" s="25"/>
      <c r="N107" s="25"/>
      <c r="O107" s="25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>
        <v>1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>
        <v>1</v>
      </c>
      <c r="CW107" s="19">
        <v>1</v>
      </c>
      <c r="CX107" s="19"/>
      <c r="CY107" s="33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>
        <v>1</v>
      </c>
      <c r="DO107" s="19"/>
      <c r="DP107" s="19"/>
      <c r="DQ107" s="19"/>
      <c r="DR107" s="19"/>
      <c r="DS107" s="19">
        <v>1</v>
      </c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33"/>
      <c r="EG107" s="33"/>
      <c r="EH107" s="33"/>
      <c r="EI107" s="33"/>
      <c r="EJ107" s="33"/>
      <c r="EK107" s="19"/>
      <c r="EL107" s="19"/>
    </row>
    <row r="108" spans="1:142" x14ac:dyDescent="0.25">
      <c r="A108" s="19" t="s">
        <v>171</v>
      </c>
      <c r="B108" s="19" t="s">
        <v>163</v>
      </c>
      <c r="C108" s="19">
        <v>1000</v>
      </c>
      <c r="D108" s="19">
        <v>400</v>
      </c>
      <c r="E108" s="19" t="s">
        <v>169</v>
      </c>
      <c r="F108" s="20"/>
      <c r="G108" s="19">
        <f t="shared" si="14"/>
        <v>0.4</v>
      </c>
      <c r="H108" s="21">
        <f t="shared" si="12"/>
        <v>2</v>
      </c>
      <c r="I108" s="19">
        <f t="shared" si="11"/>
        <v>0</v>
      </c>
      <c r="J108" s="19">
        <f t="shared" si="8"/>
        <v>2</v>
      </c>
      <c r="K108" s="19">
        <f t="shared" si="9"/>
        <v>3</v>
      </c>
      <c r="L108" s="21">
        <f t="shared" si="10"/>
        <v>5</v>
      </c>
      <c r="M108" s="25"/>
      <c r="N108" s="25"/>
      <c r="O108" s="25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>
        <v>1</v>
      </c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>
        <v>1</v>
      </c>
      <c r="CV108" s="19"/>
      <c r="CW108" s="19"/>
      <c r="CX108" s="19"/>
      <c r="CY108" s="33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33"/>
      <c r="EG108" s="33"/>
      <c r="EH108" s="33">
        <v>3</v>
      </c>
      <c r="EI108" s="33"/>
      <c r="EJ108" s="33"/>
      <c r="EK108" s="19"/>
      <c r="EL108" s="19"/>
    </row>
    <row r="109" spans="1:142" x14ac:dyDescent="0.25">
      <c r="A109" s="19" t="s">
        <v>171</v>
      </c>
      <c r="B109" s="19" t="s">
        <v>163</v>
      </c>
      <c r="C109" s="19">
        <v>1000</v>
      </c>
      <c r="D109" s="19">
        <v>320</v>
      </c>
      <c r="E109" s="19" t="s">
        <v>169</v>
      </c>
      <c r="F109" s="20"/>
      <c r="G109" s="19">
        <f t="shared" si="14"/>
        <v>0.32</v>
      </c>
      <c r="H109" s="21">
        <f t="shared" si="12"/>
        <v>3.52</v>
      </c>
      <c r="I109" s="19">
        <f t="shared" si="11"/>
        <v>0</v>
      </c>
      <c r="J109" s="19">
        <f t="shared" si="8"/>
        <v>11</v>
      </c>
      <c r="K109" s="19">
        <f t="shared" si="9"/>
        <v>0</v>
      </c>
      <c r="L109" s="21">
        <f t="shared" si="10"/>
        <v>11</v>
      </c>
      <c r="M109" s="25"/>
      <c r="N109" s="25"/>
      <c r="O109" s="25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33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>
        <v>9</v>
      </c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>
        <v>2</v>
      </c>
      <c r="EE109" s="19"/>
      <c r="EF109" s="33"/>
      <c r="EG109" s="33"/>
      <c r="EH109" s="33"/>
      <c r="EI109" s="33"/>
      <c r="EJ109" s="33"/>
      <c r="EK109" s="19"/>
      <c r="EL109" s="19"/>
    </row>
    <row r="110" spans="1:142" hidden="1" x14ac:dyDescent="0.25">
      <c r="A110" s="19" t="s">
        <v>171</v>
      </c>
      <c r="B110" s="19" t="s">
        <v>165</v>
      </c>
      <c r="C110" s="19">
        <v>800</v>
      </c>
      <c r="D110" s="19">
        <v>800</v>
      </c>
      <c r="E110" s="19" t="s">
        <v>169</v>
      </c>
      <c r="F110" s="20"/>
      <c r="G110" s="19">
        <f t="shared" si="14"/>
        <v>0.64</v>
      </c>
      <c r="H110" s="21">
        <f t="shared" si="12"/>
        <v>1.28</v>
      </c>
      <c r="I110" s="19">
        <f t="shared" si="11"/>
        <v>0</v>
      </c>
      <c r="J110" s="19">
        <f t="shared" si="8"/>
        <v>2</v>
      </c>
      <c r="K110" s="19">
        <f t="shared" si="9"/>
        <v>0</v>
      </c>
      <c r="L110" s="21">
        <f t="shared" si="10"/>
        <v>2</v>
      </c>
      <c r="M110" s="25"/>
      <c r="N110" s="25"/>
      <c r="O110" s="25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>
        <v>1</v>
      </c>
      <c r="CT110" s="19">
        <v>1</v>
      </c>
      <c r="CU110" s="19"/>
      <c r="CV110" s="19"/>
      <c r="CW110" s="19"/>
      <c r="CX110" s="19"/>
      <c r="CY110" s="33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33"/>
      <c r="EG110" s="33"/>
      <c r="EH110" s="33"/>
      <c r="EI110" s="33"/>
      <c r="EJ110" s="33"/>
      <c r="EK110" s="19"/>
      <c r="EL110" s="19"/>
    </row>
    <row r="111" spans="1:142" hidden="1" x14ac:dyDescent="0.25">
      <c r="A111" s="19" t="s">
        <v>171</v>
      </c>
      <c r="B111" s="19" t="s">
        <v>165</v>
      </c>
      <c r="C111" s="19">
        <v>800</v>
      </c>
      <c r="D111" s="19">
        <v>500</v>
      </c>
      <c r="E111" s="19" t="s">
        <v>169</v>
      </c>
      <c r="F111" s="20"/>
      <c r="G111" s="19">
        <f t="shared" si="14"/>
        <v>0.4</v>
      </c>
      <c r="H111" s="21">
        <f t="shared" si="12"/>
        <v>4</v>
      </c>
      <c r="I111" s="19">
        <f t="shared" si="11"/>
        <v>2</v>
      </c>
      <c r="J111" s="19">
        <f t="shared" si="8"/>
        <v>7</v>
      </c>
      <c r="K111" s="19">
        <f t="shared" si="9"/>
        <v>1</v>
      </c>
      <c r="L111" s="21">
        <f t="shared" si="10"/>
        <v>10</v>
      </c>
      <c r="M111" s="32">
        <v>1</v>
      </c>
      <c r="N111" s="19"/>
      <c r="O111" s="19"/>
      <c r="P111" s="19"/>
      <c r="Q111" s="19"/>
      <c r="R111" s="19"/>
      <c r="S111" s="19">
        <v>1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>
        <v>2</v>
      </c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33"/>
      <c r="CZ111" s="19"/>
      <c r="DA111" s="19"/>
      <c r="DB111" s="19"/>
      <c r="DC111" s="19"/>
      <c r="DD111" s="19"/>
      <c r="DE111" s="19">
        <v>1</v>
      </c>
      <c r="DF111" s="19">
        <v>1</v>
      </c>
      <c r="DG111" s="19"/>
      <c r="DH111" s="19"/>
      <c r="DI111" s="19"/>
      <c r="DJ111" s="19"/>
      <c r="DK111" s="19">
        <v>1</v>
      </c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>
        <v>1</v>
      </c>
      <c r="EA111" s="19">
        <v>1</v>
      </c>
      <c r="EB111" s="19"/>
      <c r="EC111" s="19"/>
      <c r="ED111" s="19"/>
      <c r="EE111" s="19"/>
      <c r="EF111" s="33">
        <v>1</v>
      </c>
      <c r="EG111" s="33"/>
      <c r="EH111" s="33"/>
      <c r="EI111" s="33"/>
      <c r="EJ111" s="33"/>
      <c r="EK111" s="19"/>
      <c r="EL111" s="19"/>
    </row>
    <row r="112" spans="1:142" hidden="1" x14ac:dyDescent="0.25">
      <c r="A112" s="19" t="s">
        <v>171</v>
      </c>
      <c r="B112" s="19" t="s">
        <v>165</v>
      </c>
      <c r="C112" s="19">
        <v>800</v>
      </c>
      <c r="D112" s="19">
        <v>400</v>
      </c>
      <c r="E112" s="19" t="s">
        <v>169</v>
      </c>
      <c r="F112" s="20"/>
      <c r="G112" s="19">
        <f t="shared" si="14"/>
        <v>0.32</v>
      </c>
      <c r="H112" s="21">
        <f t="shared" si="12"/>
        <v>2.88</v>
      </c>
      <c r="I112" s="19">
        <f t="shared" si="11"/>
        <v>0</v>
      </c>
      <c r="J112" s="19">
        <f t="shared" si="8"/>
        <v>9</v>
      </c>
      <c r="K112" s="19">
        <f t="shared" si="9"/>
        <v>0</v>
      </c>
      <c r="L112" s="21">
        <f t="shared" si="10"/>
        <v>9</v>
      </c>
      <c r="M112" s="32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>
        <v>1</v>
      </c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>
        <v>1</v>
      </c>
      <c r="CK112" s="19"/>
      <c r="CL112" s="19"/>
      <c r="CM112" s="19"/>
      <c r="CN112" s="19"/>
      <c r="CO112" s="19"/>
      <c r="CP112" s="19">
        <v>1</v>
      </c>
      <c r="CQ112" s="19">
        <v>1</v>
      </c>
      <c r="CR112" s="19">
        <v>1</v>
      </c>
      <c r="CS112" s="19"/>
      <c r="CT112" s="19"/>
      <c r="CU112" s="19"/>
      <c r="CV112" s="19"/>
      <c r="CW112" s="19"/>
      <c r="CX112" s="19">
        <v>1</v>
      </c>
      <c r="CY112" s="33"/>
      <c r="CZ112" s="19"/>
      <c r="DA112" s="19"/>
      <c r="DB112" s="19"/>
      <c r="DC112" s="19"/>
      <c r="DD112" s="19"/>
      <c r="DE112" s="19"/>
      <c r="DF112" s="19"/>
      <c r="DG112" s="19">
        <v>1</v>
      </c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>
        <v>1</v>
      </c>
      <c r="EC112" s="19">
        <v>1</v>
      </c>
      <c r="ED112" s="19"/>
      <c r="EE112" s="19"/>
      <c r="EF112" s="33"/>
      <c r="EG112" s="33"/>
      <c r="EH112" s="33"/>
      <c r="EI112" s="33"/>
      <c r="EJ112" s="33"/>
      <c r="EK112" s="19"/>
      <c r="EL112" s="19"/>
    </row>
    <row r="113" spans="1:142" hidden="1" x14ac:dyDescent="0.25">
      <c r="A113" s="19" t="s">
        <v>171</v>
      </c>
      <c r="B113" s="19" t="s">
        <v>165</v>
      </c>
      <c r="C113" s="19">
        <v>630</v>
      </c>
      <c r="D113" s="19">
        <v>320</v>
      </c>
      <c r="E113" s="19" t="s">
        <v>169</v>
      </c>
      <c r="F113" s="20"/>
      <c r="G113" s="19">
        <f t="shared" si="14"/>
        <v>0.2016</v>
      </c>
      <c r="H113" s="21">
        <f t="shared" si="12"/>
        <v>0.4032</v>
      </c>
      <c r="I113" s="19">
        <f t="shared" si="11"/>
        <v>0</v>
      </c>
      <c r="J113" s="19">
        <f t="shared" si="8"/>
        <v>2</v>
      </c>
      <c r="K113" s="19">
        <f t="shared" si="9"/>
        <v>0</v>
      </c>
      <c r="L113" s="21">
        <f t="shared" si="10"/>
        <v>2</v>
      </c>
      <c r="M113" s="32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>
        <v>1</v>
      </c>
      <c r="BJ113" s="19"/>
      <c r="BK113" s="19"/>
      <c r="BL113" s="19">
        <v>1</v>
      </c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33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33"/>
      <c r="EG113" s="33"/>
      <c r="EH113" s="33"/>
      <c r="EI113" s="33"/>
      <c r="EJ113" s="33"/>
      <c r="EK113" s="19"/>
      <c r="EL113" s="19"/>
    </row>
    <row r="114" spans="1:142" hidden="1" x14ac:dyDescent="0.25">
      <c r="A114" s="19" t="s">
        <v>171</v>
      </c>
      <c r="B114" s="19" t="s">
        <v>165</v>
      </c>
      <c r="C114" s="19">
        <v>600</v>
      </c>
      <c r="D114" s="19">
        <v>400</v>
      </c>
      <c r="E114" s="19" t="s">
        <v>169</v>
      </c>
      <c r="F114" s="20"/>
      <c r="G114" s="19">
        <f t="shared" si="14"/>
        <v>0.24</v>
      </c>
      <c r="H114" s="21">
        <f t="shared" si="12"/>
        <v>0.24</v>
      </c>
      <c r="I114" s="19">
        <f t="shared" si="11"/>
        <v>1</v>
      </c>
      <c r="J114" s="19">
        <f t="shared" si="8"/>
        <v>0</v>
      </c>
      <c r="K114" s="19">
        <f t="shared" si="9"/>
        <v>0</v>
      </c>
      <c r="L114" s="21">
        <f t="shared" si="10"/>
        <v>1</v>
      </c>
      <c r="M114" s="32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>
        <v>1</v>
      </c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33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33"/>
      <c r="EG114" s="33"/>
      <c r="EH114" s="33"/>
      <c r="EI114" s="33"/>
      <c r="EJ114" s="33"/>
      <c r="EK114" s="19"/>
      <c r="EL114" s="19"/>
    </row>
    <row r="115" spans="1:142" hidden="1" x14ac:dyDescent="0.25">
      <c r="A115" s="19" t="s">
        <v>171</v>
      </c>
      <c r="B115" s="19" t="s">
        <v>165</v>
      </c>
      <c r="C115" s="19">
        <v>600</v>
      </c>
      <c r="D115" s="19">
        <v>320</v>
      </c>
      <c r="E115" s="19" t="s">
        <v>169</v>
      </c>
      <c r="F115" s="20"/>
      <c r="G115" s="19">
        <f t="shared" si="14"/>
        <v>0.192</v>
      </c>
      <c r="H115" s="21">
        <f t="shared" si="12"/>
        <v>0.192</v>
      </c>
      <c r="I115" s="19">
        <f t="shared" si="11"/>
        <v>0</v>
      </c>
      <c r="J115" s="19">
        <f t="shared" si="8"/>
        <v>1</v>
      </c>
      <c r="K115" s="19">
        <f t="shared" si="9"/>
        <v>0</v>
      </c>
      <c r="L115" s="21">
        <f t="shared" si="10"/>
        <v>1</v>
      </c>
      <c r="M115" s="32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>
        <v>1</v>
      </c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33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33"/>
      <c r="EG115" s="33"/>
      <c r="EH115" s="33"/>
      <c r="EI115" s="33"/>
      <c r="EJ115" s="33"/>
      <c r="EK115" s="19"/>
      <c r="EL115" s="19"/>
    </row>
    <row r="116" spans="1:142" hidden="1" x14ac:dyDescent="0.25">
      <c r="A116" s="19" t="s">
        <v>171</v>
      </c>
      <c r="B116" s="19" t="s">
        <v>165</v>
      </c>
      <c r="C116" s="19">
        <v>500</v>
      </c>
      <c r="D116" s="19">
        <v>400</v>
      </c>
      <c r="E116" s="19" t="s">
        <v>169</v>
      </c>
      <c r="F116" s="20"/>
      <c r="G116" s="19">
        <f t="shared" si="14"/>
        <v>0.2</v>
      </c>
      <c r="H116" s="21">
        <f t="shared" si="12"/>
        <v>0.2</v>
      </c>
      <c r="I116" s="19">
        <f t="shared" si="11"/>
        <v>1</v>
      </c>
      <c r="J116" s="19">
        <f t="shared" si="8"/>
        <v>0</v>
      </c>
      <c r="K116" s="19">
        <f t="shared" si="9"/>
        <v>0</v>
      </c>
      <c r="L116" s="21">
        <f t="shared" si="10"/>
        <v>1</v>
      </c>
      <c r="M116" s="32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1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33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33"/>
      <c r="EG116" s="33"/>
      <c r="EH116" s="33"/>
      <c r="EI116" s="33"/>
      <c r="EJ116" s="33"/>
      <c r="EK116" s="19"/>
      <c r="EL116" s="19"/>
    </row>
    <row r="117" spans="1:142" hidden="1" x14ac:dyDescent="0.25">
      <c r="A117" s="19" t="s">
        <v>171</v>
      </c>
      <c r="B117" s="19" t="s">
        <v>165</v>
      </c>
      <c r="C117" s="19">
        <v>500</v>
      </c>
      <c r="D117" s="19">
        <v>320</v>
      </c>
      <c r="E117" s="19" t="s">
        <v>169</v>
      </c>
      <c r="F117" s="20"/>
      <c r="G117" s="19">
        <f t="shared" si="14"/>
        <v>0.16</v>
      </c>
      <c r="H117" s="21">
        <f t="shared" si="12"/>
        <v>1.1200000000000001</v>
      </c>
      <c r="I117" s="19">
        <f t="shared" si="11"/>
        <v>4</v>
      </c>
      <c r="J117" s="19">
        <f t="shared" si="8"/>
        <v>3</v>
      </c>
      <c r="K117" s="19">
        <f t="shared" si="9"/>
        <v>0</v>
      </c>
      <c r="L117" s="21">
        <f t="shared" si="10"/>
        <v>7</v>
      </c>
      <c r="M117" s="25"/>
      <c r="N117" s="25"/>
      <c r="O117" s="19"/>
      <c r="P117" s="19">
        <v>2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>
        <v>2</v>
      </c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>
        <v>1</v>
      </c>
      <c r="BN117" s="19"/>
      <c r="BO117" s="19"/>
      <c r="BP117" s="19"/>
      <c r="BQ117" s="19">
        <v>1</v>
      </c>
      <c r="BR117" s="19"/>
      <c r="BS117" s="19">
        <v>1</v>
      </c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33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33"/>
      <c r="EG117" s="33"/>
      <c r="EH117" s="33"/>
      <c r="EI117" s="33"/>
      <c r="EJ117" s="33"/>
      <c r="EK117" s="19"/>
      <c r="EL117" s="19"/>
    </row>
    <row r="118" spans="1:142" hidden="1" x14ac:dyDescent="0.25">
      <c r="A118" s="19" t="s">
        <v>171</v>
      </c>
      <c r="B118" s="19" t="s">
        <v>165</v>
      </c>
      <c r="C118" s="19">
        <v>500</v>
      </c>
      <c r="D118" s="19">
        <v>250</v>
      </c>
      <c r="E118" s="19" t="s">
        <v>169</v>
      </c>
      <c r="F118" s="20"/>
      <c r="G118" s="19">
        <f t="shared" si="14"/>
        <v>0.125</v>
      </c>
      <c r="H118" s="21">
        <f t="shared" si="12"/>
        <v>0.125</v>
      </c>
      <c r="I118" s="19">
        <f t="shared" si="11"/>
        <v>0</v>
      </c>
      <c r="J118" s="19">
        <f t="shared" si="8"/>
        <v>1</v>
      </c>
      <c r="K118" s="19">
        <f t="shared" si="9"/>
        <v>0</v>
      </c>
      <c r="L118" s="21">
        <f t="shared" si="10"/>
        <v>1</v>
      </c>
      <c r="M118" s="25"/>
      <c r="N118" s="25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>
        <v>1</v>
      </c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33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33"/>
      <c r="EG118" s="33"/>
      <c r="EH118" s="33"/>
      <c r="EI118" s="33"/>
      <c r="EJ118" s="33"/>
      <c r="EK118" s="19"/>
      <c r="EL118" s="19"/>
    </row>
    <row r="119" spans="1:142" hidden="1" x14ac:dyDescent="0.25">
      <c r="A119" s="19" t="s">
        <v>171</v>
      </c>
      <c r="B119" s="19" t="s">
        <v>165</v>
      </c>
      <c r="C119" s="19">
        <v>500</v>
      </c>
      <c r="D119" s="19">
        <v>200</v>
      </c>
      <c r="E119" s="19" t="s">
        <v>169</v>
      </c>
      <c r="F119" s="20"/>
      <c r="G119" s="19">
        <f t="shared" si="14"/>
        <v>0.1</v>
      </c>
      <c r="H119" s="21">
        <f t="shared" si="12"/>
        <v>0.1</v>
      </c>
      <c r="I119" s="19">
        <f t="shared" si="11"/>
        <v>0</v>
      </c>
      <c r="J119" s="19">
        <f t="shared" si="8"/>
        <v>1</v>
      </c>
      <c r="K119" s="19">
        <f t="shared" si="9"/>
        <v>0</v>
      </c>
      <c r="L119" s="21">
        <f t="shared" si="10"/>
        <v>1</v>
      </c>
      <c r="M119" s="25"/>
      <c r="N119" s="25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33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>
        <v>1</v>
      </c>
      <c r="DY119" s="19"/>
      <c r="DZ119" s="19"/>
      <c r="EA119" s="19"/>
      <c r="EB119" s="19"/>
      <c r="EC119" s="19"/>
      <c r="ED119" s="19"/>
      <c r="EE119" s="19"/>
      <c r="EF119" s="33"/>
      <c r="EG119" s="33"/>
      <c r="EH119" s="33"/>
      <c r="EI119" s="33"/>
      <c r="EJ119" s="33"/>
      <c r="EK119" s="19"/>
      <c r="EL119" s="19"/>
    </row>
    <row r="120" spans="1:142" hidden="1" x14ac:dyDescent="0.25">
      <c r="A120" s="19" t="s">
        <v>171</v>
      </c>
      <c r="B120" s="19" t="s">
        <v>166</v>
      </c>
      <c r="C120" s="19">
        <v>400</v>
      </c>
      <c r="D120" s="19">
        <v>320</v>
      </c>
      <c r="E120" s="19" t="s">
        <v>169</v>
      </c>
      <c r="F120" s="20"/>
      <c r="G120" s="19">
        <f t="shared" si="14"/>
        <v>0.128</v>
      </c>
      <c r="H120" s="21">
        <f t="shared" si="12"/>
        <v>0.25600000000000001</v>
      </c>
      <c r="I120" s="19">
        <f t="shared" si="11"/>
        <v>1</v>
      </c>
      <c r="J120" s="19">
        <f t="shared" si="8"/>
        <v>0</v>
      </c>
      <c r="K120" s="19">
        <f t="shared" si="9"/>
        <v>1</v>
      </c>
      <c r="L120" s="21">
        <f t="shared" si="10"/>
        <v>2</v>
      </c>
      <c r="M120" s="25"/>
      <c r="N120" s="25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5">
        <v>1</v>
      </c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33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33"/>
      <c r="EG120" s="33"/>
      <c r="EH120" s="33"/>
      <c r="EI120" s="33">
        <v>1</v>
      </c>
      <c r="EJ120" s="33"/>
      <c r="EK120" s="19"/>
      <c r="EL120" s="19"/>
    </row>
    <row r="121" spans="1:142" hidden="1" x14ac:dyDescent="0.25">
      <c r="A121" s="19" t="s">
        <v>171</v>
      </c>
      <c r="B121" s="19" t="s">
        <v>166</v>
      </c>
      <c r="C121" s="19">
        <v>400</v>
      </c>
      <c r="D121" s="19">
        <v>250</v>
      </c>
      <c r="E121" s="19" t="s">
        <v>169</v>
      </c>
      <c r="F121" s="20"/>
      <c r="G121" s="19">
        <f t="shared" si="14"/>
        <v>0.1</v>
      </c>
      <c r="H121" s="21">
        <f t="shared" si="12"/>
        <v>0.30000000000000004</v>
      </c>
      <c r="I121" s="19">
        <f t="shared" si="11"/>
        <v>0</v>
      </c>
      <c r="J121" s="19">
        <f t="shared" si="8"/>
        <v>3</v>
      </c>
      <c r="K121" s="19">
        <f t="shared" si="9"/>
        <v>0</v>
      </c>
      <c r="L121" s="21">
        <f t="shared" si="10"/>
        <v>3</v>
      </c>
      <c r="M121" s="25"/>
      <c r="N121" s="25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5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>
        <v>1</v>
      </c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>
        <v>2</v>
      </c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33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33"/>
      <c r="EG121" s="33"/>
      <c r="EH121" s="33"/>
      <c r="EI121" s="33"/>
      <c r="EJ121" s="33"/>
      <c r="EK121" s="19"/>
      <c r="EL121" s="19"/>
    </row>
    <row r="122" spans="1:142" hidden="1" x14ac:dyDescent="0.25">
      <c r="A122" s="19" t="s">
        <v>171</v>
      </c>
      <c r="B122" s="19" t="s">
        <v>167</v>
      </c>
      <c r="C122" s="19">
        <v>320</v>
      </c>
      <c r="D122" s="19">
        <v>320</v>
      </c>
      <c r="E122" s="19" t="s">
        <v>169</v>
      </c>
      <c r="F122" s="20"/>
      <c r="G122" s="19">
        <f t="shared" si="14"/>
        <v>0.1024</v>
      </c>
      <c r="H122" s="21">
        <f t="shared" si="12"/>
        <v>0.1024</v>
      </c>
      <c r="I122" s="19">
        <f t="shared" si="11"/>
        <v>0</v>
      </c>
      <c r="J122" s="19">
        <f t="shared" si="8"/>
        <v>0</v>
      </c>
      <c r="K122" s="19">
        <f t="shared" si="9"/>
        <v>1</v>
      </c>
      <c r="L122" s="21">
        <f t="shared" si="10"/>
        <v>1</v>
      </c>
      <c r="M122" s="25"/>
      <c r="N122" s="25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5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33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33"/>
      <c r="EG122" s="33"/>
      <c r="EH122" s="33"/>
      <c r="EI122" s="33">
        <v>1</v>
      </c>
      <c r="EJ122" s="33"/>
      <c r="EK122" s="19"/>
      <c r="EL122" s="19"/>
    </row>
    <row r="123" spans="1:142" hidden="1" x14ac:dyDescent="0.25">
      <c r="A123" s="19" t="s">
        <v>171</v>
      </c>
      <c r="B123" s="19" t="s">
        <v>167</v>
      </c>
      <c r="C123" s="19">
        <v>320</v>
      </c>
      <c r="D123" s="19">
        <v>250</v>
      </c>
      <c r="E123" s="19" t="s">
        <v>169</v>
      </c>
      <c r="F123" s="20"/>
      <c r="G123" s="19">
        <f t="shared" si="14"/>
        <v>0.08</v>
      </c>
      <c r="H123" s="21">
        <f t="shared" si="12"/>
        <v>1.04</v>
      </c>
      <c r="I123" s="19">
        <f t="shared" si="11"/>
        <v>12</v>
      </c>
      <c r="J123" s="19">
        <f t="shared" si="8"/>
        <v>1</v>
      </c>
      <c r="K123" s="19">
        <f t="shared" si="9"/>
        <v>0</v>
      </c>
      <c r="L123" s="21">
        <f t="shared" si="10"/>
        <v>13</v>
      </c>
      <c r="M123" s="25"/>
      <c r="N123" s="25"/>
      <c r="O123" s="19"/>
      <c r="P123" s="19"/>
      <c r="Q123" s="19"/>
      <c r="R123" s="19"/>
      <c r="S123" s="19"/>
      <c r="T123" s="19"/>
      <c r="U123" s="19"/>
      <c r="V123" s="19">
        <v>7</v>
      </c>
      <c r="W123" s="19"/>
      <c r="X123" s="19"/>
      <c r="Y123" s="19"/>
      <c r="Z123" s="19"/>
      <c r="AA123" s="19"/>
      <c r="AB123" s="19">
        <v>5</v>
      </c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>
        <v>1</v>
      </c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33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33"/>
      <c r="EG123" s="33"/>
      <c r="EH123" s="33"/>
      <c r="EI123" s="33"/>
      <c r="EJ123" s="33"/>
      <c r="EK123" s="19"/>
      <c r="EL123" s="19"/>
    </row>
    <row r="124" spans="1:142" hidden="1" x14ac:dyDescent="0.25">
      <c r="A124" s="19" t="s">
        <v>171</v>
      </c>
      <c r="B124" s="19" t="s">
        <v>167</v>
      </c>
      <c r="C124" s="19">
        <v>320</v>
      </c>
      <c r="D124" s="19">
        <v>160</v>
      </c>
      <c r="E124" s="19" t="s">
        <v>169</v>
      </c>
      <c r="F124" s="20"/>
      <c r="G124" s="19">
        <f t="shared" si="14"/>
        <v>5.1200000000000002E-2</v>
      </c>
      <c r="H124" s="21">
        <f t="shared" si="12"/>
        <v>0.40960000000000002</v>
      </c>
      <c r="I124" s="19">
        <f t="shared" si="11"/>
        <v>8</v>
      </c>
      <c r="J124" s="19">
        <f t="shared" si="8"/>
        <v>0</v>
      </c>
      <c r="K124" s="19">
        <f t="shared" si="9"/>
        <v>0</v>
      </c>
      <c r="L124" s="21">
        <f t="shared" si="10"/>
        <v>8</v>
      </c>
      <c r="M124" s="25"/>
      <c r="N124" s="25"/>
      <c r="O124" s="19"/>
      <c r="P124" s="19"/>
      <c r="Q124" s="19"/>
      <c r="R124" s="19"/>
      <c r="S124" s="19"/>
      <c r="T124" s="19"/>
      <c r="U124" s="19"/>
      <c r="V124" s="19">
        <v>2</v>
      </c>
      <c r="W124" s="19"/>
      <c r="X124" s="19"/>
      <c r="Y124" s="19"/>
      <c r="Z124" s="19"/>
      <c r="AA124" s="19"/>
      <c r="AB124" s="19">
        <v>2</v>
      </c>
      <c r="AC124" s="19"/>
      <c r="AD124" s="19"/>
      <c r="AE124" s="19"/>
      <c r="AF124" s="19"/>
      <c r="AG124" s="19"/>
      <c r="AH124" s="19"/>
      <c r="AI124" s="19"/>
      <c r="AJ124" s="19"/>
      <c r="AK124" s="19">
        <v>4</v>
      </c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33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33"/>
      <c r="EG124" s="33"/>
      <c r="EH124" s="33"/>
      <c r="EI124" s="33"/>
      <c r="EJ124" s="33"/>
      <c r="EK124" s="19"/>
      <c r="EL124" s="19"/>
    </row>
    <row r="125" spans="1:142" hidden="1" x14ac:dyDescent="0.25">
      <c r="A125" s="19" t="s">
        <v>171</v>
      </c>
      <c r="B125" s="19" t="s">
        <v>167</v>
      </c>
      <c r="C125" s="19">
        <v>320</v>
      </c>
      <c r="D125" s="19">
        <v>120</v>
      </c>
      <c r="E125" s="19" t="s">
        <v>169</v>
      </c>
      <c r="F125" s="20"/>
      <c r="G125" s="19">
        <f t="shared" si="14"/>
        <v>3.8399999999999997E-2</v>
      </c>
      <c r="H125" s="21">
        <f t="shared" si="12"/>
        <v>0.1152</v>
      </c>
      <c r="I125" s="19">
        <f t="shared" si="11"/>
        <v>2</v>
      </c>
      <c r="J125" s="19">
        <f t="shared" si="8"/>
        <v>1</v>
      </c>
      <c r="K125" s="19">
        <f t="shared" si="9"/>
        <v>0</v>
      </c>
      <c r="L125" s="21">
        <f t="shared" si="10"/>
        <v>3</v>
      </c>
      <c r="M125" s="25"/>
      <c r="N125" s="25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>
        <v>2</v>
      </c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>
        <v>1</v>
      </c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33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33"/>
      <c r="EG125" s="33"/>
      <c r="EH125" s="33"/>
      <c r="EI125" s="33"/>
      <c r="EJ125" s="33"/>
      <c r="EK125" s="19"/>
      <c r="EL125" s="19"/>
    </row>
    <row r="126" spans="1:142" hidden="1" x14ac:dyDescent="0.25">
      <c r="A126" s="19" t="s">
        <v>171</v>
      </c>
      <c r="B126" s="19" t="s">
        <v>167</v>
      </c>
      <c r="C126" s="19">
        <v>250</v>
      </c>
      <c r="D126" s="19">
        <v>160</v>
      </c>
      <c r="E126" s="19" t="s">
        <v>169</v>
      </c>
      <c r="F126" s="20"/>
      <c r="G126" s="19">
        <f t="shared" si="14"/>
        <v>0.04</v>
      </c>
      <c r="H126" s="21">
        <f t="shared" si="12"/>
        <v>0.36</v>
      </c>
      <c r="I126" s="19">
        <f t="shared" si="11"/>
        <v>9</v>
      </c>
      <c r="J126" s="19">
        <f t="shared" si="8"/>
        <v>0</v>
      </c>
      <c r="K126" s="19">
        <f t="shared" si="9"/>
        <v>0</v>
      </c>
      <c r="L126" s="21">
        <f t="shared" si="10"/>
        <v>9</v>
      </c>
      <c r="M126" s="25"/>
      <c r="N126" s="25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25">
        <v>9</v>
      </c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33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33"/>
      <c r="EG126" s="33"/>
      <c r="EH126" s="33"/>
      <c r="EI126" s="33"/>
      <c r="EJ126" s="33"/>
      <c r="EK126" s="19"/>
      <c r="EL126" s="19"/>
    </row>
    <row r="127" spans="1:142" hidden="1" x14ac:dyDescent="0.25">
      <c r="A127" s="19" t="s">
        <v>172</v>
      </c>
      <c r="B127" s="19"/>
      <c r="C127" s="24" t="s">
        <v>159</v>
      </c>
      <c r="D127" s="19">
        <v>1120</v>
      </c>
      <c r="E127" s="19" t="s">
        <v>169</v>
      </c>
      <c r="F127" s="20"/>
      <c r="G127" s="19"/>
      <c r="H127" s="21"/>
      <c r="I127" s="19">
        <f t="shared" si="11"/>
        <v>4</v>
      </c>
      <c r="J127" s="19">
        <f t="shared" si="8"/>
        <v>6</v>
      </c>
      <c r="K127" s="19">
        <f t="shared" si="9"/>
        <v>0</v>
      </c>
      <c r="L127" s="21">
        <f t="shared" si="10"/>
        <v>10</v>
      </c>
      <c r="M127" s="25"/>
      <c r="N127" s="25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25"/>
      <c r="AL127" s="19"/>
      <c r="AM127" s="19"/>
      <c r="AN127" s="19"/>
      <c r="AO127" s="19"/>
      <c r="AP127" s="19"/>
      <c r="AQ127" s="19"/>
      <c r="AR127" s="19"/>
      <c r="AS127" s="19">
        <v>2</v>
      </c>
      <c r="AT127" s="19">
        <v>2</v>
      </c>
      <c r="AU127" s="19"/>
      <c r="AV127" s="19"/>
      <c r="AW127" s="19"/>
      <c r="AX127" s="19"/>
      <c r="AY127" s="19">
        <v>2</v>
      </c>
      <c r="AZ127" s="19">
        <v>2</v>
      </c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33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>
        <v>2</v>
      </c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33"/>
      <c r="EG127" s="33"/>
      <c r="EH127" s="33"/>
      <c r="EI127" s="33"/>
      <c r="EJ127" s="33"/>
      <c r="EK127" s="19"/>
      <c r="EL127" s="19"/>
    </row>
    <row r="128" spans="1:142" hidden="1" x14ac:dyDescent="0.25">
      <c r="A128" s="19" t="s">
        <v>172</v>
      </c>
      <c r="B128" s="19"/>
      <c r="C128" s="24" t="s">
        <v>159</v>
      </c>
      <c r="D128" s="19">
        <v>1100</v>
      </c>
      <c r="E128" s="19" t="s">
        <v>169</v>
      </c>
      <c r="F128" s="20"/>
      <c r="G128" s="19"/>
      <c r="H128" s="21"/>
      <c r="I128" s="19">
        <f t="shared" si="11"/>
        <v>0</v>
      </c>
      <c r="J128" s="19">
        <f t="shared" si="8"/>
        <v>2</v>
      </c>
      <c r="K128" s="19">
        <f t="shared" si="9"/>
        <v>0</v>
      </c>
      <c r="L128" s="21">
        <f t="shared" si="10"/>
        <v>2</v>
      </c>
      <c r="M128" s="25"/>
      <c r="N128" s="25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25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33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>
        <v>2</v>
      </c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33"/>
      <c r="EG128" s="33"/>
      <c r="EH128" s="33"/>
      <c r="EI128" s="33"/>
      <c r="EJ128" s="33"/>
      <c r="EK128" s="19"/>
      <c r="EL128" s="19"/>
    </row>
    <row r="129" spans="1:142" hidden="1" x14ac:dyDescent="0.25">
      <c r="A129" s="19" t="s">
        <v>172</v>
      </c>
      <c r="B129" s="19"/>
      <c r="C129" s="24" t="s">
        <v>159</v>
      </c>
      <c r="D129" s="19">
        <v>1000</v>
      </c>
      <c r="E129" s="19" t="s">
        <v>169</v>
      </c>
      <c r="F129" s="20"/>
      <c r="G129" s="19"/>
      <c r="H129" s="21"/>
      <c r="I129" s="19">
        <f t="shared" si="11"/>
        <v>14</v>
      </c>
      <c r="J129" s="19">
        <f t="shared" si="8"/>
        <v>28</v>
      </c>
      <c r="K129" s="19">
        <f t="shared" si="9"/>
        <v>2</v>
      </c>
      <c r="L129" s="21">
        <f t="shared" si="10"/>
        <v>44</v>
      </c>
      <c r="M129" s="25"/>
      <c r="N129" s="25"/>
      <c r="O129" s="19"/>
      <c r="P129" s="19"/>
      <c r="Q129" s="19"/>
      <c r="R129" s="19"/>
      <c r="S129" s="19"/>
      <c r="T129" s="19"/>
      <c r="U129" s="19"/>
      <c r="V129" s="19"/>
      <c r="W129" s="19">
        <v>2</v>
      </c>
      <c r="X129" s="19"/>
      <c r="Y129" s="19">
        <v>2</v>
      </c>
      <c r="Z129" s="19"/>
      <c r="AA129" s="19"/>
      <c r="AB129" s="19"/>
      <c r="AC129" s="19"/>
      <c r="AD129" s="19">
        <v>2</v>
      </c>
      <c r="AE129" s="19">
        <v>2</v>
      </c>
      <c r="AF129" s="19">
        <v>2</v>
      </c>
      <c r="AG129" s="19"/>
      <c r="AH129" s="19"/>
      <c r="AI129" s="19"/>
      <c r="AJ129" s="19"/>
      <c r="AK129" s="19"/>
      <c r="AL129" s="19"/>
      <c r="AM129" s="19"/>
      <c r="AN129" s="19">
        <v>2</v>
      </c>
      <c r="AO129" s="19">
        <v>2</v>
      </c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>
        <v>2</v>
      </c>
      <c r="BF129" s="19">
        <v>2</v>
      </c>
      <c r="BG129" s="19">
        <v>2</v>
      </c>
      <c r="BH129" s="19">
        <v>2</v>
      </c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>
        <v>2</v>
      </c>
      <c r="CN129" s="19">
        <v>2</v>
      </c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33"/>
      <c r="CZ129" s="19">
        <v>2</v>
      </c>
      <c r="DA129" s="19">
        <v>2</v>
      </c>
      <c r="DB129" s="19"/>
      <c r="DC129" s="19"/>
      <c r="DD129" s="19"/>
      <c r="DE129" s="19"/>
      <c r="DF129" s="19"/>
      <c r="DG129" s="19"/>
      <c r="DH129" s="19">
        <v>2</v>
      </c>
      <c r="DI129" s="19">
        <v>2</v>
      </c>
      <c r="DJ129" s="19">
        <v>2</v>
      </c>
      <c r="DK129" s="19"/>
      <c r="DL129" s="19">
        <v>2</v>
      </c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>
        <v>2</v>
      </c>
      <c r="EE129" s="19">
        <v>2</v>
      </c>
      <c r="EF129" s="33"/>
      <c r="EG129" s="33"/>
      <c r="EH129" s="33">
        <v>2</v>
      </c>
      <c r="EI129" s="33"/>
      <c r="EJ129" s="33"/>
      <c r="EK129" s="19"/>
      <c r="EL129" s="19"/>
    </row>
    <row r="130" spans="1:142" hidden="1" x14ac:dyDescent="0.25">
      <c r="A130" s="19" t="s">
        <v>172</v>
      </c>
      <c r="B130" s="19"/>
      <c r="C130" s="24" t="s">
        <v>159</v>
      </c>
      <c r="D130" s="19">
        <v>900</v>
      </c>
      <c r="E130" s="19" t="s">
        <v>169</v>
      </c>
      <c r="F130" s="20"/>
      <c r="G130" s="19"/>
      <c r="H130" s="21"/>
      <c r="I130" s="19">
        <f t="shared" si="11"/>
        <v>0</v>
      </c>
      <c r="J130" s="19">
        <f t="shared" si="8"/>
        <v>4</v>
      </c>
      <c r="K130" s="19">
        <f t="shared" si="9"/>
        <v>0</v>
      </c>
      <c r="L130" s="21">
        <f t="shared" si="10"/>
        <v>4</v>
      </c>
      <c r="M130" s="25"/>
      <c r="N130" s="25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>
        <v>2</v>
      </c>
      <c r="CP130" s="19"/>
      <c r="CQ130" s="19"/>
      <c r="CR130" s="19"/>
      <c r="CS130" s="19"/>
      <c r="CT130" s="19"/>
      <c r="CU130" s="19"/>
      <c r="CV130" s="19"/>
      <c r="CW130" s="19"/>
      <c r="CX130" s="19"/>
      <c r="CY130" s="33">
        <v>2</v>
      </c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33"/>
      <c r="EG130" s="33"/>
      <c r="EH130" s="33"/>
      <c r="EI130" s="33"/>
      <c r="EJ130" s="33"/>
      <c r="EK130" s="19"/>
      <c r="EL130" s="19"/>
    </row>
    <row r="131" spans="1:142" hidden="1" x14ac:dyDescent="0.25">
      <c r="A131" s="19" t="s">
        <v>172</v>
      </c>
      <c r="B131" s="19"/>
      <c r="C131" s="24" t="s">
        <v>159</v>
      </c>
      <c r="D131" s="19">
        <v>800</v>
      </c>
      <c r="E131" s="19" t="s">
        <v>169</v>
      </c>
      <c r="F131" s="20"/>
      <c r="G131" s="19"/>
      <c r="H131" s="21"/>
      <c r="I131" s="19">
        <f t="shared" si="11"/>
        <v>18</v>
      </c>
      <c r="J131" s="19">
        <f t="shared" si="8"/>
        <v>26</v>
      </c>
      <c r="K131" s="19">
        <f t="shared" si="9"/>
        <v>0</v>
      </c>
      <c r="L131" s="21">
        <f t="shared" si="10"/>
        <v>44</v>
      </c>
      <c r="M131" s="25"/>
      <c r="N131" s="25"/>
      <c r="O131" s="19"/>
      <c r="P131" s="19"/>
      <c r="Q131" s="19"/>
      <c r="R131" s="19"/>
      <c r="S131" s="19"/>
      <c r="T131" s="19"/>
      <c r="U131" s="19">
        <v>2</v>
      </c>
      <c r="V131" s="19"/>
      <c r="W131" s="19"/>
      <c r="X131" s="19"/>
      <c r="Y131" s="19"/>
      <c r="Z131" s="19"/>
      <c r="AA131" s="19">
        <v>2</v>
      </c>
      <c r="AB131" s="19"/>
      <c r="AC131" s="19"/>
      <c r="AD131" s="19"/>
      <c r="AE131" s="19"/>
      <c r="AF131" s="19"/>
      <c r="AG131" s="19"/>
      <c r="AH131" s="19">
        <v>2</v>
      </c>
      <c r="AI131" s="19">
        <v>2</v>
      </c>
      <c r="AJ131" s="19">
        <v>2</v>
      </c>
      <c r="AK131" s="19"/>
      <c r="AL131" s="19">
        <v>2</v>
      </c>
      <c r="AM131" s="19">
        <v>2</v>
      </c>
      <c r="AN131" s="19"/>
      <c r="AO131" s="19"/>
      <c r="AP131" s="19"/>
      <c r="AQ131" s="19">
        <v>2</v>
      </c>
      <c r="AR131" s="19">
        <v>2</v>
      </c>
      <c r="AS131" s="19"/>
      <c r="AT131" s="19"/>
      <c r="AU131" s="19"/>
      <c r="AV131" s="19"/>
      <c r="AW131" s="19">
        <v>2</v>
      </c>
      <c r="AX131" s="19">
        <v>2</v>
      </c>
      <c r="AY131" s="19"/>
      <c r="AZ131" s="19"/>
      <c r="BA131" s="19">
        <v>2</v>
      </c>
      <c r="BB131" s="19">
        <v>2</v>
      </c>
      <c r="BC131" s="19">
        <v>2</v>
      </c>
      <c r="BD131" s="19">
        <v>2</v>
      </c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>
        <v>2</v>
      </c>
      <c r="CG131" s="19">
        <v>2</v>
      </c>
      <c r="CH131" s="19">
        <v>2</v>
      </c>
      <c r="CI131" s="19">
        <v>2</v>
      </c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>
        <v>2</v>
      </c>
      <c r="CV131" s="19"/>
      <c r="CW131" s="19"/>
      <c r="CX131" s="19"/>
      <c r="CY131" s="33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>
        <v>2</v>
      </c>
      <c r="DN131" s="19"/>
      <c r="DO131" s="19"/>
      <c r="DP131" s="19"/>
      <c r="DQ131" s="19"/>
      <c r="DR131" s="19"/>
      <c r="DS131" s="19"/>
      <c r="DT131" s="19"/>
      <c r="DU131" s="19"/>
      <c r="DV131" s="19"/>
      <c r="DW131" s="19">
        <v>2</v>
      </c>
      <c r="DX131" s="19"/>
      <c r="DY131" s="19"/>
      <c r="DZ131" s="19"/>
      <c r="EA131" s="19"/>
      <c r="EB131" s="19"/>
      <c r="EC131" s="19"/>
      <c r="ED131" s="19"/>
      <c r="EE131" s="19"/>
      <c r="EF131" s="33"/>
      <c r="EG131" s="33"/>
      <c r="EH131" s="33"/>
      <c r="EI131" s="33"/>
      <c r="EJ131" s="33"/>
      <c r="EK131" s="19"/>
      <c r="EL131" s="19"/>
    </row>
    <row r="132" spans="1:142" hidden="1" x14ac:dyDescent="0.25">
      <c r="A132" s="19" t="s">
        <v>172</v>
      </c>
      <c r="B132" s="19"/>
      <c r="C132" s="24" t="s">
        <v>159</v>
      </c>
      <c r="D132" s="19">
        <v>750</v>
      </c>
      <c r="E132" s="19" t="s">
        <v>169</v>
      </c>
      <c r="F132" s="20"/>
      <c r="G132" s="19"/>
      <c r="H132" s="21"/>
      <c r="I132" s="19">
        <f t="shared" si="11"/>
        <v>0</v>
      </c>
      <c r="J132" s="19">
        <f t="shared" si="8"/>
        <v>4</v>
      </c>
      <c r="K132" s="19">
        <f t="shared" si="9"/>
        <v>0</v>
      </c>
      <c r="L132" s="21">
        <f t="shared" si="10"/>
        <v>4</v>
      </c>
      <c r="M132" s="25"/>
      <c r="N132" s="25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>
        <v>2</v>
      </c>
      <c r="CT132" s="19">
        <v>2</v>
      </c>
      <c r="CU132" s="19"/>
      <c r="CV132" s="19"/>
      <c r="CW132" s="19"/>
      <c r="CX132" s="19"/>
      <c r="CY132" s="33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33"/>
      <c r="EG132" s="33"/>
      <c r="EH132" s="33"/>
      <c r="EI132" s="33"/>
      <c r="EJ132" s="33"/>
      <c r="EK132" s="19"/>
      <c r="EL132" s="19"/>
    </row>
    <row r="133" spans="1:142" hidden="1" x14ac:dyDescent="0.25">
      <c r="A133" s="19" t="s">
        <v>172</v>
      </c>
      <c r="B133" s="19"/>
      <c r="C133" s="24" t="s">
        <v>159</v>
      </c>
      <c r="D133" s="19">
        <v>710</v>
      </c>
      <c r="E133" s="19" t="s">
        <v>169</v>
      </c>
      <c r="F133" s="20"/>
      <c r="G133" s="19"/>
      <c r="H133" s="21"/>
      <c r="I133" s="19">
        <f t="shared" si="11"/>
        <v>12</v>
      </c>
      <c r="J133" s="19">
        <f t="shared" ref="J133:J148" si="15">SUM(AW133:EE133)</f>
        <v>24</v>
      </c>
      <c r="K133" s="19">
        <f t="shared" ref="K133:K196" si="16">SUM(EF133:EM133)</f>
        <v>4</v>
      </c>
      <c r="L133" s="21">
        <f t="shared" ref="L133:L196" si="17">SUM(M133:EM133)</f>
        <v>40</v>
      </c>
      <c r="M133" s="25">
        <v>2</v>
      </c>
      <c r="N133" s="25">
        <v>2</v>
      </c>
      <c r="O133" s="19">
        <v>2</v>
      </c>
      <c r="P133" s="19">
        <v>2</v>
      </c>
      <c r="Q133" s="19"/>
      <c r="R133" s="19"/>
      <c r="S133" s="19">
        <v>2</v>
      </c>
      <c r="T133" s="19">
        <v>2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>
        <v>2</v>
      </c>
      <c r="BS133" s="19"/>
      <c r="BT133" s="19"/>
      <c r="BU133" s="19"/>
      <c r="BV133" s="19"/>
      <c r="BW133" s="19">
        <v>2</v>
      </c>
      <c r="BX133" s="19">
        <v>2</v>
      </c>
      <c r="BY133" s="19"/>
      <c r="BZ133" s="19"/>
      <c r="CA133" s="19">
        <v>2</v>
      </c>
      <c r="CB133" s="19">
        <v>2</v>
      </c>
      <c r="CC133" s="19">
        <v>2</v>
      </c>
      <c r="CD133" s="19">
        <v>2</v>
      </c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>
        <v>2</v>
      </c>
      <c r="CY133" s="33"/>
      <c r="CZ133" s="19"/>
      <c r="DA133" s="19"/>
      <c r="DB133" s="19"/>
      <c r="DC133" s="19"/>
      <c r="DD133" s="19"/>
      <c r="DE133" s="19"/>
      <c r="DF133" s="19"/>
      <c r="DG133" s="19">
        <v>2</v>
      </c>
      <c r="DH133" s="19"/>
      <c r="DI133" s="19"/>
      <c r="DJ133" s="19"/>
      <c r="DK133" s="19">
        <v>2</v>
      </c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>
        <v>2</v>
      </c>
      <c r="EC133" s="19">
        <v>2</v>
      </c>
      <c r="ED133" s="19"/>
      <c r="EE133" s="19"/>
      <c r="EF133" s="33">
        <v>2</v>
      </c>
      <c r="EG133" s="33">
        <v>2</v>
      </c>
      <c r="EH133" s="33"/>
      <c r="EI133" s="33"/>
      <c r="EJ133" s="33"/>
      <c r="EK133" s="19"/>
      <c r="EL133" s="19"/>
    </row>
    <row r="134" spans="1:142" hidden="1" x14ac:dyDescent="0.25">
      <c r="A134" s="19" t="s">
        <v>172</v>
      </c>
      <c r="B134" s="19"/>
      <c r="C134" s="24" t="s">
        <v>159</v>
      </c>
      <c r="D134" s="19">
        <v>650</v>
      </c>
      <c r="E134" s="19" t="s">
        <v>169</v>
      </c>
      <c r="F134" s="20"/>
      <c r="G134" s="19"/>
      <c r="H134" s="21"/>
      <c r="I134" s="19">
        <f t="shared" ref="I134:I197" si="18">SUM(M134:AV134)</f>
        <v>0</v>
      </c>
      <c r="J134" s="19">
        <f t="shared" si="15"/>
        <v>24</v>
      </c>
      <c r="K134" s="19">
        <f t="shared" si="16"/>
        <v>0</v>
      </c>
      <c r="L134" s="21">
        <f t="shared" si="17"/>
        <v>24</v>
      </c>
      <c r="M134" s="25"/>
      <c r="N134" s="25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>
        <v>2</v>
      </c>
      <c r="CR134" s="19">
        <v>2</v>
      </c>
      <c r="CS134" s="19"/>
      <c r="CT134" s="19"/>
      <c r="CU134" s="19">
        <v>2</v>
      </c>
      <c r="CV134" s="19"/>
      <c r="CW134" s="19"/>
      <c r="CX134" s="19"/>
      <c r="CY134" s="33"/>
      <c r="CZ134" s="19"/>
      <c r="DA134" s="19"/>
      <c r="DB134" s="19"/>
      <c r="DC134" s="19"/>
      <c r="DD134" s="19"/>
      <c r="DE134" s="19">
        <v>2</v>
      </c>
      <c r="DF134" s="19">
        <v>2</v>
      </c>
      <c r="DG134" s="19"/>
      <c r="DH134" s="19"/>
      <c r="DI134" s="19"/>
      <c r="DJ134" s="19"/>
      <c r="DK134" s="19"/>
      <c r="DL134" s="19"/>
      <c r="DM134" s="19"/>
      <c r="DN134" s="19">
        <v>2</v>
      </c>
      <c r="DO134" s="19"/>
      <c r="DP134" s="19"/>
      <c r="DQ134" s="19"/>
      <c r="DR134" s="19"/>
      <c r="DS134" s="19">
        <v>2</v>
      </c>
      <c r="DT134" s="19">
        <v>2</v>
      </c>
      <c r="DU134" s="19">
        <v>2</v>
      </c>
      <c r="DV134" s="19">
        <v>2</v>
      </c>
      <c r="DW134" s="19"/>
      <c r="DX134" s="19"/>
      <c r="DY134" s="19">
        <v>2</v>
      </c>
      <c r="DZ134" s="19">
        <v>2</v>
      </c>
      <c r="EA134" s="19"/>
      <c r="EB134" s="19"/>
      <c r="EC134" s="19"/>
      <c r="ED134" s="19"/>
      <c r="EE134" s="19"/>
      <c r="EF134" s="33"/>
      <c r="EG134" s="33"/>
      <c r="EH134" s="33"/>
      <c r="EI134" s="33"/>
      <c r="EJ134" s="33"/>
      <c r="EK134" s="19"/>
      <c r="EL134" s="19"/>
    </row>
    <row r="135" spans="1:142" hidden="1" x14ac:dyDescent="0.25">
      <c r="A135" s="19" t="s">
        <v>172</v>
      </c>
      <c r="B135" s="19"/>
      <c r="C135" s="24" t="s">
        <v>159</v>
      </c>
      <c r="D135" s="19">
        <v>630</v>
      </c>
      <c r="E135" s="19" t="s">
        <v>169</v>
      </c>
      <c r="F135" s="20"/>
      <c r="G135" s="19"/>
      <c r="H135" s="21"/>
      <c r="I135" s="19">
        <f t="shared" si="18"/>
        <v>0</v>
      </c>
      <c r="J135" s="19">
        <f t="shared" si="15"/>
        <v>21</v>
      </c>
      <c r="K135" s="19">
        <f t="shared" si="16"/>
        <v>0</v>
      </c>
      <c r="L135" s="21">
        <f t="shared" si="17"/>
        <v>21</v>
      </c>
      <c r="M135" s="25"/>
      <c r="N135" s="25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>
        <v>2</v>
      </c>
      <c r="BO135" s="19"/>
      <c r="BP135" s="19">
        <v>2</v>
      </c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>
        <v>1</v>
      </c>
      <c r="CK135" s="19">
        <v>2</v>
      </c>
      <c r="CL135" s="19">
        <v>2</v>
      </c>
      <c r="CM135" s="19"/>
      <c r="CN135" s="19"/>
      <c r="CO135" s="19"/>
      <c r="CP135" s="19">
        <v>2</v>
      </c>
      <c r="CQ135" s="19"/>
      <c r="CR135" s="19"/>
      <c r="CS135" s="19"/>
      <c r="CT135" s="19"/>
      <c r="CU135" s="19"/>
      <c r="CV135" s="19">
        <v>2</v>
      </c>
      <c r="CW135" s="19">
        <v>2</v>
      </c>
      <c r="CX135" s="19"/>
      <c r="CY135" s="33"/>
      <c r="CZ135" s="19"/>
      <c r="DA135" s="19"/>
      <c r="DB135" s="19">
        <v>2</v>
      </c>
      <c r="DC135" s="19">
        <v>2</v>
      </c>
      <c r="DD135" s="19">
        <v>2</v>
      </c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33"/>
      <c r="EG135" s="33"/>
      <c r="EH135" s="33"/>
      <c r="EI135" s="33"/>
      <c r="EJ135" s="33"/>
      <c r="EK135" s="19"/>
      <c r="EL135" s="19"/>
    </row>
    <row r="136" spans="1:142" hidden="1" x14ac:dyDescent="0.25">
      <c r="A136" s="19" t="s">
        <v>172</v>
      </c>
      <c r="B136" s="19"/>
      <c r="C136" s="24" t="s">
        <v>159</v>
      </c>
      <c r="D136" s="19">
        <v>560</v>
      </c>
      <c r="E136" s="19" t="s">
        <v>169</v>
      </c>
      <c r="F136" s="20"/>
      <c r="G136" s="19"/>
      <c r="H136" s="21"/>
      <c r="I136" s="19">
        <f t="shared" si="18"/>
        <v>0</v>
      </c>
      <c r="J136" s="19">
        <f t="shared" si="15"/>
        <v>4</v>
      </c>
      <c r="K136" s="19">
        <f t="shared" si="16"/>
        <v>0</v>
      </c>
      <c r="L136" s="21">
        <f t="shared" si="17"/>
        <v>4</v>
      </c>
      <c r="M136" s="25"/>
      <c r="N136" s="25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>
        <v>2</v>
      </c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33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>
        <v>2</v>
      </c>
      <c r="EB136" s="19"/>
      <c r="EC136" s="19"/>
      <c r="ED136" s="19"/>
      <c r="EE136" s="19"/>
      <c r="EF136" s="33"/>
      <c r="EG136" s="33"/>
      <c r="EH136" s="33"/>
      <c r="EI136" s="33"/>
      <c r="EJ136" s="33"/>
      <c r="EK136" s="19"/>
      <c r="EL136" s="19"/>
    </row>
    <row r="137" spans="1:142" hidden="1" x14ac:dyDescent="0.25">
      <c r="A137" s="19" t="s">
        <v>172</v>
      </c>
      <c r="B137" s="19"/>
      <c r="C137" s="24" t="s">
        <v>159</v>
      </c>
      <c r="D137" s="19">
        <v>500</v>
      </c>
      <c r="E137" s="19" t="s">
        <v>169</v>
      </c>
      <c r="F137" s="20"/>
      <c r="G137" s="19"/>
      <c r="H137" s="21"/>
      <c r="I137" s="19">
        <f t="shared" si="18"/>
        <v>4</v>
      </c>
      <c r="J137" s="19">
        <f t="shared" si="15"/>
        <v>4</v>
      </c>
      <c r="K137" s="19">
        <f t="shared" si="16"/>
        <v>2</v>
      </c>
      <c r="L137" s="21">
        <f t="shared" si="17"/>
        <v>10</v>
      </c>
      <c r="M137" s="25"/>
      <c r="N137" s="25"/>
      <c r="O137" s="19"/>
      <c r="P137" s="19"/>
      <c r="Q137" s="19">
        <v>2</v>
      </c>
      <c r="R137" s="19">
        <v>2</v>
      </c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>
        <v>2</v>
      </c>
      <c r="BZ137" s="19">
        <v>2</v>
      </c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33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33"/>
      <c r="EG137" s="33"/>
      <c r="EH137" s="33"/>
      <c r="EI137" s="33">
        <v>2</v>
      </c>
      <c r="EJ137" s="33"/>
      <c r="EK137" s="19"/>
      <c r="EL137" s="19"/>
    </row>
    <row r="138" spans="1:142" hidden="1" x14ac:dyDescent="0.25">
      <c r="A138" s="19" t="s">
        <v>172</v>
      </c>
      <c r="B138" s="19"/>
      <c r="C138" s="24" t="s">
        <v>159</v>
      </c>
      <c r="D138" s="19">
        <v>450</v>
      </c>
      <c r="E138" s="19" t="s">
        <v>169</v>
      </c>
      <c r="F138" s="20"/>
      <c r="G138" s="19"/>
      <c r="H138" s="21"/>
      <c r="I138" s="19">
        <f t="shared" si="18"/>
        <v>6</v>
      </c>
      <c r="J138" s="19">
        <f t="shared" si="15"/>
        <v>12</v>
      </c>
      <c r="K138" s="19">
        <f t="shared" si="16"/>
        <v>0</v>
      </c>
      <c r="L138" s="21">
        <f t="shared" si="17"/>
        <v>18</v>
      </c>
      <c r="M138" s="25"/>
      <c r="N138" s="25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v>2</v>
      </c>
      <c r="Y138" s="19"/>
      <c r="Z138" s="19">
        <v>2</v>
      </c>
      <c r="AA138" s="19"/>
      <c r="AB138" s="19"/>
      <c r="AC138" s="19"/>
      <c r="AD138" s="19"/>
      <c r="AE138" s="19"/>
      <c r="AF138" s="19"/>
      <c r="AG138" s="19">
        <v>2</v>
      </c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>
        <v>2</v>
      </c>
      <c r="BJ138" s="19"/>
      <c r="BK138" s="19">
        <v>2</v>
      </c>
      <c r="BL138" s="19"/>
      <c r="BM138" s="19">
        <v>2</v>
      </c>
      <c r="BN138" s="19"/>
      <c r="BO138" s="19">
        <v>2</v>
      </c>
      <c r="BP138" s="19"/>
      <c r="BQ138" s="19">
        <v>2</v>
      </c>
      <c r="BR138" s="19"/>
      <c r="BS138" s="19">
        <v>2</v>
      </c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33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33"/>
      <c r="EG138" s="33"/>
      <c r="EH138" s="33"/>
      <c r="EI138" s="33"/>
      <c r="EJ138" s="33"/>
      <c r="EK138" s="19"/>
      <c r="EL138" s="19"/>
    </row>
    <row r="139" spans="1:142" hidden="1" x14ac:dyDescent="0.25">
      <c r="A139" s="19" t="s">
        <v>172</v>
      </c>
      <c r="B139" s="19"/>
      <c r="C139" s="24" t="s">
        <v>159</v>
      </c>
      <c r="D139" s="19">
        <v>400</v>
      </c>
      <c r="E139" s="19" t="s">
        <v>169</v>
      </c>
      <c r="F139" s="20"/>
      <c r="G139" s="19"/>
      <c r="H139" s="21"/>
      <c r="I139" s="19">
        <f t="shared" si="18"/>
        <v>4</v>
      </c>
      <c r="J139" s="19">
        <f t="shared" si="15"/>
        <v>2</v>
      </c>
      <c r="K139" s="19">
        <f t="shared" si="16"/>
        <v>0</v>
      </c>
      <c r="L139" s="21">
        <f t="shared" si="17"/>
        <v>6</v>
      </c>
      <c r="M139" s="25"/>
      <c r="N139" s="25"/>
      <c r="O139" s="19"/>
      <c r="P139" s="19"/>
      <c r="Q139" s="19"/>
      <c r="R139" s="19"/>
      <c r="S139" s="19"/>
      <c r="T139" s="19"/>
      <c r="U139" s="19"/>
      <c r="V139" s="19">
        <v>4</v>
      </c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>
        <v>2</v>
      </c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33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33"/>
      <c r="EG139" s="33"/>
      <c r="EH139" s="33"/>
      <c r="EI139" s="33"/>
      <c r="EJ139" s="33"/>
      <c r="EK139" s="19"/>
      <c r="EL139" s="19"/>
    </row>
    <row r="140" spans="1:142" hidden="1" x14ac:dyDescent="0.25">
      <c r="A140" s="19" t="s">
        <v>172</v>
      </c>
      <c r="B140" s="19"/>
      <c r="C140" s="24" t="s">
        <v>159</v>
      </c>
      <c r="D140" s="19">
        <v>300</v>
      </c>
      <c r="E140" s="19" t="s">
        <v>169</v>
      </c>
      <c r="F140" s="20"/>
      <c r="G140" s="19"/>
      <c r="H140" s="21"/>
      <c r="I140" s="19">
        <f t="shared" si="18"/>
        <v>14</v>
      </c>
      <c r="J140" s="19">
        <f t="shared" si="15"/>
        <v>10</v>
      </c>
      <c r="K140" s="19">
        <f t="shared" si="16"/>
        <v>0</v>
      </c>
      <c r="L140" s="21">
        <f t="shared" si="17"/>
        <v>24</v>
      </c>
      <c r="M140" s="25"/>
      <c r="N140" s="25"/>
      <c r="O140" s="19"/>
      <c r="P140" s="19"/>
      <c r="Q140" s="19"/>
      <c r="R140" s="19"/>
      <c r="S140" s="19"/>
      <c r="T140" s="19"/>
      <c r="U140" s="19"/>
      <c r="V140" s="19">
        <f>2</f>
        <v>2</v>
      </c>
      <c r="W140" s="19"/>
      <c r="X140" s="19"/>
      <c r="Y140" s="19"/>
      <c r="Z140" s="19"/>
      <c r="AA140" s="19"/>
      <c r="AB140" s="19">
        <v>4</v>
      </c>
      <c r="AC140" s="19"/>
      <c r="AD140" s="19"/>
      <c r="AE140" s="19"/>
      <c r="AF140" s="19"/>
      <c r="AG140" s="19"/>
      <c r="AH140" s="19"/>
      <c r="AI140" s="19"/>
      <c r="AJ140" s="19"/>
      <c r="AK140" s="19">
        <f>4*2</f>
        <v>8</v>
      </c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>
        <v>6</v>
      </c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33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>
        <v>4</v>
      </c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33"/>
      <c r="EG140" s="33"/>
      <c r="EH140" s="33"/>
      <c r="EI140" s="33"/>
      <c r="EJ140" s="33"/>
      <c r="EK140" s="19"/>
      <c r="EL140" s="19"/>
    </row>
    <row r="141" spans="1:142" hidden="1" x14ac:dyDescent="0.25">
      <c r="A141" s="19" t="s">
        <v>172</v>
      </c>
      <c r="B141" s="19"/>
      <c r="C141" s="24" t="s">
        <v>159</v>
      </c>
      <c r="D141" s="19">
        <v>280</v>
      </c>
      <c r="E141" s="19" t="s">
        <v>169</v>
      </c>
      <c r="F141" s="20"/>
      <c r="G141" s="19"/>
      <c r="H141" s="21"/>
      <c r="I141" s="19">
        <f t="shared" si="18"/>
        <v>0</v>
      </c>
      <c r="J141" s="19">
        <f t="shared" si="15"/>
        <v>4</v>
      </c>
      <c r="K141" s="19">
        <f t="shared" si="16"/>
        <v>0</v>
      </c>
      <c r="L141" s="21">
        <f t="shared" si="17"/>
        <v>4</v>
      </c>
      <c r="M141" s="25"/>
      <c r="N141" s="25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33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>
        <v>2</v>
      </c>
      <c r="DR141" s="19"/>
      <c r="DS141" s="19"/>
      <c r="DT141" s="19"/>
      <c r="DU141" s="19"/>
      <c r="DV141" s="19"/>
      <c r="DW141" s="19"/>
      <c r="DX141" s="19">
        <v>2</v>
      </c>
      <c r="DY141" s="19"/>
      <c r="DZ141" s="19"/>
      <c r="EA141" s="19"/>
      <c r="EB141" s="19"/>
      <c r="EC141" s="19"/>
      <c r="ED141" s="19"/>
      <c r="EE141" s="19"/>
      <c r="EF141" s="33"/>
      <c r="EG141" s="33"/>
      <c r="EH141" s="33"/>
      <c r="EI141" s="33"/>
      <c r="EJ141" s="33"/>
      <c r="EK141" s="19"/>
      <c r="EL141" s="19"/>
    </row>
    <row r="142" spans="1:142" hidden="1" x14ac:dyDescent="0.25">
      <c r="A142" s="19" t="s">
        <v>172</v>
      </c>
      <c r="B142" s="19"/>
      <c r="C142" s="24" t="s">
        <v>159</v>
      </c>
      <c r="D142" s="19">
        <v>200</v>
      </c>
      <c r="E142" s="19" t="s">
        <v>169</v>
      </c>
      <c r="F142" s="20"/>
      <c r="G142" s="19"/>
      <c r="H142" s="21"/>
      <c r="I142" s="19">
        <f t="shared" si="18"/>
        <v>38</v>
      </c>
      <c r="J142" s="19">
        <f t="shared" si="15"/>
        <v>0</v>
      </c>
      <c r="K142" s="19">
        <f t="shared" si="16"/>
        <v>0</v>
      </c>
      <c r="L142" s="21">
        <f t="shared" si="17"/>
        <v>38</v>
      </c>
      <c r="M142" s="25"/>
      <c r="N142" s="25"/>
      <c r="O142" s="19"/>
      <c r="P142" s="19"/>
      <c r="Q142" s="19"/>
      <c r="R142" s="19"/>
      <c r="S142" s="19"/>
      <c r="T142" s="19"/>
      <c r="U142" s="19"/>
      <c r="V142" s="19">
        <f>2*5</f>
        <v>10</v>
      </c>
      <c r="W142" s="19"/>
      <c r="X142" s="19"/>
      <c r="Y142" s="19"/>
      <c r="Z142" s="19"/>
      <c r="AA142" s="19"/>
      <c r="AB142" s="19">
        <f>2*7</f>
        <v>14</v>
      </c>
      <c r="AC142" s="19"/>
      <c r="AD142" s="19"/>
      <c r="AE142" s="19"/>
      <c r="AF142" s="19"/>
      <c r="AG142" s="19"/>
      <c r="AH142" s="19"/>
      <c r="AI142" s="19"/>
      <c r="AJ142" s="19"/>
      <c r="AK142" s="19">
        <f>2*7</f>
        <v>14</v>
      </c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33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33"/>
      <c r="EG142" s="33"/>
      <c r="EH142" s="33"/>
      <c r="EI142" s="33"/>
      <c r="EJ142" s="33"/>
      <c r="EK142" s="19"/>
      <c r="EL142" s="19"/>
    </row>
    <row r="143" spans="1:142" hidden="1" x14ac:dyDescent="0.25">
      <c r="A143" s="19" t="s">
        <v>173</v>
      </c>
      <c r="B143" s="19"/>
      <c r="C143" s="40" t="s">
        <v>174</v>
      </c>
      <c r="D143" s="40"/>
      <c r="E143" s="19" t="s">
        <v>169</v>
      </c>
      <c r="F143" s="20"/>
      <c r="G143" s="19"/>
      <c r="H143" s="21"/>
      <c r="I143" s="19">
        <f t="shared" si="18"/>
        <v>1</v>
      </c>
      <c r="J143" s="19">
        <f t="shared" si="15"/>
        <v>0</v>
      </c>
      <c r="K143" s="19">
        <f t="shared" si="16"/>
        <v>0</v>
      </c>
      <c r="L143" s="21">
        <f t="shared" si="17"/>
        <v>1</v>
      </c>
      <c r="M143" s="25"/>
      <c r="N143" s="2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>
        <v>1</v>
      </c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33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33"/>
      <c r="EG143" s="33"/>
      <c r="EH143" s="33"/>
      <c r="EI143" s="33"/>
      <c r="EJ143" s="33"/>
      <c r="EK143" s="19"/>
      <c r="EL143" s="19"/>
    </row>
    <row r="144" spans="1:142" hidden="1" x14ac:dyDescent="0.25">
      <c r="A144" s="19" t="s">
        <v>173</v>
      </c>
      <c r="B144" s="19"/>
      <c r="C144" s="40" t="s">
        <v>175</v>
      </c>
      <c r="D144" s="40"/>
      <c r="E144" s="19" t="s">
        <v>169</v>
      </c>
      <c r="F144" s="20"/>
      <c r="G144" s="19"/>
      <c r="H144" s="21"/>
      <c r="I144" s="19">
        <f t="shared" si="18"/>
        <v>0</v>
      </c>
      <c r="J144" s="19">
        <f t="shared" si="15"/>
        <v>1</v>
      </c>
      <c r="K144" s="19">
        <f t="shared" si="16"/>
        <v>0</v>
      </c>
      <c r="L144" s="21">
        <f t="shared" si="17"/>
        <v>1</v>
      </c>
      <c r="M144" s="25"/>
      <c r="N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>
        <v>1</v>
      </c>
      <c r="CW144" s="19"/>
      <c r="CX144" s="19"/>
      <c r="CY144" s="33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33"/>
      <c r="EG144" s="33"/>
      <c r="EH144" s="33"/>
      <c r="EI144" s="33"/>
      <c r="EJ144" s="33"/>
      <c r="EK144" s="19"/>
      <c r="EL144" s="19"/>
    </row>
    <row r="145" spans="1:142" hidden="1" x14ac:dyDescent="0.25">
      <c r="A145" s="25" t="s">
        <v>173</v>
      </c>
      <c r="B145" s="25"/>
      <c r="C145" s="41" t="s">
        <v>176</v>
      </c>
      <c r="D145" s="41"/>
      <c r="E145" s="19" t="s">
        <v>169</v>
      </c>
      <c r="F145" s="20"/>
      <c r="G145" s="19"/>
      <c r="H145" s="21"/>
      <c r="I145" s="19">
        <f t="shared" si="18"/>
        <v>1</v>
      </c>
      <c r="J145" s="19">
        <f t="shared" si="15"/>
        <v>0</v>
      </c>
      <c r="K145" s="19">
        <f t="shared" si="16"/>
        <v>0</v>
      </c>
      <c r="L145" s="21">
        <f t="shared" si="17"/>
        <v>1</v>
      </c>
      <c r="M145" s="25"/>
      <c r="N145" s="25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>
        <v>1</v>
      </c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33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33"/>
      <c r="EG145" s="33"/>
      <c r="EH145" s="33"/>
      <c r="EI145" s="33"/>
      <c r="EJ145" s="33"/>
      <c r="EK145" s="19"/>
      <c r="EL145" s="19"/>
    </row>
    <row r="146" spans="1:142" hidden="1" x14ac:dyDescent="0.25">
      <c r="A146" s="19" t="s">
        <v>173</v>
      </c>
      <c r="B146" s="19"/>
      <c r="C146" s="40" t="s">
        <v>177</v>
      </c>
      <c r="D146" s="40"/>
      <c r="E146" s="19" t="s">
        <v>169</v>
      </c>
      <c r="F146" s="20"/>
      <c r="G146" s="19"/>
      <c r="H146" s="21"/>
      <c r="I146" s="19">
        <f t="shared" si="18"/>
        <v>0</v>
      </c>
      <c r="J146" s="19">
        <f t="shared" si="15"/>
        <v>1</v>
      </c>
      <c r="K146" s="19">
        <f t="shared" si="16"/>
        <v>0</v>
      </c>
      <c r="L146" s="21">
        <f t="shared" si="17"/>
        <v>1</v>
      </c>
      <c r="M146" s="25"/>
      <c r="N146" s="25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>
        <v>1</v>
      </c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33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33"/>
      <c r="EG146" s="33"/>
      <c r="EH146" s="33"/>
      <c r="EI146" s="33"/>
      <c r="EJ146" s="33"/>
      <c r="EK146" s="19"/>
      <c r="EL146" s="19"/>
    </row>
    <row r="147" spans="1:142" hidden="1" x14ac:dyDescent="0.25">
      <c r="A147" s="19" t="s">
        <v>173</v>
      </c>
      <c r="B147" s="19"/>
      <c r="C147" s="40" t="s">
        <v>178</v>
      </c>
      <c r="D147" s="40"/>
      <c r="E147" s="19" t="s">
        <v>169</v>
      </c>
      <c r="F147" s="20"/>
      <c r="G147" s="19"/>
      <c r="H147" s="21"/>
      <c r="I147" s="19">
        <f t="shared" si="18"/>
        <v>0</v>
      </c>
      <c r="J147" s="19">
        <f t="shared" si="15"/>
        <v>2</v>
      </c>
      <c r="K147" s="19">
        <f t="shared" si="16"/>
        <v>0</v>
      </c>
      <c r="L147" s="21">
        <f t="shared" si="17"/>
        <v>2</v>
      </c>
      <c r="M147" s="25"/>
      <c r="N147" s="25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>
        <v>1</v>
      </c>
      <c r="CX147" s="19"/>
      <c r="CY147" s="33"/>
      <c r="CZ147" s="19"/>
      <c r="DA147" s="19"/>
      <c r="DB147" s="19">
        <v>1</v>
      </c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33"/>
      <c r="EG147" s="33"/>
      <c r="EH147" s="33"/>
      <c r="EI147" s="33"/>
      <c r="EJ147" s="33"/>
      <c r="EK147" s="19"/>
      <c r="EL147" s="19"/>
    </row>
    <row r="148" spans="1:142" hidden="1" x14ac:dyDescent="0.25">
      <c r="A148" s="19" t="s">
        <v>173</v>
      </c>
      <c r="B148" s="19"/>
      <c r="C148" s="40" t="s">
        <v>179</v>
      </c>
      <c r="D148" s="40"/>
      <c r="E148" s="19" t="s">
        <v>169</v>
      </c>
      <c r="F148" s="20"/>
      <c r="G148" s="19"/>
      <c r="H148" s="21"/>
      <c r="I148" s="19">
        <f t="shared" si="18"/>
        <v>0</v>
      </c>
      <c r="J148" s="19">
        <f t="shared" si="15"/>
        <v>1</v>
      </c>
      <c r="K148" s="19">
        <f t="shared" si="16"/>
        <v>0</v>
      </c>
      <c r="L148" s="21">
        <f t="shared" si="17"/>
        <v>1</v>
      </c>
      <c r="M148" s="25"/>
      <c r="N148" s="25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33"/>
      <c r="CZ148" s="19"/>
      <c r="DA148" s="19"/>
      <c r="DB148" s="19"/>
      <c r="DC148" s="19">
        <v>1</v>
      </c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33"/>
      <c r="EG148" s="33"/>
      <c r="EH148" s="33"/>
      <c r="EI148" s="33"/>
      <c r="EJ148" s="33"/>
      <c r="EK148" s="19"/>
      <c r="EL148" s="19"/>
    </row>
    <row r="149" spans="1:142" ht="15" hidden="1" customHeight="1" x14ac:dyDescent="0.25">
      <c r="A149" s="25" t="s">
        <v>173</v>
      </c>
      <c r="B149" s="25"/>
      <c r="C149" s="41" t="s">
        <v>180</v>
      </c>
      <c r="D149" s="41"/>
      <c r="E149" s="19" t="s">
        <v>169</v>
      </c>
      <c r="F149" s="20"/>
      <c r="G149" s="19"/>
      <c r="H149" s="21"/>
      <c r="I149" s="19">
        <f t="shared" si="18"/>
        <v>0</v>
      </c>
      <c r="J149" s="19">
        <f t="shared" ref="J149:J212" si="19">SUM(AW149:EE149)</f>
        <v>1</v>
      </c>
      <c r="K149" s="19">
        <f t="shared" si="16"/>
        <v>0</v>
      </c>
      <c r="L149" s="21">
        <f t="shared" si="17"/>
        <v>1</v>
      </c>
      <c r="M149" s="25"/>
      <c r="N149" s="25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>
        <v>1</v>
      </c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33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33"/>
      <c r="EG149" s="33"/>
      <c r="EH149" s="33"/>
      <c r="EI149" s="33"/>
      <c r="EJ149" s="33"/>
      <c r="EK149" s="19"/>
      <c r="EL149" s="19"/>
    </row>
    <row r="150" spans="1:142" ht="15" hidden="1" customHeight="1" x14ac:dyDescent="0.25">
      <c r="A150" s="25" t="s">
        <v>173</v>
      </c>
      <c r="B150" s="25"/>
      <c r="C150" s="41" t="s">
        <v>181</v>
      </c>
      <c r="D150" s="41"/>
      <c r="E150" s="19" t="s">
        <v>169</v>
      </c>
      <c r="F150" s="20"/>
      <c r="G150" s="19"/>
      <c r="H150" s="21"/>
      <c r="I150" s="19">
        <f t="shared" si="18"/>
        <v>0</v>
      </c>
      <c r="J150" s="19">
        <f t="shared" si="19"/>
        <v>1</v>
      </c>
      <c r="K150" s="19">
        <f t="shared" si="16"/>
        <v>0</v>
      </c>
      <c r="L150" s="21">
        <f t="shared" si="17"/>
        <v>1</v>
      </c>
      <c r="M150" s="25"/>
      <c r="N150" s="25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>
        <v>1</v>
      </c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33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33"/>
      <c r="EG150" s="33"/>
      <c r="EH150" s="33"/>
      <c r="EI150" s="33"/>
      <c r="EJ150" s="33"/>
      <c r="EK150" s="19"/>
      <c r="EL150" s="19"/>
    </row>
    <row r="151" spans="1:142" ht="15" hidden="1" customHeight="1" x14ac:dyDescent="0.25">
      <c r="A151" s="25" t="s">
        <v>173</v>
      </c>
      <c r="B151" s="25"/>
      <c r="C151" s="41" t="s">
        <v>181</v>
      </c>
      <c r="D151" s="41"/>
      <c r="E151" s="19" t="s">
        <v>169</v>
      </c>
      <c r="F151" s="20"/>
      <c r="G151" s="19"/>
      <c r="H151" s="21"/>
      <c r="I151" s="19">
        <f t="shared" si="18"/>
        <v>0</v>
      </c>
      <c r="J151" s="19">
        <f t="shared" si="19"/>
        <v>1</v>
      </c>
      <c r="K151" s="19">
        <f t="shared" si="16"/>
        <v>0</v>
      </c>
      <c r="L151" s="21">
        <f t="shared" si="17"/>
        <v>1</v>
      </c>
      <c r="M151" s="25"/>
      <c r="N151" s="25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33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25">
        <v>1</v>
      </c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33"/>
      <c r="EG151" s="33"/>
      <c r="EH151" s="33"/>
      <c r="EI151" s="33"/>
      <c r="EJ151" s="33"/>
      <c r="EK151" s="19"/>
      <c r="EL151" s="19"/>
    </row>
    <row r="152" spans="1:142" hidden="1" x14ac:dyDescent="0.25">
      <c r="A152" s="19" t="s">
        <v>173</v>
      </c>
      <c r="B152" s="19"/>
      <c r="C152" s="40" t="s">
        <v>182</v>
      </c>
      <c r="D152" s="40"/>
      <c r="E152" s="19" t="s">
        <v>169</v>
      </c>
      <c r="F152" s="20"/>
      <c r="G152" s="19"/>
      <c r="H152" s="21"/>
      <c r="I152" s="19">
        <f t="shared" si="18"/>
        <v>0</v>
      </c>
      <c r="J152" s="19">
        <f t="shared" si="19"/>
        <v>1</v>
      </c>
      <c r="K152" s="19">
        <f t="shared" si="16"/>
        <v>0</v>
      </c>
      <c r="L152" s="21">
        <f t="shared" si="17"/>
        <v>1</v>
      </c>
      <c r="M152" s="25"/>
      <c r="N152" s="25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>
        <v>1</v>
      </c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33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33"/>
      <c r="EG152" s="33"/>
      <c r="EH152" s="33"/>
      <c r="EI152" s="33"/>
      <c r="EJ152" s="33"/>
      <c r="EK152" s="19"/>
      <c r="EL152" s="19"/>
    </row>
    <row r="153" spans="1:142" hidden="1" x14ac:dyDescent="0.25">
      <c r="A153" s="19" t="s">
        <v>173</v>
      </c>
      <c r="B153" s="19"/>
      <c r="C153" s="40" t="s">
        <v>183</v>
      </c>
      <c r="D153" s="40"/>
      <c r="E153" s="19" t="s">
        <v>169</v>
      </c>
      <c r="F153" s="20"/>
      <c r="G153" s="19"/>
      <c r="H153" s="21"/>
      <c r="I153" s="19">
        <f t="shared" si="18"/>
        <v>0</v>
      </c>
      <c r="J153" s="19">
        <f t="shared" si="19"/>
        <v>1</v>
      </c>
      <c r="K153" s="19">
        <f t="shared" si="16"/>
        <v>0</v>
      </c>
      <c r="L153" s="21">
        <f t="shared" si="17"/>
        <v>1</v>
      </c>
      <c r="M153" s="25"/>
      <c r="N153" s="25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33"/>
      <c r="CZ153" s="19"/>
      <c r="DA153" s="19"/>
      <c r="DB153" s="19"/>
      <c r="DC153" s="19"/>
      <c r="DD153" s="19">
        <v>1</v>
      </c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33"/>
      <c r="EG153" s="33"/>
      <c r="EH153" s="33"/>
      <c r="EI153" s="33"/>
      <c r="EJ153" s="33"/>
      <c r="EK153" s="19"/>
      <c r="EL153" s="19"/>
    </row>
    <row r="154" spans="1:142" hidden="1" x14ac:dyDescent="0.25">
      <c r="A154" s="19" t="s">
        <v>173</v>
      </c>
      <c r="B154" s="19"/>
      <c r="C154" s="40" t="s">
        <v>184</v>
      </c>
      <c r="D154" s="40"/>
      <c r="E154" s="19" t="s">
        <v>169</v>
      </c>
      <c r="F154" s="20"/>
      <c r="G154" s="19"/>
      <c r="H154" s="21"/>
      <c r="I154" s="19">
        <f t="shared" si="18"/>
        <v>0</v>
      </c>
      <c r="J154" s="19">
        <f t="shared" si="19"/>
        <v>1</v>
      </c>
      <c r="K154" s="19">
        <f t="shared" si="16"/>
        <v>0</v>
      </c>
      <c r="L154" s="21">
        <f t="shared" si="17"/>
        <v>1</v>
      </c>
      <c r="M154" s="25"/>
      <c r="N154" s="25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33"/>
      <c r="CZ154" s="19"/>
      <c r="DA154" s="19"/>
      <c r="DB154" s="19"/>
      <c r="DC154" s="19">
        <v>1</v>
      </c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33"/>
      <c r="EG154" s="33"/>
      <c r="EH154" s="33"/>
      <c r="EI154" s="33"/>
      <c r="EJ154" s="33"/>
      <c r="EK154" s="19"/>
      <c r="EL154" s="19"/>
    </row>
    <row r="155" spans="1:142" hidden="1" x14ac:dyDescent="0.25">
      <c r="A155" s="19" t="s">
        <v>173</v>
      </c>
      <c r="B155" s="19"/>
      <c r="C155" s="40" t="s">
        <v>185</v>
      </c>
      <c r="D155" s="40"/>
      <c r="E155" s="19" t="s">
        <v>169</v>
      </c>
      <c r="F155" s="20"/>
      <c r="G155" s="19"/>
      <c r="H155" s="21"/>
      <c r="I155" s="19">
        <f t="shared" si="18"/>
        <v>1</v>
      </c>
      <c r="J155" s="19">
        <f t="shared" si="19"/>
        <v>0</v>
      </c>
      <c r="K155" s="19">
        <f t="shared" si="16"/>
        <v>0</v>
      </c>
      <c r="L155" s="21">
        <f t="shared" si="17"/>
        <v>1</v>
      </c>
      <c r="M155" s="25"/>
      <c r="N155" s="25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>
        <v>1</v>
      </c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33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33"/>
      <c r="EG155" s="33"/>
      <c r="EH155" s="33"/>
      <c r="EI155" s="33"/>
      <c r="EJ155" s="33"/>
      <c r="EK155" s="19"/>
      <c r="EL155" s="19"/>
    </row>
    <row r="156" spans="1:142" hidden="1" x14ac:dyDescent="0.25">
      <c r="A156" s="19" t="s">
        <v>173</v>
      </c>
      <c r="B156" s="19"/>
      <c r="C156" s="40" t="s">
        <v>186</v>
      </c>
      <c r="D156" s="40"/>
      <c r="E156" s="19" t="s">
        <v>169</v>
      </c>
      <c r="F156" s="20"/>
      <c r="G156" s="19"/>
      <c r="H156" s="21"/>
      <c r="I156" s="19">
        <f t="shared" si="18"/>
        <v>2</v>
      </c>
      <c r="J156" s="19">
        <f t="shared" si="19"/>
        <v>0</v>
      </c>
      <c r="K156" s="19">
        <f t="shared" si="16"/>
        <v>0</v>
      </c>
      <c r="L156" s="21">
        <f t="shared" si="17"/>
        <v>2</v>
      </c>
      <c r="M156" s="25"/>
      <c r="N156" s="25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>
        <v>1</v>
      </c>
      <c r="AC156" s="19"/>
      <c r="AD156" s="19"/>
      <c r="AE156" s="19"/>
      <c r="AF156" s="19"/>
      <c r="AG156" s="19"/>
      <c r="AH156" s="19"/>
      <c r="AI156" s="19"/>
      <c r="AJ156" s="19"/>
      <c r="AK156" s="19">
        <v>1</v>
      </c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33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33"/>
      <c r="EG156" s="33"/>
      <c r="EH156" s="33"/>
      <c r="EI156" s="33"/>
      <c r="EJ156" s="33"/>
      <c r="EK156" s="19"/>
      <c r="EL156" s="19"/>
    </row>
    <row r="157" spans="1:142" hidden="1" x14ac:dyDescent="0.25">
      <c r="A157" s="19" t="s">
        <v>173</v>
      </c>
      <c r="B157" s="19"/>
      <c r="C157" s="40" t="s">
        <v>187</v>
      </c>
      <c r="D157" s="40"/>
      <c r="E157" s="19" t="s">
        <v>169</v>
      </c>
      <c r="F157" s="20"/>
      <c r="G157" s="19"/>
      <c r="H157" s="21"/>
      <c r="I157" s="19">
        <f t="shared" si="18"/>
        <v>1</v>
      </c>
      <c r="J157" s="19">
        <f t="shared" si="19"/>
        <v>0</v>
      </c>
      <c r="K157" s="19">
        <f t="shared" si="16"/>
        <v>0</v>
      </c>
      <c r="L157" s="21">
        <f t="shared" si="17"/>
        <v>1</v>
      </c>
      <c r="M157" s="25"/>
      <c r="N157" s="25"/>
      <c r="O157" s="19"/>
      <c r="P157" s="19"/>
      <c r="Q157" s="19"/>
      <c r="R157" s="19"/>
      <c r="S157" s="19"/>
      <c r="T157" s="19"/>
      <c r="U157" s="19"/>
      <c r="V157" s="19">
        <v>1</v>
      </c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33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33"/>
      <c r="EG157" s="33"/>
      <c r="EH157" s="33"/>
      <c r="EI157" s="33"/>
      <c r="EJ157" s="33"/>
      <c r="EK157" s="19"/>
      <c r="EL157" s="19"/>
    </row>
    <row r="158" spans="1:142" hidden="1" x14ac:dyDescent="0.25">
      <c r="A158" s="19" t="s">
        <v>188</v>
      </c>
      <c r="B158" s="19"/>
      <c r="C158" s="40" t="s">
        <v>189</v>
      </c>
      <c r="D158" s="40"/>
      <c r="E158" s="19" t="s">
        <v>169</v>
      </c>
      <c r="F158" s="20"/>
      <c r="G158" s="19"/>
      <c r="H158" s="21"/>
      <c r="I158" s="19">
        <f t="shared" si="18"/>
        <v>0</v>
      </c>
      <c r="J158" s="19">
        <f t="shared" si="19"/>
        <v>1</v>
      </c>
      <c r="K158" s="19">
        <f t="shared" si="16"/>
        <v>0</v>
      </c>
      <c r="L158" s="21">
        <f t="shared" si="17"/>
        <v>1</v>
      </c>
      <c r="M158" s="25"/>
      <c r="N158" s="25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>
        <v>1</v>
      </c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33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33"/>
      <c r="EG158" s="33"/>
      <c r="EH158" s="33"/>
      <c r="EI158" s="33"/>
      <c r="EJ158" s="33"/>
      <c r="EK158" s="19"/>
      <c r="EL158" s="19"/>
    </row>
    <row r="159" spans="1:142" hidden="1" x14ac:dyDescent="0.25">
      <c r="A159" s="19" t="s">
        <v>188</v>
      </c>
      <c r="B159" s="19"/>
      <c r="C159" s="40" t="s">
        <v>190</v>
      </c>
      <c r="D159" s="40"/>
      <c r="E159" s="19" t="s">
        <v>169</v>
      </c>
      <c r="F159" s="20"/>
      <c r="G159" s="19"/>
      <c r="H159" s="21"/>
      <c r="I159" s="19">
        <f t="shared" si="18"/>
        <v>0</v>
      </c>
      <c r="J159" s="19">
        <f t="shared" si="19"/>
        <v>1</v>
      </c>
      <c r="K159" s="19">
        <f t="shared" si="16"/>
        <v>0</v>
      </c>
      <c r="L159" s="21">
        <f t="shared" si="17"/>
        <v>1</v>
      </c>
      <c r="M159" s="25"/>
      <c r="N159" s="25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>
        <v>1</v>
      </c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33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33"/>
      <c r="EG159" s="33"/>
      <c r="EH159" s="33"/>
      <c r="EI159" s="33"/>
      <c r="EJ159" s="33"/>
      <c r="EK159" s="19"/>
      <c r="EL159" s="19"/>
    </row>
    <row r="160" spans="1:142" hidden="1" x14ac:dyDescent="0.25">
      <c r="A160" s="19" t="s">
        <v>188</v>
      </c>
      <c r="B160" s="19"/>
      <c r="C160" s="40" t="s">
        <v>191</v>
      </c>
      <c r="D160" s="40"/>
      <c r="E160" s="19" t="s">
        <v>169</v>
      </c>
      <c r="F160" s="20"/>
      <c r="G160" s="19"/>
      <c r="H160" s="21"/>
      <c r="I160" s="19">
        <f t="shared" si="18"/>
        <v>0</v>
      </c>
      <c r="J160" s="19">
        <f t="shared" si="19"/>
        <v>1</v>
      </c>
      <c r="K160" s="19">
        <f t="shared" si="16"/>
        <v>0</v>
      </c>
      <c r="L160" s="21">
        <f t="shared" si="17"/>
        <v>1</v>
      </c>
      <c r="M160" s="25"/>
      <c r="N160" s="25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>
        <v>1</v>
      </c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33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33"/>
      <c r="EG160" s="33"/>
      <c r="EH160" s="33"/>
      <c r="EI160" s="33"/>
      <c r="EJ160" s="33"/>
      <c r="EK160" s="19"/>
      <c r="EL160" s="19"/>
    </row>
    <row r="161" spans="1:142" hidden="1" x14ac:dyDescent="0.25">
      <c r="A161" s="25" t="s">
        <v>188</v>
      </c>
      <c r="B161" s="25"/>
      <c r="C161" s="41" t="s">
        <v>192</v>
      </c>
      <c r="D161" s="41"/>
      <c r="E161" s="19" t="s">
        <v>169</v>
      </c>
      <c r="F161" s="20"/>
      <c r="G161" s="19"/>
      <c r="H161" s="21"/>
      <c r="I161" s="19">
        <f t="shared" si="18"/>
        <v>0</v>
      </c>
      <c r="J161" s="19">
        <f t="shared" si="19"/>
        <v>1</v>
      </c>
      <c r="K161" s="19">
        <f t="shared" si="16"/>
        <v>0</v>
      </c>
      <c r="L161" s="21">
        <f t="shared" si="17"/>
        <v>1</v>
      </c>
      <c r="M161" s="25"/>
      <c r="N161" s="25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33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>
        <v>1</v>
      </c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33"/>
      <c r="EG161" s="33"/>
      <c r="EH161" s="33"/>
      <c r="EI161" s="33"/>
      <c r="EJ161" s="33"/>
      <c r="EK161" s="19"/>
      <c r="EL161" s="19"/>
    </row>
    <row r="162" spans="1:142" hidden="1" x14ac:dyDescent="0.25">
      <c r="A162" s="25" t="s">
        <v>188</v>
      </c>
      <c r="B162" s="25"/>
      <c r="C162" s="41" t="s">
        <v>193</v>
      </c>
      <c r="D162" s="41"/>
      <c r="E162" s="19" t="s">
        <v>169</v>
      </c>
      <c r="F162" s="20"/>
      <c r="G162" s="19"/>
      <c r="H162" s="21"/>
      <c r="I162" s="19">
        <f t="shared" si="18"/>
        <v>0</v>
      </c>
      <c r="J162" s="19">
        <f t="shared" si="19"/>
        <v>1</v>
      </c>
      <c r="K162" s="19">
        <f t="shared" si="16"/>
        <v>0</v>
      </c>
      <c r="L162" s="21">
        <f t="shared" si="17"/>
        <v>1</v>
      </c>
      <c r="M162" s="25"/>
      <c r="N162" s="25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33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25">
        <v>1</v>
      </c>
      <c r="EF162" s="33"/>
      <c r="EG162" s="33"/>
      <c r="EH162" s="33"/>
      <c r="EI162" s="33"/>
      <c r="EJ162" s="33"/>
      <c r="EK162" s="19"/>
      <c r="EL162" s="19"/>
    </row>
    <row r="163" spans="1:142" hidden="1" x14ac:dyDescent="0.25">
      <c r="A163" s="19" t="s">
        <v>188</v>
      </c>
      <c r="B163" s="19"/>
      <c r="C163" s="40" t="s">
        <v>194</v>
      </c>
      <c r="D163" s="40"/>
      <c r="E163" s="19" t="s">
        <v>169</v>
      </c>
      <c r="F163" s="20"/>
      <c r="G163" s="19"/>
      <c r="H163" s="21"/>
      <c r="I163" s="19">
        <f t="shared" si="18"/>
        <v>0</v>
      </c>
      <c r="J163" s="19">
        <f t="shared" si="19"/>
        <v>1</v>
      </c>
      <c r="K163" s="19">
        <f t="shared" si="16"/>
        <v>0</v>
      </c>
      <c r="L163" s="21">
        <f t="shared" si="17"/>
        <v>1</v>
      </c>
      <c r="M163" s="25"/>
      <c r="N163" s="25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33"/>
      <c r="CZ163" s="19">
        <v>1</v>
      </c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33"/>
      <c r="EG163" s="33"/>
      <c r="EH163" s="33"/>
      <c r="EI163" s="33"/>
      <c r="EJ163" s="33"/>
      <c r="EK163" s="19"/>
      <c r="EL163" s="19"/>
    </row>
    <row r="164" spans="1:142" hidden="1" x14ac:dyDescent="0.25">
      <c r="A164" s="25" t="s">
        <v>188</v>
      </c>
      <c r="B164" s="25"/>
      <c r="C164" s="41" t="s">
        <v>195</v>
      </c>
      <c r="D164" s="41"/>
      <c r="E164" s="19" t="s">
        <v>169</v>
      </c>
      <c r="F164" s="20"/>
      <c r="G164" s="19"/>
      <c r="H164" s="21"/>
      <c r="I164" s="19">
        <f t="shared" si="18"/>
        <v>1</v>
      </c>
      <c r="J164" s="19">
        <f t="shared" si="19"/>
        <v>0</v>
      </c>
      <c r="K164" s="19">
        <f t="shared" si="16"/>
        <v>0</v>
      </c>
      <c r="L164" s="21">
        <f t="shared" si="17"/>
        <v>1</v>
      </c>
      <c r="M164" s="25"/>
      <c r="N164" s="25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25">
        <v>1</v>
      </c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33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33"/>
      <c r="EG164" s="33"/>
      <c r="EH164" s="33"/>
      <c r="EI164" s="33"/>
      <c r="EJ164" s="33"/>
      <c r="EK164" s="19"/>
      <c r="EL164" s="19"/>
    </row>
    <row r="165" spans="1:142" hidden="1" x14ac:dyDescent="0.25">
      <c r="A165" s="19" t="s">
        <v>188</v>
      </c>
      <c r="B165" s="19"/>
      <c r="C165" s="40" t="s">
        <v>196</v>
      </c>
      <c r="D165" s="40"/>
      <c r="E165" s="19" t="s">
        <v>169</v>
      </c>
      <c r="F165" s="20"/>
      <c r="G165" s="19"/>
      <c r="H165" s="21"/>
      <c r="I165" s="19">
        <f t="shared" si="18"/>
        <v>2</v>
      </c>
      <c r="J165" s="19">
        <f t="shared" si="19"/>
        <v>0</v>
      </c>
      <c r="K165" s="19">
        <f t="shared" si="16"/>
        <v>0</v>
      </c>
      <c r="L165" s="21">
        <f t="shared" si="17"/>
        <v>2</v>
      </c>
      <c r="M165" s="25"/>
      <c r="N165" s="25"/>
      <c r="O165" s="19">
        <v>1</v>
      </c>
      <c r="P165" s="19">
        <v>1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33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33"/>
      <c r="EG165" s="33"/>
      <c r="EH165" s="33"/>
      <c r="EI165" s="33"/>
      <c r="EJ165" s="33"/>
      <c r="EK165" s="19"/>
      <c r="EL165" s="19"/>
    </row>
    <row r="166" spans="1:142" hidden="1" x14ac:dyDescent="0.25">
      <c r="A166" s="19" t="s">
        <v>188</v>
      </c>
      <c r="B166" s="19"/>
      <c r="C166" s="40" t="s">
        <v>197</v>
      </c>
      <c r="D166" s="40"/>
      <c r="E166" s="19" t="s">
        <v>169</v>
      </c>
      <c r="F166" s="20"/>
      <c r="G166" s="19"/>
      <c r="H166" s="21"/>
      <c r="I166" s="19">
        <f t="shared" si="18"/>
        <v>0</v>
      </c>
      <c r="J166" s="19">
        <f t="shared" si="19"/>
        <v>0</v>
      </c>
      <c r="K166" s="19">
        <f t="shared" si="16"/>
        <v>1</v>
      </c>
      <c r="L166" s="21">
        <f t="shared" si="17"/>
        <v>1</v>
      </c>
      <c r="M166" s="25"/>
      <c r="N166" s="25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33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33"/>
      <c r="EG166" s="33"/>
      <c r="EH166" s="33">
        <v>1</v>
      </c>
      <c r="EI166" s="33"/>
      <c r="EJ166" s="33"/>
      <c r="EK166" s="19"/>
      <c r="EL166" s="19"/>
    </row>
    <row r="167" spans="1:142" hidden="1" x14ac:dyDescent="0.25">
      <c r="A167" s="19" t="s">
        <v>188</v>
      </c>
      <c r="B167" s="19"/>
      <c r="C167" s="40" t="s">
        <v>198</v>
      </c>
      <c r="D167" s="40"/>
      <c r="E167" s="19" t="s">
        <v>169</v>
      </c>
      <c r="F167" s="20"/>
      <c r="G167" s="19"/>
      <c r="H167" s="21"/>
      <c r="I167" s="19">
        <f t="shared" si="18"/>
        <v>0</v>
      </c>
      <c r="J167" s="19">
        <f t="shared" si="19"/>
        <v>2</v>
      </c>
      <c r="K167" s="19">
        <f t="shared" si="16"/>
        <v>0</v>
      </c>
      <c r="L167" s="21">
        <f t="shared" si="17"/>
        <v>2</v>
      </c>
      <c r="M167" s="25"/>
      <c r="N167" s="25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>
        <v>1</v>
      </c>
      <c r="CB167" s="19">
        <v>1</v>
      </c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33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33"/>
      <c r="EG167" s="33"/>
      <c r="EH167" s="33"/>
      <c r="EI167" s="33"/>
      <c r="EJ167" s="33"/>
      <c r="EK167" s="19"/>
      <c r="EL167" s="19"/>
    </row>
    <row r="168" spans="1:142" hidden="1" x14ac:dyDescent="0.25">
      <c r="A168" s="19" t="s">
        <v>188</v>
      </c>
      <c r="B168" s="19"/>
      <c r="C168" s="40" t="s">
        <v>199</v>
      </c>
      <c r="D168" s="40"/>
      <c r="E168" s="19" t="s">
        <v>169</v>
      </c>
      <c r="F168" s="20"/>
      <c r="G168" s="19"/>
      <c r="H168" s="21"/>
      <c r="I168" s="19">
        <f t="shared" si="18"/>
        <v>0</v>
      </c>
      <c r="J168" s="19">
        <f t="shared" si="19"/>
        <v>1</v>
      </c>
      <c r="K168" s="19">
        <f t="shared" si="16"/>
        <v>1</v>
      </c>
      <c r="L168" s="21">
        <f t="shared" si="17"/>
        <v>2</v>
      </c>
      <c r="M168" s="25"/>
      <c r="N168" s="25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33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>
        <v>1</v>
      </c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33"/>
      <c r="EG168" s="33"/>
      <c r="EH168" s="33">
        <v>1</v>
      </c>
      <c r="EI168" s="33"/>
      <c r="EJ168" s="33"/>
      <c r="EK168" s="19"/>
      <c r="EL168" s="19"/>
    </row>
    <row r="169" spans="1:142" hidden="1" x14ac:dyDescent="0.25">
      <c r="A169" s="19" t="s">
        <v>188</v>
      </c>
      <c r="B169" s="19"/>
      <c r="C169" s="40" t="s">
        <v>200</v>
      </c>
      <c r="D169" s="40"/>
      <c r="E169" s="19" t="s">
        <v>169</v>
      </c>
      <c r="F169" s="20"/>
      <c r="G169" s="19"/>
      <c r="H169" s="21"/>
      <c r="I169" s="19">
        <f t="shared" si="18"/>
        <v>0</v>
      </c>
      <c r="J169" s="19">
        <f t="shared" si="19"/>
        <v>1</v>
      </c>
      <c r="K169" s="19">
        <f t="shared" si="16"/>
        <v>0</v>
      </c>
      <c r="L169" s="21">
        <f t="shared" si="17"/>
        <v>1</v>
      </c>
      <c r="M169" s="25"/>
      <c r="N169" s="25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>
        <v>1</v>
      </c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33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33"/>
      <c r="EG169" s="33"/>
      <c r="EH169" s="33"/>
      <c r="EI169" s="33"/>
      <c r="EJ169" s="33"/>
      <c r="EK169" s="19"/>
      <c r="EL169" s="19"/>
    </row>
    <row r="170" spans="1:142" hidden="1" x14ac:dyDescent="0.25">
      <c r="A170" s="19" t="s">
        <v>188</v>
      </c>
      <c r="B170" s="19"/>
      <c r="C170" s="40" t="s">
        <v>183</v>
      </c>
      <c r="D170" s="40"/>
      <c r="E170" s="19" t="s">
        <v>169</v>
      </c>
      <c r="F170" s="20"/>
      <c r="G170" s="19"/>
      <c r="H170" s="21"/>
      <c r="I170" s="19">
        <f t="shared" si="18"/>
        <v>2</v>
      </c>
      <c r="J170" s="19">
        <f t="shared" si="19"/>
        <v>0</v>
      </c>
      <c r="K170" s="19">
        <f t="shared" si="16"/>
        <v>1</v>
      </c>
      <c r="L170" s="21">
        <f t="shared" si="17"/>
        <v>3</v>
      </c>
      <c r="M170" s="32">
        <v>1</v>
      </c>
      <c r="N170" s="19"/>
      <c r="O170" s="19"/>
      <c r="P170" s="19"/>
      <c r="Q170" s="19"/>
      <c r="R170" s="19"/>
      <c r="S170" s="19">
        <v>1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33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33">
        <v>1</v>
      </c>
      <c r="EG170" s="33"/>
      <c r="EH170" s="33"/>
      <c r="EI170" s="33"/>
      <c r="EJ170" s="33"/>
      <c r="EK170" s="19"/>
      <c r="EL170" s="19"/>
    </row>
    <row r="171" spans="1:142" hidden="1" x14ac:dyDescent="0.25">
      <c r="A171" s="25" t="s">
        <v>188</v>
      </c>
      <c r="B171" s="25"/>
      <c r="C171" s="41" t="s">
        <v>201</v>
      </c>
      <c r="D171" s="41"/>
      <c r="E171" s="19" t="s">
        <v>169</v>
      </c>
      <c r="F171" s="20"/>
      <c r="G171" s="19"/>
      <c r="H171" s="21"/>
      <c r="I171" s="19">
        <f t="shared" si="18"/>
        <v>0</v>
      </c>
      <c r="J171" s="19">
        <f t="shared" si="19"/>
        <v>1</v>
      </c>
      <c r="K171" s="19">
        <f t="shared" si="16"/>
        <v>0</v>
      </c>
      <c r="L171" s="21">
        <f t="shared" si="17"/>
        <v>1</v>
      </c>
      <c r="M171" s="32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33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>
        <v>1</v>
      </c>
      <c r="EB171" s="19"/>
      <c r="EC171" s="19"/>
      <c r="ED171" s="19"/>
      <c r="EE171" s="19"/>
      <c r="EF171" s="33"/>
      <c r="EG171" s="33"/>
      <c r="EH171" s="33"/>
      <c r="EI171" s="33"/>
      <c r="EJ171" s="33"/>
      <c r="EK171" s="19"/>
      <c r="EL171" s="19"/>
    </row>
    <row r="172" spans="1:142" hidden="1" x14ac:dyDescent="0.25">
      <c r="A172" s="19" t="s">
        <v>202</v>
      </c>
      <c r="B172" s="19"/>
      <c r="C172" s="40" t="s">
        <v>203</v>
      </c>
      <c r="D172" s="40"/>
      <c r="E172" s="19" t="s">
        <v>169</v>
      </c>
      <c r="F172" s="20"/>
      <c r="G172" s="19"/>
      <c r="H172" s="21"/>
      <c r="I172" s="19">
        <f t="shared" si="18"/>
        <v>4</v>
      </c>
      <c r="J172" s="19">
        <f t="shared" si="19"/>
        <v>9</v>
      </c>
      <c r="K172" s="19">
        <f t="shared" si="16"/>
        <v>0</v>
      </c>
      <c r="L172" s="21">
        <f t="shared" si="17"/>
        <v>13</v>
      </c>
      <c r="M172" s="32"/>
      <c r="N172" s="19"/>
      <c r="O172" s="19"/>
      <c r="P172" s="19"/>
      <c r="Q172" s="19"/>
      <c r="R172" s="19"/>
      <c r="S172" s="19"/>
      <c r="T172" s="19"/>
      <c r="U172" s="19"/>
      <c r="V172" s="19"/>
      <c r="W172" s="19">
        <v>1</v>
      </c>
      <c r="X172" s="19"/>
      <c r="Y172" s="19"/>
      <c r="Z172" s="19"/>
      <c r="AA172" s="19"/>
      <c r="AB172" s="19"/>
      <c r="AC172" s="19"/>
      <c r="AD172" s="19"/>
      <c r="AE172" s="19"/>
      <c r="AF172" s="19">
        <v>1</v>
      </c>
      <c r="AG172" s="19"/>
      <c r="AH172" s="19"/>
      <c r="AI172" s="19"/>
      <c r="AJ172" s="19"/>
      <c r="AK172" s="19"/>
      <c r="AL172" s="19"/>
      <c r="AM172" s="19"/>
      <c r="AN172" s="19">
        <v>1</v>
      </c>
      <c r="AO172" s="19">
        <v>1</v>
      </c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>
        <v>1</v>
      </c>
      <c r="BF172" s="19">
        <v>1</v>
      </c>
      <c r="BG172" s="19">
        <v>1</v>
      </c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>
        <v>1</v>
      </c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33"/>
      <c r="CZ172" s="19">
        <v>1</v>
      </c>
      <c r="DA172" s="19">
        <v>1</v>
      </c>
      <c r="DB172" s="19"/>
      <c r="DC172" s="19"/>
      <c r="DD172" s="19"/>
      <c r="DE172" s="19"/>
      <c r="DF172" s="19"/>
      <c r="DG172" s="19"/>
      <c r="DH172" s="19">
        <v>1</v>
      </c>
      <c r="DI172" s="19"/>
      <c r="DJ172" s="19"/>
      <c r="DK172" s="19"/>
      <c r="DL172" s="19"/>
      <c r="DM172" s="19"/>
      <c r="DN172" s="19"/>
      <c r="DO172" s="19">
        <v>1</v>
      </c>
      <c r="DP172" s="19">
        <v>1</v>
      </c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33"/>
      <c r="EG172" s="33"/>
      <c r="EH172" s="33"/>
      <c r="EI172" s="33"/>
      <c r="EJ172" s="33"/>
      <c r="EK172" s="19"/>
      <c r="EL172" s="19"/>
    </row>
    <row r="173" spans="1:142" hidden="1" x14ac:dyDescent="0.25">
      <c r="A173" s="19" t="s">
        <v>202</v>
      </c>
      <c r="B173" s="19"/>
      <c r="C173" s="40" t="s">
        <v>204</v>
      </c>
      <c r="D173" s="40"/>
      <c r="E173" s="19" t="s">
        <v>169</v>
      </c>
      <c r="F173" s="20"/>
      <c r="G173" s="19"/>
      <c r="H173" s="21"/>
      <c r="I173" s="19">
        <f t="shared" si="18"/>
        <v>2</v>
      </c>
      <c r="J173" s="19">
        <f t="shared" si="19"/>
        <v>4</v>
      </c>
      <c r="K173" s="19">
        <f t="shared" si="16"/>
        <v>0</v>
      </c>
      <c r="L173" s="21">
        <f t="shared" si="17"/>
        <v>6</v>
      </c>
      <c r="M173" s="32"/>
      <c r="N173" s="19"/>
      <c r="O173" s="19"/>
      <c r="P173" s="19"/>
      <c r="Q173" s="19"/>
      <c r="R173" s="19"/>
      <c r="S173" s="19"/>
      <c r="T173" s="19"/>
      <c r="U173" s="19">
        <v>1</v>
      </c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>
        <v>1</v>
      </c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>
        <v>1</v>
      </c>
      <c r="BB173" s="19">
        <v>1</v>
      </c>
      <c r="BC173" s="19">
        <v>1</v>
      </c>
      <c r="BD173" s="19">
        <v>1</v>
      </c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33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33"/>
      <c r="EG173" s="33"/>
      <c r="EH173" s="33"/>
      <c r="EI173" s="33"/>
      <c r="EJ173" s="33"/>
      <c r="EK173" s="19"/>
      <c r="EL173" s="19"/>
    </row>
    <row r="174" spans="1:142" hidden="1" x14ac:dyDescent="0.25">
      <c r="A174" s="19" t="s">
        <v>202</v>
      </c>
      <c r="B174" s="19"/>
      <c r="C174" s="40" t="s">
        <v>205</v>
      </c>
      <c r="D174" s="40"/>
      <c r="E174" s="19" t="s">
        <v>169</v>
      </c>
      <c r="F174" s="20"/>
      <c r="G174" s="19"/>
      <c r="H174" s="21"/>
      <c r="I174" s="19">
        <f t="shared" si="18"/>
        <v>0</v>
      </c>
      <c r="J174" s="19">
        <f t="shared" si="19"/>
        <v>1</v>
      </c>
      <c r="K174" s="19">
        <f t="shared" si="16"/>
        <v>0</v>
      </c>
      <c r="L174" s="21">
        <f t="shared" si="17"/>
        <v>1</v>
      </c>
      <c r="M174" s="32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33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>
        <v>1</v>
      </c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33"/>
      <c r="EG174" s="33"/>
      <c r="EH174" s="33"/>
      <c r="EI174" s="33"/>
      <c r="EJ174" s="33"/>
      <c r="EK174" s="19"/>
      <c r="EL174" s="19"/>
    </row>
    <row r="175" spans="1:142" hidden="1" x14ac:dyDescent="0.25">
      <c r="A175" s="19" t="s">
        <v>202</v>
      </c>
      <c r="B175" s="19"/>
      <c r="C175" s="40" t="s">
        <v>206</v>
      </c>
      <c r="D175" s="40"/>
      <c r="E175" s="19" t="s">
        <v>169</v>
      </c>
      <c r="F175" s="20"/>
      <c r="G175" s="19"/>
      <c r="H175" s="21"/>
      <c r="I175" s="19">
        <f t="shared" si="18"/>
        <v>5</v>
      </c>
      <c r="J175" s="19">
        <f t="shared" si="19"/>
        <v>11</v>
      </c>
      <c r="K175" s="19">
        <f t="shared" si="16"/>
        <v>0</v>
      </c>
      <c r="L175" s="21">
        <f t="shared" si="17"/>
        <v>16</v>
      </c>
      <c r="M175" s="32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>
        <v>1</v>
      </c>
      <c r="AO175" s="19"/>
      <c r="AP175" s="19"/>
      <c r="AQ175" s="19">
        <v>1</v>
      </c>
      <c r="AR175" s="19">
        <v>1</v>
      </c>
      <c r="AS175" s="19">
        <v>1</v>
      </c>
      <c r="AT175" s="19">
        <v>1</v>
      </c>
      <c r="AU175" s="19"/>
      <c r="AV175" s="19"/>
      <c r="AW175" s="19">
        <v>1</v>
      </c>
      <c r="AX175" s="19">
        <v>1</v>
      </c>
      <c r="AY175" s="19">
        <v>1</v>
      </c>
      <c r="AZ175" s="19">
        <v>1</v>
      </c>
      <c r="BA175" s="19">
        <v>1</v>
      </c>
      <c r="BB175" s="19">
        <v>1</v>
      </c>
      <c r="BC175" s="19">
        <v>1</v>
      </c>
      <c r="BD175" s="19">
        <v>1</v>
      </c>
      <c r="BE175" s="19"/>
      <c r="BF175" s="19"/>
      <c r="BG175" s="19">
        <v>1</v>
      </c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>
        <v>1</v>
      </c>
      <c r="CI175" s="19">
        <v>1</v>
      </c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33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33"/>
      <c r="EG175" s="33"/>
      <c r="EH175" s="33"/>
      <c r="EI175" s="33"/>
      <c r="EJ175" s="33"/>
      <c r="EK175" s="19"/>
      <c r="EL175" s="19"/>
    </row>
    <row r="176" spans="1:142" hidden="1" x14ac:dyDescent="0.25">
      <c r="A176" s="19" t="s">
        <v>202</v>
      </c>
      <c r="B176" s="19"/>
      <c r="C176" s="40" t="s">
        <v>207</v>
      </c>
      <c r="D176" s="40"/>
      <c r="E176" s="19" t="s">
        <v>169</v>
      </c>
      <c r="F176" s="20"/>
      <c r="G176" s="19"/>
      <c r="H176" s="21"/>
      <c r="I176" s="19">
        <f t="shared" si="18"/>
        <v>0</v>
      </c>
      <c r="J176" s="19">
        <f t="shared" si="19"/>
        <v>3</v>
      </c>
      <c r="K176" s="19">
        <f t="shared" si="16"/>
        <v>0</v>
      </c>
      <c r="L176" s="21">
        <f t="shared" si="17"/>
        <v>3</v>
      </c>
      <c r="M176" s="32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>
        <v>1</v>
      </c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>
        <v>1</v>
      </c>
      <c r="CG176" s="19">
        <v>1</v>
      </c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33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33"/>
      <c r="EG176" s="33"/>
      <c r="EH176" s="33"/>
      <c r="EI176" s="33"/>
      <c r="EJ176" s="33"/>
      <c r="EK176" s="19"/>
      <c r="EL176" s="19"/>
    </row>
    <row r="177" spans="1:142" hidden="1" x14ac:dyDescent="0.25">
      <c r="A177" s="19" t="s">
        <v>202</v>
      </c>
      <c r="B177" s="19"/>
      <c r="C177" s="40" t="s">
        <v>208</v>
      </c>
      <c r="D177" s="40"/>
      <c r="E177" s="19" t="s">
        <v>169</v>
      </c>
      <c r="F177" s="20"/>
      <c r="G177" s="19"/>
      <c r="H177" s="21"/>
      <c r="I177" s="19">
        <f t="shared" si="18"/>
        <v>0</v>
      </c>
      <c r="J177" s="19">
        <f t="shared" si="19"/>
        <v>2</v>
      </c>
      <c r="K177" s="19">
        <f t="shared" si="16"/>
        <v>0</v>
      </c>
      <c r="L177" s="21">
        <f t="shared" si="17"/>
        <v>2</v>
      </c>
      <c r="M177" s="3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33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25">
        <v>1</v>
      </c>
      <c r="DM177" s="25">
        <v>1</v>
      </c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33"/>
      <c r="EG177" s="33"/>
      <c r="EH177" s="33"/>
      <c r="EI177" s="33"/>
      <c r="EJ177" s="33"/>
      <c r="EK177" s="19"/>
      <c r="EL177" s="19"/>
    </row>
    <row r="178" spans="1:142" hidden="1" x14ac:dyDescent="0.25">
      <c r="A178" s="19" t="s">
        <v>202</v>
      </c>
      <c r="B178" s="19"/>
      <c r="C178" s="40" t="s">
        <v>209</v>
      </c>
      <c r="D178" s="40"/>
      <c r="E178" s="19" t="s">
        <v>169</v>
      </c>
      <c r="F178" s="20"/>
      <c r="G178" s="19"/>
      <c r="H178" s="21"/>
      <c r="I178" s="19">
        <f t="shared" si="18"/>
        <v>0</v>
      </c>
      <c r="J178" s="19">
        <f t="shared" si="19"/>
        <v>6</v>
      </c>
      <c r="K178" s="19">
        <f t="shared" si="16"/>
        <v>0</v>
      </c>
      <c r="L178" s="21">
        <f t="shared" si="17"/>
        <v>6</v>
      </c>
      <c r="M178" s="32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>
        <v>1</v>
      </c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>
        <v>1</v>
      </c>
      <c r="CQ178" s="19">
        <v>1</v>
      </c>
      <c r="CR178" s="19">
        <v>1</v>
      </c>
      <c r="CS178" s="19"/>
      <c r="CT178" s="19"/>
      <c r="CU178" s="19"/>
      <c r="CV178" s="19"/>
      <c r="CW178" s="19"/>
      <c r="CX178" s="19">
        <v>1</v>
      </c>
      <c r="CY178" s="33"/>
      <c r="CZ178" s="19"/>
      <c r="DA178" s="19"/>
      <c r="DB178" s="19"/>
      <c r="DC178" s="19"/>
      <c r="DD178" s="19"/>
      <c r="DE178" s="19"/>
      <c r="DF178" s="19"/>
      <c r="DG178" s="19">
        <v>1</v>
      </c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33"/>
      <c r="EG178" s="33"/>
      <c r="EH178" s="33"/>
      <c r="EI178" s="33"/>
      <c r="EJ178" s="33"/>
      <c r="EK178" s="19"/>
      <c r="EL178" s="19"/>
    </row>
    <row r="179" spans="1:142" hidden="1" x14ac:dyDescent="0.25">
      <c r="A179" s="19" t="s">
        <v>210</v>
      </c>
      <c r="B179" s="19"/>
      <c r="C179" s="24">
        <v>1600</v>
      </c>
      <c r="D179" s="24">
        <v>500</v>
      </c>
      <c r="E179" s="19" t="s">
        <v>169</v>
      </c>
      <c r="F179" s="20"/>
      <c r="G179" s="19"/>
      <c r="H179" s="21"/>
      <c r="I179" s="19">
        <f t="shared" si="18"/>
        <v>2</v>
      </c>
      <c r="J179" s="19">
        <f t="shared" si="19"/>
        <v>4</v>
      </c>
      <c r="K179" s="19">
        <f t="shared" si="16"/>
        <v>0</v>
      </c>
      <c r="L179" s="21">
        <f t="shared" si="17"/>
        <v>6</v>
      </c>
      <c r="M179" s="32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>
        <v>1</v>
      </c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>
        <v>1</v>
      </c>
      <c r="AU179" s="19"/>
      <c r="AV179" s="19"/>
      <c r="AW179" s="19"/>
      <c r="AX179" s="19"/>
      <c r="AY179" s="19"/>
      <c r="AZ179" s="19">
        <v>1</v>
      </c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>
        <v>1</v>
      </c>
      <c r="CH179" s="19"/>
      <c r="CI179" s="19"/>
      <c r="CJ179" s="19"/>
      <c r="CK179" s="19"/>
      <c r="CL179" s="19"/>
      <c r="CM179" s="19"/>
      <c r="CN179" s="19">
        <v>1</v>
      </c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33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>
        <v>1</v>
      </c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33"/>
      <c r="EG179" s="33"/>
      <c r="EH179" s="33"/>
      <c r="EI179" s="33"/>
      <c r="EJ179" s="33"/>
      <c r="EK179" s="19"/>
      <c r="EL179" s="19"/>
    </row>
    <row r="180" spans="1:142" hidden="1" x14ac:dyDescent="0.25">
      <c r="A180" s="19" t="s">
        <v>210</v>
      </c>
      <c r="B180" s="19"/>
      <c r="C180" s="24">
        <v>1400</v>
      </c>
      <c r="D180" s="24">
        <v>630</v>
      </c>
      <c r="E180" s="19" t="s">
        <v>169</v>
      </c>
      <c r="F180" s="20"/>
      <c r="G180" s="19"/>
      <c r="H180" s="21"/>
      <c r="I180" s="19">
        <f t="shared" si="18"/>
        <v>1</v>
      </c>
      <c r="J180" s="19">
        <f t="shared" si="19"/>
        <v>0</v>
      </c>
      <c r="K180" s="19">
        <f t="shared" si="16"/>
        <v>0</v>
      </c>
      <c r="L180" s="21">
        <f t="shared" si="17"/>
        <v>1</v>
      </c>
      <c r="M180" s="32"/>
      <c r="N180" s="19"/>
      <c r="O180" s="19"/>
      <c r="P180" s="19"/>
      <c r="Q180" s="19"/>
      <c r="R180" s="19"/>
      <c r="S180" s="19"/>
      <c r="T180" s="19"/>
      <c r="U180" s="19"/>
      <c r="V180" s="19"/>
      <c r="W180" s="19">
        <v>1</v>
      </c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33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33"/>
      <c r="EG180" s="33"/>
      <c r="EH180" s="33"/>
      <c r="EI180" s="33"/>
      <c r="EJ180" s="33"/>
      <c r="EK180" s="19"/>
      <c r="EL180" s="19"/>
    </row>
    <row r="181" spans="1:142" hidden="1" x14ac:dyDescent="0.25">
      <c r="A181" s="19" t="s">
        <v>210</v>
      </c>
      <c r="B181" s="19"/>
      <c r="C181" s="24">
        <v>1400</v>
      </c>
      <c r="D181" s="24">
        <v>500</v>
      </c>
      <c r="E181" s="19" t="s">
        <v>169</v>
      </c>
      <c r="F181" s="20"/>
      <c r="G181" s="19"/>
      <c r="H181" s="21"/>
      <c r="I181" s="19">
        <f t="shared" si="18"/>
        <v>2</v>
      </c>
      <c r="J181" s="19">
        <f t="shared" si="19"/>
        <v>3</v>
      </c>
      <c r="K181" s="19">
        <f t="shared" si="16"/>
        <v>0</v>
      </c>
      <c r="L181" s="21">
        <f t="shared" si="17"/>
        <v>5</v>
      </c>
      <c r="M181" s="32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>
        <v>1</v>
      </c>
      <c r="AR181" s="19">
        <v>1</v>
      </c>
      <c r="AS181" s="19"/>
      <c r="AT181" s="19"/>
      <c r="AU181" s="19"/>
      <c r="AV181" s="19"/>
      <c r="AW181" s="19">
        <v>1</v>
      </c>
      <c r="AX181" s="19">
        <v>1</v>
      </c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33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>
        <v>1</v>
      </c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33"/>
      <c r="EG181" s="33"/>
      <c r="EH181" s="33"/>
      <c r="EI181" s="33"/>
      <c r="EJ181" s="33"/>
      <c r="EK181" s="19"/>
      <c r="EL181" s="19"/>
    </row>
    <row r="182" spans="1:142" hidden="1" x14ac:dyDescent="0.25">
      <c r="A182" s="19" t="s">
        <v>210</v>
      </c>
      <c r="B182" s="19"/>
      <c r="C182" s="24">
        <v>1250</v>
      </c>
      <c r="D182" s="24">
        <v>630</v>
      </c>
      <c r="E182" s="19" t="s">
        <v>169</v>
      </c>
      <c r="F182" s="20"/>
      <c r="G182" s="19"/>
      <c r="H182" s="21"/>
      <c r="I182" s="19">
        <f t="shared" si="18"/>
        <v>1</v>
      </c>
      <c r="J182" s="19">
        <f t="shared" si="19"/>
        <v>0</v>
      </c>
      <c r="K182" s="19">
        <f t="shared" si="16"/>
        <v>0</v>
      </c>
      <c r="L182" s="21">
        <f t="shared" si="17"/>
        <v>1</v>
      </c>
      <c r="M182" s="32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>
        <v>1</v>
      </c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33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33"/>
      <c r="EG182" s="33"/>
      <c r="EH182" s="33"/>
      <c r="EI182" s="33"/>
      <c r="EJ182" s="33"/>
      <c r="EK182" s="19"/>
      <c r="EL182" s="19"/>
    </row>
    <row r="183" spans="1:142" x14ac:dyDescent="0.25">
      <c r="A183" s="19" t="s">
        <v>210</v>
      </c>
      <c r="B183" s="19"/>
      <c r="C183" s="24">
        <v>1000</v>
      </c>
      <c r="D183" s="24">
        <v>800</v>
      </c>
      <c r="E183" s="19" t="s">
        <v>169</v>
      </c>
      <c r="F183" s="20"/>
      <c r="G183" s="19"/>
      <c r="H183" s="21"/>
      <c r="I183" s="19">
        <f t="shared" si="18"/>
        <v>0</v>
      </c>
      <c r="J183" s="19">
        <f t="shared" si="19"/>
        <v>1</v>
      </c>
      <c r="K183" s="19">
        <f t="shared" si="16"/>
        <v>0</v>
      </c>
      <c r="L183" s="21">
        <f t="shared" si="17"/>
        <v>1</v>
      </c>
      <c r="M183" s="32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>
        <v>1</v>
      </c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33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33"/>
      <c r="EG183" s="33"/>
      <c r="EH183" s="33"/>
      <c r="EI183" s="33"/>
      <c r="EJ183" s="33"/>
      <c r="EK183" s="19"/>
      <c r="EL183" s="19"/>
    </row>
    <row r="184" spans="1:142" x14ac:dyDescent="0.25">
      <c r="A184" s="19" t="s">
        <v>210</v>
      </c>
      <c r="B184" s="19"/>
      <c r="C184" s="24">
        <v>1000</v>
      </c>
      <c r="D184" s="24">
        <v>500</v>
      </c>
      <c r="E184" s="19" t="s">
        <v>169</v>
      </c>
      <c r="F184" s="20"/>
      <c r="G184" s="19"/>
      <c r="H184" s="21"/>
      <c r="I184" s="19">
        <f t="shared" si="18"/>
        <v>0</v>
      </c>
      <c r="J184" s="19">
        <f t="shared" si="19"/>
        <v>1</v>
      </c>
      <c r="K184" s="19">
        <f t="shared" si="16"/>
        <v>0</v>
      </c>
      <c r="L184" s="21">
        <f t="shared" si="17"/>
        <v>1</v>
      </c>
      <c r="M184" s="32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33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>
        <v>1</v>
      </c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33"/>
      <c r="EG184" s="33"/>
      <c r="EH184" s="33"/>
      <c r="EI184" s="33"/>
      <c r="EJ184" s="33"/>
      <c r="EK184" s="19"/>
      <c r="EL184" s="19"/>
    </row>
    <row r="185" spans="1:142" x14ac:dyDescent="0.25">
      <c r="A185" s="19" t="s">
        <v>210</v>
      </c>
      <c r="B185" s="19"/>
      <c r="C185" s="24">
        <v>1000</v>
      </c>
      <c r="D185" s="24">
        <v>400</v>
      </c>
      <c r="E185" s="19" t="s">
        <v>169</v>
      </c>
      <c r="F185" s="20"/>
      <c r="G185" s="19"/>
      <c r="H185" s="21"/>
      <c r="I185" s="19">
        <f t="shared" si="18"/>
        <v>0</v>
      </c>
      <c r="J185" s="19">
        <f t="shared" si="19"/>
        <v>1</v>
      </c>
      <c r="K185" s="19">
        <f t="shared" si="16"/>
        <v>0</v>
      </c>
      <c r="L185" s="21">
        <f t="shared" si="17"/>
        <v>1</v>
      </c>
      <c r="M185" s="32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>
        <v>1</v>
      </c>
      <c r="CP185" s="19"/>
      <c r="CQ185" s="19"/>
      <c r="CR185" s="19"/>
      <c r="CS185" s="19"/>
      <c r="CT185" s="19"/>
      <c r="CU185" s="19"/>
      <c r="CV185" s="19"/>
      <c r="CW185" s="19"/>
      <c r="CX185" s="19"/>
      <c r="CY185" s="33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33"/>
      <c r="EG185" s="33"/>
      <c r="EH185" s="33"/>
      <c r="EI185" s="33"/>
      <c r="EJ185" s="33"/>
      <c r="EK185" s="19"/>
      <c r="EL185" s="19"/>
    </row>
    <row r="186" spans="1:142" hidden="1" x14ac:dyDescent="0.25">
      <c r="A186" s="19" t="s">
        <v>210</v>
      </c>
      <c r="B186" s="19"/>
      <c r="C186" s="24">
        <v>800</v>
      </c>
      <c r="D186" s="24">
        <v>500</v>
      </c>
      <c r="E186" s="19" t="s">
        <v>169</v>
      </c>
      <c r="F186" s="20"/>
      <c r="G186" s="19"/>
      <c r="H186" s="21"/>
      <c r="I186" s="19">
        <f t="shared" si="18"/>
        <v>0</v>
      </c>
      <c r="J186" s="19">
        <f t="shared" si="19"/>
        <v>1</v>
      </c>
      <c r="K186" s="19">
        <f t="shared" si="16"/>
        <v>0</v>
      </c>
      <c r="L186" s="21">
        <f t="shared" si="17"/>
        <v>1</v>
      </c>
      <c r="M186" s="32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33"/>
      <c r="CZ186" s="19"/>
      <c r="DA186" s="19"/>
      <c r="DB186" s="19"/>
      <c r="DC186" s="19"/>
      <c r="DD186" s="19"/>
      <c r="DE186" s="19"/>
      <c r="DF186" s="19">
        <v>1</v>
      </c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33"/>
      <c r="EG186" s="33"/>
      <c r="EH186" s="33"/>
      <c r="EI186" s="33"/>
      <c r="EJ186" s="33"/>
      <c r="EK186" s="19"/>
      <c r="EL186" s="19"/>
    </row>
    <row r="187" spans="1:142" hidden="1" x14ac:dyDescent="0.25">
      <c r="A187" s="19" t="s">
        <v>210</v>
      </c>
      <c r="B187" s="19"/>
      <c r="C187" s="24">
        <v>800</v>
      </c>
      <c r="D187" s="24">
        <v>400</v>
      </c>
      <c r="E187" s="19" t="s">
        <v>169</v>
      </c>
      <c r="F187" s="20"/>
      <c r="G187" s="19"/>
      <c r="H187" s="21"/>
      <c r="I187" s="19">
        <f t="shared" si="18"/>
        <v>0</v>
      </c>
      <c r="J187" s="19">
        <f t="shared" si="19"/>
        <v>1</v>
      </c>
      <c r="K187" s="19">
        <f t="shared" si="16"/>
        <v>0</v>
      </c>
      <c r="L187" s="21">
        <f t="shared" si="17"/>
        <v>1</v>
      </c>
      <c r="M187" s="32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>
        <v>1</v>
      </c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33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33"/>
      <c r="EG187" s="33"/>
      <c r="EH187" s="33"/>
      <c r="EI187" s="33"/>
      <c r="EJ187" s="33"/>
      <c r="EK187" s="19"/>
      <c r="EL187" s="19"/>
    </row>
    <row r="188" spans="1:142" ht="56" hidden="1" x14ac:dyDescent="0.25">
      <c r="A188" s="19" t="s">
        <v>211</v>
      </c>
      <c r="B188" s="19"/>
      <c r="C188" s="24" t="s">
        <v>159</v>
      </c>
      <c r="D188" s="19">
        <v>200</v>
      </c>
      <c r="E188" s="19" t="s">
        <v>169</v>
      </c>
      <c r="F188" s="20" t="s">
        <v>212</v>
      </c>
      <c r="G188" s="19"/>
      <c r="H188" s="21"/>
      <c r="I188" s="19">
        <f t="shared" si="18"/>
        <v>1</v>
      </c>
      <c r="J188" s="19">
        <f t="shared" si="19"/>
        <v>11</v>
      </c>
      <c r="K188" s="19">
        <f t="shared" si="16"/>
        <v>1</v>
      </c>
      <c r="L188" s="21">
        <f t="shared" si="17"/>
        <v>13</v>
      </c>
      <c r="M188" s="32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>
        <v>1</v>
      </c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>
        <v>10</v>
      </c>
      <c r="BV188" s="19">
        <v>1</v>
      </c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33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33"/>
      <c r="EG188" s="33"/>
      <c r="EH188" s="33"/>
      <c r="EI188" s="33"/>
      <c r="EJ188" s="33">
        <v>1</v>
      </c>
      <c r="EK188" s="19"/>
      <c r="EL188" s="19"/>
    </row>
    <row r="189" spans="1:142" hidden="1" x14ac:dyDescent="0.25">
      <c r="A189" s="19" t="s">
        <v>213</v>
      </c>
      <c r="B189" s="19"/>
      <c r="C189" s="19">
        <v>2000</v>
      </c>
      <c r="D189" s="19">
        <v>800</v>
      </c>
      <c r="E189" s="19" t="s">
        <v>169</v>
      </c>
      <c r="F189" s="36" t="s">
        <v>214</v>
      </c>
      <c r="G189" s="19"/>
      <c r="H189" s="21"/>
      <c r="I189" s="19">
        <f t="shared" si="18"/>
        <v>0</v>
      </c>
      <c r="J189" s="19">
        <f t="shared" si="19"/>
        <v>2</v>
      </c>
      <c r="K189" s="19">
        <f t="shared" si="16"/>
        <v>0</v>
      </c>
      <c r="L189" s="21">
        <f t="shared" si="17"/>
        <v>2</v>
      </c>
      <c r="M189" s="32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33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>
        <v>2</v>
      </c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33"/>
      <c r="EG189" s="33"/>
      <c r="EH189" s="33"/>
      <c r="EI189" s="33"/>
      <c r="EJ189" s="33"/>
      <c r="EK189" s="19"/>
      <c r="EL189" s="19"/>
    </row>
    <row r="190" spans="1:142" hidden="1" x14ac:dyDescent="0.25">
      <c r="A190" s="19" t="s">
        <v>213</v>
      </c>
      <c r="B190" s="19"/>
      <c r="C190" s="19">
        <v>1400</v>
      </c>
      <c r="D190" s="19">
        <v>800</v>
      </c>
      <c r="E190" s="19" t="s">
        <v>169</v>
      </c>
      <c r="F190" s="37"/>
      <c r="G190" s="19"/>
      <c r="H190" s="21"/>
      <c r="I190" s="19">
        <f t="shared" si="18"/>
        <v>0</v>
      </c>
      <c r="J190" s="19">
        <f t="shared" si="19"/>
        <v>1</v>
      </c>
      <c r="K190" s="19">
        <f t="shared" si="16"/>
        <v>0</v>
      </c>
      <c r="L190" s="21">
        <f t="shared" si="17"/>
        <v>1</v>
      </c>
      <c r="M190" s="32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33"/>
      <c r="CZ190" s="19"/>
      <c r="DA190" s="19"/>
      <c r="DB190" s="19"/>
      <c r="DC190" s="19">
        <v>1</v>
      </c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33"/>
      <c r="EG190" s="33"/>
      <c r="EH190" s="33"/>
      <c r="EI190" s="33"/>
      <c r="EJ190" s="33"/>
      <c r="EK190" s="19"/>
      <c r="EL190" s="19"/>
    </row>
    <row r="191" spans="1:142" hidden="1" x14ac:dyDescent="0.25">
      <c r="A191" s="19" t="s">
        <v>213</v>
      </c>
      <c r="B191" s="19"/>
      <c r="C191" s="19">
        <v>1400</v>
      </c>
      <c r="D191" s="19">
        <v>500</v>
      </c>
      <c r="E191" s="19" t="s">
        <v>169</v>
      </c>
      <c r="F191" s="37"/>
      <c r="G191" s="19"/>
      <c r="H191" s="21"/>
      <c r="I191" s="19">
        <f t="shared" si="18"/>
        <v>11</v>
      </c>
      <c r="J191" s="19">
        <f t="shared" si="19"/>
        <v>12</v>
      </c>
      <c r="K191" s="19">
        <f t="shared" si="16"/>
        <v>0</v>
      </c>
      <c r="L191" s="21">
        <f t="shared" si="17"/>
        <v>23</v>
      </c>
      <c r="M191" s="32"/>
      <c r="N191" s="19"/>
      <c r="O191" s="19"/>
      <c r="P191" s="19"/>
      <c r="Q191" s="19"/>
      <c r="R191" s="19"/>
      <c r="S191" s="19"/>
      <c r="T191" s="19"/>
      <c r="U191" s="19">
        <v>1</v>
      </c>
      <c r="V191" s="19"/>
      <c r="W191" s="19"/>
      <c r="X191" s="19"/>
      <c r="Y191" s="19"/>
      <c r="Z191" s="19"/>
      <c r="AA191" s="19">
        <v>1</v>
      </c>
      <c r="AB191" s="19"/>
      <c r="AC191" s="19"/>
      <c r="AD191" s="19"/>
      <c r="AE191" s="19"/>
      <c r="AF191" s="19"/>
      <c r="AG191" s="19"/>
      <c r="AH191" s="19">
        <v>3</v>
      </c>
      <c r="AI191" s="19"/>
      <c r="AJ191" s="19">
        <v>2</v>
      </c>
      <c r="AK191" s="19"/>
      <c r="AL191" s="19">
        <v>1</v>
      </c>
      <c r="AM191" s="19">
        <v>1</v>
      </c>
      <c r="AN191" s="19"/>
      <c r="AO191" s="19"/>
      <c r="AP191" s="19"/>
      <c r="AQ191" s="19">
        <v>1</v>
      </c>
      <c r="AR191" s="19">
        <v>1</v>
      </c>
      <c r="AS191" s="19"/>
      <c r="AT191" s="19"/>
      <c r="AU191" s="19"/>
      <c r="AV191" s="19"/>
      <c r="AW191" s="19">
        <v>1</v>
      </c>
      <c r="AX191" s="19">
        <v>1</v>
      </c>
      <c r="AY191" s="19"/>
      <c r="AZ191" s="19"/>
      <c r="BA191" s="19">
        <v>1</v>
      </c>
      <c r="BB191" s="19">
        <v>1</v>
      </c>
      <c r="BC191" s="19">
        <v>1</v>
      </c>
      <c r="BD191" s="19">
        <v>1</v>
      </c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>
        <v>1</v>
      </c>
      <c r="CG191" s="19">
        <v>1</v>
      </c>
      <c r="CH191" s="19"/>
      <c r="CI191" s="19"/>
      <c r="CJ191" s="19"/>
      <c r="CK191" s="19"/>
      <c r="CL191" s="19"/>
      <c r="CM191" s="19"/>
      <c r="CN191" s="19">
        <v>1</v>
      </c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33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>
        <v>1</v>
      </c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>
        <v>2</v>
      </c>
      <c r="DX191" s="19"/>
      <c r="DY191" s="19"/>
      <c r="DZ191" s="19"/>
      <c r="EA191" s="19"/>
      <c r="EB191" s="19"/>
      <c r="EC191" s="19"/>
      <c r="ED191" s="19"/>
      <c r="EE191" s="19"/>
      <c r="EF191" s="33"/>
      <c r="EG191" s="33"/>
      <c r="EH191" s="33"/>
      <c r="EI191" s="33"/>
      <c r="EJ191" s="33"/>
      <c r="EK191" s="19"/>
      <c r="EL191" s="19"/>
    </row>
    <row r="192" spans="1:142" hidden="1" x14ac:dyDescent="0.25">
      <c r="A192" s="19" t="s">
        <v>213</v>
      </c>
      <c r="B192" s="19"/>
      <c r="C192" s="19">
        <v>1250</v>
      </c>
      <c r="D192" s="19">
        <v>800</v>
      </c>
      <c r="E192" s="19" t="s">
        <v>169</v>
      </c>
      <c r="F192" s="37"/>
      <c r="G192" s="19"/>
      <c r="H192" s="21"/>
      <c r="I192" s="19">
        <f t="shared" si="18"/>
        <v>0</v>
      </c>
      <c r="J192" s="19">
        <f t="shared" si="19"/>
        <v>5</v>
      </c>
      <c r="K192" s="19">
        <f t="shared" si="16"/>
        <v>0</v>
      </c>
      <c r="L192" s="21">
        <f t="shared" si="17"/>
        <v>5</v>
      </c>
      <c r="M192" s="32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33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>
        <v>3</v>
      </c>
      <c r="DU192" s="19">
        <v>1</v>
      </c>
      <c r="DV192" s="19">
        <v>1</v>
      </c>
      <c r="DW192" s="19"/>
      <c r="DX192" s="19"/>
      <c r="DY192" s="19"/>
      <c r="DZ192" s="19"/>
      <c r="EA192" s="19"/>
      <c r="EB192" s="19"/>
      <c r="EC192" s="19"/>
      <c r="ED192" s="19"/>
      <c r="EE192" s="19"/>
      <c r="EF192" s="33"/>
      <c r="EG192" s="33"/>
      <c r="EH192" s="33"/>
      <c r="EI192" s="33"/>
      <c r="EJ192" s="33"/>
      <c r="EK192" s="19"/>
      <c r="EL192" s="19"/>
    </row>
    <row r="193" spans="1:142" hidden="1" x14ac:dyDescent="0.25">
      <c r="A193" s="19" t="s">
        <v>213</v>
      </c>
      <c r="B193" s="19"/>
      <c r="C193" s="19">
        <v>1250</v>
      </c>
      <c r="D193" s="19">
        <v>630</v>
      </c>
      <c r="E193" s="19" t="s">
        <v>169</v>
      </c>
      <c r="F193" s="37"/>
      <c r="G193" s="19"/>
      <c r="H193" s="21"/>
      <c r="I193" s="19">
        <f t="shared" si="18"/>
        <v>2</v>
      </c>
      <c r="J193" s="19">
        <f t="shared" si="19"/>
        <v>10</v>
      </c>
      <c r="K193" s="19">
        <f t="shared" si="16"/>
        <v>0</v>
      </c>
      <c r="L193" s="21">
        <f t="shared" si="17"/>
        <v>12</v>
      </c>
      <c r="M193" s="32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>
        <v>1</v>
      </c>
      <c r="AR193" s="19">
        <v>1</v>
      </c>
      <c r="AS193" s="19"/>
      <c r="AT193" s="19"/>
      <c r="AU193" s="19"/>
      <c r="AV193" s="19"/>
      <c r="AW193" s="19">
        <v>1</v>
      </c>
      <c r="AX193" s="19">
        <v>1</v>
      </c>
      <c r="AY193" s="19"/>
      <c r="AZ193" s="19"/>
      <c r="BA193" s="19">
        <v>1</v>
      </c>
      <c r="BB193" s="19">
        <v>1</v>
      </c>
      <c r="BC193" s="19">
        <v>1</v>
      </c>
      <c r="BD193" s="19">
        <v>1</v>
      </c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>
        <v>2</v>
      </c>
      <c r="CI193" s="19">
        <v>2</v>
      </c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33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33"/>
      <c r="EG193" s="33"/>
      <c r="EH193" s="33"/>
      <c r="EI193" s="33"/>
      <c r="EJ193" s="33"/>
      <c r="EK193" s="19"/>
      <c r="EL193" s="19"/>
    </row>
    <row r="194" spans="1:142" hidden="1" x14ac:dyDescent="0.25">
      <c r="A194" s="19" t="s">
        <v>213</v>
      </c>
      <c r="B194" s="19"/>
      <c r="C194" s="19">
        <v>1250</v>
      </c>
      <c r="D194" s="19">
        <v>500</v>
      </c>
      <c r="E194" s="19" t="s">
        <v>169</v>
      </c>
      <c r="F194" s="37"/>
      <c r="G194" s="19"/>
      <c r="H194" s="21"/>
      <c r="I194" s="19">
        <f t="shared" si="18"/>
        <v>0</v>
      </c>
      <c r="J194" s="19">
        <f t="shared" si="19"/>
        <v>1</v>
      </c>
      <c r="K194" s="19">
        <f t="shared" si="16"/>
        <v>0</v>
      </c>
      <c r="L194" s="21">
        <f t="shared" si="17"/>
        <v>1</v>
      </c>
      <c r="M194" s="32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33">
        <v>1</v>
      </c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33"/>
      <c r="EG194" s="33"/>
      <c r="EH194" s="33"/>
      <c r="EI194" s="33"/>
      <c r="EJ194" s="33"/>
      <c r="EK194" s="19"/>
      <c r="EL194" s="19"/>
    </row>
    <row r="195" spans="1:142" x14ac:dyDescent="0.25">
      <c r="A195" s="19" t="s">
        <v>213</v>
      </c>
      <c r="B195" s="19"/>
      <c r="C195" s="19">
        <v>1000</v>
      </c>
      <c r="D195" s="19">
        <v>800</v>
      </c>
      <c r="E195" s="19" t="s">
        <v>169</v>
      </c>
      <c r="F195" s="37"/>
      <c r="G195" s="19"/>
      <c r="H195" s="21"/>
      <c r="I195" s="19">
        <f t="shared" si="18"/>
        <v>0</v>
      </c>
      <c r="J195" s="19">
        <f t="shared" si="19"/>
        <v>2</v>
      </c>
      <c r="K195" s="19">
        <f t="shared" si="16"/>
        <v>0</v>
      </c>
      <c r="L195" s="21">
        <f t="shared" si="17"/>
        <v>2</v>
      </c>
      <c r="M195" s="32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>
        <v>1</v>
      </c>
      <c r="CG195" s="19">
        <v>1</v>
      </c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33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33"/>
      <c r="EG195" s="33"/>
      <c r="EH195" s="33"/>
      <c r="EI195" s="33"/>
      <c r="EJ195" s="33"/>
      <c r="EK195" s="19"/>
      <c r="EL195" s="19"/>
    </row>
    <row r="196" spans="1:142" x14ac:dyDescent="0.25">
      <c r="A196" s="19" t="s">
        <v>213</v>
      </c>
      <c r="B196" s="19"/>
      <c r="C196" s="19">
        <v>1000</v>
      </c>
      <c r="D196" s="19">
        <v>630</v>
      </c>
      <c r="E196" s="19" t="s">
        <v>169</v>
      </c>
      <c r="F196" s="37"/>
      <c r="G196" s="19"/>
      <c r="H196" s="21"/>
      <c r="I196" s="19">
        <f t="shared" si="18"/>
        <v>1</v>
      </c>
      <c r="J196" s="19">
        <f t="shared" si="19"/>
        <v>2</v>
      </c>
      <c r="K196" s="19">
        <f t="shared" si="16"/>
        <v>0</v>
      </c>
      <c r="L196" s="21">
        <f t="shared" si="17"/>
        <v>3</v>
      </c>
      <c r="M196" s="32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>
        <v>1</v>
      </c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>
        <v>2</v>
      </c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33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33"/>
      <c r="EG196" s="33"/>
      <c r="EH196" s="33"/>
      <c r="EI196" s="33"/>
      <c r="EJ196" s="33"/>
      <c r="EK196" s="19"/>
      <c r="EL196" s="19"/>
    </row>
    <row r="197" spans="1:142" x14ac:dyDescent="0.25">
      <c r="A197" s="19" t="s">
        <v>213</v>
      </c>
      <c r="B197" s="19"/>
      <c r="C197" s="19">
        <v>1000</v>
      </c>
      <c r="D197" s="19">
        <v>500</v>
      </c>
      <c r="E197" s="19" t="s">
        <v>169</v>
      </c>
      <c r="F197" s="37"/>
      <c r="G197" s="19"/>
      <c r="H197" s="21"/>
      <c r="I197" s="19">
        <f t="shared" si="18"/>
        <v>2</v>
      </c>
      <c r="J197" s="19">
        <f t="shared" si="19"/>
        <v>9</v>
      </c>
      <c r="K197" s="19">
        <f t="shared" ref="K197:K260" si="20">SUM(EF197:EM197)</f>
        <v>0</v>
      </c>
      <c r="L197" s="21">
        <f t="shared" ref="L197:L260" si="21">SUM(M197:EM197)</f>
        <v>11</v>
      </c>
      <c r="M197" s="32"/>
      <c r="N197" s="19"/>
      <c r="O197" s="19"/>
      <c r="P197" s="19"/>
      <c r="Q197" s="19"/>
      <c r="R197" s="19"/>
      <c r="S197" s="19"/>
      <c r="T197" s="19"/>
      <c r="U197" s="25">
        <v>1</v>
      </c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>
        <v>1</v>
      </c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>
        <v>1</v>
      </c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>
        <v>1</v>
      </c>
      <c r="CW197" s="19">
        <v>1</v>
      </c>
      <c r="CX197" s="19"/>
      <c r="CY197" s="33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25">
        <v>1</v>
      </c>
      <c r="DM197" s="25">
        <v>1</v>
      </c>
      <c r="DN197" s="19">
        <v>2</v>
      </c>
      <c r="DO197" s="19"/>
      <c r="DP197" s="19"/>
      <c r="DQ197" s="19"/>
      <c r="DR197" s="19"/>
      <c r="DS197" s="19">
        <v>2</v>
      </c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33"/>
      <c r="EG197" s="33"/>
      <c r="EH197" s="33"/>
      <c r="EI197" s="33"/>
      <c r="EJ197" s="33"/>
      <c r="EK197" s="19"/>
      <c r="EL197" s="19"/>
    </row>
    <row r="198" spans="1:142" x14ac:dyDescent="0.25">
      <c r="A198" s="19" t="s">
        <v>213</v>
      </c>
      <c r="B198" s="19"/>
      <c r="C198" s="19">
        <v>1000</v>
      </c>
      <c r="D198" s="19">
        <v>400</v>
      </c>
      <c r="E198" s="19" t="s">
        <v>169</v>
      </c>
      <c r="F198" s="37"/>
      <c r="G198" s="19"/>
      <c r="H198" s="21"/>
      <c r="I198" s="19">
        <f t="shared" ref="I198:I261" si="22">SUM(M198:AV198)</f>
        <v>0</v>
      </c>
      <c r="J198" s="19">
        <f t="shared" si="19"/>
        <v>3</v>
      </c>
      <c r="K198" s="19">
        <f t="shared" si="20"/>
        <v>0</v>
      </c>
      <c r="L198" s="21">
        <f t="shared" si="21"/>
        <v>3</v>
      </c>
      <c r="M198" s="32"/>
      <c r="N198" s="19"/>
      <c r="O198" s="19"/>
      <c r="P198" s="19"/>
      <c r="Q198" s="19"/>
      <c r="R198" s="19"/>
      <c r="S198" s="19"/>
      <c r="T198" s="19"/>
      <c r="U198" s="25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>
        <v>1</v>
      </c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>
        <v>2</v>
      </c>
      <c r="CV198" s="19"/>
      <c r="CW198" s="19"/>
      <c r="CX198" s="19"/>
      <c r="CY198" s="33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33"/>
      <c r="EG198" s="33"/>
      <c r="EH198" s="33"/>
      <c r="EI198" s="33"/>
      <c r="EJ198" s="33"/>
      <c r="EK198" s="19"/>
      <c r="EL198" s="19"/>
    </row>
    <row r="199" spans="1:142" hidden="1" x14ac:dyDescent="0.25">
      <c r="A199" s="19" t="s">
        <v>213</v>
      </c>
      <c r="B199" s="19"/>
      <c r="C199" s="19">
        <v>800</v>
      </c>
      <c r="D199" s="19">
        <v>1000</v>
      </c>
      <c r="E199" s="19" t="s">
        <v>169</v>
      </c>
      <c r="F199" s="37"/>
      <c r="G199" s="19"/>
      <c r="H199" s="21"/>
      <c r="I199" s="19">
        <f t="shared" si="22"/>
        <v>0</v>
      </c>
      <c r="J199" s="19">
        <f t="shared" si="19"/>
        <v>1</v>
      </c>
      <c r="K199" s="19">
        <f t="shared" si="20"/>
        <v>0</v>
      </c>
      <c r="L199" s="21">
        <f t="shared" si="21"/>
        <v>1</v>
      </c>
      <c r="M199" s="32"/>
      <c r="N199" s="19"/>
      <c r="O199" s="19"/>
      <c r="P199" s="19"/>
      <c r="Q199" s="19"/>
      <c r="R199" s="19"/>
      <c r="S199" s="19"/>
      <c r="T199" s="19"/>
      <c r="U199" s="25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>
        <v>1</v>
      </c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33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33"/>
      <c r="EG199" s="33"/>
      <c r="EH199" s="33"/>
      <c r="EI199" s="33"/>
      <c r="EJ199" s="33"/>
      <c r="EK199" s="19"/>
      <c r="EL199" s="19"/>
    </row>
    <row r="200" spans="1:142" hidden="1" x14ac:dyDescent="0.25">
      <c r="A200" s="19" t="s">
        <v>213</v>
      </c>
      <c r="B200" s="19"/>
      <c r="C200" s="19">
        <v>800</v>
      </c>
      <c r="D200" s="19">
        <v>800</v>
      </c>
      <c r="E200" s="19" t="s">
        <v>169</v>
      </c>
      <c r="F200" s="37"/>
      <c r="G200" s="19"/>
      <c r="H200" s="21"/>
      <c r="I200" s="19">
        <f t="shared" si="22"/>
        <v>0</v>
      </c>
      <c r="J200" s="19">
        <f t="shared" si="19"/>
        <v>1</v>
      </c>
      <c r="K200" s="19">
        <f t="shared" si="20"/>
        <v>0</v>
      </c>
      <c r="L200" s="21">
        <f t="shared" si="21"/>
        <v>1</v>
      </c>
      <c r="M200" s="32"/>
      <c r="N200" s="19"/>
      <c r="O200" s="19"/>
      <c r="P200" s="19"/>
      <c r="Q200" s="19"/>
      <c r="R200" s="19"/>
      <c r="S200" s="19"/>
      <c r="T200" s="19"/>
      <c r="U200" s="25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>
        <v>1</v>
      </c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33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33"/>
      <c r="EG200" s="33"/>
      <c r="EH200" s="33"/>
      <c r="EI200" s="33"/>
      <c r="EJ200" s="33"/>
      <c r="EK200" s="19"/>
      <c r="EL200" s="19"/>
    </row>
    <row r="201" spans="1:142" hidden="1" x14ac:dyDescent="0.25">
      <c r="A201" s="19" t="s">
        <v>213</v>
      </c>
      <c r="B201" s="19"/>
      <c r="C201" s="19">
        <v>800</v>
      </c>
      <c r="D201" s="19">
        <v>500</v>
      </c>
      <c r="E201" s="19" t="s">
        <v>169</v>
      </c>
      <c r="F201" s="37"/>
      <c r="G201" s="19"/>
      <c r="H201" s="21"/>
      <c r="I201" s="19">
        <f t="shared" si="22"/>
        <v>6</v>
      </c>
      <c r="J201" s="19">
        <f t="shared" si="19"/>
        <v>14</v>
      </c>
      <c r="K201" s="19">
        <f t="shared" si="20"/>
        <v>3</v>
      </c>
      <c r="L201" s="21">
        <f t="shared" si="21"/>
        <v>23</v>
      </c>
      <c r="M201" s="25">
        <f>1+1</f>
        <v>2</v>
      </c>
      <c r="N201" s="25">
        <v>1</v>
      </c>
      <c r="O201" s="19"/>
      <c r="P201" s="19"/>
      <c r="Q201" s="19"/>
      <c r="R201" s="19"/>
      <c r="S201" s="25">
        <v>2</v>
      </c>
      <c r="T201" s="25">
        <v>1</v>
      </c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>
        <v>1</v>
      </c>
      <c r="BX201" s="19">
        <v>1</v>
      </c>
      <c r="BY201" s="19"/>
      <c r="BZ201" s="19"/>
      <c r="CA201" s="19"/>
      <c r="CB201" s="19"/>
      <c r="CC201" s="19">
        <v>3</v>
      </c>
      <c r="CD201" s="19">
        <v>1</v>
      </c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33"/>
      <c r="CZ201" s="19"/>
      <c r="DA201" s="19"/>
      <c r="DB201" s="19"/>
      <c r="DC201" s="19"/>
      <c r="DD201" s="19"/>
      <c r="DE201" s="19"/>
      <c r="DF201" s="19">
        <v>2</v>
      </c>
      <c r="DG201" s="19"/>
      <c r="DH201" s="19"/>
      <c r="DI201" s="19"/>
      <c r="DJ201" s="19"/>
      <c r="DK201" s="19">
        <v>3</v>
      </c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>
        <v>1</v>
      </c>
      <c r="EA201" s="19">
        <v>2</v>
      </c>
      <c r="EB201" s="19"/>
      <c r="EC201" s="19"/>
      <c r="ED201" s="19"/>
      <c r="EE201" s="19"/>
      <c r="EF201" s="33">
        <v>2</v>
      </c>
      <c r="EG201" s="33">
        <v>1</v>
      </c>
      <c r="EH201" s="33"/>
      <c r="EI201" s="33"/>
      <c r="EJ201" s="33"/>
      <c r="EK201" s="19"/>
      <c r="EL201" s="19"/>
    </row>
    <row r="202" spans="1:142" hidden="1" x14ac:dyDescent="0.25">
      <c r="A202" s="19" t="s">
        <v>213</v>
      </c>
      <c r="B202" s="19"/>
      <c r="C202" s="19">
        <v>800</v>
      </c>
      <c r="D202" s="19">
        <v>400</v>
      </c>
      <c r="E202" s="19" t="s">
        <v>169</v>
      </c>
      <c r="F202" s="37"/>
      <c r="G202" s="19"/>
      <c r="H202" s="21"/>
      <c r="I202" s="19">
        <f t="shared" si="22"/>
        <v>0</v>
      </c>
      <c r="J202" s="19">
        <f t="shared" si="19"/>
        <v>15</v>
      </c>
      <c r="K202" s="19">
        <f t="shared" si="20"/>
        <v>0</v>
      </c>
      <c r="L202" s="21">
        <f t="shared" si="21"/>
        <v>15</v>
      </c>
      <c r="M202" s="25"/>
      <c r="N202" s="25"/>
      <c r="O202" s="19"/>
      <c r="P202" s="19"/>
      <c r="Q202" s="19"/>
      <c r="R202" s="19"/>
      <c r="S202" s="25"/>
      <c r="T202" s="25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>
        <v>2</v>
      </c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>
        <v>1</v>
      </c>
      <c r="CK202" s="19"/>
      <c r="CL202" s="19">
        <v>1</v>
      </c>
      <c r="CM202" s="19"/>
      <c r="CN202" s="19"/>
      <c r="CO202" s="19"/>
      <c r="CP202" s="19">
        <v>2</v>
      </c>
      <c r="CQ202" s="19">
        <v>2</v>
      </c>
      <c r="CR202" s="19">
        <v>2</v>
      </c>
      <c r="CS202" s="19"/>
      <c r="CT202" s="19"/>
      <c r="CU202" s="19"/>
      <c r="CV202" s="19"/>
      <c r="CW202" s="19"/>
      <c r="CX202" s="19"/>
      <c r="CY202" s="33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>
        <v>1</v>
      </c>
      <c r="EC202" s="19">
        <v>4</v>
      </c>
      <c r="ED202" s="19"/>
      <c r="EE202" s="19"/>
      <c r="EF202" s="33"/>
      <c r="EG202" s="33"/>
      <c r="EH202" s="33"/>
      <c r="EI202" s="33"/>
      <c r="EJ202" s="33"/>
      <c r="EK202" s="19"/>
      <c r="EL202" s="19"/>
    </row>
    <row r="203" spans="1:142" hidden="1" x14ac:dyDescent="0.25">
      <c r="A203" s="19" t="s">
        <v>213</v>
      </c>
      <c r="B203" s="19"/>
      <c r="C203" s="19">
        <v>800</v>
      </c>
      <c r="D203" s="19">
        <v>320</v>
      </c>
      <c r="E203" s="19" t="s">
        <v>169</v>
      </c>
      <c r="F203" s="37"/>
      <c r="G203" s="19"/>
      <c r="H203" s="21"/>
      <c r="I203" s="19">
        <f t="shared" si="22"/>
        <v>2</v>
      </c>
      <c r="J203" s="19">
        <f t="shared" si="19"/>
        <v>0</v>
      </c>
      <c r="K203" s="19">
        <f t="shared" si="20"/>
        <v>0</v>
      </c>
      <c r="L203" s="21">
        <f t="shared" si="21"/>
        <v>2</v>
      </c>
      <c r="M203" s="25"/>
      <c r="N203" s="25"/>
      <c r="O203" s="19"/>
      <c r="P203" s="19"/>
      <c r="Q203" s="19"/>
      <c r="R203" s="19"/>
      <c r="S203" s="25"/>
      <c r="T203" s="25"/>
      <c r="U203" s="19"/>
      <c r="V203" s="19"/>
      <c r="W203" s="19"/>
      <c r="X203" s="19"/>
      <c r="Y203" s="19"/>
      <c r="Z203" s="19"/>
      <c r="AA203" s="19"/>
      <c r="AB203" s="19">
        <v>1</v>
      </c>
      <c r="AC203" s="19"/>
      <c r="AD203" s="19"/>
      <c r="AE203" s="19"/>
      <c r="AF203" s="19"/>
      <c r="AG203" s="19"/>
      <c r="AH203" s="19"/>
      <c r="AI203" s="19"/>
      <c r="AJ203" s="19"/>
      <c r="AK203" s="19">
        <v>1</v>
      </c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33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33"/>
      <c r="EG203" s="33"/>
      <c r="EH203" s="33"/>
      <c r="EI203" s="33"/>
      <c r="EJ203" s="33"/>
      <c r="EK203" s="19"/>
      <c r="EL203" s="19"/>
    </row>
    <row r="204" spans="1:142" hidden="1" x14ac:dyDescent="0.25">
      <c r="A204" s="19" t="s">
        <v>213</v>
      </c>
      <c r="B204" s="19"/>
      <c r="C204" s="19">
        <v>800</v>
      </c>
      <c r="D204" s="19">
        <v>250</v>
      </c>
      <c r="E204" s="19" t="s">
        <v>169</v>
      </c>
      <c r="F204" s="37"/>
      <c r="G204" s="19"/>
      <c r="H204" s="21"/>
      <c r="I204" s="19">
        <f t="shared" si="22"/>
        <v>0</v>
      </c>
      <c r="J204" s="19">
        <f t="shared" si="19"/>
        <v>2</v>
      </c>
      <c r="K204" s="19">
        <f t="shared" si="20"/>
        <v>0</v>
      </c>
      <c r="L204" s="21">
        <f t="shared" si="21"/>
        <v>2</v>
      </c>
      <c r="M204" s="25"/>
      <c r="N204" s="25"/>
      <c r="O204" s="19"/>
      <c r="P204" s="19"/>
      <c r="Q204" s="19"/>
      <c r="R204" s="19"/>
      <c r="S204" s="25"/>
      <c r="T204" s="25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>
        <v>1</v>
      </c>
      <c r="BZ204" s="19">
        <v>1</v>
      </c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33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33"/>
      <c r="EG204" s="33"/>
      <c r="EH204" s="33"/>
      <c r="EI204" s="33"/>
      <c r="EJ204" s="33"/>
      <c r="EK204" s="19"/>
      <c r="EL204" s="19"/>
    </row>
    <row r="205" spans="1:142" hidden="1" x14ac:dyDescent="0.25">
      <c r="A205" s="19" t="s">
        <v>213</v>
      </c>
      <c r="B205" s="19"/>
      <c r="C205" s="19">
        <v>630</v>
      </c>
      <c r="D205" s="19">
        <v>320</v>
      </c>
      <c r="E205" s="19" t="s">
        <v>169</v>
      </c>
      <c r="F205" s="37"/>
      <c r="G205" s="19"/>
      <c r="H205" s="21"/>
      <c r="I205" s="19">
        <f t="shared" si="22"/>
        <v>3</v>
      </c>
      <c r="J205" s="19">
        <f t="shared" si="19"/>
        <v>4</v>
      </c>
      <c r="K205" s="19">
        <f t="shared" si="20"/>
        <v>0</v>
      </c>
      <c r="L205" s="21">
        <f t="shared" si="21"/>
        <v>7</v>
      </c>
      <c r="M205" s="25"/>
      <c r="N205" s="25"/>
      <c r="O205" s="19"/>
      <c r="P205" s="19"/>
      <c r="Q205" s="19">
        <v>1</v>
      </c>
      <c r="R205" s="19">
        <v>1</v>
      </c>
      <c r="S205" s="19"/>
      <c r="T205" s="19"/>
      <c r="U205" s="19"/>
      <c r="V205" s="19">
        <v>1</v>
      </c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>
        <v>2</v>
      </c>
      <c r="BJ205" s="19"/>
      <c r="BK205" s="19"/>
      <c r="BL205" s="19">
        <v>2</v>
      </c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33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33"/>
      <c r="EG205" s="33"/>
      <c r="EH205" s="33"/>
      <c r="EI205" s="33"/>
      <c r="EJ205" s="33"/>
      <c r="EK205" s="19"/>
      <c r="EL205" s="19"/>
    </row>
    <row r="206" spans="1:142" hidden="1" x14ac:dyDescent="0.25">
      <c r="A206" s="19" t="s">
        <v>213</v>
      </c>
      <c r="B206" s="19"/>
      <c r="C206" s="19">
        <v>600</v>
      </c>
      <c r="D206" s="19">
        <v>320</v>
      </c>
      <c r="E206" s="19" t="s">
        <v>169</v>
      </c>
      <c r="F206" s="37"/>
      <c r="G206" s="19"/>
      <c r="H206" s="21"/>
      <c r="I206" s="19">
        <f t="shared" si="22"/>
        <v>0</v>
      </c>
      <c r="J206" s="19">
        <f t="shared" si="19"/>
        <v>1</v>
      </c>
      <c r="K206" s="19">
        <f t="shared" si="20"/>
        <v>0</v>
      </c>
      <c r="L206" s="21">
        <f t="shared" si="21"/>
        <v>1</v>
      </c>
      <c r="M206" s="25"/>
      <c r="N206" s="25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>
        <v>1</v>
      </c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33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33"/>
      <c r="EG206" s="33"/>
      <c r="EH206" s="33"/>
      <c r="EI206" s="33"/>
      <c r="EJ206" s="33"/>
      <c r="EK206" s="19"/>
      <c r="EL206" s="19"/>
    </row>
    <row r="207" spans="1:142" hidden="1" x14ac:dyDescent="0.25">
      <c r="A207" s="19" t="s">
        <v>213</v>
      </c>
      <c r="B207" s="19"/>
      <c r="C207" s="19">
        <v>500</v>
      </c>
      <c r="D207" s="19">
        <v>320</v>
      </c>
      <c r="E207" s="19" t="s">
        <v>169</v>
      </c>
      <c r="F207" s="37"/>
      <c r="G207" s="19"/>
      <c r="H207" s="21"/>
      <c r="I207" s="19">
        <f t="shared" si="22"/>
        <v>0</v>
      </c>
      <c r="J207" s="19">
        <f t="shared" si="19"/>
        <v>10</v>
      </c>
      <c r="K207" s="19">
        <f t="shared" si="20"/>
        <v>0</v>
      </c>
      <c r="L207" s="21">
        <f t="shared" si="21"/>
        <v>10</v>
      </c>
      <c r="M207" s="25"/>
      <c r="N207" s="25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>
        <v>3</v>
      </c>
      <c r="BN207" s="19"/>
      <c r="BO207" s="19">
        <v>2</v>
      </c>
      <c r="BP207" s="19"/>
      <c r="BQ207" s="19">
        <v>3</v>
      </c>
      <c r="BR207" s="19"/>
      <c r="BS207" s="19">
        <v>1</v>
      </c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>
        <v>1</v>
      </c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33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33"/>
      <c r="EG207" s="33"/>
      <c r="EH207" s="33"/>
      <c r="EI207" s="33"/>
      <c r="EJ207" s="33"/>
      <c r="EK207" s="19"/>
      <c r="EL207" s="19"/>
    </row>
    <row r="208" spans="1:142" hidden="1" x14ac:dyDescent="0.25">
      <c r="A208" s="19" t="s">
        <v>213</v>
      </c>
      <c r="B208" s="19"/>
      <c r="C208" s="19">
        <v>500</v>
      </c>
      <c r="D208" s="19">
        <v>200</v>
      </c>
      <c r="E208" s="19" t="s">
        <v>169</v>
      </c>
      <c r="F208" s="37"/>
      <c r="G208" s="19"/>
      <c r="H208" s="21"/>
      <c r="I208" s="19">
        <f t="shared" si="22"/>
        <v>0</v>
      </c>
      <c r="J208" s="19">
        <f t="shared" si="19"/>
        <v>4</v>
      </c>
      <c r="K208" s="19">
        <f t="shared" si="20"/>
        <v>0</v>
      </c>
      <c r="L208" s="21">
        <f t="shared" si="21"/>
        <v>4</v>
      </c>
      <c r="M208" s="25"/>
      <c r="N208" s="25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33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>
        <v>2</v>
      </c>
      <c r="DR208" s="19"/>
      <c r="DS208" s="19"/>
      <c r="DT208" s="19"/>
      <c r="DU208" s="19"/>
      <c r="DV208" s="19"/>
      <c r="DW208" s="19"/>
      <c r="DX208" s="19">
        <v>2</v>
      </c>
      <c r="DY208" s="19"/>
      <c r="DZ208" s="19"/>
      <c r="EA208" s="19"/>
      <c r="EB208" s="19"/>
      <c r="EC208" s="19"/>
      <c r="ED208" s="19"/>
      <c r="EE208" s="19"/>
      <c r="EF208" s="33"/>
      <c r="EG208" s="33"/>
      <c r="EH208" s="33"/>
      <c r="EI208" s="33"/>
      <c r="EJ208" s="33"/>
      <c r="EK208" s="19"/>
      <c r="EL208" s="19"/>
    </row>
    <row r="209" spans="1:142" hidden="1" x14ac:dyDescent="0.25">
      <c r="A209" s="19" t="s">
        <v>213</v>
      </c>
      <c r="B209" s="19"/>
      <c r="C209" s="19">
        <v>400</v>
      </c>
      <c r="D209" s="19">
        <v>250</v>
      </c>
      <c r="E209" s="19" t="s">
        <v>169</v>
      </c>
      <c r="F209" s="37"/>
      <c r="G209" s="19"/>
      <c r="H209" s="21"/>
      <c r="I209" s="19">
        <f t="shared" si="22"/>
        <v>0</v>
      </c>
      <c r="J209" s="19">
        <f t="shared" si="19"/>
        <v>4</v>
      </c>
      <c r="K209" s="19">
        <f t="shared" si="20"/>
        <v>0</v>
      </c>
      <c r="L209" s="21">
        <f t="shared" si="21"/>
        <v>4</v>
      </c>
      <c r="M209" s="25"/>
      <c r="N209" s="25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>
        <v>3</v>
      </c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33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>
        <v>1</v>
      </c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33"/>
      <c r="EG209" s="33"/>
      <c r="EH209" s="33"/>
      <c r="EI209" s="33"/>
      <c r="EJ209" s="33"/>
      <c r="EK209" s="19"/>
      <c r="EL209" s="19"/>
    </row>
    <row r="210" spans="1:142" hidden="1" x14ac:dyDescent="0.25">
      <c r="A210" s="19" t="s">
        <v>213</v>
      </c>
      <c r="B210" s="19"/>
      <c r="C210" s="19">
        <v>320</v>
      </c>
      <c r="D210" s="19">
        <v>160</v>
      </c>
      <c r="E210" s="19" t="s">
        <v>169</v>
      </c>
      <c r="F210" s="37"/>
      <c r="G210" s="19"/>
      <c r="H210" s="21"/>
      <c r="I210" s="19">
        <f t="shared" si="22"/>
        <v>1</v>
      </c>
      <c r="J210" s="19">
        <f t="shared" si="19"/>
        <v>0</v>
      </c>
      <c r="K210" s="19">
        <f t="shared" si="20"/>
        <v>0</v>
      </c>
      <c r="L210" s="21">
        <f t="shared" si="21"/>
        <v>1</v>
      </c>
      <c r="M210" s="25"/>
      <c r="N210" s="25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>
        <v>1</v>
      </c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33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33"/>
      <c r="EG210" s="33"/>
      <c r="EH210" s="33"/>
      <c r="EI210" s="33"/>
      <c r="EJ210" s="33"/>
      <c r="EK210" s="19"/>
      <c r="EL210" s="19"/>
    </row>
    <row r="211" spans="1:142" hidden="1" x14ac:dyDescent="0.25">
      <c r="A211" s="19" t="s">
        <v>213</v>
      </c>
      <c r="B211" s="19"/>
      <c r="C211" s="19">
        <v>320</v>
      </c>
      <c r="D211" s="19">
        <v>120</v>
      </c>
      <c r="E211" s="19" t="s">
        <v>169</v>
      </c>
      <c r="F211" s="38"/>
      <c r="G211" s="19"/>
      <c r="H211" s="21"/>
      <c r="I211" s="19">
        <f t="shared" si="22"/>
        <v>1</v>
      </c>
      <c r="J211" s="19">
        <f t="shared" si="19"/>
        <v>0</v>
      </c>
      <c r="K211" s="19">
        <f t="shared" si="20"/>
        <v>0</v>
      </c>
      <c r="L211" s="21">
        <f t="shared" si="21"/>
        <v>1</v>
      </c>
      <c r="M211" s="25"/>
      <c r="N211" s="25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>
        <v>1</v>
      </c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33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33"/>
      <c r="EG211" s="33"/>
      <c r="EH211" s="33"/>
      <c r="EI211" s="33"/>
      <c r="EJ211" s="33"/>
      <c r="EK211" s="19"/>
      <c r="EL211" s="19"/>
    </row>
    <row r="212" spans="1:142" hidden="1" x14ac:dyDescent="0.25">
      <c r="A212" s="19" t="s">
        <v>215</v>
      </c>
      <c r="B212" s="19"/>
      <c r="C212" s="19">
        <v>1600</v>
      </c>
      <c r="D212" s="19">
        <v>500</v>
      </c>
      <c r="E212" s="19" t="s">
        <v>169</v>
      </c>
      <c r="F212" s="36" t="s">
        <v>216</v>
      </c>
      <c r="G212" s="19"/>
      <c r="H212" s="21"/>
      <c r="I212" s="19">
        <f t="shared" si="22"/>
        <v>10</v>
      </c>
      <c r="J212" s="19">
        <f t="shared" si="19"/>
        <v>20</v>
      </c>
      <c r="K212" s="19">
        <f t="shared" si="20"/>
        <v>0</v>
      </c>
      <c r="L212" s="21">
        <f t="shared" si="21"/>
        <v>30</v>
      </c>
      <c r="M212" s="25"/>
      <c r="N212" s="25"/>
      <c r="O212" s="19"/>
      <c r="P212" s="19"/>
      <c r="Q212" s="19"/>
      <c r="R212" s="19"/>
      <c r="S212" s="19"/>
      <c r="T212" s="19"/>
      <c r="U212" s="19"/>
      <c r="V212" s="19"/>
      <c r="W212" s="19">
        <v>1</v>
      </c>
      <c r="X212" s="19"/>
      <c r="Y212" s="19">
        <v>1</v>
      </c>
      <c r="Z212" s="19"/>
      <c r="AA212" s="19"/>
      <c r="AB212" s="19"/>
      <c r="AC212" s="19"/>
      <c r="AD212" s="19"/>
      <c r="AE212" s="19">
        <v>1</v>
      </c>
      <c r="AF212" s="19">
        <v>2</v>
      </c>
      <c r="AG212" s="19"/>
      <c r="AH212" s="19"/>
      <c r="AI212" s="19"/>
      <c r="AJ212" s="19"/>
      <c r="AK212" s="19"/>
      <c r="AL212" s="19"/>
      <c r="AM212" s="19"/>
      <c r="AN212" s="19">
        <v>2</v>
      </c>
      <c r="AO212" s="19">
        <v>1</v>
      </c>
      <c r="AP212" s="19"/>
      <c r="AQ212" s="19"/>
      <c r="AR212" s="19"/>
      <c r="AS212" s="19">
        <v>1</v>
      </c>
      <c r="AT212" s="19">
        <v>1</v>
      </c>
      <c r="AU212" s="19"/>
      <c r="AV212" s="19"/>
      <c r="AW212" s="19"/>
      <c r="AX212" s="19"/>
      <c r="AY212" s="19">
        <v>1</v>
      </c>
      <c r="AZ212" s="19">
        <v>1</v>
      </c>
      <c r="BA212" s="19"/>
      <c r="BB212" s="19"/>
      <c r="BC212" s="19"/>
      <c r="BD212" s="19"/>
      <c r="BE212" s="19">
        <v>1</v>
      </c>
      <c r="BF212" s="19">
        <v>1</v>
      </c>
      <c r="BG212" s="19">
        <v>1</v>
      </c>
      <c r="BH212" s="19">
        <v>1</v>
      </c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>
        <v>1</v>
      </c>
      <c r="CN212" s="19">
        <v>1</v>
      </c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33"/>
      <c r="CZ212" s="19">
        <v>2</v>
      </c>
      <c r="DA212" s="19">
        <v>2</v>
      </c>
      <c r="DB212" s="19"/>
      <c r="DC212" s="19"/>
      <c r="DD212" s="19"/>
      <c r="DE212" s="19"/>
      <c r="DF212" s="19"/>
      <c r="DG212" s="19"/>
      <c r="DH212" s="19">
        <v>2</v>
      </c>
      <c r="DI212" s="19">
        <v>1</v>
      </c>
      <c r="DJ212" s="19"/>
      <c r="DK212" s="19"/>
      <c r="DL212" s="19"/>
      <c r="DM212" s="19"/>
      <c r="DN212" s="19"/>
      <c r="DO212" s="19">
        <v>2</v>
      </c>
      <c r="DP212" s="19">
        <v>2</v>
      </c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>
        <v>1</v>
      </c>
      <c r="EF212" s="33"/>
      <c r="EG212" s="33"/>
      <c r="EH212" s="33"/>
      <c r="EI212" s="33"/>
      <c r="EJ212" s="33"/>
      <c r="EK212" s="19"/>
      <c r="EL212" s="19"/>
    </row>
    <row r="213" spans="1:142" hidden="1" x14ac:dyDescent="0.25">
      <c r="A213" s="19" t="s">
        <v>215</v>
      </c>
      <c r="B213" s="19"/>
      <c r="C213" s="19">
        <v>1400</v>
      </c>
      <c r="D213" s="19">
        <v>630</v>
      </c>
      <c r="E213" s="19" t="s">
        <v>169</v>
      </c>
      <c r="F213" s="37"/>
      <c r="G213" s="19"/>
      <c r="H213" s="21"/>
      <c r="I213" s="19">
        <f t="shared" si="22"/>
        <v>2</v>
      </c>
      <c r="J213" s="19">
        <f t="shared" ref="J213:J276" si="23">SUM(AW213:EE213)</f>
        <v>0</v>
      </c>
      <c r="K213" s="19">
        <f t="shared" si="20"/>
        <v>0</v>
      </c>
      <c r="L213" s="21">
        <f t="shared" si="21"/>
        <v>2</v>
      </c>
      <c r="M213" s="25"/>
      <c r="N213" s="25"/>
      <c r="O213" s="19"/>
      <c r="P213" s="19"/>
      <c r="Q213" s="19"/>
      <c r="R213" s="19"/>
      <c r="S213" s="19"/>
      <c r="T213" s="19"/>
      <c r="U213" s="19"/>
      <c r="V213" s="19"/>
      <c r="W213" s="19">
        <v>1</v>
      </c>
      <c r="X213" s="19"/>
      <c r="Y213" s="19">
        <v>1</v>
      </c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33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33"/>
      <c r="EG213" s="33"/>
      <c r="EH213" s="33"/>
      <c r="EI213" s="33"/>
      <c r="EJ213" s="33"/>
      <c r="EK213" s="19"/>
      <c r="EL213" s="19"/>
    </row>
    <row r="214" spans="1:142" hidden="1" x14ac:dyDescent="0.25">
      <c r="A214" s="19" t="s">
        <v>215</v>
      </c>
      <c r="B214" s="19"/>
      <c r="C214" s="19">
        <v>1400</v>
      </c>
      <c r="D214" s="19">
        <v>500</v>
      </c>
      <c r="E214" s="19" t="s">
        <v>169</v>
      </c>
      <c r="F214" s="37"/>
      <c r="G214" s="19"/>
      <c r="H214" s="21"/>
      <c r="I214" s="19">
        <f t="shared" si="22"/>
        <v>1</v>
      </c>
      <c r="J214" s="19">
        <f t="shared" si="23"/>
        <v>1</v>
      </c>
      <c r="K214" s="19">
        <f t="shared" si="20"/>
        <v>0</v>
      </c>
      <c r="L214" s="21">
        <f t="shared" si="21"/>
        <v>2</v>
      </c>
      <c r="M214" s="25"/>
      <c r="N214" s="25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>
        <v>1</v>
      </c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>
        <v>1</v>
      </c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33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33"/>
      <c r="EG214" s="33"/>
      <c r="EH214" s="33"/>
      <c r="EI214" s="33"/>
      <c r="EJ214" s="33"/>
      <c r="EK214" s="19"/>
      <c r="EL214" s="19"/>
    </row>
    <row r="215" spans="1:142" hidden="1" x14ac:dyDescent="0.25">
      <c r="A215" s="19" t="s">
        <v>215</v>
      </c>
      <c r="B215" s="19"/>
      <c r="C215" s="19">
        <v>1250</v>
      </c>
      <c r="D215" s="19">
        <v>630</v>
      </c>
      <c r="E215" s="19" t="s">
        <v>169</v>
      </c>
      <c r="F215" s="37"/>
      <c r="G215" s="19"/>
      <c r="H215" s="21"/>
      <c r="I215" s="19">
        <f t="shared" si="22"/>
        <v>4</v>
      </c>
      <c r="J215" s="19">
        <f t="shared" si="23"/>
        <v>5</v>
      </c>
      <c r="K215" s="19">
        <f t="shared" si="20"/>
        <v>0</v>
      </c>
      <c r="L215" s="21">
        <f t="shared" si="21"/>
        <v>9</v>
      </c>
      <c r="M215" s="25"/>
      <c r="N215" s="25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>
        <v>1</v>
      </c>
      <c r="AO215" s="19">
        <v>1</v>
      </c>
      <c r="AP215" s="19"/>
      <c r="AQ215" s="19"/>
      <c r="AR215" s="19"/>
      <c r="AS215" s="19">
        <v>1</v>
      </c>
      <c r="AT215" s="19">
        <v>1</v>
      </c>
      <c r="AU215" s="19"/>
      <c r="AV215" s="19"/>
      <c r="AW215" s="19"/>
      <c r="AX215" s="19"/>
      <c r="AY215" s="19">
        <v>1</v>
      </c>
      <c r="AZ215" s="19">
        <v>1</v>
      </c>
      <c r="BA215" s="19"/>
      <c r="BB215" s="19"/>
      <c r="BC215" s="19"/>
      <c r="BD215" s="19"/>
      <c r="BE215" s="19"/>
      <c r="BF215" s="19"/>
      <c r="BG215" s="19">
        <v>1</v>
      </c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33"/>
      <c r="CZ215" s="19"/>
      <c r="DA215" s="19"/>
      <c r="DB215" s="19"/>
      <c r="DC215" s="19"/>
      <c r="DD215" s="19"/>
      <c r="DE215" s="19"/>
      <c r="DF215" s="19"/>
      <c r="DG215" s="19"/>
      <c r="DH215" s="19">
        <v>1</v>
      </c>
      <c r="DI215" s="19">
        <v>1</v>
      </c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33"/>
      <c r="EG215" s="33"/>
      <c r="EH215" s="33"/>
      <c r="EI215" s="33"/>
      <c r="EJ215" s="33"/>
      <c r="EK215" s="19"/>
      <c r="EL215" s="19"/>
    </row>
    <row r="216" spans="1:142" hidden="1" x14ac:dyDescent="0.25">
      <c r="A216" s="19" t="s">
        <v>215</v>
      </c>
      <c r="B216" s="19"/>
      <c r="C216" s="19">
        <v>1250</v>
      </c>
      <c r="D216" s="19">
        <v>500</v>
      </c>
      <c r="E216" s="19" t="s">
        <v>169</v>
      </c>
      <c r="F216" s="37"/>
      <c r="G216" s="19"/>
      <c r="H216" s="21"/>
      <c r="I216" s="19">
        <f t="shared" si="22"/>
        <v>0</v>
      </c>
      <c r="J216" s="19">
        <f t="shared" si="23"/>
        <v>3</v>
      </c>
      <c r="K216" s="19">
        <f t="shared" si="20"/>
        <v>1</v>
      </c>
      <c r="L216" s="21">
        <f t="shared" si="21"/>
        <v>4</v>
      </c>
      <c r="M216" s="25"/>
      <c r="N216" s="25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33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>
        <v>2</v>
      </c>
      <c r="DK216" s="19"/>
      <c r="DL216" s="19"/>
      <c r="DM216" s="19"/>
      <c r="DN216" s="19"/>
      <c r="DO216" s="19"/>
      <c r="DP216" s="19">
        <v>1</v>
      </c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33"/>
      <c r="EG216" s="33"/>
      <c r="EH216" s="33">
        <v>1</v>
      </c>
      <c r="EI216" s="33"/>
      <c r="EJ216" s="33"/>
      <c r="EK216" s="19"/>
      <c r="EL216" s="19"/>
    </row>
    <row r="217" spans="1:142" hidden="1" x14ac:dyDescent="0.25">
      <c r="A217" s="19" t="s">
        <v>215</v>
      </c>
      <c r="B217" s="19"/>
      <c r="C217" s="19">
        <v>1250</v>
      </c>
      <c r="D217" s="19">
        <v>400</v>
      </c>
      <c r="E217" s="19" t="s">
        <v>169</v>
      </c>
      <c r="F217" s="37"/>
      <c r="G217" s="19"/>
      <c r="H217" s="21"/>
      <c r="I217" s="19">
        <f t="shared" si="22"/>
        <v>2</v>
      </c>
      <c r="J217" s="19">
        <f t="shared" si="23"/>
        <v>0</v>
      </c>
      <c r="K217" s="19">
        <f t="shared" si="20"/>
        <v>0</v>
      </c>
      <c r="L217" s="21">
        <f t="shared" si="21"/>
        <v>2</v>
      </c>
      <c r="M217" s="25"/>
      <c r="N217" s="25"/>
      <c r="O217" s="19">
        <v>1</v>
      </c>
      <c r="P217" s="19">
        <v>1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33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33"/>
      <c r="EG217" s="33"/>
      <c r="EH217" s="33"/>
      <c r="EI217" s="33"/>
      <c r="EJ217" s="33"/>
      <c r="EK217" s="19"/>
      <c r="EL217" s="19"/>
    </row>
    <row r="218" spans="1:142" hidden="1" x14ac:dyDescent="0.25">
      <c r="A218" s="25" t="s">
        <v>215</v>
      </c>
      <c r="B218" s="25"/>
      <c r="C218" s="25">
        <v>1250</v>
      </c>
      <c r="D218" s="25">
        <v>320</v>
      </c>
      <c r="E218" s="25" t="s">
        <v>169</v>
      </c>
      <c r="F218" s="37"/>
      <c r="G218" s="25"/>
      <c r="H218" s="28"/>
      <c r="I218" s="19">
        <f t="shared" si="22"/>
        <v>0</v>
      </c>
      <c r="J218" s="19">
        <f t="shared" si="23"/>
        <v>1</v>
      </c>
      <c r="K218" s="19">
        <f t="shared" si="20"/>
        <v>0</v>
      </c>
      <c r="L218" s="21">
        <f t="shared" si="21"/>
        <v>1</v>
      </c>
      <c r="M218" s="25"/>
      <c r="N218" s="25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33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25">
        <v>1</v>
      </c>
      <c r="EF218" s="33"/>
      <c r="EG218" s="33"/>
      <c r="EH218" s="33"/>
      <c r="EI218" s="33"/>
      <c r="EJ218" s="33"/>
      <c r="EK218"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    <v>800</v>
      </c>
      <c r="E219" s="19" t="s">
        <v>169</v>
      </c>
      <c r="F219" s="37"/>
      <c r="G219" s="19"/>
      <c r="H219" s="21"/>
      <c r="I219" s="19">
        <f t="shared" si="22"/>
        <v>0</v>
      </c>
      <c r="J219" s="19">
        <f t="shared" si="23"/>
        <v>3</v>
      </c>
      <c r="K219" s="19">
        <f t="shared" si="20"/>
        <v>0</v>
      </c>
      <c r="L219" s="21">
        <f t="shared" si="21"/>
        <v>3</v>
      </c>
      <c r="M219" s="25"/>
      <c r="N219" s="25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>
        <v>1</v>
      </c>
      <c r="BF219" s="19">
        <v>1</v>
      </c>
      <c r="BG219" s="19"/>
      <c r="BH219" s="19">
        <v>1</v>
      </c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33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33"/>
      <c r="EG219" s="33"/>
      <c r="EH219" s="33"/>
      <c r="EI219" s="33"/>
      <c r="EJ219" s="33"/>
      <c r="EK219" s="19"/>
      <c r="EL219" s="19"/>
    </row>
    <row r="220" spans="1:142" x14ac:dyDescent="0.25">
      <c r="A220" s="19" t="s">
        <v>215</v>
      </c>
      <c r="B220" s="19"/>
      <c r="C220" s="19">
        <v>1000</v>
      </c>
      <c r="D220" s="19">
        <v>630</v>
      </c>
      <c r="E220" s="19" t="s">
        <v>169</v>
      </c>
      <c r="F220" s="37"/>
      <c r="G220" s="19"/>
      <c r="H220" s="21"/>
      <c r="I220" s="19">
        <f t="shared" si="22"/>
        <v>0</v>
      </c>
      <c r="J220" s="19">
        <f t="shared" si="23"/>
        <v>3</v>
      </c>
      <c r="K220" s="19">
        <f t="shared" si="20"/>
        <v>1</v>
      </c>
      <c r="L220" s="21">
        <f t="shared" si="21"/>
        <v>4</v>
      </c>
      <c r="M220" s="25"/>
      <c r="N220" s="25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>
        <v>1</v>
      </c>
      <c r="CB220" s="19">
        <v>1</v>
      </c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33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>
        <v>1</v>
      </c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33"/>
      <c r="EG220" s="33"/>
      <c r="EH220" s="33">
        <v>1</v>
      </c>
      <c r="EI220" s="33"/>
      <c r="EJ220" s="33"/>
      <c r="EK220" s="19"/>
      <c r="EL220" s="19"/>
    </row>
    <row r="221" spans="1:142" x14ac:dyDescent="0.25">
      <c r="A221" s="19" t="s">
        <v>215</v>
      </c>
      <c r="B221" s="19"/>
      <c r="C221" s="19">
        <v>1000</v>
      </c>
      <c r="D221" s="19">
        <v>550</v>
      </c>
      <c r="E221" s="19" t="s">
        <v>169</v>
      </c>
      <c r="F221" s="37"/>
      <c r="G221" s="19"/>
      <c r="H221" s="21"/>
      <c r="I221" s="19">
        <f t="shared" si="22"/>
        <v>0</v>
      </c>
      <c r="J221" s="19">
        <f t="shared" si="23"/>
        <v>4</v>
      </c>
      <c r="K221" s="19">
        <f t="shared" si="20"/>
        <v>0</v>
      </c>
      <c r="L221" s="21">
        <f t="shared" si="21"/>
        <v>4</v>
      </c>
      <c r="M221" s="25"/>
      <c r="N221" s="25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33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>
        <v>4</v>
      </c>
      <c r="EE221" s="19"/>
      <c r="EF221" s="33"/>
      <c r="EG221" s="33"/>
      <c r="EH221" s="33"/>
      <c r="EI221" s="33"/>
      <c r="EJ221" s="33"/>
      <c r="EK221" s="19"/>
      <c r="EL221" s="19"/>
    </row>
    <row r="222" spans="1:142" x14ac:dyDescent="0.25">
      <c r="A222" s="19" t="s">
        <v>215</v>
      </c>
      <c r="B222" s="19"/>
      <c r="C222" s="19">
        <v>1000</v>
      </c>
      <c r="D222" s="19">
        <v>500</v>
      </c>
      <c r="E222" s="19" t="s">
        <v>169</v>
      </c>
      <c r="F222" s="37"/>
      <c r="G222" s="19"/>
      <c r="H222" s="21"/>
      <c r="I222" s="19">
        <f t="shared" si="22"/>
        <v>2</v>
      </c>
      <c r="J222" s="19">
        <f t="shared" si="23"/>
        <v>2</v>
      </c>
      <c r="K222" s="19">
        <f t="shared" si="20"/>
        <v>0</v>
      </c>
      <c r="L222" s="21">
        <f t="shared" si="21"/>
        <v>4</v>
      </c>
      <c r="M222" s="25"/>
      <c r="N222" s="25"/>
      <c r="O222" s="19">
        <v>1</v>
      </c>
      <c r="P222" s="19">
        <v>1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>
        <v>1</v>
      </c>
      <c r="CB222" s="19">
        <v>1</v>
      </c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33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33"/>
      <c r="EG222" s="33"/>
      <c r="EH222" s="33"/>
      <c r="EI222" s="33"/>
      <c r="EJ222" s="33"/>
      <c r="EK222" s="19"/>
      <c r="EL222" s="19"/>
    </row>
    <row r="223" spans="1:142" x14ac:dyDescent="0.25">
      <c r="A223" s="19" t="s">
        <v>215</v>
      </c>
      <c r="B223" s="19"/>
      <c r="C223" s="19">
        <v>1000</v>
      </c>
      <c r="D223" s="19">
        <v>400</v>
      </c>
      <c r="E223" s="19" t="s">
        <v>169</v>
      </c>
      <c r="F223" s="37"/>
      <c r="G223" s="19"/>
      <c r="H223" s="21"/>
      <c r="I223" s="19">
        <f t="shared" si="22"/>
        <v>3</v>
      </c>
      <c r="J223" s="19">
        <f t="shared" si="23"/>
        <v>3</v>
      </c>
      <c r="K223" s="19">
        <f t="shared" si="20"/>
        <v>3</v>
      </c>
      <c r="L223" s="21">
        <f t="shared" si="21"/>
        <v>9</v>
      </c>
      <c r="M223" s="25"/>
      <c r="N223" s="25"/>
      <c r="O223" s="19">
        <v>3</v>
      </c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>
        <v>1</v>
      </c>
      <c r="CP223" s="19"/>
      <c r="CQ223" s="19"/>
      <c r="CR223" s="19"/>
      <c r="CS223" s="19"/>
      <c r="CT223" s="19"/>
      <c r="CU223" s="19"/>
      <c r="CV223" s="19"/>
      <c r="CW223" s="19"/>
      <c r="CX223" s="19"/>
      <c r="CY223" s="33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>
        <v>2</v>
      </c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33"/>
      <c r="EG223" s="33"/>
      <c r="EH223" s="33">
        <v>3</v>
      </c>
      <c r="EI223" s="33"/>
      <c r="EJ223" s="33"/>
      <c r="EK223" s="19"/>
      <c r="EL223" s="19"/>
    </row>
    <row r="224" spans="1:142" x14ac:dyDescent="0.25">
      <c r="A224" s="19" t="s">
        <v>215</v>
      </c>
      <c r="B224" s="19"/>
      <c r="C224" s="19">
        <v>1000</v>
      </c>
      <c r="D224" s="19">
        <v>320</v>
      </c>
      <c r="E224" s="19" t="s">
        <v>169</v>
      </c>
      <c r="F224" s="37"/>
      <c r="G224" s="19"/>
      <c r="H224" s="21"/>
      <c r="I224" s="19">
        <f t="shared" si="22"/>
        <v>0</v>
      </c>
      <c r="J224" s="19">
        <f t="shared" si="23"/>
        <v>22</v>
      </c>
      <c r="K224" s="19">
        <f t="shared" si="20"/>
        <v>0</v>
      </c>
      <c r="L224" s="21">
        <f t="shared" si="21"/>
        <v>22</v>
      </c>
      <c r="M224" s="25"/>
      <c r="N224" s="25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>
        <v>3</v>
      </c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33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>
        <v>2</v>
      </c>
      <c r="DK224" s="19"/>
      <c r="DL224" s="19"/>
      <c r="DM224" s="19"/>
      <c r="DN224" s="19"/>
      <c r="DO224" s="19">
        <v>9</v>
      </c>
      <c r="DP224" s="19">
        <v>6</v>
      </c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>
        <v>2</v>
      </c>
      <c r="EE224" s="19"/>
      <c r="EF224" s="33"/>
      <c r="EG224" s="33"/>
      <c r="EH224" s="33"/>
      <c r="EI224" s="33"/>
      <c r="EJ224" s="33"/>
      <c r="EK224" s="19"/>
      <c r="EL224" s="19"/>
    </row>
    <row r="225" spans="1:142" hidden="1" x14ac:dyDescent="0.25">
      <c r="A225" s="19" t="s">
        <v>215</v>
      </c>
      <c r="B225" s="19"/>
      <c r="C225" s="24" t="s">
        <v>159</v>
      </c>
      <c r="D225" s="19">
        <v>1000</v>
      </c>
      <c r="E225" s="19" t="s">
        <v>169</v>
      </c>
      <c r="F225" s="37"/>
      <c r="G225" s="19"/>
      <c r="H225" s="21"/>
      <c r="I225" s="19">
        <f t="shared" si="22"/>
        <v>1</v>
      </c>
      <c r="J225" s="19">
        <f t="shared" si="23"/>
        <v>0</v>
      </c>
      <c r="K225" s="19">
        <f t="shared" si="20"/>
        <v>0</v>
      </c>
      <c r="L225" s="21">
        <f t="shared" si="21"/>
        <v>1</v>
      </c>
      <c r="M225" s="25"/>
      <c r="N225" s="25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>
        <v>1</v>
      </c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33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33"/>
      <c r="EG225" s="33"/>
      <c r="EH225" s="33"/>
      <c r="EI225" s="33"/>
      <c r="EJ225" s="33"/>
      <c r="EK225" s="19"/>
      <c r="EL225" s="19"/>
    </row>
    <row r="226" spans="1:142" hidden="1" x14ac:dyDescent="0.25">
      <c r="A226" s="19" t="s">
        <v>215</v>
      </c>
      <c r="B226" s="19"/>
      <c r="C226" s="19">
        <v>800</v>
      </c>
      <c r="D226" s="19">
        <v>400</v>
      </c>
      <c r="E226" s="19" t="s">
        <v>169</v>
      </c>
      <c r="F226" s="38"/>
      <c r="G226" s="19"/>
      <c r="H226" s="21"/>
      <c r="I226" s="19">
        <f t="shared" si="22"/>
        <v>4</v>
      </c>
      <c r="J226" s="19">
        <f t="shared" si="23"/>
        <v>13</v>
      </c>
      <c r="K226" s="19">
        <f t="shared" si="20"/>
        <v>0</v>
      </c>
      <c r="L226" s="21">
        <f t="shared" si="21"/>
        <v>17</v>
      </c>
      <c r="M226" s="25"/>
      <c r="N226" s="25"/>
      <c r="O226" s="19"/>
      <c r="P226" s="19">
        <v>4</v>
      </c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>
        <v>2</v>
      </c>
      <c r="BS226" s="19"/>
      <c r="BT226" s="19"/>
      <c r="BU226" s="19"/>
      <c r="BV226" s="19"/>
      <c r="BW226" s="19"/>
      <c r="BX226" s="19"/>
      <c r="BY226" s="19"/>
      <c r="BZ226" s="19"/>
      <c r="CA226" s="19"/>
      <c r="CB226" s="19">
        <v>4</v>
      </c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>
        <v>3</v>
      </c>
      <c r="CP226" s="19"/>
      <c r="CQ226" s="19"/>
      <c r="CR226" s="19"/>
      <c r="CS226" s="19"/>
      <c r="CT226" s="19"/>
      <c r="CU226" s="19"/>
      <c r="CV226" s="19"/>
      <c r="CW226" s="19"/>
      <c r="CX226" s="19">
        <v>2</v>
      </c>
      <c r="CY226" s="33"/>
      <c r="CZ226" s="19"/>
      <c r="DA226" s="19"/>
      <c r="DB226" s="19"/>
      <c r="DC226" s="19"/>
      <c r="DD226" s="19"/>
      <c r="DE226" s="19"/>
      <c r="DF226" s="19"/>
      <c r="DG226" s="19">
        <v>2</v>
      </c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33"/>
      <c r="EG226" s="33"/>
      <c r="EH226" s="33"/>
      <c r="EI226" s="33"/>
      <c r="EJ226" s="33"/>
      <c r="EK226" s="19"/>
      <c r="EL226" s="19"/>
    </row>
    <row r="227" spans="1:142" ht="29" hidden="1" customHeight="1" x14ac:dyDescent="0.25">
      <c r="A227" s="19" t="s">
        <v>217</v>
      </c>
      <c r="B227" s="19"/>
      <c r="C227" s="19">
        <v>1600</v>
      </c>
      <c r="D227" s="19">
        <v>500</v>
      </c>
      <c r="E227" s="19" t="s">
        <v>169</v>
      </c>
      <c r="F227" s="36" t="s">
        <v>218</v>
      </c>
      <c r="G227" s="19"/>
      <c r="H227" s="21"/>
      <c r="I227" s="19">
        <f t="shared" si="22"/>
        <v>2</v>
      </c>
      <c r="J227" s="19">
        <f t="shared" si="23"/>
        <v>6</v>
      </c>
      <c r="K227" s="19">
        <f t="shared" si="20"/>
        <v>0</v>
      </c>
      <c r="L227" s="21">
        <f t="shared" si="21"/>
        <v>8</v>
      </c>
      <c r="M227" s="25"/>
      <c r="N227" s="25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>
        <v>1</v>
      </c>
      <c r="AT227" s="19">
        <v>1</v>
      </c>
      <c r="AU227" s="19"/>
      <c r="AV227" s="19"/>
      <c r="AW227" s="19"/>
      <c r="AX227" s="19"/>
      <c r="AY227" s="19">
        <v>1</v>
      </c>
      <c r="AZ227" s="19">
        <v>1</v>
      </c>
      <c r="BA227" s="19"/>
      <c r="BB227" s="19"/>
      <c r="BC227" s="19"/>
      <c r="BD227" s="19"/>
      <c r="BE227" s="19"/>
      <c r="BF227" s="19"/>
      <c r="BG227" s="19">
        <v>1</v>
      </c>
      <c r="BH227" s="19">
        <v>1</v>
      </c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>
        <v>1</v>
      </c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33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>
        <v>1</v>
      </c>
      <c r="EF227" s="33"/>
      <c r="EG227" s="33"/>
      <c r="EH227" s="33"/>
      <c r="EI227" s="33"/>
      <c r="EJ227" s="33"/>
      <c r="EK227" s="19"/>
      <c r="EL227" s="19"/>
    </row>
    <row r="228" spans="1:142" ht="29" hidden="1" customHeight="1" x14ac:dyDescent="0.25">
      <c r="A228" s="19" t="s">
        <v>217</v>
      </c>
      <c r="B228" s="19"/>
      <c r="C228" s="19">
        <v>1400</v>
      </c>
      <c r="D228" s="19">
        <v>400</v>
      </c>
      <c r="E228" s="19" t="s">
        <v>169</v>
      </c>
      <c r="F228" s="37"/>
      <c r="G228" s="19"/>
      <c r="H228" s="21"/>
      <c r="I228" s="19">
        <f t="shared" si="22"/>
        <v>0</v>
      </c>
      <c r="J228" s="19">
        <f t="shared" si="23"/>
        <v>2</v>
      </c>
      <c r="K228" s="19">
        <f t="shared" si="20"/>
        <v>0</v>
      </c>
      <c r="L228" s="21">
        <f t="shared" si="21"/>
        <v>2</v>
      </c>
      <c r="M228" s="25"/>
      <c r="N228" s="25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>
        <v>1</v>
      </c>
      <c r="BF228" s="19">
        <v>1</v>
      </c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33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33"/>
      <c r="EG228" s="33"/>
      <c r="EH228" s="33"/>
      <c r="EI228" s="33"/>
      <c r="EJ228" s="33"/>
      <c r="EK228" s="19"/>
      <c r="EL228" s="19"/>
    </row>
    <row r="229" spans="1:142" ht="29" customHeight="1" x14ac:dyDescent="0.25">
      <c r="A229" s="19" t="s">
        <v>217</v>
      </c>
      <c r="B229" s="19"/>
      <c r="C229" s="19">
        <v>1000</v>
      </c>
      <c r="D229" s="19">
        <v>400</v>
      </c>
      <c r="E229" s="19" t="s">
        <v>169</v>
      </c>
      <c r="F229" s="37"/>
      <c r="G229" s="19"/>
      <c r="H229" s="21"/>
      <c r="I229" s="19">
        <f t="shared" si="22"/>
        <v>0</v>
      </c>
      <c r="J229" s="19">
        <f t="shared" si="23"/>
        <v>2</v>
      </c>
      <c r="K229" s="19">
        <f t="shared" si="20"/>
        <v>0</v>
      </c>
      <c r="L229" s="21">
        <f t="shared" si="21"/>
        <v>2</v>
      </c>
      <c r="M229" s="25"/>
      <c r="N229" s="25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33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>
        <v>2</v>
      </c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33"/>
      <c r="EG229" s="33"/>
      <c r="EH229" s="33"/>
      <c r="EI229" s="33"/>
      <c r="EJ229" s="33"/>
      <c r="EK229" s="19"/>
      <c r="EL229" s="19"/>
    </row>
    <row r="230" spans="1:142" ht="29" customHeight="1" x14ac:dyDescent="0.25">
      <c r="A230" s="19" t="s">
        <v>217</v>
      </c>
      <c r="B230" s="19"/>
      <c r="C230" s="19">
        <v>1000</v>
      </c>
      <c r="D230" s="19">
        <v>320</v>
      </c>
      <c r="E230" s="19" t="s">
        <v>169</v>
      </c>
      <c r="F230" s="38"/>
      <c r="G230" s="19"/>
      <c r="H230" s="21"/>
      <c r="I230" s="19">
        <f t="shared" si="22"/>
        <v>0</v>
      </c>
      <c r="J230" s="19">
        <f t="shared" si="23"/>
        <v>22</v>
      </c>
      <c r="K230" s="19">
        <f t="shared" si="20"/>
        <v>0</v>
      </c>
      <c r="L230" s="21">
        <f t="shared" si="21"/>
        <v>22</v>
      </c>
      <c r="M230" s="25"/>
      <c r="N230" s="25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>
        <v>3</v>
      </c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33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>
        <v>2</v>
      </c>
      <c r="DK230" s="19"/>
      <c r="DL230" s="19"/>
      <c r="DM230" s="19"/>
      <c r="DN230" s="19"/>
      <c r="DO230" s="19">
        <v>9</v>
      </c>
      <c r="DP230" s="19">
        <v>6</v>
      </c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>
        <v>2</v>
      </c>
      <c r="EE230" s="19"/>
      <c r="EF230" s="33"/>
      <c r="EG230" s="33"/>
      <c r="EH230" s="33"/>
      <c r="EI230" s="33"/>
      <c r="EJ230" s="33"/>
      <c r="EK230" s="19"/>
      <c r="EL230" s="19"/>
    </row>
    <row r="231" spans="1:142" hidden="1" x14ac:dyDescent="0.25">
      <c r="A231" s="19" t="s">
        <v>219</v>
      </c>
      <c r="B231" s="19"/>
      <c r="C231" s="19">
        <v>1600</v>
      </c>
      <c r="D231" s="19">
        <v>500</v>
      </c>
      <c r="E231" s="19" t="s">
        <v>169</v>
      </c>
      <c r="F231" s="36" t="s">
        <v>220</v>
      </c>
      <c r="G231" s="19"/>
      <c r="H231" s="21"/>
      <c r="I231" s="19">
        <f t="shared" si="22"/>
        <v>5</v>
      </c>
      <c r="J231" s="19">
        <f t="shared" si="23"/>
        <v>12</v>
      </c>
      <c r="K231" s="19">
        <f t="shared" si="20"/>
        <v>0</v>
      </c>
      <c r="L231" s="21">
        <f t="shared" si="21"/>
        <v>17</v>
      </c>
      <c r="M231" s="25"/>
      <c r="N231" s="25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>
        <v>1</v>
      </c>
      <c r="AG231" s="19"/>
      <c r="AH231" s="19"/>
      <c r="AI231" s="19"/>
      <c r="AJ231" s="19"/>
      <c r="AK231" s="19"/>
      <c r="AL231" s="19"/>
      <c r="AM231" s="19"/>
      <c r="AN231" s="19">
        <v>1</v>
      </c>
      <c r="AO231" s="19">
        <v>1</v>
      </c>
      <c r="AP231" s="19"/>
      <c r="AQ231" s="19"/>
      <c r="AR231" s="19"/>
      <c r="AS231" s="19">
        <v>1</v>
      </c>
      <c r="AT231" s="19">
        <v>1</v>
      </c>
      <c r="AU231" s="19"/>
      <c r="AV231" s="19"/>
      <c r="AW231" s="19"/>
      <c r="AX231" s="19"/>
      <c r="AY231" s="19">
        <v>1</v>
      </c>
      <c r="AZ231" s="19">
        <v>1</v>
      </c>
      <c r="BA231" s="19"/>
      <c r="BB231" s="19"/>
      <c r="BC231" s="19"/>
      <c r="BD231" s="19"/>
      <c r="BE231" s="19">
        <v>1</v>
      </c>
      <c r="BF231" s="19">
        <v>1</v>
      </c>
      <c r="BG231" s="19">
        <v>1</v>
      </c>
      <c r="BH231" s="19">
        <v>1</v>
      </c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>
        <v>1</v>
      </c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33"/>
      <c r="CZ231" s="19">
        <v>1</v>
      </c>
      <c r="DA231" s="19">
        <v>1</v>
      </c>
      <c r="DB231" s="19"/>
      <c r="DC231" s="19"/>
      <c r="DD231" s="19"/>
      <c r="DE231" s="19"/>
      <c r="DF231" s="19"/>
      <c r="DG231" s="19"/>
      <c r="DH231" s="19">
        <v>1</v>
      </c>
      <c r="DI231" s="19">
        <v>1</v>
      </c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>
        <v>1</v>
      </c>
      <c r="EF231" s="33"/>
      <c r="EG231" s="33"/>
      <c r="EH231" s="33"/>
      <c r="EI231" s="33"/>
      <c r="EJ231" s="33"/>
      <c r="EK231" s="19"/>
      <c r="EL231" s="19"/>
    </row>
    <row r="232" spans="1:142" hidden="1" x14ac:dyDescent="0.25">
      <c r="A232" s="19" t="s">
        <v>219</v>
      </c>
      <c r="B232" s="19"/>
      <c r="C232" s="19">
        <v>800</v>
      </c>
      <c r="D232" s="19">
        <v>250</v>
      </c>
      <c r="E232" s="19" t="s">
        <v>169</v>
      </c>
      <c r="F232" s="37"/>
      <c r="G232" s="19"/>
      <c r="H232" s="21"/>
      <c r="I232" s="19">
        <f t="shared" si="22"/>
        <v>0</v>
      </c>
      <c r="J232" s="19">
        <f t="shared" si="23"/>
        <v>1</v>
      </c>
      <c r="K232" s="19">
        <f t="shared" si="20"/>
        <v>0</v>
      </c>
      <c r="L232" s="21">
        <f t="shared" si="21"/>
        <v>1</v>
      </c>
      <c r="M232" s="25"/>
      <c r="N232" s="25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>
        <v>1</v>
      </c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33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33"/>
      <c r="EG232" s="33"/>
      <c r="EH232" s="33"/>
      <c r="EI232" s="33"/>
      <c r="EJ232" s="33"/>
      <c r="EK232" s="19"/>
      <c r="EL232" s="19"/>
    </row>
    <row r="233" spans="1:142" hidden="1" x14ac:dyDescent="0.25">
      <c r="A233" s="19" t="s">
        <v>219</v>
      </c>
      <c r="B233" s="19"/>
      <c r="C233" s="19">
        <v>630</v>
      </c>
      <c r="D233" s="19">
        <v>320</v>
      </c>
      <c r="E233" s="19" t="s">
        <v>169</v>
      </c>
      <c r="F233" s="37"/>
      <c r="G233" s="19"/>
      <c r="H233" s="21"/>
      <c r="I233" s="19">
        <f t="shared" si="22"/>
        <v>1</v>
      </c>
      <c r="J233" s="19">
        <f t="shared" si="23"/>
        <v>0</v>
      </c>
      <c r="K233" s="19">
        <f t="shared" si="20"/>
        <v>1</v>
      </c>
      <c r="L233" s="21">
        <f t="shared" si="21"/>
        <v>2</v>
      </c>
      <c r="M233" s="25"/>
      <c r="N233" s="25"/>
      <c r="O233" s="19">
        <v>1</v>
      </c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33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33"/>
      <c r="EG233" s="33"/>
      <c r="EH233" s="33"/>
      <c r="EI233" s="33">
        <v>1</v>
      </c>
      <c r="EJ233" s="33"/>
      <c r="EK233" s="19"/>
      <c r="EL233" s="19"/>
    </row>
    <row r="234" spans="1:142" hidden="1" x14ac:dyDescent="0.25">
      <c r="A234" s="19" t="s">
        <v>219</v>
      </c>
      <c r="B234" s="19"/>
      <c r="C234" s="19">
        <v>500</v>
      </c>
      <c r="D234" s="19">
        <v>320</v>
      </c>
      <c r="E234" s="19" t="s">
        <v>169</v>
      </c>
      <c r="F234" s="37"/>
      <c r="G234" s="19"/>
      <c r="H234" s="21"/>
      <c r="I234" s="19">
        <f t="shared" si="22"/>
        <v>2</v>
      </c>
      <c r="J234" s="19">
        <f t="shared" si="23"/>
        <v>2</v>
      </c>
      <c r="K234" s="19">
        <f t="shared" si="20"/>
        <v>0</v>
      </c>
      <c r="L234" s="21">
        <f t="shared" si="21"/>
        <v>4</v>
      </c>
      <c r="M234" s="25"/>
      <c r="N234" s="25"/>
      <c r="O234" s="19"/>
      <c r="P234" s="19">
        <v>2</v>
      </c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>
        <v>2</v>
      </c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33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33"/>
      <c r="EG234" s="33"/>
      <c r="EH234" s="33"/>
      <c r="EI234" s="33"/>
      <c r="EJ234" s="33"/>
      <c r="EK234" s="19"/>
      <c r="EL234" s="19"/>
    </row>
    <row r="235" spans="1:142" hidden="1" x14ac:dyDescent="0.25">
      <c r="A235" s="19" t="s">
        <v>219</v>
      </c>
      <c r="B235" s="19"/>
      <c r="C235" s="19">
        <v>400</v>
      </c>
      <c r="D235" s="19">
        <v>320</v>
      </c>
      <c r="E235" s="19" t="s">
        <v>169</v>
      </c>
      <c r="F235" s="38"/>
      <c r="G235" s="19"/>
      <c r="H235" s="21"/>
      <c r="I235" s="19">
        <f t="shared" si="22"/>
        <v>1</v>
      </c>
      <c r="J235" s="19">
        <f t="shared" si="23"/>
        <v>0</v>
      </c>
      <c r="K235" s="19">
        <f t="shared" si="20"/>
        <v>0</v>
      </c>
      <c r="L235" s="21">
        <f t="shared" si="21"/>
        <v>1</v>
      </c>
      <c r="M235" s="25"/>
      <c r="N235" s="25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25">
        <v>1</v>
      </c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33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33"/>
      <c r="EG235" s="33"/>
      <c r="EH235" s="33"/>
      <c r="EI235" s="33"/>
      <c r="EJ235" s="33"/>
      <c r="EK235" s="19"/>
      <c r="EL235" s="19"/>
    </row>
    <row r="236" spans="1:142" hidden="1" x14ac:dyDescent="0.25">
      <c r="A236" s="19" t="s">
        <v>221</v>
      </c>
      <c r="B236" s="19"/>
      <c r="C236" s="19">
        <v>800</v>
      </c>
      <c r="D236" s="19">
        <v>800</v>
      </c>
      <c r="E236" s="19" t="s">
        <v>169</v>
      </c>
      <c r="F236" s="36" t="s">
        <v>222</v>
      </c>
      <c r="G236" s="19"/>
      <c r="H236" s="21"/>
      <c r="I236" s="19">
        <f t="shared" si="22"/>
        <v>0</v>
      </c>
      <c r="J236" s="19">
        <f t="shared" si="23"/>
        <v>3</v>
      </c>
      <c r="K236" s="19">
        <f t="shared" si="20"/>
        <v>0</v>
      </c>
      <c r="L236" s="21">
        <f t="shared" si="21"/>
        <v>3</v>
      </c>
      <c r="M236" s="25"/>
      <c r="N236" s="25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25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>
        <v>1</v>
      </c>
      <c r="CT236" s="19">
        <v>2</v>
      </c>
      <c r="CU236" s="19"/>
      <c r="CV236" s="19"/>
      <c r="CW236" s="19"/>
      <c r="CX236" s="19"/>
      <c r="CY236" s="33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33"/>
      <c r="EG236" s="33"/>
      <c r="EH236" s="33"/>
      <c r="EI236" s="33"/>
      <c r="EJ236" s="33"/>
      <c r="EK236" s="19"/>
      <c r="EL236" s="19"/>
    </row>
    <row r="237" spans="1:142" hidden="1" x14ac:dyDescent="0.25">
      <c r="A237" s="19" t="s">
        <v>221</v>
      </c>
      <c r="B237" s="19"/>
      <c r="C237" s="19">
        <v>800</v>
      </c>
      <c r="D237" s="19">
        <v>500</v>
      </c>
      <c r="E237" s="19" t="s">
        <v>169</v>
      </c>
      <c r="F237" s="37"/>
      <c r="G237" s="19"/>
      <c r="H237" s="21"/>
      <c r="I237" s="19">
        <f t="shared" si="22"/>
        <v>0</v>
      </c>
      <c r="J237" s="19">
        <f t="shared" si="23"/>
        <v>6</v>
      </c>
      <c r="K237" s="19">
        <f t="shared" si="20"/>
        <v>0</v>
      </c>
      <c r="L237" s="21">
        <f t="shared" si="21"/>
        <v>6</v>
      </c>
      <c r="M237" s="25"/>
      <c r="N237" s="25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25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33"/>
      <c r="CZ237" s="19"/>
      <c r="DA237" s="19"/>
      <c r="DB237" s="19"/>
      <c r="DC237" s="19"/>
      <c r="DD237" s="19"/>
      <c r="DE237" s="19">
        <v>1</v>
      </c>
      <c r="DF237" s="19">
        <v>2</v>
      </c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>
        <v>2</v>
      </c>
      <c r="DZ237" s="19">
        <v>1</v>
      </c>
      <c r="EA237" s="19"/>
      <c r="EB237" s="19"/>
      <c r="EC237" s="19"/>
      <c r="ED237" s="19"/>
      <c r="EE237" s="19"/>
      <c r="EF237" s="33"/>
      <c r="EG237" s="33"/>
      <c r="EH237" s="33"/>
      <c r="EI237" s="33"/>
      <c r="EJ237" s="33"/>
      <c r="EK237" s="19"/>
      <c r="EL237" s="19"/>
    </row>
    <row r="238" spans="1:142" hidden="1" x14ac:dyDescent="0.25">
      <c r="A238" s="19" t="s">
        <v>221</v>
      </c>
      <c r="B238" s="19"/>
      <c r="C238" s="19">
        <v>800</v>
      </c>
      <c r="D238" s="19">
        <v>400</v>
      </c>
      <c r="E238" s="19" t="s">
        <v>169</v>
      </c>
      <c r="F238" s="38"/>
      <c r="G238" s="19"/>
      <c r="H238" s="21"/>
      <c r="I238" s="19">
        <f t="shared" si="22"/>
        <v>0</v>
      </c>
      <c r="J238" s="19">
        <f t="shared" si="23"/>
        <v>5</v>
      </c>
      <c r="K238" s="19">
        <f t="shared" si="20"/>
        <v>0</v>
      </c>
      <c r="L238" s="21">
        <f t="shared" si="21"/>
        <v>5</v>
      </c>
      <c r="M238" s="25"/>
      <c r="N238" s="25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25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>
        <v>1</v>
      </c>
      <c r="BO238" s="19"/>
      <c r="BP238" s="19">
        <v>1</v>
      </c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>
        <v>1</v>
      </c>
      <c r="CU238" s="19"/>
      <c r="CV238" s="19"/>
      <c r="CW238" s="19"/>
      <c r="CX238" s="19"/>
      <c r="CY238" s="33"/>
      <c r="CZ238" s="19"/>
      <c r="DA238" s="19"/>
      <c r="DB238" s="19"/>
      <c r="DC238" s="19"/>
      <c r="DD238" s="19"/>
      <c r="DE238" s="19"/>
      <c r="DF238" s="19">
        <v>1</v>
      </c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>
        <v>1</v>
      </c>
      <c r="DZ238" s="19"/>
      <c r="EA238" s="19"/>
      <c r="EB238" s="19"/>
      <c r="EC238" s="19"/>
      <c r="ED238" s="19"/>
      <c r="EE238" s="19"/>
      <c r="EF238" s="33"/>
      <c r="EG238" s="33"/>
      <c r="EH238" s="33"/>
      <c r="EI238" s="33"/>
      <c r="EJ238" s="33"/>
      <c r="EK238" s="19"/>
      <c r="EL238" s="19"/>
    </row>
    <row r="239" spans="1:142" hidden="1" x14ac:dyDescent="0.25">
      <c r="A239" s="19" t="s">
        <v>223</v>
      </c>
      <c r="B239" s="19"/>
      <c r="C239" s="19">
        <v>1600</v>
      </c>
      <c r="D239" s="19">
        <v>500</v>
      </c>
      <c r="E239" s="19" t="s">
        <v>169</v>
      </c>
      <c r="F239" s="36"/>
      <c r="G239" s="19"/>
      <c r="H239" s="21"/>
      <c r="I239" s="19">
        <f t="shared" si="22"/>
        <v>1</v>
      </c>
      <c r="J239" s="19">
        <f t="shared" si="23"/>
        <v>4</v>
      </c>
      <c r="K239" s="19">
        <f t="shared" si="20"/>
        <v>0</v>
      </c>
      <c r="L239" s="21">
        <f t="shared" si="21"/>
        <v>5</v>
      </c>
      <c r="M239" s="25"/>
      <c r="N239" s="25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25"/>
      <c r="AF239" s="19">
        <v>1</v>
      </c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33"/>
      <c r="CZ239" s="19">
        <v>1</v>
      </c>
      <c r="DA239" s="19">
        <v>1</v>
      </c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>
        <v>1</v>
      </c>
      <c r="DP239" s="19">
        <v>1</v>
      </c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33"/>
      <c r="EG239" s="33"/>
      <c r="EH239" s="33"/>
      <c r="EI239" s="33"/>
      <c r="EJ239" s="33"/>
      <c r="EK239" s="19"/>
      <c r="EL239" s="19"/>
    </row>
    <row r="240" spans="1:142" hidden="1" x14ac:dyDescent="0.25">
      <c r="A240" s="19" t="s">
        <v>223</v>
      </c>
      <c r="B240" s="19"/>
      <c r="C240" s="19">
        <v>1400</v>
      </c>
      <c r="D240" s="19">
        <v>630</v>
      </c>
      <c r="E240" s="19" t="s">
        <v>169</v>
      </c>
      <c r="F240" s="37"/>
      <c r="G240" s="19"/>
      <c r="H240" s="21"/>
      <c r="I240" s="19">
        <f t="shared" si="22"/>
        <v>2</v>
      </c>
      <c r="J240" s="19">
        <f t="shared" si="23"/>
        <v>0</v>
      </c>
      <c r="K240" s="19">
        <f t="shared" si="20"/>
        <v>0</v>
      </c>
      <c r="L240" s="21">
        <f t="shared" si="21"/>
        <v>2</v>
      </c>
      <c r="M240" s="25"/>
      <c r="N240" s="25"/>
      <c r="O240" s="19"/>
      <c r="P240" s="19"/>
      <c r="Q240" s="19"/>
      <c r="R240" s="19"/>
      <c r="S240" s="19"/>
      <c r="T240" s="19"/>
      <c r="U240" s="19"/>
      <c r="V240" s="19"/>
      <c r="W240" s="19">
        <v>1</v>
      </c>
      <c r="X240" s="19"/>
      <c r="Y240" s="19">
        <v>1</v>
      </c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33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33"/>
      <c r="EG240" s="33"/>
      <c r="EH240" s="33"/>
      <c r="EI240" s="33"/>
      <c r="EJ240" s="33"/>
      <c r="EK240" s="19"/>
      <c r="EL240" s="19"/>
    </row>
    <row r="241" spans="1:142" hidden="1" x14ac:dyDescent="0.25">
      <c r="A241" s="19" t="s">
        <v>223</v>
      </c>
      <c r="B241" s="19"/>
      <c r="C241" s="19">
        <v>1400</v>
      </c>
      <c r="D241" s="19">
        <v>500</v>
      </c>
      <c r="E241" s="19" t="s">
        <v>169</v>
      </c>
      <c r="F241" s="37"/>
      <c r="G241" s="19"/>
      <c r="H241" s="21"/>
      <c r="I241" s="19">
        <f t="shared" si="22"/>
        <v>8</v>
      </c>
      <c r="J241" s="19">
        <f t="shared" si="23"/>
        <v>13</v>
      </c>
      <c r="K241" s="19">
        <f t="shared" si="20"/>
        <v>0</v>
      </c>
      <c r="L241" s="21">
        <f t="shared" si="21"/>
        <v>21</v>
      </c>
      <c r="M241" s="25"/>
      <c r="N241" s="25"/>
      <c r="O241" s="19"/>
      <c r="P241" s="19"/>
      <c r="Q241" s="19"/>
      <c r="R241" s="19"/>
      <c r="S241" s="19"/>
      <c r="T241" s="19"/>
      <c r="U241" s="19">
        <v>1</v>
      </c>
      <c r="V241" s="19"/>
      <c r="W241" s="19"/>
      <c r="X241" s="19"/>
      <c r="Y241" s="19"/>
      <c r="Z241" s="19"/>
      <c r="AA241" s="19">
        <v>1</v>
      </c>
      <c r="AB241" s="19"/>
      <c r="AC241" s="19"/>
      <c r="AD241" s="19">
        <v>1</v>
      </c>
      <c r="AE241" s="19"/>
      <c r="AF241" s="19"/>
      <c r="AG241" s="19"/>
      <c r="AH241" s="19">
        <v>1</v>
      </c>
      <c r="AI241" s="19"/>
      <c r="AJ241" s="19">
        <v>2</v>
      </c>
      <c r="AK241" s="19"/>
      <c r="AL241" s="19"/>
      <c r="AM241" s="19"/>
      <c r="AN241" s="19"/>
      <c r="AO241" s="19"/>
      <c r="AP241" s="19"/>
      <c r="AQ241" s="19">
        <v>1</v>
      </c>
      <c r="AR241" s="19">
        <v>1</v>
      </c>
      <c r="AS241" s="19"/>
      <c r="AT241" s="19"/>
      <c r="AU241" s="19"/>
      <c r="AV241" s="19"/>
      <c r="AW241" s="19">
        <v>1</v>
      </c>
      <c r="AX241" s="19">
        <v>1</v>
      </c>
      <c r="AY241" s="19"/>
      <c r="AZ241" s="19"/>
      <c r="BA241" s="19">
        <v>1</v>
      </c>
      <c r="BB241" s="19">
        <v>1</v>
      </c>
      <c r="BC241" s="19">
        <v>1</v>
      </c>
      <c r="BD241" s="19">
        <v>1</v>
      </c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>
        <v>1</v>
      </c>
      <c r="CG241" s="19">
        <v>1</v>
      </c>
      <c r="CH241" s="19"/>
      <c r="CI241" s="19"/>
      <c r="CJ241" s="19"/>
      <c r="CK241" s="19"/>
      <c r="CL241" s="19"/>
      <c r="CM241" s="19">
        <v>1</v>
      </c>
      <c r="CN241" s="19">
        <v>1</v>
      </c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33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>
        <v>1</v>
      </c>
      <c r="DM241" s="19">
        <v>1</v>
      </c>
      <c r="DN241" s="19"/>
      <c r="DO241" s="19"/>
      <c r="DP241" s="19"/>
      <c r="DQ241" s="19"/>
      <c r="DR241" s="19"/>
      <c r="DS241" s="19"/>
      <c r="DT241" s="19"/>
      <c r="DU241" s="19"/>
      <c r="DV241" s="19"/>
      <c r="DW241" s="19">
        <v>1</v>
      </c>
      <c r="DX241" s="19"/>
      <c r="DY241" s="19"/>
      <c r="DZ241" s="19"/>
      <c r="EA241" s="19"/>
      <c r="EB241" s="19"/>
      <c r="EC241" s="19"/>
      <c r="ED241" s="19"/>
      <c r="EE241" s="19"/>
      <c r="EF241" s="33"/>
      <c r="EG241" s="33"/>
      <c r="EH241" s="33"/>
      <c r="EI241" s="33"/>
      <c r="EJ241" s="33"/>
      <c r="EK241" s="19"/>
      <c r="EL241" s="19"/>
    </row>
    <row r="242" spans="1:142" hidden="1" x14ac:dyDescent="0.25">
      <c r="A242" s="19" t="s">
        <v>223</v>
      </c>
      <c r="B242" s="19"/>
      <c r="C242" s="24">
        <v>1250</v>
      </c>
      <c r="D242" s="19">
        <v>800</v>
      </c>
      <c r="E242" s="19" t="s">
        <v>169</v>
      </c>
      <c r="F242" s="37"/>
      <c r="G242" s="19"/>
      <c r="H242" s="21"/>
      <c r="I242" s="19">
        <f t="shared" si="22"/>
        <v>0</v>
      </c>
      <c r="J242" s="19">
        <f t="shared" si="23"/>
        <v>3</v>
      </c>
      <c r="K242" s="19">
        <f t="shared" si="20"/>
        <v>0</v>
      </c>
      <c r="L242" s="21">
        <f t="shared" si="21"/>
        <v>3</v>
      </c>
      <c r="M242" s="25"/>
      <c r="N242" s="25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33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>
        <v>1</v>
      </c>
      <c r="DU242" s="19">
        <v>1</v>
      </c>
      <c r="DV242" s="19">
        <v>1</v>
      </c>
      <c r="DW242" s="19"/>
      <c r="DX242" s="19"/>
      <c r="DY242" s="19"/>
      <c r="DZ242" s="19"/>
      <c r="EA242" s="19"/>
      <c r="EB242" s="19"/>
      <c r="EC242" s="19"/>
      <c r="ED242" s="19"/>
      <c r="EE242" s="19"/>
      <c r="EF242" s="33"/>
      <c r="EG242" s="33"/>
      <c r="EH242" s="33"/>
      <c r="EI242" s="33"/>
      <c r="EJ242" s="33"/>
      <c r="EK242" s="19"/>
      <c r="EL242" s="19"/>
    </row>
    <row r="243" spans="1:142" hidden="1" x14ac:dyDescent="0.25">
      <c r="A243" s="19" t="s">
        <v>223</v>
      </c>
      <c r="B243" s="19"/>
      <c r="C243" s="24">
        <v>1250</v>
      </c>
      <c r="D243" s="19">
        <v>630</v>
      </c>
      <c r="E243" s="19" t="s">
        <v>169</v>
      </c>
      <c r="F243" s="37"/>
      <c r="G243" s="19"/>
      <c r="H243" s="21"/>
      <c r="I243" s="19">
        <f t="shared" si="22"/>
        <v>4</v>
      </c>
      <c r="J243" s="19">
        <f t="shared" si="23"/>
        <v>7</v>
      </c>
      <c r="K243" s="19">
        <f t="shared" si="20"/>
        <v>0</v>
      </c>
      <c r="L243" s="21">
        <f t="shared" si="21"/>
        <v>11</v>
      </c>
      <c r="M243" s="25"/>
      <c r="N243" s="25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>
        <v>1</v>
      </c>
      <c r="AO243" s="19">
        <v>1</v>
      </c>
      <c r="AP243" s="19"/>
      <c r="AQ243" s="19"/>
      <c r="AR243" s="19"/>
      <c r="AS243" s="19">
        <v>1</v>
      </c>
      <c r="AT243" s="19">
        <v>1</v>
      </c>
      <c r="AU243" s="19"/>
      <c r="AV243" s="19"/>
      <c r="AW243" s="19"/>
      <c r="AX243" s="19"/>
      <c r="AY243" s="19">
        <v>1</v>
      </c>
      <c r="AZ243" s="19">
        <v>1</v>
      </c>
      <c r="BA243" s="19"/>
      <c r="BB243" s="19"/>
      <c r="BC243" s="19"/>
      <c r="BD243" s="19"/>
      <c r="BE243" s="19"/>
      <c r="BF243" s="19"/>
      <c r="BG243" s="19">
        <v>1</v>
      </c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>
        <v>1</v>
      </c>
      <c r="CI243" s="19">
        <v>1</v>
      </c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33"/>
      <c r="CZ243" s="19"/>
      <c r="DA243" s="19"/>
      <c r="DB243" s="19"/>
      <c r="DC243" s="19"/>
      <c r="DD243" s="19"/>
      <c r="DE243" s="19"/>
      <c r="DF243" s="19"/>
      <c r="DG243" s="19"/>
      <c r="DH243" s="19">
        <v>1</v>
      </c>
      <c r="DI243" s="19">
        <v>1</v>
      </c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33"/>
      <c r="EG243" s="33"/>
      <c r="EH243" s="33"/>
      <c r="EI243" s="33"/>
      <c r="EJ243" s="33"/>
      <c r="EK243" s="19"/>
      <c r="EL243" s="19"/>
    </row>
    <row r="244" spans="1:142" hidden="1" x14ac:dyDescent="0.25">
      <c r="A244" s="19" t="s">
        <v>223</v>
      </c>
      <c r="B244" s="19"/>
      <c r="C244" s="24">
        <v>1250</v>
      </c>
      <c r="D244" s="19">
        <v>500</v>
      </c>
      <c r="E244" s="19" t="s">
        <v>169</v>
      </c>
      <c r="F244" s="37"/>
      <c r="G244" s="19"/>
      <c r="H244" s="21"/>
      <c r="I244" s="19">
        <f t="shared" si="22"/>
        <v>0</v>
      </c>
      <c r="J244" s="19">
        <f t="shared" si="23"/>
        <v>2</v>
      </c>
      <c r="K244" s="19">
        <f t="shared" si="20"/>
        <v>0</v>
      </c>
      <c r="L244" s="21">
        <f t="shared" si="21"/>
        <v>2</v>
      </c>
      <c r="M244" s="25"/>
      <c r="N244" s="25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33">
        <v>1</v>
      </c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>
        <v>1</v>
      </c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33"/>
      <c r="EG244" s="33"/>
      <c r="EH244" s="33"/>
      <c r="EI244" s="33"/>
      <c r="EJ244" s="33"/>
      <c r="EK244" s="19"/>
      <c r="EL244" s="19"/>
    </row>
    <row r="245" spans="1:142" hidden="1" x14ac:dyDescent="0.25">
      <c r="A245" s="25" t="s">
        <v>223</v>
      </c>
      <c r="B245" s="25"/>
      <c r="C245" s="27">
        <v>1250</v>
      </c>
      <c r="D245" s="25">
        <v>320</v>
      </c>
      <c r="E245" s="25" t="s">
        <v>169</v>
      </c>
      <c r="F245" s="37"/>
      <c r="G245" s="25"/>
      <c r="H245" s="28"/>
      <c r="I245" s="19">
        <f t="shared" si="22"/>
        <v>0</v>
      </c>
      <c r="J245" s="19">
        <f t="shared" si="23"/>
        <v>1</v>
      </c>
      <c r="K245" s="19">
        <f t="shared" si="20"/>
        <v>0</v>
      </c>
      <c r="L245" s="21">
        <f t="shared" si="21"/>
        <v>1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34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>
        <v>1</v>
      </c>
      <c r="EF245" s="33"/>
      <c r="EG245" s="33"/>
      <c r="EH245" s="33"/>
      <c r="EI245" s="33"/>
      <c r="EJ245" s="33"/>
      <c r="EK245" s="25"/>
      <c r="EL245" s="19"/>
    </row>
    <row r="246" spans="1:142" hidden="1" x14ac:dyDescent="0.25">
      <c r="A246" s="19" t="s">
        <v>223</v>
      </c>
      <c r="B246" s="19"/>
      <c r="C246" s="24" t="s">
        <v>159</v>
      </c>
      <c r="D246" s="19">
        <v>1000</v>
      </c>
      <c r="E246" s="19" t="s">
        <v>169</v>
      </c>
      <c r="F246" s="37"/>
      <c r="G246" s="19"/>
      <c r="H246" s="21"/>
      <c r="I246" s="19">
        <f t="shared" si="22"/>
        <v>1</v>
      </c>
      <c r="J246" s="19">
        <f t="shared" si="23"/>
        <v>0</v>
      </c>
      <c r="K246" s="19">
        <f t="shared" si="20"/>
        <v>0</v>
      </c>
      <c r="L246" s="21">
        <f t="shared" si="21"/>
        <v>1</v>
      </c>
      <c r="M246" s="25"/>
      <c r="N246" s="25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>
        <v>1</v>
      </c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33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33"/>
      <c r="EG246" s="33"/>
      <c r="EH246" s="33"/>
      <c r="EI246" s="33"/>
      <c r="EJ246" s="33"/>
      <c r="EK246" s="19"/>
      <c r="EL246" s="19"/>
    </row>
    <row r="247" spans="1:142" x14ac:dyDescent="0.25">
      <c r="A247" s="19" t="s">
        <v>223</v>
      </c>
      <c r="B247" s="19"/>
      <c r="C247" s="19">
        <v>1000</v>
      </c>
      <c r="D247" s="19">
        <v>800</v>
      </c>
      <c r="E247" s="19" t="s">
        <v>169</v>
      </c>
      <c r="F247" s="37"/>
      <c r="G247" s="19"/>
      <c r="H247" s="21"/>
      <c r="I247" s="19">
        <f t="shared" si="22"/>
        <v>0</v>
      </c>
      <c r="J247" s="19">
        <f t="shared" si="23"/>
        <v>3</v>
      </c>
      <c r="K247" s="19">
        <f t="shared" si="20"/>
        <v>0</v>
      </c>
      <c r="L247" s="21">
        <f t="shared" si="21"/>
        <v>3</v>
      </c>
      <c r="M247" s="25"/>
      <c r="N247" s="25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>
        <v>1</v>
      </c>
      <c r="BF247" s="19">
        <v>1</v>
      </c>
      <c r="BG247" s="19"/>
      <c r="BH247" s="19">
        <v>1</v>
      </c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33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33"/>
      <c r="EG247" s="33"/>
      <c r="EH247" s="33"/>
      <c r="EI247" s="33"/>
      <c r="EJ247" s="33"/>
      <c r="EK247" s="19"/>
      <c r="EL247" s="19"/>
    </row>
    <row r="248" spans="1:142" x14ac:dyDescent="0.25">
      <c r="A248" s="19" t="s">
        <v>223</v>
      </c>
      <c r="B248" s="19"/>
      <c r="C248" s="19">
        <v>1000</v>
      </c>
      <c r="D248" s="19">
        <v>630</v>
      </c>
      <c r="E248" s="19" t="s">
        <v>169</v>
      </c>
      <c r="F248" s="37"/>
      <c r="G248" s="19"/>
      <c r="H248" s="21"/>
      <c r="I248" s="19">
        <f t="shared" si="22"/>
        <v>0</v>
      </c>
      <c r="J248" s="19">
        <f t="shared" si="23"/>
        <v>2</v>
      </c>
      <c r="K248" s="19">
        <f t="shared" si="20"/>
        <v>1</v>
      </c>
      <c r="L248" s="21">
        <f t="shared" si="21"/>
        <v>3</v>
      </c>
      <c r="M248" s="25"/>
      <c r="N248" s="25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>
        <v>1</v>
      </c>
      <c r="CB248" s="19">
        <v>1</v>
      </c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33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33"/>
      <c r="EG248" s="33"/>
      <c r="EH248" s="33">
        <v>1</v>
      </c>
      <c r="EI248" s="33"/>
      <c r="EJ248" s="33"/>
      <c r="EK248" s="19"/>
      <c r="EL248" s="19"/>
    </row>
    <row r="249" spans="1:142" x14ac:dyDescent="0.25">
      <c r="A249" s="19" t="s">
        <v>223</v>
      </c>
      <c r="B249" s="19"/>
      <c r="C249" s="19">
        <v>1000</v>
      </c>
      <c r="D249" s="19">
        <v>550</v>
      </c>
      <c r="E249" s="19" t="s">
        <v>169</v>
      </c>
      <c r="F249" s="37"/>
      <c r="G249" s="19"/>
      <c r="H249" s="21"/>
      <c r="I249" s="19">
        <f t="shared" si="22"/>
        <v>0</v>
      </c>
      <c r="J249" s="19">
        <f t="shared" si="23"/>
        <v>1</v>
      </c>
      <c r="K249" s="19">
        <f t="shared" si="20"/>
        <v>0</v>
      </c>
      <c r="L249" s="21">
        <f t="shared" si="21"/>
        <v>1</v>
      </c>
      <c r="M249" s="25"/>
      <c r="N249" s="25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33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>
        <v>1</v>
      </c>
      <c r="EE249" s="19"/>
      <c r="EF249" s="33"/>
      <c r="EG249" s="33"/>
      <c r="EH249" s="33"/>
      <c r="EI249" s="33"/>
      <c r="EJ249" s="33"/>
      <c r="EK249" s="19"/>
      <c r="EL249" s="19"/>
    </row>
    <row r="250" spans="1:142" x14ac:dyDescent="0.25">
      <c r="A250" s="19" t="s">
        <v>223</v>
      </c>
      <c r="B250" s="19"/>
      <c r="C250" s="19">
        <v>1000</v>
      </c>
      <c r="D250" s="19">
        <v>500</v>
      </c>
      <c r="E250" s="19" t="s">
        <v>169</v>
      </c>
      <c r="F250" s="37"/>
      <c r="G250" s="19"/>
      <c r="H250" s="21"/>
      <c r="I250" s="19">
        <f t="shared" si="22"/>
        <v>5</v>
      </c>
      <c r="J250" s="19">
        <f t="shared" si="23"/>
        <v>5</v>
      </c>
      <c r="K250" s="19">
        <f t="shared" si="20"/>
        <v>0</v>
      </c>
      <c r="L250" s="21">
        <f t="shared" si="21"/>
        <v>10</v>
      </c>
      <c r="M250" s="25"/>
      <c r="N250" s="25"/>
      <c r="O250" s="19">
        <v>1</v>
      </c>
      <c r="P250" s="19">
        <v>1</v>
      </c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>
        <v>1</v>
      </c>
      <c r="AJ250" s="19"/>
      <c r="AK250" s="19"/>
      <c r="AL250" s="25">
        <v>1</v>
      </c>
      <c r="AM250" s="25">
        <v>1</v>
      </c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>
        <v>1</v>
      </c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>
        <v>1</v>
      </c>
      <c r="CW250" s="19">
        <v>1</v>
      </c>
      <c r="CX250" s="19"/>
      <c r="CY250" s="33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>
        <v>1</v>
      </c>
      <c r="DO250" s="19"/>
      <c r="DP250" s="19"/>
      <c r="DQ250" s="19"/>
      <c r="DR250" s="19"/>
      <c r="DS250" s="19">
        <v>1</v>
      </c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33"/>
      <c r="EG250" s="33"/>
      <c r="EH250" s="33"/>
      <c r="EI250" s="33"/>
      <c r="EJ250" s="33"/>
      <c r="EK250" s="19"/>
      <c r="EL250" s="19"/>
    </row>
    <row r="251" spans="1:142" x14ac:dyDescent="0.25">
      <c r="A251" s="19" t="s">
        <v>223</v>
      </c>
      <c r="B251" s="19"/>
      <c r="C251" s="19">
        <v>1000</v>
      </c>
      <c r="D251" s="19">
        <v>400</v>
      </c>
      <c r="E251" s="19" t="s">
        <v>169</v>
      </c>
      <c r="F251" s="37"/>
      <c r="G251" s="19"/>
      <c r="H251" s="21"/>
      <c r="I251" s="19">
        <f t="shared" si="22"/>
        <v>0</v>
      </c>
      <c r="J251" s="19">
        <f t="shared" si="23"/>
        <v>2</v>
      </c>
      <c r="K251" s="19">
        <f t="shared" si="20"/>
        <v>0</v>
      </c>
      <c r="L251" s="21">
        <f t="shared" si="21"/>
        <v>2</v>
      </c>
      <c r="M251" s="25"/>
      <c r="N251" s="25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25"/>
      <c r="AM251" s="25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>
        <v>1</v>
      </c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>
        <v>1</v>
      </c>
      <c r="CV251" s="19"/>
      <c r="CW251" s="19"/>
      <c r="CX251" s="19"/>
      <c r="CY251" s="33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33"/>
      <c r="EG251" s="33"/>
      <c r="EH251" s="33"/>
      <c r="EI251" s="33"/>
      <c r="EJ251" s="33"/>
      <c r="EK251" s="19"/>
      <c r="EL251" s="19"/>
    </row>
    <row r="252" spans="1:142" hidden="1" x14ac:dyDescent="0.25">
      <c r="A252" s="19" t="s">
        <v>223</v>
      </c>
      <c r="B252" s="19"/>
      <c r="C252" s="19">
        <v>800</v>
      </c>
      <c r="D252" s="19">
        <v>800</v>
      </c>
      <c r="E252" s="19" t="s">
        <v>169</v>
      </c>
      <c r="F252" s="37"/>
      <c r="G252" s="19"/>
      <c r="H252" s="21"/>
      <c r="I252" s="19">
        <f t="shared" si="22"/>
        <v>0</v>
      </c>
      <c r="J252" s="19">
        <f t="shared" si="23"/>
        <v>2</v>
      </c>
      <c r="K252" s="19">
        <f t="shared" si="20"/>
        <v>0</v>
      </c>
      <c r="L252" s="21">
        <f t="shared" si="21"/>
        <v>2</v>
      </c>
      <c r="M252" s="25"/>
      <c r="N252" s="25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25"/>
      <c r="AM252" s="25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>
        <v>1</v>
      </c>
      <c r="CT252" s="19">
        <v>1</v>
      </c>
      <c r="CU252" s="19"/>
      <c r="CV252" s="19"/>
      <c r="CW252" s="19"/>
      <c r="CX252" s="19"/>
      <c r="CY252" s="33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33"/>
      <c r="EG252" s="33"/>
      <c r="EH252" s="33"/>
      <c r="EI252" s="33"/>
      <c r="EJ252" s="33"/>
      <c r="EK252" s="19"/>
      <c r="EL252" s="19"/>
    </row>
    <row r="253" spans="1:142" hidden="1" x14ac:dyDescent="0.25">
      <c r="A253" s="19" t="s">
        <v>223</v>
      </c>
      <c r="B253" s="19"/>
      <c r="C253" s="19">
        <v>800</v>
      </c>
      <c r="D253" s="19">
        <v>500</v>
      </c>
      <c r="E253" s="19" t="s">
        <v>169</v>
      </c>
      <c r="F253" s="37"/>
      <c r="G253" s="19"/>
      <c r="H253" s="21"/>
      <c r="I253" s="19">
        <f t="shared" si="22"/>
        <v>2</v>
      </c>
      <c r="J253" s="19">
        <f t="shared" si="23"/>
        <v>8</v>
      </c>
      <c r="K253" s="19">
        <f t="shared" si="20"/>
        <v>3</v>
      </c>
      <c r="L253" s="21">
        <f t="shared" si="21"/>
        <v>13</v>
      </c>
      <c r="M253" s="19">
        <v>1</v>
      </c>
      <c r="N253" s="19"/>
      <c r="O253" s="19"/>
      <c r="P253" s="19"/>
      <c r="Q253" s="19"/>
      <c r="R253" s="19"/>
      <c r="S253" s="19">
        <v>1</v>
      </c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>
        <v>1</v>
      </c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33"/>
      <c r="CZ253" s="19"/>
      <c r="DA253" s="19"/>
      <c r="DB253" s="19"/>
      <c r="DC253" s="19">
        <v>1</v>
      </c>
      <c r="DD253" s="19"/>
      <c r="DE253" s="19">
        <v>1</v>
      </c>
      <c r="DF253" s="19">
        <v>1</v>
      </c>
      <c r="DG253" s="19"/>
      <c r="DH253" s="19"/>
      <c r="DI253" s="19"/>
      <c r="DJ253" s="19"/>
      <c r="DK253" s="19">
        <v>1</v>
      </c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>
        <v>1</v>
      </c>
      <c r="DZ253" s="19">
        <v>1</v>
      </c>
      <c r="EA253" s="19">
        <v>1</v>
      </c>
      <c r="EB253" s="19"/>
      <c r="EC253" s="19"/>
      <c r="ED253" s="19"/>
      <c r="EE253" s="19"/>
      <c r="EF253" s="33">
        <v>2</v>
      </c>
      <c r="EG253" s="33">
        <v>1</v>
      </c>
      <c r="EH253" s="33"/>
      <c r="EI253" s="33"/>
      <c r="EJ253" s="33"/>
      <c r="EK253" s="19"/>
      <c r="EL253" s="19"/>
    </row>
    <row r="254" spans="1:142" hidden="1" x14ac:dyDescent="0.25">
      <c r="A254" s="19" t="s">
        <v>223</v>
      </c>
      <c r="B254" s="19"/>
      <c r="C254" s="19">
        <v>800</v>
      </c>
      <c r="D254" s="19">
        <v>400</v>
      </c>
      <c r="E254" s="19" t="s">
        <v>169</v>
      </c>
      <c r="F254" s="37"/>
      <c r="G254" s="19"/>
      <c r="H254" s="21"/>
      <c r="I254" s="19">
        <f t="shared" si="22"/>
        <v>0</v>
      </c>
      <c r="J254" s="19">
        <f t="shared" si="23"/>
        <v>10</v>
      </c>
      <c r="K254" s="19">
        <f t="shared" si="20"/>
        <v>0</v>
      </c>
      <c r="L254" s="21">
        <f t="shared" si="21"/>
        <v>10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>
        <v>1</v>
      </c>
      <c r="BO254" s="19"/>
      <c r="BP254" s="19">
        <v>1</v>
      </c>
      <c r="BQ254" s="19"/>
      <c r="BR254" s="19">
        <v>1</v>
      </c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>
        <v>1</v>
      </c>
      <c r="CM254" s="19"/>
      <c r="CN254" s="19"/>
      <c r="CO254" s="19">
        <v>1</v>
      </c>
      <c r="CP254" s="19">
        <v>1</v>
      </c>
      <c r="CQ254" s="19"/>
      <c r="CR254" s="19"/>
      <c r="CS254" s="19"/>
      <c r="CT254" s="19"/>
      <c r="CU254" s="19"/>
      <c r="CV254" s="19"/>
      <c r="CW254" s="19"/>
      <c r="CX254" s="19">
        <v>1</v>
      </c>
      <c r="CY254" s="33"/>
      <c r="CZ254" s="19"/>
      <c r="DA254" s="19"/>
      <c r="DB254" s="19"/>
      <c r="DC254" s="19"/>
      <c r="DD254" s="19"/>
      <c r="DE254" s="19"/>
      <c r="DF254" s="19"/>
      <c r="DG254" s="19">
        <v>1</v>
      </c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>
        <v>1</v>
      </c>
      <c r="EC254" s="19">
        <v>1</v>
      </c>
      <c r="ED254" s="19"/>
      <c r="EE254" s="19"/>
      <c r="EF254" s="33"/>
      <c r="EG254" s="33"/>
      <c r="EH254" s="33"/>
      <c r="EI254" s="33"/>
      <c r="EJ254" s="33"/>
      <c r="EK254" s="19"/>
      <c r="EL254" s="19"/>
    </row>
    <row r="255" spans="1:142" hidden="1" x14ac:dyDescent="0.25">
      <c r="A255" s="19" t="s">
        <v>223</v>
      </c>
      <c r="B255" s="19"/>
      <c r="C255" s="19">
        <v>800</v>
      </c>
      <c r="D255" s="19">
        <v>250</v>
      </c>
      <c r="E255" s="19" t="s">
        <v>169</v>
      </c>
      <c r="F255" s="37"/>
      <c r="G255" s="19"/>
      <c r="H255" s="21"/>
      <c r="I255" s="19">
        <f t="shared" si="22"/>
        <v>0</v>
      </c>
      <c r="J255" s="19">
        <f t="shared" si="23"/>
        <v>2</v>
      </c>
      <c r="K255" s="19">
        <f t="shared" si="20"/>
        <v>0</v>
      </c>
      <c r="L255" s="21">
        <f t="shared" si="21"/>
        <v>2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>
        <v>1</v>
      </c>
      <c r="BZ255" s="19">
        <v>1</v>
      </c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33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33"/>
      <c r="EG255" s="33"/>
      <c r="EH255" s="33"/>
      <c r="EI255" s="33"/>
      <c r="EJ255" s="33"/>
      <c r="EK255" s="19"/>
      <c r="EL255" s="19"/>
    </row>
    <row r="256" spans="1:142" hidden="1" x14ac:dyDescent="0.25">
      <c r="A256" s="19" t="s">
        <v>223</v>
      </c>
      <c r="B256" s="19"/>
      <c r="C256" s="19">
        <v>630</v>
      </c>
      <c r="D256" s="19">
        <v>630</v>
      </c>
      <c r="E256" s="19" t="s">
        <v>169</v>
      </c>
      <c r="F256" s="37"/>
      <c r="G256" s="19"/>
      <c r="H256" s="21"/>
      <c r="I256" s="19">
        <f t="shared" si="22"/>
        <v>0</v>
      </c>
      <c r="J256" s="19">
        <f t="shared" si="23"/>
        <v>2</v>
      </c>
      <c r="K256" s="19">
        <f t="shared" si="20"/>
        <v>0</v>
      </c>
      <c r="L256" s="21">
        <f t="shared" si="21"/>
        <v>2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33"/>
      <c r="CZ256" s="19"/>
      <c r="DA256" s="19"/>
      <c r="DB256" s="19">
        <v>1</v>
      </c>
      <c r="DC256" s="19"/>
      <c r="DD256" s="19">
        <v>1</v>
      </c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33"/>
      <c r="EG256" s="33"/>
      <c r="EH256" s="33"/>
      <c r="EI256" s="33"/>
      <c r="EJ256" s="33"/>
      <c r="EK256" s="19"/>
      <c r="EL256" s="19"/>
    </row>
    <row r="257" spans="1:142" hidden="1" x14ac:dyDescent="0.25">
      <c r="A257" s="19" t="s">
        <v>223</v>
      </c>
      <c r="B257" s="19"/>
      <c r="C257" s="19">
        <v>630</v>
      </c>
      <c r="D257" s="19">
        <v>320</v>
      </c>
      <c r="E257" s="19" t="s">
        <v>169</v>
      </c>
      <c r="F257" s="37"/>
      <c r="G257" s="19"/>
      <c r="H257" s="21"/>
      <c r="I257" s="19">
        <f t="shared" si="22"/>
        <v>2</v>
      </c>
      <c r="J257" s="19">
        <f t="shared" si="23"/>
        <v>2</v>
      </c>
      <c r="K257" s="19">
        <f t="shared" si="20"/>
        <v>0</v>
      </c>
      <c r="L257" s="21">
        <f t="shared" si="21"/>
        <v>4</v>
      </c>
      <c r="M257" s="19"/>
      <c r="N257" s="19"/>
      <c r="O257" s="19"/>
      <c r="P257" s="19"/>
      <c r="Q257" s="19">
        <v>1</v>
      </c>
      <c r="R257" s="19">
        <v>1</v>
      </c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>
        <v>1</v>
      </c>
      <c r="BJ257" s="19"/>
      <c r="BK257" s="19"/>
      <c r="BL257" s="19">
        <v>1</v>
      </c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33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33"/>
      <c r="EG257" s="33"/>
      <c r="EH257" s="33"/>
      <c r="EI257" s="33"/>
      <c r="EJ257" s="33"/>
      <c r="EK257" s="19"/>
      <c r="EL257" s="19"/>
    </row>
    <row r="258" spans="1:142" hidden="1" x14ac:dyDescent="0.25">
      <c r="A258" s="19" t="s">
        <v>223</v>
      </c>
      <c r="B258" s="19"/>
      <c r="C258" s="19">
        <v>600</v>
      </c>
      <c r="D258" s="19">
        <v>320</v>
      </c>
      <c r="E258" s="19" t="s">
        <v>169</v>
      </c>
      <c r="F258" s="37"/>
      <c r="G258" s="19"/>
      <c r="H258" s="21"/>
      <c r="I258" s="19">
        <f t="shared" si="22"/>
        <v>0</v>
      </c>
      <c r="J258" s="19">
        <f t="shared" si="23"/>
        <v>1</v>
      </c>
      <c r="K258" s="19">
        <f t="shared" si="20"/>
        <v>0</v>
      </c>
      <c r="L258" s="21">
        <f t="shared" si="21"/>
        <v>1</v>
      </c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>
        <v>1</v>
      </c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33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33"/>
      <c r="EG258" s="33"/>
      <c r="EH258" s="33"/>
      <c r="EI258" s="33"/>
      <c r="EJ258" s="33"/>
      <c r="EK258" s="19"/>
      <c r="EL258" s="19"/>
    </row>
    <row r="259" spans="1:142" hidden="1" x14ac:dyDescent="0.25">
      <c r="A259" s="19" t="s">
        <v>223</v>
      </c>
      <c r="B259" s="19"/>
      <c r="C259" s="19">
        <v>500</v>
      </c>
      <c r="D259" s="19">
        <v>320</v>
      </c>
      <c r="E259" s="19" t="s">
        <v>169</v>
      </c>
      <c r="F259" s="37"/>
      <c r="G259" s="19"/>
      <c r="H259" s="21"/>
      <c r="I259" s="19">
        <f t="shared" si="22"/>
        <v>0</v>
      </c>
      <c r="J259" s="19">
        <f t="shared" si="23"/>
        <v>4</v>
      </c>
      <c r="K259" s="19">
        <f t="shared" si="20"/>
        <v>0</v>
      </c>
      <c r="L259" s="21">
        <f t="shared" si="21"/>
        <v>4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>
        <v>1</v>
      </c>
      <c r="BN259" s="19"/>
      <c r="BO259" s="19">
        <v>1</v>
      </c>
      <c r="BP259" s="19"/>
      <c r="BQ259" s="19">
        <v>1</v>
      </c>
      <c r="BR259" s="19"/>
      <c r="BS259" s="19">
        <v>1</v>
      </c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33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33"/>
      <c r="EG259" s="33"/>
      <c r="EH259" s="33"/>
      <c r="EI259" s="33"/>
      <c r="EJ259" s="33"/>
      <c r="EK259" s="19"/>
      <c r="EL259" s="19"/>
    </row>
    <row r="260" spans="1:142" hidden="1" x14ac:dyDescent="0.25">
      <c r="A260" s="19" t="s">
        <v>223</v>
      </c>
      <c r="B260" s="19"/>
      <c r="C260" s="19">
        <v>400</v>
      </c>
      <c r="D260" s="19">
        <v>250</v>
      </c>
      <c r="E260" s="19" t="s">
        <v>169</v>
      </c>
      <c r="F260" s="37"/>
      <c r="G260" s="19"/>
      <c r="H260" s="21"/>
      <c r="I260" s="19">
        <f t="shared" si="22"/>
        <v>0</v>
      </c>
      <c r="J260" s="19">
        <f t="shared" si="23"/>
        <v>5</v>
      </c>
      <c r="K260" s="19">
        <f t="shared" si="20"/>
        <v>0</v>
      </c>
      <c r="L260" s="21">
        <f t="shared" si="21"/>
        <v>5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>
        <v>1</v>
      </c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>
        <v>2</v>
      </c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33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>
        <v>2</v>
      </c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33"/>
      <c r="EG260" s="33"/>
      <c r="EH260" s="33"/>
      <c r="EI260" s="33"/>
      <c r="EJ260" s="33"/>
      <c r="EK260" s="19"/>
      <c r="EL260" s="19"/>
    </row>
    <row r="261" spans="1:142" hidden="1" x14ac:dyDescent="0.25">
      <c r="A261" s="19" t="s">
        <v>223</v>
      </c>
      <c r="B261" s="19"/>
      <c r="C261" s="19">
        <v>320</v>
      </c>
      <c r="D261" s="19">
        <v>120</v>
      </c>
      <c r="E261" s="19" t="s">
        <v>169</v>
      </c>
      <c r="F261" s="38"/>
      <c r="G261" s="19"/>
      <c r="H261" s="21"/>
      <c r="I261" s="19">
        <f t="shared" si="22"/>
        <v>0</v>
      </c>
      <c r="J261" s="19">
        <f t="shared" si="23"/>
        <v>1</v>
      </c>
      <c r="K261" s="19">
        <f t="shared" ref="K261:K318" si="24">SUM(EF261:EM261)</f>
        <v>0</v>
      </c>
      <c r="L261" s="21">
        <f t="shared" ref="L261:L318" si="25">SUM(M261:EM261)</f>
        <v>1</v>
      </c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>
        <v>1</v>
      </c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33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33"/>
      <c r="EG261" s="33"/>
      <c r="EH261" s="33"/>
      <c r="EI261" s="33"/>
      <c r="EJ261" s="33"/>
      <c r="EK261" s="19"/>
      <c r="EL261" s="19"/>
    </row>
    <row r="262" spans="1:142" x14ac:dyDescent="0.25">
      <c r="A262" s="19" t="s">
        <v>224</v>
      </c>
      <c r="B262" s="19"/>
      <c r="C262" s="24">
        <v>1000</v>
      </c>
      <c r="D262" s="19">
        <v>250</v>
      </c>
      <c r="E262" s="19" t="s">
        <v>169</v>
      </c>
      <c r="F262" s="36"/>
      <c r="G262" s="19"/>
      <c r="H262" s="21"/>
      <c r="I262" s="19">
        <f t="shared" ref="I262:I318" si="26">SUM(M262:AV262)</f>
        <v>1</v>
      </c>
      <c r="J262" s="19">
        <f t="shared" si="23"/>
        <v>0</v>
      </c>
      <c r="K262" s="19">
        <f t="shared" si="24"/>
        <v>0</v>
      </c>
      <c r="L262" s="21">
        <f t="shared" si="25"/>
        <v>1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>
        <v>1</v>
      </c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33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33"/>
      <c r="EG262" s="33"/>
      <c r="EH262" s="33"/>
      <c r="EI262" s="33"/>
      <c r="EJ262" s="33"/>
      <c r="EK262" s="19"/>
      <c r="EL262" s="19"/>
    </row>
    <row r="263" spans="1:142" hidden="1" x14ac:dyDescent="0.25">
      <c r="A263" s="19" t="s">
        <v>224</v>
      </c>
      <c r="B263" s="19"/>
      <c r="C263" s="24" t="s">
        <v>159</v>
      </c>
      <c r="D263" s="19">
        <v>500</v>
      </c>
      <c r="E263" s="19" t="s">
        <v>169</v>
      </c>
      <c r="F263" s="37"/>
      <c r="G263" s="19"/>
      <c r="H263" s="21"/>
      <c r="I263" s="19">
        <f t="shared" si="26"/>
        <v>2</v>
      </c>
      <c r="J263" s="19">
        <f t="shared" si="23"/>
        <v>0</v>
      </c>
      <c r="K263" s="19">
        <f t="shared" si="24"/>
        <v>0</v>
      </c>
      <c r="L263" s="21">
        <f t="shared" si="25"/>
        <v>2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>
        <v>1</v>
      </c>
      <c r="AC263" s="19"/>
      <c r="AD263" s="19"/>
      <c r="AE263" s="19"/>
      <c r="AF263" s="19"/>
      <c r="AG263" s="19"/>
      <c r="AH263" s="19"/>
      <c r="AI263" s="19"/>
      <c r="AJ263" s="19"/>
      <c r="AK263" s="19">
        <v>1</v>
      </c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33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33"/>
      <c r="EG263" s="33"/>
      <c r="EH263" s="33"/>
      <c r="EI263" s="33"/>
      <c r="EJ263" s="33"/>
      <c r="EK263" s="19"/>
      <c r="EL263" s="19"/>
    </row>
    <row r="264" spans="1:142" hidden="1" x14ac:dyDescent="0.25">
      <c r="A264" s="19" t="s">
        <v>224</v>
      </c>
      <c r="B264" s="19"/>
      <c r="C264" s="24" t="s">
        <v>159</v>
      </c>
      <c r="D264" s="19">
        <v>400</v>
      </c>
      <c r="E264" s="19" t="s">
        <v>169</v>
      </c>
      <c r="F264" s="37"/>
      <c r="G264" s="19"/>
      <c r="H264" s="21"/>
      <c r="I264" s="19">
        <f t="shared" si="26"/>
        <v>1</v>
      </c>
      <c r="J264" s="19">
        <f t="shared" si="23"/>
        <v>0</v>
      </c>
      <c r="K264" s="19">
        <f t="shared" si="24"/>
        <v>0</v>
      </c>
      <c r="L264" s="21">
        <f t="shared" si="25"/>
        <v>1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>
        <v>1</v>
      </c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33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33"/>
      <c r="EG264" s="33"/>
      <c r="EH264" s="33"/>
      <c r="EI264" s="33"/>
      <c r="EJ264" s="33"/>
      <c r="EK264" s="19"/>
      <c r="EL264" s="19"/>
    </row>
    <row r="265" spans="1:142" hidden="1" x14ac:dyDescent="0.25">
      <c r="A265" s="19" t="s">
        <v>224</v>
      </c>
      <c r="B265" s="19"/>
      <c r="C265" s="19">
        <v>320</v>
      </c>
      <c r="D265" s="19">
        <v>320</v>
      </c>
      <c r="E265" s="19" t="s">
        <v>169</v>
      </c>
      <c r="F265" s="37"/>
      <c r="G265" s="19"/>
      <c r="H265" s="21"/>
      <c r="I265" s="19">
        <f t="shared" si="26"/>
        <v>1</v>
      </c>
      <c r="J265" s="19">
        <f t="shared" si="23"/>
        <v>0</v>
      </c>
      <c r="K265" s="19">
        <f t="shared" si="24"/>
        <v>0</v>
      </c>
      <c r="L265" s="21">
        <f t="shared" si="25"/>
        <v>1</v>
      </c>
      <c r="M265" s="19"/>
      <c r="N265" s="19"/>
      <c r="O265" s="19">
        <v>1</v>
      </c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33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33"/>
      <c r="EG265" s="33"/>
      <c r="EH265" s="33"/>
      <c r="EI265" s="33"/>
      <c r="EJ265" s="33"/>
      <c r="EK265" s="19"/>
      <c r="EL265" s="19"/>
    </row>
    <row r="266" spans="1:142" hidden="1" x14ac:dyDescent="0.25">
      <c r="A266" s="19" t="s">
        <v>224</v>
      </c>
      <c r="B266" s="19"/>
      <c r="C266" s="19">
        <v>320</v>
      </c>
      <c r="D266" s="19">
        <v>250</v>
      </c>
      <c r="E266" s="19" t="s">
        <v>169</v>
      </c>
      <c r="F266" s="37"/>
      <c r="G266" s="19"/>
      <c r="H266" s="21"/>
      <c r="I266" s="19">
        <f t="shared" si="26"/>
        <v>0</v>
      </c>
      <c r="J266" s="19">
        <f t="shared" si="23"/>
        <v>1</v>
      </c>
      <c r="K266" s="19">
        <f t="shared" si="24"/>
        <v>0</v>
      </c>
      <c r="L266" s="21">
        <f t="shared" si="25"/>
        <v>1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>
        <v>1</v>
      </c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33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33"/>
      <c r="EG266" s="33"/>
      <c r="EH266" s="33"/>
      <c r="EI266" s="33"/>
      <c r="EJ266" s="33"/>
      <c r="EK266" s="19"/>
      <c r="EL266" s="19"/>
    </row>
    <row r="267" spans="1:142" hidden="1" x14ac:dyDescent="0.25">
      <c r="A267" s="19" t="s">
        <v>224</v>
      </c>
      <c r="B267" s="19"/>
      <c r="C267" s="24" t="s">
        <v>159</v>
      </c>
      <c r="D267" s="19">
        <v>200</v>
      </c>
      <c r="E267" s="19" t="s">
        <v>169</v>
      </c>
      <c r="F267" s="38"/>
      <c r="G267" s="19"/>
      <c r="H267" s="21"/>
      <c r="I267" s="19">
        <f t="shared" si="26"/>
        <v>19</v>
      </c>
      <c r="J267" s="19">
        <f t="shared" si="23"/>
        <v>0</v>
      </c>
      <c r="K267" s="19">
        <f t="shared" si="24"/>
        <v>0</v>
      </c>
      <c r="L267" s="21">
        <f t="shared" si="25"/>
        <v>19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>
        <f>1*5</f>
        <v>5</v>
      </c>
      <c r="W267" s="19"/>
      <c r="X267" s="19"/>
      <c r="Y267" s="19"/>
      <c r="Z267" s="19"/>
      <c r="AA267" s="19"/>
      <c r="AB267" s="19">
        <v>7</v>
      </c>
      <c r="AC267" s="19"/>
      <c r="AD267" s="19"/>
      <c r="AE267" s="19"/>
      <c r="AF267" s="19"/>
      <c r="AG267" s="19"/>
      <c r="AH267" s="19"/>
      <c r="AI267" s="19"/>
      <c r="AJ267" s="19"/>
      <c r="AK267" s="19">
        <v>7</v>
      </c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33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33"/>
      <c r="EG267" s="33"/>
      <c r="EH267" s="33"/>
      <c r="EI267" s="33"/>
      <c r="EJ267" s="33"/>
      <c r="EK267" s="19"/>
      <c r="EL267" s="19"/>
    </row>
    <row r="268" spans="1:142" hidden="1" x14ac:dyDescent="0.25">
      <c r="A268" s="25" t="s">
        <v>225</v>
      </c>
      <c r="B268" s="25"/>
      <c r="C268" s="24">
        <v>1250</v>
      </c>
      <c r="D268" s="19">
        <v>500</v>
      </c>
      <c r="E268" s="19" t="s">
        <v>169</v>
      </c>
      <c r="F268" s="36"/>
      <c r="G268" s="19"/>
      <c r="H268" s="21"/>
      <c r="I268" s="19">
        <f t="shared" si="26"/>
        <v>0</v>
      </c>
      <c r="J268" s="19">
        <f t="shared" si="23"/>
        <v>2</v>
      </c>
      <c r="K268" s="19">
        <f t="shared" si="24"/>
        <v>0</v>
      </c>
      <c r="L268" s="21">
        <f t="shared" si="25"/>
        <v>2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33">
        <v>2</v>
      </c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33"/>
      <c r="EG268" s="33"/>
      <c r="EH268" s="33"/>
      <c r="EI268" s="33"/>
      <c r="EJ268" s="33"/>
      <c r="EK268" s="19"/>
      <c r="EL268" s="19"/>
    </row>
    <row r="269" spans="1:142" x14ac:dyDescent="0.25">
      <c r="A269" s="25" t="s">
        <v>225</v>
      </c>
      <c r="B269" s="25"/>
      <c r="C269" s="24">
        <v>1000</v>
      </c>
      <c r="D269" s="19">
        <v>500</v>
      </c>
      <c r="E269" s="19" t="s">
        <v>169</v>
      </c>
      <c r="F269" s="37"/>
      <c r="G269" s="19"/>
      <c r="H269" s="21"/>
      <c r="I269" s="19">
        <f t="shared" si="26"/>
        <v>0</v>
      </c>
      <c r="J269" s="19">
        <f t="shared" si="23"/>
        <v>3</v>
      </c>
      <c r="K269" s="19">
        <f t="shared" si="24"/>
        <v>0</v>
      </c>
      <c r="L269" s="21">
        <f t="shared" si="25"/>
        <v>3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25">
        <v>1</v>
      </c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>
        <v>1</v>
      </c>
      <c r="CW269" s="19">
        <v>1</v>
      </c>
      <c r="CX269" s="19"/>
      <c r="CY269" s="33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33"/>
      <c r="EG269" s="33"/>
      <c r="EH269" s="33"/>
      <c r="EI269" s="33"/>
      <c r="EJ269" s="33"/>
      <c r="EK269" s="19"/>
      <c r="EL269" s="19"/>
    </row>
    <row r="270" spans="1:142" x14ac:dyDescent="0.25">
      <c r="A270" s="25" t="s">
        <v>225</v>
      </c>
      <c r="B270" s="25"/>
      <c r="C270" s="24">
        <v>1000</v>
      </c>
      <c r="D270" s="19">
        <v>800</v>
      </c>
      <c r="E270" s="19" t="s">
        <v>169</v>
      </c>
      <c r="F270" s="37"/>
      <c r="G270" s="19"/>
      <c r="H270" s="21"/>
      <c r="I270" s="19">
        <f t="shared" si="26"/>
        <v>0</v>
      </c>
      <c r="J270" s="19">
        <f t="shared" si="23"/>
        <v>2</v>
      </c>
      <c r="K270" s="19">
        <f t="shared" si="24"/>
        <v>0</v>
      </c>
      <c r="L270" s="21">
        <f t="shared" si="25"/>
        <v>2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25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>
        <v>2</v>
      </c>
      <c r="CV270" s="19"/>
      <c r="CW270" s="19"/>
      <c r="CX270" s="19"/>
      <c r="CY270" s="33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33"/>
      <c r="EG270" s="33"/>
      <c r="EH270" s="33"/>
      <c r="EI270" s="33"/>
      <c r="EJ270" s="33"/>
      <c r="EK270" s="19"/>
      <c r="EL270" s="19"/>
    </row>
    <row r="271" spans="1:142" hidden="1" x14ac:dyDescent="0.25">
      <c r="A271" s="25" t="s">
        <v>225</v>
      </c>
      <c r="B271" s="25"/>
      <c r="C271" s="24">
        <v>800</v>
      </c>
      <c r="D271" s="19">
        <v>1000</v>
      </c>
      <c r="E271" s="19" t="s">
        <v>169</v>
      </c>
      <c r="F271" s="37"/>
      <c r="G271" s="19"/>
      <c r="H271" s="21"/>
      <c r="I271" s="19">
        <f t="shared" si="26"/>
        <v>0</v>
      </c>
      <c r="J271" s="19">
        <f t="shared" si="23"/>
        <v>1</v>
      </c>
      <c r="K271" s="19">
        <f t="shared" si="24"/>
        <v>0</v>
      </c>
      <c r="L271" s="21">
        <f t="shared" si="25"/>
        <v>1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>
        <v>1</v>
      </c>
      <c r="CK271" s="25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33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33"/>
      <c r="EG271" s="33"/>
      <c r="EH271" s="33"/>
      <c r="EI271" s="33"/>
      <c r="EJ271" s="33"/>
      <c r="EK271" s="19"/>
      <c r="EL271" s="19"/>
    </row>
    <row r="272" spans="1:142" hidden="1" x14ac:dyDescent="0.25">
      <c r="A272" s="25" t="s">
        <v>225</v>
      </c>
      <c r="B272" s="25"/>
      <c r="C272" s="24">
        <v>800</v>
      </c>
      <c r="D272" s="19">
        <v>500</v>
      </c>
      <c r="E272" s="19" t="s">
        <v>169</v>
      </c>
      <c r="F272" s="37"/>
      <c r="G272" s="19"/>
      <c r="H272" s="21"/>
      <c r="I272" s="19">
        <f t="shared" si="26"/>
        <v>0</v>
      </c>
      <c r="J272" s="19">
        <f t="shared" si="23"/>
        <v>1</v>
      </c>
      <c r="K272" s="19">
        <f t="shared" si="24"/>
        <v>0</v>
      </c>
      <c r="L272" s="21">
        <f t="shared" si="25"/>
        <v>1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25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33"/>
      <c r="CZ272" s="19"/>
      <c r="DA272" s="19"/>
      <c r="DB272" s="19"/>
      <c r="DC272" s="19">
        <v>1</v>
      </c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33"/>
      <c r="EG272" s="33"/>
      <c r="EH272" s="33"/>
      <c r="EI272" s="33"/>
      <c r="EJ272" s="33"/>
      <c r="EK272" s="19"/>
      <c r="EL272" s="19"/>
    </row>
    <row r="273" spans="1:142" hidden="1" x14ac:dyDescent="0.25">
      <c r="A273" s="25" t="s">
        <v>225</v>
      </c>
      <c r="B273" s="25"/>
      <c r="C273" s="24">
        <v>630</v>
      </c>
      <c r="D273" s="19">
        <v>630</v>
      </c>
      <c r="E273" s="19" t="s">
        <v>169</v>
      </c>
      <c r="F273" s="38"/>
      <c r="G273" s="19"/>
      <c r="H273" s="21"/>
      <c r="I273" s="19">
        <f t="shared" si="26"/>
        <v>0</v>
      </c>
      <c r="J273" s="19">
        <f t="shared" si="23"/>
        <v>2</v>
      </c>
      <c r="K273" s="19">
        <f t="shared" si="24"/>
        <v>0</v>
      </c>
      <c r="L273" s="21">
        <f t="shared" si="25"/>
        <v>2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25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33"/>
      <c r="CZ273" s="19"/>
      <c r="DA273" s="19"/>
      <c r="DB273" s="19">
        <v>1</v>
      </c>
      <c r="DC273" s="19"/>
      <c r="DD273" s="19">
        <v>1</v>
      </c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33"/>
      <c r="EG273" s="33"/>
      <c r="EH273" s="33"/>
      <c r="EI273" s="33"/>
      <c r="EJ273" s="33"/>
      <c r="EK273" s="19"/>
      <c r="EL273" s="19"/>
    </row>
    <row r="274" spans="1:142" hidden="1" x14ac:dyDescent="0.25">
      <c r="A274" s="19" t="s">
        <v>226</v>
      </c>
      <c r="B274" s="19"/>
      <c r="C274" s="24" t="s">
        <v>159</v>
      </c>
      <c r="D274" s="19">
        <v>800</v>
      </c>
      <c r="E274" s="19" t="s">
        <v>169</v>
      </c>
      <c r="F274" s="36"/>
      <c r="G274" s="19"/>
      <c r="H274" s="21"/>
      <c r="I274" s="19">
        <f t="shared" si="26"/>
        <v>1</v>
      </c>
      <c r="J274" s="19">
        <f t="shared" si="23"/>
        <v>0</v>
      </c>
      <c r="K274" s="19">
        <f t="shared" si="24"/>
        <v>0</v>
      </c>
      <c r="L274" s="21">
        <f t="shared" si="25"/>
        <v>1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>
        <v>1</v>
      </c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33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33"/>
      <c r="EG274" s="33"/>
      <c r="EH274" s="33"/>
      <c r="EI274" s="33"/>
      <c r="EJ274" s="33"/>
      <c r="EK274" s="19"/>
      <c r="EL274" s="19"/>
    </row>
    <row r="275" spans="1:142" hidden="1" x14ac:dyDescent="0.25">
      <c r="A275" s="19" t="s">
        <v>226</v>
      </c>
      <c r="B275" s="19"/>
      <c r="C275" s="24" t="s">
        <v>159</v>
      </c>
      <c r="D275" s="19">
        <v>600</v>
      </c>
      <c r="E275" s="19" t="s">
        <v>169</v>
      </c>
      <c r="F275" s="37"/>
      <c r="G275" s="19"/>
      <c r="H275" s="21"/>
      <c r="I275" s="19">
        <f t="shared" si="26"/>
        <v>1</v>
      </c>
      <c r="J275" s="19">
        <f t="shared" si="23"/>
        <v>0</v>
      </c>
      <c r="K275" s="19">
        <f t="shared" si="24"/>
        <v>0</v>
      </c>
      <c r="L275" s="21">
        <f t="shared" si="25"/>
        <v>1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>
        <v>1</v>
      </c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33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33"/>
      <c r="EG275" s="33"/>
      <c r="EH275" s="33"/>
      <c r="EI275" s="33"/>
      <c r="EJ275" s="33"/>
      <c r="EK275" s="19"/>
      <c r="EL275" s="19"/>
    </row>
    <row r="276" spans="1:142" hidden="1" x14ac:dyDescent="0.25">
      <c r="A276" s="19" t="s">
        <v>226</v>
      </c>
      <c r="B276" s="19"/>
      <c r="C276" s="24" t="s">
        <v>159</v>
      </c>
      <c r="D276" s="19">
        <v>500</v>
      </c>
      <c r="E276" s="19" t="s">
        <v>169</v>
      </c>
      <c r="F276" s="37"/>
      <c r="G276" s="19"/>
      <c r="H276" s="21"/>
      <c r="I276" s="19">
        <f t="shared" si="26"/>
        <v>1</v>
      </c>
      <c r="J276" s="19">
        <f t="shared" si="23"/>
        <v>0</v>
      </c>
      <c r="K276" s="19">
        <f t="shared" si="24"/>
        <v>0</v>
      </c>
      <c r="L276" s="21">
        <f t="shared" si="25"/>
        <v>1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>
        <v>1</v>
      </c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33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33"/>
      <c r="EG276" s="33"/>
      <c r="EH276" s="33"/>
      <c r="EI276" s="33"/>
      <c r="EJ276" s="33"/>
      <c r="EK276" s="19"/>
      <c r="EL276" s="19"/>
    </row>
    <row r="277" spans="1:142" hidden="1" x14ac:dyDescent="0.25">
      <c r="A277" s="19" t="s">
        <v>226</v>
      </c>
      <c r="B277" s="19"/>
      <c r="C277" s="24" t="s">
        <v>159</v>
      </c>
      <c r="D277" s="19">
        <v>400</v>
      </c>
      <c r="E277" s="19" t="s">
        <v>169</v>
      </c>
      <c r="F277" s="38"/>
      <c r="G277" s="19"/>
      <c r="H277" s="21"/>
      <c r="I277" s="19">
        <f t="shared" si="26"/>
        <v>1</v>
      </c>
      <c r="J277" s="19">
        <f t="shared" ref="J277:J318" si="27">SUM(AW277:EE277)</f>
        <v>0</v>
      </c>
      <c r="K277" s="19">
        <f t="shared" si="24"/>
        <v>0</v>
      </c>
      <c r="L277" s="21">
        <f t="shared" si="25"/>
        <v>1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>
        <v>1</v>
      </c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33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33"/>
      <c r="EG277" s="33"/>
      <c r="EH277" s="33"/>
      <c r="EI277" s="33"/>
      <c r="EJ277" s="33"/>
      <c r="EK277" s="19"/>
      <c r="EL277" s="19"/>
    </row>
    <row r="278" spans="1:142" hidden="1" x14ac:dyDescent="0.25">
      <c r="A278" s="19" t="s">
        <v>227</v>
      </c>
      <c r="B278" s="19"/>
      <c r="C278" s="24" t="s">
        <v>159</v>
      </c>
      <c r="D278" s="19">
        <v>1000</v>
      </c>
      <c r="E278" s="19" t="s">
        <v>169</v>
      </c>
      <c r="F278" s="36"/>
      <c r="G278" s="19"/>
      <c r="H278" s="21"/>
      <c r="I278" s="19">
        <f t="shared" si="26"/>
        <v>2</v>
      </c>
      <c r="J278" s="19">
        <f t="shared" si="27"/>
        <v>0</v>
      </c>
      <c r="K278" s="19">
        <f t="shared" si="24"/>
        <v>0</v>
      </c>
      <c r="L278" s="21">
        <f t="shared" si="25"/>
        <v>2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>
        <v>2</v>
      </c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33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33"/>
      <c r="EG278" s="33"/>
      <c r="EH278" s="33"/>
      <c r="EI278" s="33"/>
      <c r="EJ278" s="33"/>
      <c r="EK278" s="19"/>
      <c r="EL278" s="19"/>
    </row>
    <row r="279" spans="1:142" hidden="1" x14ac:dyDescent="0.25">
      <c r="A279" s="19" t="s">
        <v>227</v>
      </c>
      <c r="B279" s="19"/>
      <c r="C279" s="24" t="s">
        <v>159</v>
      </c>
      <c r="D279" s="19">
        <v>800</v>
      </c>
      <c r="E279" s="19" t="s">
        <v>169</v>
      </c>
      <c r="F279" s="37"/>
      <c r="G279" s="19"/>
      <c r="H279" s="21"/>
      <c r="I279" s="19">
        <f t="shared" si="26"/>
        <v>2</v>
      </c>
      <c r="J279" s="19">
        <f t="shared" si="27"/>
        <v>0</v>
      </c>
      <c r="K279" s="19">
        <f t="shared" si="24"/>
        <v>0</v>
      </c>
      <c r="L279" s="21">
        <f t="shared" si="25"/>
        <v>2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>
        <v>2</v>
      </c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33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33"/>
      <c r="EG279" s="33"/>
      <c r="EH279" s="33"/>
      <c r="EI279" s="33"/>
      <c r="EJ279" s="33"/>
      <c r="EK279" s="19"/>
      <c r="EL279" s="19"/>
    </row>
    <row r="280" spans="1:142" hidden="1" x14ac:dyDescent="0.25">
      <c r="A280" s="19" t="s">
        <v>227</v>
      </c>
      <c r="B280" s="19"/>
      <c r="C280" s="24" t="s">
        <v>159</v>
      </c>
      <c r="D280" s="19">
        <v>600</v>
      </c>
      <c r="E280" s="19" t="s">
        <v>169</v>
      </c>
      <c r="F280" s="37"/>
      <c r="G280" s="19"/>
      <c r="H280" s="21"/>
      <c r="I280" s="19">
        <f t="shared" si="26"/>
        <v>10</v>
      </c>
      <c r="J280" s="19">
        <f t="shared" si="27"/>
        <v>0</v>
      </c>
      <c r="K280" s="19">
        <f t="shared" si="24"/>
        <v>0</v>
      </c>
      <c r="L280" s="21">
        <f t="shared" si="25"/>
        <v>10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>
        <v>3</v>
      </c>
      <c r="AA280" s="19"/>
      <c r="AB280" s="19">
        <v>2</v>
      </c>
      <c r="AC280" s="19"/>
      <c r="AD280" s="19"/>
      <c r="AE280" s="19"/>
      <c r="AF280" s="19"/>
      <c r="AG280" s="19">
        <v>3</v>
      </c>
      <c r="AH280" s="19"/>
      <c r="AI280" s="19"/>
      <c r="AJ280" s="19"/>
      <c r="AK280" s="19">
        <v>2</v>
      </c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33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33"/>
      <c r="EG280" s="33"/>
      <c r="EH280" s="33"/>
      <c r="EI280" s="33"/>
      <c r="EJ280" s="33"/>
      <c r="EK280" s="19"/>
      <c r="EL280" s="19"/>
    </row>
    <row r="281" spans="1:142" hidden="1" x14ac:dyDescent="0.25">
      <c r="A281" s="19" t="s">
        <v>227</v>
      </c>
      <c r="B281" s="19"/>
      <c r="C281" s="24" t="s">
        <v>159</v>
      </c>
      <c r="D281" s="19">
        <v>500</v>
      </c>
      <c r="E281" s="19" t="s">
        <v>169</v>
      </c>
      <c r="F281" s="37"/>
      <c r="G281" s="19"/>
      <c r="H281" s="21"/>
      <c r="I281" s="19">
        <f t="shared" si="26"/>
        <v>9</v>
      </c>
      <c r="J281" s="19">
        <f t="shared" si="27"/>
        <v>0</v>
      </c>
      <c r="K281" s="19">
        <f t="shared" si="24"/>
        <v>0</v>
      </c>
      <c r="L281" s="21">
        <f t="shared" si="25"/>
        <v>9</v>
      </c>
      <c r="M281" s="19"/>
      <c r="N281" s="19"/>
      <c r="O281" s="19"/>
      <c r="P281" s="19"/>
      <c r="Q281" s="19"/>
      <c r="R281" s="19"/>
      <c r="S281" s="19"/>
      <c r="T281" s="19"/>
      <c r="U281" s="19"/>
      <c r="V281" s="19">
        <v>2</v>
      </c>
      <c r="W281" s="19"/>
      <c r="X281" s="19">
        <v>3</v>
      </c>
      <c r="Y281" s="19"/>
      <c r="Z281" s="19"/>
      <c r="AA281" s="19"/>
      <c r="AB281" s="19">
        <v>2</v>
      </c>
      <c r="AC281" s="19"/>
      <c r="AD281" s="19"/>
      <c r="AE281" s="19"/>
      <c r="AF281" s="19"/>
      <c r="AG281" s="19"/>
      <c r="AH281" s="19"/>
      <c r="AI281" s="19"/>
      <c r="AJ281" s="19"/>
      <c r="AK281" s="19">
        <v>2</v>
      </c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33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33"/>
      <c r="EG281" s="33"/>
      <c r="EH281" s="33"/>
      <c r="EI281" s="33"/>
      <c r="EJ281" s="33"/>
      <c r="EK281" s="19"/>
      <c r="EL281" s="19"/>
    </row>
    <row r="282" spans="1:142" hidden="1" x14ac:dyDescent="0.25">
      <c r="A282" s="19" t="s">
        <v>227</v>
      </c>
      <c r="B282" s="19"/>
      <c r="C282" s="24" t="s">
        <v>159</v>
      </c>
      <c r="D282" s="19">
        <v>400</v>
      </c>
      <c r="E282" s="19" t="s">
        <v>169</v>
      </c>
      <c r="F282" s="38"/>
      <c r="G282" s="19"/>
      <c r="H282" s="21"/>
      <c r="I282" s="19">
        <f t="shared" si="26"/>
        <v>2</v>
      </c>
      <c r="J282" s="19">
        <f t="shared" si="27"/>
        <v>0</v>
      </c>
      <c r="K282" s="19">
        <f t="shared" si="24"/>
        <v>0</v>
      </c>
      <c r="L282" s="21">
        <f t="shared" si="25"/>
        <v>2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>
        <v>2</v>
      </c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33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33"/>
      <c r="EG282" s="33"/>
      <c r="EH282" s="33"/>
      <c r="EI282" s="33"/>
      <c r="EJ282" s="33"/>
      <c r="EK282" s="19"/>
      <c r="EL282" s="19"/>
    </row>
    <row r="283" spans="1:142" hidden="1" x14ac:dyDescent="0.25">
      <c r="A283" s="19" t="s">
        <v>228</v>
      </c>
      <c r="B283" s="19"/>
      <c r="C283" s="24" t="s">
        <v>159</v>
      </c>
      <c r="D283" s="19">
        <v>1000</v>
      </c>
      <c r="E283" s="19" t="s">
        <v>169</v>
      </c>
      <c r="F283" s="36"/>
      <c r="G283" s="19"/>
      <c r="H283" s="21"/>
      <c r="I283" s="19">
        <f t="shared" si="26"/>
        <v>1</v>
      </c>
      <c r="J283" s="19">
        <f t="shared" si="27"/>
        <v>0</v>
      </c>
      <c r="K283" s="19">
        <f t="shared" si="24"/>
        <v>0</v>
      </c>
      <c r="L283" s="21">
        <f t="shared" si="25"/>
        <v>1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>
        <v>1</v>
      </c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33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33"/>
      <c r="EG283" s="33"/>
      <c r="EH283" s="33"/>
      <c r="EI283" s="33"/>
      <c r="EJ283" s="33"/>
      <c r="EK283" s="19"/>
      <c r="EL283" s="19"/>
    </row>
    <row r="284" spans="1:142" hidden="1" x14ac:dyDescent="0.25">
      <c r="A284" s="19" t="s">
        <v>228</v>
      </c>
      <c r="B284" s="19"/>
      <c r="C284" s="24" t="s">
        <v>159</v>
      </c>
      <c r="D284" s="19">
        <v>800</v>
      </c>
      <c r="E284" s="19" t="s">
        <v>169</v>
      </c>
      <c r="F284" s="37"/>
      <c r="G284" s="19"/>
      <c r="H284" s="21"/>
      <c r="I284" s="19">
        <f t="shared" si="26"/>
        <v>1</v>
      </c>
      <c r="J284" s="19">
        <f t="shared" si="27"/>
        <v>0</v>
      </c>
      <c r="K284" s="19">
        <f t="shared" si="24"/>
        <v>0</v>
      </c>
      <c r="L284" s="21">
        <f t="shared" si="25"/>
        <v>1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>
        <v>1</v>
      </c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33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33"/>
      <c r="EG284" s="33"/>
      <c r="EH284" s="33"/>
      <c r="EI284" s="33"/>
      <c r="EJ284" s="33"/>
      <c r="EK284" s="19"/>
      <c r="EL284" s="19"/>
    </row>
    <row r="285" spans="1:142" hidden="1" x14ac:dyDescent="0.25">
      <c r="A285" s="19" t="s">
        <v>228</v>
      </c>
      <c r="B285" s="19"/>
      <c r="C285" s="24" t="s">
        <v>159</v>
      </c>
      <c r="D285" s="19">
        <v>600</v>
      </c>
      <c r="E285" s="19" t="s">
        <v>169</v>
      </c>
      <c r="F285" s="37"/>
      <c r="G285" s="19"/>
      <c r="H285" s="21"/>
      <c r="I285" s="19">
        <f t="shared" si="26"/>
        <v>11</v>
      </c>
      <c r="J285" s="19">
        <f t="shared" si="27"/>
        <v>0</v>
      </c>
      <c r="K285" s="19">
        <f t="shared" si="24"/>
        <v>0</v>
      </c>
      <c r="L285" s="21">
        <f t="shared" si="25"/>
        <v>11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>
        <v>3</v>
      </c>
      <c r="AA285" s="19"/>
      <c r="AB285" s="19">
        <v>3</v>
      </c>
      <c r="AC285" s="19"/>
      <c r="AD285" s="19"/>
      <c r="AE285" s="19"/>
      <c r="AF285" s="19"/>
      <c r="AG285" s="19">
        <v>2</v>
      </c>
      <c r="AH285" s="19"/>
      <c r="AI285" s="19"/>
      <c r="AJ285" s="19"/>
      <c r="AK285" s="19">
        <v>3</v>
      </c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33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33"/>
      <c r="EG285" s="33"/>
      <c r="EH285" s="33"/>
      <c r="EI285" s="33"/>
      <c r="EJ285" s="33"/>
      <c r="EK285" s="19"/>
      <c r="EL285" s="19"/>
    </row>
    <row r="286" spans="1:142" hidden="1" x14ac:dyDescent="0.25">
      <c r="A286" s="19" t="s">
        <v>228</v>
      </c>
      <c r="B286" s="19"/>
      <c r="C286" s="24" t="s">
        <v>159</v>
      </c>
      <c r="D286" s="19">
        <v>500</v>
      </c>
      <c r="E286" s="19" t="s">
        <v>169</v>
      </c>
      <c r="F286" s="37"/>
      <c r="G286" s="19"/>
      <c r="H286" s="21"/>
      <c r="I286" s="19">
        <f t="shared" si="26"/>
        <v>6</v>
      </c>
      <c r="J286" s="19">
        <f t="shared" si="27"/>
        <v>0</v>
      </c>
      <c r="K286" s="19">
        <f t="shared" si="24"/>
        <v>0</v>
      </c>
      <c r="L286" s="21">
        <f t="shared" si="25"/>
        <v>6</v>
      </c>
      <c r="M286" s="19"/>
      <c r="N286" s="19"/>
      <c r="O286" s="19"/>
      <c r="P286" s="19"/>
      <c r="Q286" s="19"/>
      <c r="R286" s="19"/>
      <c r="S286" s="19"/>
      <c r="T286" s="19"/>
      <c r="U286" s="19"/>
      <c r="V286" s="19">
        <v>3</v>
      </c>
      <c r="W286" s="19"/>
      <c r="X286" s="19">
        <v>1</v>
      </c>
      <c r="Y286" s="19"/>
      <c r="Z286" s="19"/>
      <c r="AA286" s="19"/>
      <c r="AB286" s="19">
        <v>1</v>
      </c>
      <c r="AC286" s="19"/>
      <c r="AD286" s="19"/>
      <c r="AE286" s="19"/>
      <c r="AF286" s="19"/>
      <c r="AG286" s="19"/>
      <c r="AH286" s="19"/>
      <c r="AI286" s="19"/>
      <c r="AJ286" s="19"/>
      <c r="AK286" s="19">
        <v>1</v>
      </c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33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33"/>
      <c r="EG286" s="33"/>
      <c r="EH286" s="33"/>
      <c r="EI286" s="33"/>
      <c r="EJ286" s="33"/>
      <c r="EK286" s="19"/>
      <c r="EL286" s="19"/>
    </row>
    <row r="287" spans="1:142" hidden="1" x14ac:dyDescent="0.25">
      <c r="A287" s="19" t="s">
        <v>228</v>
      </c>
      <c r="B287" s="19"/>
      <c r="C287" s="24" t="s">
        <v>159</v>
      </c>
      <c r="D287" s="19">
        <v>400</v>
      </c>
      <c r="E287" s="19" t="s">
        <v>169</v>
      </c>
      <c r="F287" s="38"/>
      <c r="G287" s="19"/>
      <c r="H287" s="21"/>
      <c r="I287" s="19">
        <f t="shared" si="26"/>
        <v>1</v>
      </c>
      <c r="J287" s="19">
        <f t="shared" si="27"/>
        <v>0</v>
      </c>
      <c r="K287" s="19">
        <f t="shared" si="24"/>
        <v>0</v>
      </c>
      <c r="L287" s="21">
        <f t="shared" si="25"/>
        <v>1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>
        <v>1</v>
      </c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33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33"/>
      <c r="EG287" s="33"/>
      <c r="EH287" s="33"/>
      <c r="EI287" s="33"/>
      <c r="EJ287" s="33"/>
      <c r="EK287" s="19"/>
      <c r="EL287" s="19"/>
    </row>
    <row r="288" spans="1:142" hidden="1" x14ac:dyDescent="0.25">
      <c r="A288" s="19" t="s">
        <v>229</v>
      </c>
      <c r="B288" s="19"/>
      <c r="C288" s="24"/>
      <c r="D288" s="19"/>
      <c r="E288" s="19" t="s">
        <v>169</v>
      </c>
      <c r="F288" s="20"/>
      <c r="G288" s="19"/>
      <c r="H288" s="21"/>
      <c r="I288" s="19">
        <f t="shared" si="26"/>
        <v>6</v>
      </c>
      <c r="J288" s="19">
        <f t="shared" si="27"/>
        <v>0</v>
      </c>
      <c r="K288" s="19">
        <f t="shared" si="24"/>
        <v>0</v>
      </c>
      <c r="L288" s="21">
        <f t="shared" si="25"/>
        <v>6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>
        <v>2</v>
      </c>
      <c r="Y288" s="19"/>
      <c r="Z288" s="19">
        <v>2</v>
      </c>
      <c r="AA288" s="19"/>
      <c r="AB288" s="19"/>
      <c r="AC288" s="19"/>
      <c r="AD288" s="19"/>
      <c r="AE288" s="19"/>
      <c r="AF288" s="19"/>
      <c r="AG288" s="19">
        <v>2</v>
      </c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33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33"/>
      <c r="EG288" s="33"/>
      <c r="EH288" s="33"/>
      <c r="EI288" s="33"/>
      <c r="EJ288" s="33"/>
      <c r="EK288" s="19"/>
      <c r="EL288" s="19"/>
    </row>
    <row r="289" spans="1:142" x14ac:dyDescent="0.25">
      <c r="A289" s="19" t="s">
        <v>148</v>
      </c>
      <c r="B289" s="19"/>
      <c r="C289" s="24">
        <v>1000</v>
      </c>
      <c r="D289" s="19">
        <v>500</v>
      </c>
      <c r="E289" s="19" t="s">
        <v>169</v>
      </c>
      <c r="F289" s="36"/>
      <c r="G289" s="19"/>
      <c r="H289" s="21"/>
      <c r="I289" s="19">
        <f t="shared" si="26"/>
        <v>0</v>
      </c>
      <c r="J289" s="19">
        <f t="shared" si="27"/>
        <v>0</v>
      </c>
      <c r="K289" s="19">
        <f t="shared" si="24"/>
        <v>2</v>
      </c>
      <c r="L289" s="21">
        <f t="shared" si="25"/>
        <v>2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33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33"/>
      <c r="EG289" s="33"/>
      <c r="EH289" s="33"/>
      <c r="EI289" s="33"/>
      <c r="EJ289" s="33"/>
      <c r="EK289" s="19"/>
      <c r="EL289" s="19">
        <v>2</v>
      </c>
    </row>
    <row r="290" spans="1:142" x14ac:dyDescent="0.25">
      <c r="A290" s="19" t="s">
        <v>148</v>
      </c>
      <c r="B290" s="19"/>
      <c r="C290" s="24">
        <v>1000</v>
      </c>
      <c r="D290" s="19">
        <v>400</v>
      </c>
      <c r="E290" s="19" t="s">
        <v>169</v>
      </c>
      <c r="F290" s="38"/>
      <c r="G290" s="19"/>
      <c r="H290" s="21"/>
      <c r="I290" s="19">
        <f t="shared" si="26"/>
        <v>0</v>
      </c>
      <c r="J290" s="19">
        <f t="shared" si="27"/>
        <v>0</v>
      </c>
      <c r="K290" s="19">
        <f t="shared" si="24"/>
        <v>2</v>
      </c>
      <c r="L290" s="21">
        <f t="shared" si="25"/>
        <v>2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33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33"/>
      <c r="EG290" s="33"/>
      <c r="EH290" s="33"/>
      <c r="EI290" s="33"/>
      <c r="EJ290" s="33"/>
      <c r="EK290" s="19"/>
      <c r="EL290" s="19">
        <v>2</v>
      </c>
    </row>
    <row r="291" spans="1:142" hidden="1" x14ac:dyDescent="0.25">
      <c r="A291" s="19" t="s">
        <v>230</v>
      </c>
      <c r="B291" s="19"/>
      <c r="C291" s="19">
        <v>1250</v>
      </c>
      <c r="D291" s="19">
        <v>1250</v>
      </c>
      <c r="E291" s="19" t="s">
        <v>169</v>
      </c>
      <c r="F291" s="20"/>
      <c r="G291" s="19"/>
      <c r="H291" s="21"/>
      <c r="I291" s="19">
        <f t="shared" si="26"/>
        <v>0</v>
      </c>
      <c r="J291" s="19">
        <f t="shared" si="27"/>
        <v>3</v>
      </c>
      <c r="K291" s="19">
        <f t="shared" si="24"/>
        <v>0</v>
      </c>
      <c r="L291" s="21">
        <f t="shared" si="25"/>
        <v>3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33"/>
      <c r="CZ291" s="19"/>
      <c r="DA291" s="19"/>
      <c r="DB291" s="19"/>
      <c r="DC291" s="19">
        <v>3</v>
      </c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33"/>
      <c r="EG291" s="33"/>
      <c r="EH291" s="33"/>
      <c r="EI291" s="33"/>
      <c r="EJ291" s="33"/>
      <c r="EK291" s="19"/>
      <c r="EL291" s="19"/>
    </row>
    <row r="292" spans="1:142" hidden="1" x14ac:dyDescent="0.25">
      <c r="A292" s="19" t="s">
        <v>230</v>
      </c>
      <c r="B292" s="19"/>
      <c r="C292" s="19">
        <v>1250</v>
      </c>
      <c r="D292" s="19">
        <v>800</v>
      </c>
      <c r="E292" s="19" t="s">
        <v>169</v>
      </c>
      <c r="F292" s="20"/>
      <c r="G292" s="19"/>
      <c r="H292" s="21"/>
      <c r="I292" s="19">
        <f t="shared" si="26"/>
        <v>0</v>
      </c>
      <c r="J292" s="19">
        <f t="shared" si="27"/>
        <v>8</v>
      </c>
      <c r="K292" s="19">
        <f t="shared" si="24"/>
        <v>0</v>
      </c>
      <c r="L292" s="21">
        <f t="shared" si="25"/>
        <v>8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33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>
        <v>8</v>
      </c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33"/>
      <c r="EG292" s="33"/>
      <c r="EH292" s="33"/>
      <c r="EI292" s="33"/>
      <c r="EJ292" s="33"/>
      <c r="EK292" s="19"/>
      <c r="EL292" s="19"/>
    </row>
    <row r="293" spans="1:142" hidden="1" x14ac:dyDescent="0.25">
      <c r="A293" s="19" t="s">
        <v>230</v>
      </c>
      <c r="B293" s="19"/>
      <c r="C293" s="19">
        <v>1200</v>
      </c>
      <c r="D293" s="19">
        <v>1100</v>
      </c>
      <c r="E293" s="19" t="s">
        <v>169</v>
      </c>
      <c r="F293" s="20"/>
      <c r="G293" s="19"/>
      <c r="H293" s="21"/>
      <c r="I293" s="19">
        <f t="shared" si="26"/>
        <v>0</v>
      </c>
      <c r="J293" s="19">
        <f t="shared" si="27"/>
        <v>1</v>
      </c>
      <c r="K293" s="19">
        <f t="shared" si="24"/>
        <v>0</v>
      </c>
      <c r="L293" s="21">
        <f t="shared" si="25"/>
        <v>1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33">
        <v>1</v>
      </c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33"/>
      <c r="EG293" s="33"/>
      <c r="EH293" s="33"/>
      <c r="EI293" s="33"/>
      <c r="EJ293" s="33"/>
      <c r="EK293" s="19"/>
      <c r="EL293" s="19"/>
    </row>
    <row r="294" spans="1:142" x14ac:dyDescent="0.25">
      <c r="A294" s="19" t="s">
        <v>230</v>
      </c>
      <c r="B294" s="19"/>
      <c r="C294" s="19">
        <v>1000</v>
      </c>
      <c r="D294" s="19">
        <v>1000</v>
      </c>
      <c r="E294" s="19" t="s">
        <v>169</v>
      </c>
      <c r="F294" s="20"/>
      <c r="G294" s="19"/>
      <c r="H294" s="21"/>
      <c r="I294" s="19">
        <f t="shared" si="26"/>
        <v>0</v>
      </c>
      <c r="J294" s="19">
        <f t="shared" si="27"/>
        <v>6</v>
      </c>
      <c r="K294" s="19">
        <f t="shared" si="24"/>
        <v>0</v>
      </c>
      <c r="L294" s="21">
        <f t="shared" si="25"/>
        <v>6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33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>
        <v>1</v>
      </c>
      <c r="DP294" s="19">
        <v>5</v>
      </c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33"/>
      <c r="EG294" s="33"/>
      <c r="EH294" s="33"/>
      <c r="EI294" s="33"/>
      <c r="EJ294" s="33"/>
      <c r="EK294" s="19"/>
      <c r="EL294" s="19"/>
    </row>
    <row r="295" spans="1:142" x14ac:dyDescent="0.25">
      <c r="A295" s="19" t="s">
        <v>230</v>
      </c>
      <c r="B295" s="19"/>
      <c r="C295" s="19">
        <v>1000</v>
      </c>
      <c r="D295" s="19">
        <v>850</v>
      </c>
      <c r="E295" s="19" t="s">
        <v>169</v>
      </c>
      <c r="F295" s="20"/>
      <c r="G295" s="19"/>
      <c r="H295" s="21"/>
      <c r="I295" s="19">
        <f t="shared" si="26"/>
        <v>12</v>
      </c>
      <c r="J295" s="19">
        <f t="shared" si="27"/>
        <v>33</v>
      </c>
      <c r="K295" s="19">
        <f t="shared" si="24"/>
        <v>0</v>
      </c>
      <c r="L295" s="21">
        <f t="shared" si="25"/>
        <v>45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>
        <v>3</v>
      </c>
      <c r="AO295" s="19">
        <v>3</v>
      </c>
      <c r="AP295" s="19"/>
      <c r="AQ295" s="19"/>
      <c r="AR295" s="19"/>
      <c r="AS295" s="19">
        <v>3</v>
      </c>
      <c r="AT295" s="19">
        <v>3</v>
      </c>
      <c r="AU295" s="19"/>
      <c r="AV295" s="19"/>
      <c r="AW295" s="19"/>
      <c r="AX295" s="19"/>
      <c r="AY295" s="19">
        <v>3</v>
      </c>
      <c r="AZ295" s="19">
        <v>3</v>
      </c>
      <c r="BA295" s="19"/>
      <c r="BB295" s="19"/>
      <c r="BC295" s="19"/>
      <c r="BD295" s="19"/>
      <c r="BE295" s="19"/>
      <c r="BF295" s="19"/>
      <c r="BG295" s="19">
        <v>3</v>
      </c>
      <c r="BH295" s="19">
        <v>3</v>
      </c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>
        <v>3</v>
      </c>
      <c r="CN295" s="19">
        <v>3</v>
      </c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33"/>
      <c r="CZ295" s="19">
        <v>3</v>
      </c>
      <c r="DA295" s="19">
        <v>3</v>
      </c>
      <c r="DB295" s="19"/>
      <c r="DC295" s="19"/>
      <c r="DD295" s="19"/>
      <c r="DE295" s="19"/>
      <c r="DF295" s="19"/>
      <c r="DG295" s="19"/>
      <c r="DH295" s="19">
        <v>3</v>
      </c>
      <c r="DI295" s="19">
        <v>3</v>
      </c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>
        <v>3</v>
      </c>
      <c r="EF295" s="33"/>
      <c r="EG295" s="33"/>
      <c r="EH295" s="33"/>
      <c r="EI295" s="33"/>
      <c r="EJ295" s="33"/>
      <c r="EK295" s="19"/>
      <c r="EL295" s="19"/>
    </row>
    <row r="296" spans="1:142" x14ac:dyDescent="0.25">
      <c r="A296" s="19" t="s">
        <v>230</v>
      </c>
      <c r="B296" s="19"/>
      <c r="C296" s="19">
        <v>1000</v>
      </c>
      <c r="D296" s="19">
        <v>800</v>
      </c>
      <c r="E296" s="19" t="s">
        <v>169</v>
      </c>
      <c r="F296" s="20"/>
      <c r="G296" s="19"/>
      <c r="H296" s="21"/>
      <c r="I296" s="19">
        <f t="shared" si="26"/>
        <v>3</v>
      </c>
      <c r="J296" s="19">
        <f t="shared" si="27"/>
        <v>26</v>
      </c>
      <c r="K296" s="19">
        <f t="shared" si="24"/>
        <v>0</v>
      </c>
      <c r="L296" s="21">
        <f t="shared" si="25"/>
        <v>29</v>
      </c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>
        <v>3</v>
      </c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>
        <v>3</v>
      </c>
      <c r="BF296" s="19">
        <v>3</v>
      </c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>
        <v>3</v>
      </c>
      <c r="CI296" s="19">
        <v>3</v>
      </c>
      <c r="CJ296" s="19"/>
      <c r="CK296" s="19">
        <v>2</v>
      </c>
      <c r="CL296" s="19">
        <v>1</v>
      </c>
      <c r="CM296" s="19"/>
      <c r="CN296" s="19"/>
      <c r="CO296" s="19"/>
      <c r="CP296" s="19"/>
      <c r="CQ296" s="19"/>
      <c r="CR296" s="19"/>
      <c r="CS296" s="19"/>
      <c r="CT296" s="19"/>
      <c r="CU296" s="19">
        <v>2</v>
      </c>
      <c r="CV296" s="19">
        <v>2</v>
      </c>
      <c r="CW296" s="19">
        <v>2</v>
      </c>
      <c r="CX296" s="19"/>
      <c r="CY296" s="33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>
        <v>2</v>
      </c>
      <c r="DK296" s="19"/>
      <c r="DL296" s="19"/>
      <c r="DM296" s="19"/>
      <c r="DN296" s="19"/>
      <c r="DO296" s="19"/>
      <c r="DP296" s="19">
        <v>1</v>
      </c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>
        <v>2</v>
      </c>
      <c r="EE296" s="19"/>
      <c r="EF296" s="33"/>
      <c r="EG296" s="33"/>
      <c r="EH296" s="33"/>
      <c r="EI296" s="33"/>
      <c r="EJ296" s="33"/>
      <c r="EK296" s="19"/>
      <c r="EL296" s="19"/>
    </row>
    <row r="297" spans="1:142" x14ac:dyDescent="0.25">
      <c r="A297" s="19" t="s">
        <v>230</v>
      </c>
      <c r="B297" s="19"/>
      <c r="C297" s="19">
        <v>1000</v>
      </c>
      <c r="D297" s="19">
        <v>750</v>
      </c>
      <c r="E297" s="19" t="s">
        <v>169</v>
      </c>
      <c r="F297" s="20"/>
      <c r="G297" s="19"/>
      <c r="H297" s="21"/>
      <c r="I297" s="19">
        <f t="shared" si="26"/>
        <v>0</v>
      </c>
      <c r="J297" s="19">
        <f t="shared" si="27"/>
        <v>2</v>
      </c>
      <c r="K297" s="19">
        <f t="shared" si="24"/>
        <v>0</v>
      </c>
      <c r="L297" s="21">
        <f t="shared" si="25"/>
        <v>2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33">
        <v>2</v>
      </c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33"/>
      <c r="EG297" s="33"/>
      <c r="EH297" s="33"/>
      <c r="EI297" s="33"/>
      <c r="EJ297" s="33"/>
      <c r="EK297" s="19"/>
      <c r="EL297" s="19"/>
    </row>
    <row r="298" spans="1:142" x14ac:dyDescent="0.25">
      <c r="A298" s="19" t="s">
        <v>230</v>
      </c>
      <c r="B298" s="19"/>
      <c r="C298" s="19">
        <v>1000</v>
      </c>
      <c r="D298" s="19">
        <v>630</v>
      </c>
      <c r="E298" s="19" t="s">
        <v>169</v>
      </c>
      <c r="F298" s="20"/>
      <c r="G298" s="19"/>
      <c r="H298" s="21"/>
      <c r="I298" s="19">
        <f t="shared" si="26"/>
        <v>36</v>
      </c>
      <c r="J298" s="19">
        <f t="shared" si="27"/>
        <v>65</v>
      </c>
      <c r="K298" s="19">
        <f t="shared" si="24"/>
        <v>0</v>
      </c>
      <c r="L298" s="21">
        <f t="shared" si="25"/>
        <v>101</v>
      </c>
      <c r="M298" s="19">
        <v>2</v>
      </c>
      <c r="N298" s="19"/>
      <c r="O298" s="19"/>
      <c r="P298" s="19"/>
      <c r="Q298" s="19"/>
      <c r="R298" s="19"/>
      <c r="S298" s="25">
        <v>2</v>
      </c>
      <c r="T298" s="19"/>
      <c r="U298" s="19">
        <v>4</v>
      </c>
      <c r="V298" s="19"/>
      <c r="W298" s="19"/>
      <c r="X298" s="19"/>
      <c r="Y298" s="19"/>
      <c r="Z298" s="19"/>
      <c r="AA298" s="19">
        <v>4</v>
      </c>
      <c r="AB298" s="19"/>
      <c r="AC298" s="19"/>
      <c r="AD298" s="19"/>
      <c r="AE298" s="19"/>
      <c r="AF298" s="19"/>
      <c r="AG298" s="19"/>
      <c r="AH298" s="19">
        <v>4</v>
      </c>
      <c r="AI298" s="19"/>
      <c r="AJ298" s="19">
        <v>4</v>
      </c>
      <c r="AK298" s="19"/>
      <c r="AL298" s="19">
        <v>4</v>
      </c>
      <c r="AM298" s="19">
        <v>4</v>
      </c>
      <c r="AN298" s="19"/>
      <c r="AO298" s="19"/>
      <c r="AP298" s="19"/>
      <c r="AQ298" s="19">
        <v>4</v>
      </c>
      <c r="AR298" s="19">
        <v>4</v>
      </c>
      <c r="AS298" s="19"/>
      <c r="AT298" s="19"/>
      <c r="AU298" s="19"/>
      <c r="AV298" s="19"/>
      <c r="AW298" s="19">
        <v>4</v>
      </c>
      <c r="AX298" s="19">
        <v>4</v>
      </c>
      <c r="AY298" s="19"/>
      <c r="AZ298" s="19"/>
      <c r="BA298" s="19">
        <v>4</v>
      </c>
      <c r="BB298" s="19">
        <v>4</v>
      </c>
      <c r="BC298" s="19">
        <v>4</v>
      </c>
      <c r="BD298" s="19">
        <v>4</v>
      </c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>
        <v>2</v>
      </c>
      <c r="BX298" s="19"/>
      <c r="BY298" s="19"/>
      <c r="BZ298" s="19"/>
      <c r="CA298" s="19"/>
      <c r="CB298" s="19"/>
      <c r="CC298" s="19">
        <v>2</v>
      </c>
      <c r="CD298" s="19"/>
      <c r="CE298" s="19"/>
      <c r="CF298" s="19">
        <v>4</v>
      </c>
      <c r="CG298" s="19">
        <v>4</v>
      </c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>
        <v>2</v>
      </c>
      <c r="CT298" s="19">
        <v>2</v>
      </c>
      <c r="CU298" s="19"/>
      <c r="CV298" s="19"/>
      <c r="CW298" s="19"/>
      <c r="CX298" s="19"/>
      <c r="CY298" s="33"/>
      <c r="CZ298" s="19"/>
      <c r="DA298" s="19"/>
      <c r="DB298" s="19"/>
      <c r="DC298" s="19"/>
      <c r="DD298" s="19"/>
      <c r="DE298" s="19">
        <v>1</v>
      </c>
      <c r="DF298" s="19">
        <v>2</v>
      </c>
      <c r="DG298" s="19"/>
      <c r="DH298" s="19"/>
      <c r="DI298" s="19"/>
      <c r="DJ298" s="19"/>
      <c r="DK298" s="19">
        <v>2</v>
      </c>
      <c r="DL298" s="19">
        <v>4</v>
      </c>
      <c r="DM298" s="19">
        <v>4</v>
      </c>
      <c r="DN298" s="19"/>
      <c r="DO298" s="19"/>
      <c r="DP298" s="19">
        <v>4</v>
      </c>
      <c r="DQ298" s="19"/>
      <c r="DR298" s="19"/>
      <c r="DS298" s="19"/>
      <c r="DT298" s="19"/>
      <c r="DU298" s="19"/>
      <c r="DV298" s="19"/>
      <c r="DW298" s="19">
        <v>4</v>
      </c>
      <c r="DX298" s="19"/>
      <c r="DY298" s="19">
        <v>2</v>
      </c>
      <c r="DZ298" s="19">
        <v>1</v>
      </c>
      <c r="EA298" s="19"/>
      <c r="EB298" s="19"/>
      <c r="EC298" s="19">
        <v>1</v>
      </c>
      <c r="ED298" s="19"/>
      <c r="EE298" s="19"/>
      <c r="EF298" s="33"/>
      <c r="EG298" s="33"/>
      <c r="EH298" s="33"/>
      <c r="EI298" s="33"/>
      <c r="EJ298" s="33"/>
      <c r="EK298" s="19"/>
      <c r="EL298" s="19"/>
    </row>
    <row r="299" spans="1:142" x14ac:dyDescent="0.25">
      <c r="A299" s="19" t="s">
        <v>230</v>
      </c>
      <c r="B299" s="19"/>
      <c r="C299" s="19">
        <v>1000</v>
      </c>
      <c r="D299" s="19">
        <v>500</v>
      </c>
      <c r="E299" s="19" t="s">
        <v>169</v>
      </c>
      <c r="F299" s="20"/>
      <c r="G299" s="19"/>
      <c r="H299" s="21"/>
      <c r="I299" s="19">
        <f t="shared" si="26"/>
        <v>25</v>
      </c>
      <c r="J299" s="19">
        <f t="shared" si="27"/>
        <v>24</v>
      </c>
      <c r="K299" s="19">
        <f t="shared" si="24"/>
        <v>0</v>
      </c>
      <c r="L299" s="21">
        <f t="shared" si="25"/>
        <v>49</v>
      </c>
      <c r="M299" s="19"/>
      <c r="N299" s="19"/>
      <c r="O299" s="19"/>
      <c r="P299" s="19"/>
      <c r="Q299" s="19"/>
      <c r="R299" s="19"/>
      <c r="S299" s="25"/>
      <c r="T299" s="19"/>
      <c r="U299" s="19"/>
      <c r="V299" s="19"/>
      <c r="W299" s="19">
        <v>4</v>
      </c>
      <c r="X299" s="19"/>
      <c r="Y299" s="19">
        <v>5</v>
      </c>
      <c r="Z299" s="19"/>
      <c r="AA299" s="19"/>
      <c r="AB299" s="19"/>
      <c r="AC299" s="19"/>
      <c r="AD299" s="19"/>
      <c r="AE299" s="19">
        <v>4</v>
      </c>
      <c r="AF299" s="19"/>
      <c r="AG299" s="19"/>
      <c r="AH299" s="19"/>
      <c r="AI299" s="19"/>
      <c r="AJ299" s="19"/>
      <c r="AK299" s="19"/>
      <c r="AL299" s="19"/>
      <c r="AM299" s="19"/>
      <c r="AN299" s="19">
        <v>4</v>
      </c>
      <c r="AO299" s="19">
        <v>4</v>
      </c>
      <c r="AP299" s="19"/>
      <c r="AQ299" s="19"/>
      <c r="AR299" s="19"/>
      <c r="AS299" s="19"/>
      <c r="AT299" s="19">
        <v>4</v>
      </c>
      <c r="AU299" s="19"/>
      <c r="AV299" s="19"/>
      <c r="AW299" s="19"/>
      <c r="AX299" s="19"/>
      <c r="AY299" s="19"/>
      <c r="AZ299" s="19">
        <v>4</v>
      </c>
      <c r="BA299" s="19"/>
      <c r="BB299" s="19"/>
      <c r="BC299" s="19"/>
      <c r="BD299" s="19"/>
      <c r="BE299" s="19"/>
      <c r="BF299" s="19"/>
      <c r="BG299" s="19">
        <v>4</v>
      </c>
      <c r="BH299" s="19">
        <v>4</v>
      </c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33"/>
      <c r="CZ299" s="19"/>
      <c r="DA299" s="19"/>
      <c r="DB299" s="19"/>
      <c r="DC299" s="19"/>
      <c r="DD299" s="19"/>
      <c r="DE299" s="19"/>
      <c r="DF299" s="19"/>
      <c r="DG299" s="19"/>
      <c r="DH299" s="19">
        <v>4</v>
      </c>
      <c r="DI299" s="19">
        <v>4</v>
      </c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>
        <v>4</v>
      </c>
      <c r="EF299" s="33"/>
      <c r="EG299" s="33"/>
      <c r="EH299" s="33"/>
      <c r="EI299" s="33"/>
      <c r="EJ299" s="33"/>
      <c r="EK299" s="19"/>
      <c r="EL299" s="19"/>
    </row>
    <row r="300" spans="1:142" hidden="1" x14ac:dyDescent="0.25">
      <c r="A300" s="19" t="s">
        <v>230</v>
      </c>
      <c r="B300" s="19"/>
      <c r="C300" s="19">
        <v>900</v>
      </c>
      <c r="D300" s="19">
        <v>500</v>
      </c>
      <c r="E300" s="19" t="s">
        <v>169</v>
      </c>
      <c r="F300" s="20"/>
      <c r="G300" s="19"/>
      <c r="H300" s="21"/>
      <c r="I300" s="19">
        <f t="shared" si="26"/>
        <v>0</v>
      </c>
      <c r="J300" s="19">
        <f t="shared" si="27"/>
        <v>3</v>
      </c>
      <c r="K300" s="19">
        <f t="shared" si="24"/>
        <v>0</v>
      </c>
      <c r="L300" s="21">
        <f t="shared" si="25"/>
        <v>3</v>
      </c>
      <c r="M300" s="19"/>
      <c r="N300" s="19"/>
      <c r="O300" s="19"/>
      <c r="P300" s="19"/>
      <c r="Q300" s="19"/>
      <c r="R300" s="19"/>
      <c r="S300" s="25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>
        <v>1</v>
      </c>
      <c r="BM300" s="19"/>
      <c r="BN300" s="19"/>
      <c r="BO300" s="19"/>
      <c r="BP300" s="19"/>
      <c r="BQ300" s="19"/>
      <c r="BR300" s="19">
        <v>2</v>
      </c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33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33"/>
      <c r="EG300" s="33"/>
      <c r="EH300" s="33"/>
      <c r="EI300" s="33"/>
      <c r="EJ300" s="33"/>
      <c r="EK300" s="19"/>
      <c r="EL300" s="19"/>
    </row>
    <row r="301" spans="1:142" hidden="1" x14ac:dyDescent="0.25">
      <c r="A301" s="19" t="s">
        <v>230</v>
      </c>
      <c r="B301" s="19"/>
      <c r="C301" s="19">
        <v>800</v>
      </c>
      <c r="D301" s="19">
        <v>800</v>
      </c>
      <c r="E301" s="19" t="s">
        <v>169</v>
      </c>
      <c r="F301" s="20"/>
      <c r="G301" s="19"/>
      <c r="H301" s="21"/>
      <c r="I301" s="19">
        <f t="shared" si="26"/>
        <v>0</v>
      </c>
      <c r="J301" s="19">
        <f t="shared" si="27"/>
        <v>6</v>
      </c>
      <c r="K301" s="19">
        <f t="shared" si="24"/>
        <v>0</v>
      </c>
      <c r="L301" s="21">
        <f t="shared" si="25"/>
        <v>6</v>
      </c>
      <c r="M301" s="19"/>
      <c r="N301" s="19"/>
      <c r="O301" s="19"/>
      <c r="P301" s="19"/>
      <c r="Q301" s="19"/>
      <c r="R301" s="19"/>
      <c r="S301" s="25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33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>
        <v>3</v>
      </c>
      <c r="DO301" s="19"/>
      <c r="DP301" s="19"/>
      <c r="DQ301" s="19"/>
      <c r="DR301" s="19"/>
      <c r="DS301" s="19">
        <v>3</v>
      </c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33"/>
      <c r="EG301" s="33"/>
      <c r="EH301" s="33"/>
      <c r="EI301" s="33"/>
      <c r="EJ301" s="33"/>
      <c r="EK301" s="19"/>
      <c r="EL301" s="19"/>
    </row>
    <row r="302" spans="1:142" hidden="1" x14ac:dyDescent="0.25">
      <c r="A302" s="19" t="s">
        <v>230</v>
      </c>
      <c r="B302" s="19"/>
      <c r="C302" s="19">
        <v>800</v>
      </c>
      <c r="D302" s="19">
        <v>630</v>
      </c>
      <c r="E302" s="19" t="s">
        <v>169</v>
      </c>
      <c r="F302" s="20"/>
      <c r="G302" s="19"/>
      <c r="H302" s="21"/>
      <c r="I302" s="19">
        <f t="shared" si="26"/>
        <v>0</v>
      </c>
      <c r="J302" s="19">
        <f t="shared" si="27"/>
        <v>16</v>
      </c>
      <c r="K302" s="19">
        <f t="shared" si="24"/>
        <v>2</v>
      </c>
      <c r="L302" s="21">
        <f t="shared" si="25"/>
        <v>18</v>
      </c>
      <c r="M302" s="19"/>
      <c r="N302" s="19"/>
      <c r="O302" s="19"/>
      <c r="P302" s="19"/>
      <c r="Q302" s="19"/>
      <c r="R302" s="19"/>
      <c r="S302" s="25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>
        <v>2</v>
      </c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>
        <v>6</v>
      </c>
      <c r="CB302" s="19">
        <v>6</v>
      </c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33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>
        <v>2</v>
      </c>
      <c r="EC302" s="19"/>
      <c r="ED302" s="19"/>
      <c r="EE302" s="19"/>
      <c r="EF302" s="33">
        <v>2</v>
      </c>
      <c r="EG302" s="33"/>
      <c r="EH302" s="33"/>
      <c r="EI302" s="33"/>
      <c r="EJ302" s="33"/>
      <c r="EK302" s="19"/>
      <c r="EL302" s="19"/>
    </row>
    <row r="303" spans="1:142" hidden="1" x14ac:dyDescent="0.25">
      <c r="A303" s="19" t="s">
        <v>230</v>
      </c>
      <c r="B303" s="19"/>
      <c r="C303" s="19">
        <v>800</v>
      </c>
      <c r="D303" s="19">
        <v>500</v>
      </c>
      <c r="E303" s="19" t="s">
        <v>169</v>
      </c>
      <c r="F303" s="20"/>
      <c r="G303" s="19"/>
      <c r="H303" s="21"/>
      <c r="I303" s="19">
        <f t="shared" si="26"/>
        <v>9</v>
      </c>
      <c r="J303" s="19">
        <f t="shared" si="27"/>
        <v>22</v>
      </c>
      <c r="K303" s="19">
        <f t="shared" si="24"/>
        <v>0</v>
      </c>
      <c r="L303" s="21">
        <f t="shared" si="25"/>
        <v>31</v>
      </c>
      <c r="M303" s="19"/>
      <c r="N303" s="19"/>
      <c r="O303" s="19"/>
      <c r="P303" s="19"/>
      <c r="Q303" s="19"/>
      <c r="R303" s="19"/>
      <c r="S303" s="25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>
        <v>4</v>
      </c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>
        <v>5</v>
      </c>
      <c r="AT303" s="19"/>
      <c r="AU303" s="19"/>
      <c r="AV303" s="19"/>
      <c r="AW303" s="19"/>
      <c r="AX303" s="19"/>
      <c r="AY303" s="19">
        <v>4</v>
      </c>
      <c r="AZ303" s="19"/>
      <c r="BA303" s="19"/>
      <c r="BB303" s="19"/>
      <c r="BC303" s="19"/>
      <c r="BD303" s="19"/>
      <c r="BE303" s="19">
        <v>4</v>
      </c>
      <c r="BF303" s="19">
        <v>4</v>
      </c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>
        <v>5</v>
      </c>
      <c r="CN303" s="19">
        <v>5</v>
      </c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33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33"/>
      <c r="EG303" s="33"/>
      <c r="EH303" s="33"/>
      <c r="EI303" s="33"/>
      <c r="EJ303" s="33"/>
      <c r="EK303" s="19"/>
      <c r="EL303" s="19"/>
    </row>
    <row r="304" spans="1:142" hidden="1" x14ac:dyDescent="0.25">
      <c r="A304" s="19" t="s">
        <v>230</v>
      </c>
      <c r="B304" s="19"/>
      <c r="C304" s="19">
        <v>700</v>
      </c>
      <c r="D304" s="19">
        <v>900</v>
      </c>
      <c r="E304" s="19" t="s">
        <v>169</v>
      </c>
      <c r="F304" s="20"/>
      <c r="G304" s="19"/>
      <c r="H304" s="21"/>
      <c r="I304" s="19">
        <f t="shared" si="26"/>
        <v>0</v>
      </c>
      <c r="J304" s="19">
        <f t="shared" si="27"/>
        <v>1</v>
      </c>
      <c r="K304" s="19">
        <f t="shared" si="24"/>
        <v>0</v>
      </c>
      <c r="L304" s="21">
        <f t="shared" si="25"/>
        <v>1</v>
      </c>
      <c r="M304" s="19"/>
      <c r="N304" s="19"/>
      <c r="O304" s="19"/>
      <c r="P304" s="19"/>
      <c r="Q304" s="19"/>
      <c r="R304" s="19"/>
      <c r="S304" s="25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>
        <v>1</v>
      </c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33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33"/>
      <c r="EG304" s="33"/>
      <c r="EH304" s="33"/>
      <c r="EI304" s="33"/>
      <c r="EJ304" s="33"/>
      <c r="EK304" s="19"/>
      <c r="EL304" s="19"/>
    </row>
    <row r="305" spans="1:142" hidden="1" x14ac:dyDescent="0.25">
      <c r="A305" s="19" t="s">
        <v>230</v>
      </c>
      <c r="B305" s="19"/>
      <c r="C305" s="19">
        <v>630</v>
      </c>
      <c r="D305" s="19">
        <v>630</v>
      </c>
      <c r="E305" s="19" t="s">
        <v>169</v>
      </c>
      <c r="F305" s="20"/>
      <c r="G305" s="19"/>
      <c r="H305" s="21"/>
      <c r="I305" s="19">
        <f t="shared" si="26"/>
        <v>4</v>
      </c>
      <c r="J305" s="19">
        <f t="shared" si="27"/>
        <v>0</v>
      </c>
      <c r="K305" s="19">
        <f t="shared" si="24"/>
        <v>0</v>
      </c>
      <c r="L305" s="21">
        <f t="shared" si="25"/>
        <v>4</v>
      </c>
      <c r="M305" s="19"/>
      <c r="N305" s="19"/>
      <c r="O305" s="19"/>
      <c r="P305" s="19"/>
      <c r="Q305" s="19"/>
      <c r="R305" s="19"/>
      <c r="S305" s="25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>
        <v>4</v>
      </c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33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33"/>
      <c r="EG305" s="33"/>
      <c r="EH305" s="33"/>
      <c r="EI305" s="33"/>
      <c r="EJ305" s="33"/>
      <c r="EK305" s="19"/>
      <c r="EL305" s="19"/>
    </row>
    <row r="306" spans="1:142" hidden="1" x14ac:dyDescent="0.25">
      <c r="A306" s="19" t="s">
        <v>230</v>
      </c>
      <c r="B306" s="19"/>
      <c r="C306" s="19">
        <v>630</v>
      </c>
      <c r="D306" s="19">
        <v>500</v>
      </c>
      <c r="E306" s="19" t="s">
        <v>169</v>
      </c>
      <c r="F306" s="20"/>
      <c r="G306" s="19"/>
      <c r="H306" s="21"/>
      <c r="I306" s="19">
        <f t="shared" si="26"/>
        <v>0</v>
      </c>
      <c r="J306" s="19">
        <f t="shared" si="27"/>
        <v>14</v>
      </c>
      <c r="K306" s="19">
        <f t="shared" si="24"/>
        <v>0</v>
      </c>
      <c r="L306" s="21">
        <f t="shared" si="25"/>
        <v>14</v>
      </c>
      <c r="M306" s="19"/>
      <c r="N306" s="19"/>
      <c r="O306" s="19"/>
      <c r="P306" s="19"/>
      <c r="Q306" s="19"/>
      <c r="R306" s="19"/>
      <c r="S306" s="25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33"/>
      <c r="CZ306" s="19">
        <v>7</v>
      </c>
      <c r="DA306" s="19">
        <v>7</v>
      </c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33"/>
      <c r="EG306" s="33"/>
      <c r="EH306" s="33"/>
      <c r="EI306" s="33"/>
      <c r="EJ306" s="33"/>
      <c r="EK306" s="19"/>
      <c r="EL306" s="19"/>
    </row>
    <row r="307" spans="1:142" hidden="1" x14ac:dyDescent="0.25">
      <c r="A307" s="19" t="s">
        <v>230</v>
      </c>
      <c r="B307" s="19"/>
      <c r="C307" s="19">
        <v>630</v>
      </c>
      <c r="D307" s="19">
        <v>400</v>
      </c>
      <c r="E307" s="19" t="s">
        <v>169</v>
      </c>
      <c r="F307" s="20"/>
      <c r="G307" s="19"/>
      <c r="H307" s="21"/>
      <c r="I307" s="19">
        <f t="shared" si="26"/>
        <v>0</v>
      </c>
      <c r="J307" s="19">
        <f t="shared" si="27"/>
        <v>12</v>
      </c>
      <c r="K307" s="19">
        <f t="shared" si="24"/>
        <v>0</v>
      </c>
      <c r="L307" s="21">
        <f t="shared" si="25"/>
        <v>12</v>
      </c>
      <c r="M307" s="19"/>
      <c r="N307" s="19"/>
      <c r="O307" s="19"/>
      <c r="P307" s="19"/>
      <c r="Q307" s="19"/>
      <c r="R307" s="19"/>
      <c r="S307" s="25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>
        <v>2</v>
      </c>
      <c r="BJ307" s="19"/>
      <c r="BK307" s="19">
        <v>2</v>
      </c>
      <c r="BL307" s="19"/>
      <c r="BM307" s="19">
        <v>2</v>
      </c>
      <c r="BN307" s="19"/>
      <c r="BO307" s="19">
        <v>2</v>
      </c>
      <c r="BP307" s="19"/>
      <c r="BQ307" s="19">
        <v>2</v>
      </c>
      <c r="BR307" s="19"/>
      <c r="BS307" s="19">
        <v>2</v>
      </c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33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33"/>
      <c r="EG307" s="33"/>
      <c r="EH307" s="33"/>
      <c r="EI307" s="33"/>
      <c r="EJ307" s="33"/>
      <c r="EK307" s="19"/>
      <c r="EL307" s="19"/>
    </row>
    <row r="308" spans="1:142" hidden="1" x14ac:dyDescent="0.25">
      <c r="A308" s="19" t="s">
        <v>230</v>
      </c>
      <c r="B308" s="19"/>
      <c r="C308" s="19">
        <v>500</v>
      </c>
      <c r="D308" s="19">
        <v>400</v>
      </c>
      <c r="E308" s="19" t="s">
        <v>169</v>
      </c>
      <c r="F308" s="20"/>
      <c r="G308" s="19"/>
      <c r="H308" s="21"/>
      <c r="I308" s="19">
        <f t="shared" si="26"/>
        <v>8</v>
      </c>
      <c r="J308" s="19">
        <f t="shared" si="27"/>
        <v>0</v>
      </c>
      <c r="K308" s="19">
        <f t="shared" si="24"/>
        <v>0</v>
      </c>
      <c r="L308" s="21">
        <f t="shared" si="25"/>
        <v>8</v>
      </c>
      <c r="M308" s="19"/>
      <c r="N308" s="19"/>
      <c r="O308" s="19"/>
      <c r="P308" s="19"/>
      <c r="Q308" s="19"/>
      <c r="R308" s="19"/>
      <c r="S308" s="25"/>
      <c r="T308" s="19"/>
      <c r="U308" s="19"/>
      <c r="V308" s="19"/>
      <c r="W308" s="19"/>
      <c r="X308" s="19"/>
      <c r="Y308" s="19"/>
      <c r="Z308" s="19">
        <v>4</v>
      </c>
      <c r="AA308" s="19"/>
      <c r="AB308" s="19"/>
      <c r="AC308" s="19"/>
      <c r="AD308" s="19"/>
      <c r="AE308" s="19"/>
      <c r="AF308" s="19"/>
      <c r="AG308" s="19">
        <v>4</v>
      </c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33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33"/>
      <c r="EG308" s="33"/>
      <c r="EH308" s="33"/>
      <c r="EI308" s="33"/>
      <c r="EJ308" s="33"/>
      <c r="EK308" s="19"/>
      <c r="EL308" s="19"/>
    </row>
    <row r="309" spans="1:142" hidden="1" x14ac:dyDescent="0.25">
      <c r="A309" s="19" t="s">
        <v>230</v>
      </c>
      <c r="B309" s="19"/>
      <c r="C309" s="19">
        <v>500</v>
      </c>
      <c r="D309" s="19">
        <v>320</v>
      </c>
      <c r="E309" s="19" t="s">
        <v>169</v>
      </c>
      <c r="F309" s="20"/>
      <c r="G309" s="19"/>
      <c r="H309" s="21"/>
      <c r="I309" s="19">
        <f t="shared" si="26"/>
        <v>4</v>
      </c>
      <c r="J309" s="19">
        <f t="shared" si="27"/>
        <v>2</v>
      </c>
      <c r="K309" s="19">
        <f t="shared" si="24"/>
        <v>0</v>
      </c>
      <c r="L309" s="21">
        <f t="shared" si="25"/>
        <v>6</v>
      </c>
      <c r="M309" s="19"/>
      <c r="N309" s="19"/>
      <c r="O309" s="19"/>
      <c r="P309" s="19"/>
      <c r="Q309" s="19"/>
      <c r="R309" s="19"/>
      <c r="S309" s="25"/>
      <c r="T309" s="19"/>
      <c r="U309" s="19"/>
      <c r="V309" s="19"/>
      <c r="W309" s="19"/>
      <c r="X309" s="19">
        <v>4</v>
      </c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>
        <v>2</v>
      </c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33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33"/>
      <c r="EG309" s="33"/>
      <c r="EH309" s="33"/>
      <c r="EI309" s="33"/>
      <c r="EJ309" s="33"/>
      <c r="EK309" s="19"/>
      <c r="EL309" s="19"/>
    </row>
    <row r="310" spans="1:142" hidden="1" x14ac:dyDescent="0.25">
      <c r="A310" s="19" t="s">
        <v>230</v>
      </c>
      <c r="B310" s="19"/>
      <c r="C310" s="19">
        <v>500</v>
      </c>
      <c r="D310" s="19">
        <v>250</v>
      </c>
      <c r="E310" s="19" t="s">
        <v>169</v>
      </c>
      <c r="F310" s="20"/>
      <c r="G310" s="19"/>
      <c r="H310" s="21"/>
      <c r="I310" s="19">
        <f t="shared" si="26"/>
        <v>11</v>
      </c>
      <c r="J310" s="19">
        <f t="shared" si="27"/>
        <v>9</v>
      </c>
      <c r="K310" s="19">
        <f t="shared" si="24"/>
        <v>4</v>
      </c>
      <c r="L310" s="21">
        <f t="shared" si="25"/>
        <v>24</v>
      </c>
      <c r="M310" s="19"/>
      <c r="N310" s="19"/>
      <c r="O310" s="19">
        <v>5</v>
      </c>
      <c r="P310" s="19">
        <v>6</v>
      </c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>
        <v>5</v>
      </c>
      <c r="CB310" s="19">
        <v>4</v>
      </c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33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33"/>
      <c r="EG310" s="33"/>
      <c r="EH310" s="33"/>
      <c r="EI310" s="33">
        <v>4</v>
      </c>
      <c r="EJ310" s="33"/>
      <c r="EK310" s="19"/>
      <c r="EL310" s="19"/>
    </row>
    <row r="311" spans="1:142" hidden="1" x14ac:dyDescent="0.25">
      <c r="A311" s="19" t="s">
        <v>230</v>
      </c>
      <c r="B311" s="19"/>
      <c r="C311" s="19">
        <v>400</v>
      </c>
      <c r="D311" s="19">
        <v>400</v>
      </c>
      <c r="E311" s="19" t="s">
        <v>169</v>
      </c>
      <c r="F311" s="20"/>
      <c r="G311" s="19"/>
      <c r="H311" s="21"/>
      <c r="I311" s="19">
        <f t="shared" si="26"/>
        <v>0</v>
      </c>
      <c r="J311" s="19">
        <f t="shared" si="27"/>
        <v>2</v>
      </c>
      <c r="K311" s="19">
        <f t="shared" si="24"/>
        <v>0</v>
      </c>
      <c r="L311" s="21">
        <f t="shared" si="25"/>
        <v>2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33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>
        <v>1</v>
      </c>
      <c r="DR311" s="19"/>
      <c r="DS311" s="19"/>
      <c r="DT311" s="19"/>
      <c r="DU311" s="19"/>
      <c r="DV311" s="19"/>
      <c r="DW311" s="19"/>
      <c r="DX311" s="19">
        <v>1</v>
      </c>
      <c r="DY311" s="19"/>
      <c r="DZ311" s="19"/>
      <c r="EA311" s="19"/>
      <c r="EB311" s="19"/>
      <c r="EC311" s="19"/>
      <c r="ED311" s="19"/>
      <c r="EE311" s="19"/>
      <c r="EF311" s="33"/>
      <c r="EG311" s="33"/>
      <c r="EH311" s="33"/>
      <c r="EI311" s="33"/>
      <c r="EJ311" s="33"/>
      <c r="EK311" s="19"/>
      <c r="EL311" s="19"/>
    </row>
    <row r="312" spans="1:142" hidden="1" x14ac:dyDescent="0.25">
      <c r="A312" s="19" t="s">
        <v>230</v>
      </c>
      <c r="B312" s="19"/>
      <c r="C312" s="19">
        <v>400</v>
      </c>
      <c r="D312" s="19">
        <v>320</v>
      </c>
      <c r="E312" s="19" t="s">
        <v>169</v>
      </c>
      <c r="F312" s="20"/>
      <c r="G312" s="19"/>
      <c r="H312" s="21"/>
      <c r="I312" s="19">
        <f t="shared" si="26"/>
        <v>1</v>
      </c>
      <c r="J312" s="19">
        <f t="shared" si="27"/>
        <v>3</v>
      </c>
      <c r="K312" s="19">
        <f t="shared" si="24"/>
        <v>0</v>
      </c>
      <c r="L312" s="21">
        <f t="shared" si="25"/>
        <v>4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>
        <v>1</v>
      </c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25">
        <v>3</v>
      </c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33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33"/>
      <c r="EG312" s="33"/>
      <c r="EH312" s="33"/>
      <c r="EI312" s="33"/>
      <c r="EJ312" s="33"/>
      <c r="EK312" s="19"/>
      <c r="EL312" s="19"/>
    </row>
    <row r="313" spans="1:142" hidden="1" x14ac:dyDescent="0.25">
      <c r="A313" s="25" t="s">
        <v>230</v>
      </c>
      <c r="B313" s="25"/>
      <c r="C313" s="25">
        <v>400</v>
      </c>
      <c r="D313" s="25">
        <v>300</v>
      </c>
      <c r="E313" s="25" t="s">
        <v>169</v>
      </c>
      <c r="F313" s="26"/>
      <c r="G313" s="25"/>
      <c r="H313" s="28"/>
      <c r="I313" s="19">
        <f t="shared" si="26"/>
        <v>0</v>
      </c>
      <c r="J313" s="19">
        <f t="shared" si="27"/>
        <v>2</v>
      </c>
      <c r="K313" s="19">
        <f t="shared" si="24"/>
        <v>0</v>
      </c>
      <c r="L313" s="21">
        <f t="shared" si="25"/>
        <v>2</v>
      </c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25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33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>
        <v>2</v>
      </c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33"/>
      <c r="EG313" s="33"/>
      <c r="EH313" s="33"/>
      <c r="EI313" s="33"/>
      <c r="EJ313" s="33"/>
      <c r="EK313" s="19"/>
      <c r="EL313" s="19"/>
    </row>
    <row r="314" spans="1:142" hidden="1" x14ac:dyDescent="0.25">
      <c r="A314" s="19" t="s">
        <v>230</v>
      </c>
      <c r="B314" s="19"/>
      <c r="C314" s="19">
        <v>320</v>
      </c>
      <c r="D314" s="19">
        <v>200</v>
      </c>
      <c r="E314" s="19" t="s">
        <v>169</v>
      </c>
      <c r="F314" s="20"/>
      <c r="G314" s="19"/>
      <c r="H314" s="21"/>
      <c r="I314" s="19">
        <f t="shared" si="26"/>
        <v>30</v>
      </c>
      <c r="J314" s="19">
        <f t="shared" si="27"/>
        <v>0</v>
      </c>
      <c r="K314" s="19">
        <f t="shared" si="24"/>
        <v>0</v>
      </c>
      <c r="L314" s="21">
        <f t="shared" si="25"/>
        <v>30</v>
      </c>
      <c r="M314" s="19"/>
      <c r="N314" s="19"/>
      <c r="O314" s="19"/>
      <c r="P314" s="19"/>
      <c r="Q314" s="19"/>
      <c r="R314" s="19"/>
      <c r="S314" s="19"/>
      <c r="T314" s="19"/>
      <c r="U314" s="19"/>
      <c r="V314" s="19">
        <v>10</v>
      </c>
      <c r="W314" s="19"/>
      <c r="X314" s="19"/>
      <c r="Y314" s="19"/>
      <c r="Z314" s="19"/>
      <c r="AA314" s="19"/>
      <c r="AB314" s="19">
        <v>20</v>
      </c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33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33"/>
      <c r="EG314" s="33"/>
      <c r="EH314" s="33"/>
      <c r="EI314" s="33"/>
      <c r="EJ314" s="33"/>
      <c r="EK314" s="19"/>
      <c r="EL314" s="19"/>
    </row>
    <row r="315" spans="1:142" ht="112" hidden="1" x14ac:dyDescent="0.25">
      <c r="A315" s="19" t="s">
        <v>231</v>
      </c>
      <c r="B315" s="19"/>
      <c r="C315" s="39" t="s">
        <v>232</v>
      </c>
      <c r="D315" s="39"/>
      <c r="E315" s="19" t="s">
        <v>169</v>
      </c>
      <c r="F315" s="20" t="s">
        <v>233</v>
      </c>
      <c r="G315" s="19"/>
      <c r="H315" s="21"/>
      <c r="I315" s="19">
        <f t="shared" si="26"/>
        <v>0</v>
      </c>
      <c r="J315" s="19">
        <f t="shared" si="27"/>
        <v>3</v>
      </c>
      <c r="K315" s="19">
        <f t="shared" si="24"/>
        <v>0</v>
      </c>
      <c r="L315" s="21">
        <f t="shared" si="25"/>
        <v>3</v>
      </c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>
        <v>1</v>
      </c>
      <c r="CP315" s="19"/>
      <c r="CQ315" s="19"/>
      <c r="CR315" s="19"/>
      <c r="CS315" s="19"/>
      <c r="CT315" s="19"/>
      <c r="CU315" s="19"/>
      <c r="CV315" s="19"/>
      <c r="CW315" s="19"/>
      <c r="CX315" s="19">
        <v>1</v>
      </c>
      <c r="CY315" s="33"/>
      <c r="CZ315" s="19"/>
      <c r="DA315" s="19"/>
      <c r="DB315" s="19"/>
      <c r="DC315" s="19"/>
      <c r="DD315" s="19"/>
      <c r="DE315" s="19"/>
      <c r="DF315" s="19"/>
      <c r="DG315" s="19">
        <v>1</v>
      </c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33"/>
      <c r="EG315" s="33"/>
      <c r="EH315" s="33"/>
      <c r="EI315" s="33"/>
      <c r="EJ315" s="33"/>
      <c r="EK315" s="19"/>
      <c r="EL315" s="19"/>
    </row>
    <row r="316" spans="1:142" ht="52" hidden="1" customHeight="1" x14ac:dyDescent="0.25">
      <c r="A316" s="19" t="s">
        <v>234</v>
      </c>
      <c r="B316" s="19"/>
      <c r="C316" s="39" t="s">
        <v>232</v>
      </c>
      <c r="D316" s="39"/>
      <c r="E316" s="19" t="s">
        <v>169</v>
      </c>
      <c r="F316" s="36" t="s">
        <v>235</v>
      </c>
      <c r="G316" s="19"/>
      <c r="H316" s="21"/>
      <c r="I316" s="19">
        <f t="shared" si="26"/>
        <v>0</v>
      </c>
      <c r="J316" s="19">
        <f t="shared" si="27"/>
        <v>1</v>
      </c>
      <c r="K316" s="19">
        <f t="shared" si="24"/>
        <v>0</v>
      </c>
      <c r="L316" s="21">
        <f t="shared" si="25"/>
        <v>1</v>
      </c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>
        <v>1</v>
      </c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33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33"/>
      <c r="EG316" s="33"/>
      <c r="EH316" s="33"/>
      <c r="EI316" s="33"/>
      <c r="EJ316" s="33"/>
      <c r="EK316" s="19"/>
      <c r="EL316" s="19"/>
    </row>
    <row r="317" spans="1:142" ht="52" hidden="1" customHeight="1" x14ac:dyDescent="0.25">
      <c r="A317" s="19" t="s">
        <v>234</v>
      </c>
      <c r="B317" s="19"/>
      <c r="C317" s="39" t="s">
        <v>236</v>
      </c>
      <c r="D317" s="39"/>
      <c r="E317" s="19" t="s">
        <v>169</v>
      </c>
      <c r="F317" s="38"/>
      <c r="G317" s="19"/>
      <c r="H317" s="21"/>
      <c r="I317" s="19">
        <f t="shared" si="26"/>
        <v>7</v>
      </c>
      <c r="J317" s="19">
        <f t="shared" si="27"/>
        <v>0</v>
      </c>
      <c r="K317" s="19">
        <f t="shared" si="24"/>
        <v>8</v>
      </c>
      <c r="L317" s="21">
        <f t="shared" si="25"/>
        <v>15</v>
      </c>
      <c r="M317" s="19"/>
      <c r="N317" s="19"/>
      <c r="O317" s="19">
        <v>3</v>
      </c>
      <c r="P317" s="19">
        <v>4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33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33"/>
      <c r="EG317" s="33"/>
      <c r="EH317" s="33">
        <v>8</v>
      </c>
      <c r="EI317" s="33"/>
      <c r="EJ317" s="33"/>
      <c r="EK317" s="19"/>
      <c r="EL317" s="19"/>
    </row>
    <row r="318" spans="1:142" x14ac:dyDescent="0.25">
      <c r="A318" s="19" t="s">
        <v>237</v>
      </c>
      <c r="B318" s="19"/>
      <c r="C318" s="19">
        <v>1000</v>
      </c>
      <c r="D318" s="19">
        <v>800</v>
      </c>
      <c r="E318" s="19" t="s">
        <v>169</v>
      </c>
      <c r="F318" s="20"/>
      <c r="G318" s="19"/>
      <c r="H318" s="21"/>
      <c r="I318" s="19">
        <f t="shared" si="26"/>
        <v>0</v>
      </c>
      <c r="J318" s="19">
        <f t="shared" si="27"/>
        <v>6</v>
      </c>
      <c r="K318" s="19">
        <f t="shared" si="24"/>
        <v>0</v>
      </c>
      <c r="L318" s="21">
        <f t="shared" si="25"/>
        <v>6</v>
      </c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>
        <v>1</v>
      </c>
      <c r="CD318" s="19"/>
      <c r="CE318" s="19"/>
      <c r="CF318" s="19"/>
      <c r="CG318" s="19"/>
      <c r="CH318" s="19"/>
      <c r="CI318" s="19"/>
      <c r="CJ318" s="19">
        <v>1</v>
      </c>
      <c r="CK318" s="19"/>
      <c r="CL318" s="19"/>
      <c r="CM318" s="19"/>
      <c r="CN318" s="19"/>
      <c r="CO318" s="19"/>
      <c r="CP318" s="19">
        <v>1</v>
      </c>
      <c r="CQ318" s="19">
        <v>1</v>
      </c>
      <c r="CR318" s="19">
        <v>1</v>
      </c>
      <c r="CS318" s="19"/>
      <c r="CT318" s="19"/>
      <c r="CU318" s="19"/>
      <c r="CV318" s="19"/>
      <c r="CW318" s="19"/>
      <c r="CX318" s="19"/>
      <c r="CY318" s="33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>
        <v>1</v>
      </c>
      <c r="EB318" s="19"/>
      <c r="EC318" s="19"/>
      <c r="ED318" s="19"/>
      <c r="EE318" s="19"/>
      <c r="EF318" s="33"/>
      <c r="EG318" s="33"/>
      <c r="EH318" s="33"/>
      <c r="EI318" s="33"/>
      <c r="EJ318" s="33"/>
      <c r="EK318" s="19"/>
      <c r="EL318" s="19"/>
    </row>
    <row r="319" spans="1:142" hidden="1" x14ac:dyDescent="0.25">
      <c r="A319" s="19" t="s">
        <v>86</v>
      </c>
      <c r="B319" s="19"/>
      <c r="C319" s="19">
        <v>500</v>
      </c>
      <c r="D319" s="19">
        <v>400</v>
      </c>
      <c r="E319" s="19" t="s">
        <v>169</v>
      </c>
      <c r="F319" s="20"/>
      <c r="G319" s="19"/>
      <c r="H319" s="21"/>
      <c r="I319" s="19">
        <f>SUM(M319:AV319)</f>
        <v>0</v>
      </c>
      <c r="J319" s="19">
        <f>SUM(AW319:EE319)</f>
        <v>1</v>
      </c>
      <c r="K319" s="19">
        <f>SUM(EF319:EM319)</f>
        <v>0</v>
      </c>
      <c r="L319" s="21">
        <f>SUM(M319:EM319)</f>
        <v>1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>
        <v>1</v>
      </c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33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33"/>
      <c r="EG319" s="33"/>
      <c r="EH319" s="33"/>
      <c r="EI319" s="33"/>
      <c r="EJ319" s="33"/>
      <c r="EK319" s="19"/>
      <c r="EL319" s="19"/>
    </row>
    <row r="320" spans="1:142" hidden="1" x14ac:dyDescent="0.25">
      <c r="A320" s="19" t="s">
        <v>238</v>
      </c>
      <c r="B320" s="19"/>
      <c r="C320" s="24" t="s">
        <v>159</v>
      </c>
      <c r="D320" s="19">
        <v>400</v>
      </c>
      <c r="E320" s="19" t="s">
        <v>169</v>
      </c>
      <c r="F320" s="20"/>
      <c r="G320" s="19"/>
      <c r="H320" s="21"/>
      <c r="I320" s="19">
        <f>SUM(M320:AV320)</f>
        <v>1</v>
      </c>
      <c r="J320" s="19">
        <f>SUM(AW320:EE320)</f>
        <v>0</v>
      </c>
      <c r="K320" s="19">
        <f>SUM(EF320:EM320)</f>
        <v>0</v>
      </c>
      <c r="L320" s="21">
        <f>SUM(M320:EM320)</f>
        <v>1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19">
        <v>1</v>
      </c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33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33"/>
      <c r="EG320" s="33"/>
      <c r="EH320" s="33"/>
      <c r="EI320" s="33"/>
      <c r="EJ320" s="33"/>
      <c r="EK320" s="19"/>
      <c r="EL320" s="19"/>
    </row>
    <row r="321" spans="1:142" hidden="1" x14ac:dyDescent="0.25">
      <c r="A321" s="19" t="s">
        <v>238</v>
      </c>
      <c r="B321" s="19"/>
      <c r="C321" s="24" t="s">
        <v>159</v>
      </c>
      <c r="D321" s="19">
        <v>300</v>
      </c>
      <c r="E321" s="19" t="s">
        <v>169</v>
      </c>
      <c r="F321" s="20"/>
      <c r="G321" s="19"/>
      <c r="H321" s="21"/>
      <c r="I321" s="19">
        <f>SUM(M321:AV321)</f>
        <v>1</v>
      </c>
      <c r="J321" s="19">
        <f t="shared" ref="J321:J359" si="28">SUM(AW321:EE321)</f>
        <v>0</v>
      </c>
      <c r="K321" s="19">
        <f t="shared" ref="K321:K359" si="29">SUM(EF321:EM321)</f>
        <v>0</v>
      </c>
      <c r="L321" s="21">
        <f t="shared" ref="L321:L359" si="30">SUM(M321:EM321)</f>
        <v>1</v>
      </c>
      <c r="M321" s="19"/>
      <c r="N321" s="19"/>
      <c r="O321" s="19"/>
      <c r="P321" s="19"/>
      <c r="Q321" s="19"/>
      <c r="R321" s="19"/>
      <c r="S321" s="19"/>
      <c r="T321" s="19"/>
      <c r="U321" s="19"/>
      <c r="V321" s="19">
        <v>1</v>
      </c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33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33"/>
      <c r="EG321" s="33"/>
      <c r="EH321" s="33"/>
      <c r="EI321" s="33"/>
      <c r="EJ321" s="33"/>
      <c r="EK321" s="19"/>
      <c r="EL321" s="19"/>
    </row>
    <row r="322" spans="1:142" hidden="1" x14ac:dyDescent="0.25">
      <c r="A322" s="19" t="s">
        <v>239</v>
      </c>
      <c r="B322" s="19"/>
      <c r="C322" s="19">
        <v>2100</v>
      </c>
      <c r="D322" s="19">
        <v>900</v>
      </c>
      <c r="E322" s="19" t="s">
        <v>169</v>
      </c>
      <c r="F322" s="20"/>
      <c r="G322" s="19"/>
      <c r="H322" s="21"/>
      <c r="I322" s="19">
        <f t="shared" ref="I322:I359" si="31">SUM(M322:AV322)</f>
        <v>0</v>
      </c>
      <c r="J322" s="19">
        <f t="shared" si="28"/>
        <v>1</v>
      </c>
      <c r="K322" s="19">
        <f t="shared" si="29"/>
        <v>0</v>
      </c>
      <c r="L322" s="21">
        <f t="shared" si="30"/>
        <v>1</v>
      </c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33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>
        <v>1</v>
      </c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33"/>
      <c r="EG322" s="33"/>
      <c r="EH322" s="33"/>
      <c r="EI322" s="33"/>
      <c r="EJ322" s="33"/>
      <c r="EK322" s="19"/>
      <c r="EL322" s="19"/>
    </row>
    <row r="323" spans="1:142" hidden="1" x14ac:dyDescent="0.25">
      <c r="A323" s="19" t="s">
        <v>239</v>
      </c>
      <c r="B323" s="19"/>
      <c r="C323" s="19">
        <v>1700</v>
      </c>
      <c r="D323" s="19">
        <v>600</v>
      </c>
      <c r="E323" s="19" t="s">
        <v>169</v>
      </c>
      <c r="F323" s="20"/>
      <c r="G323" s="19"/>
      <c r="H323" s="21"/>
      <c r="I323" s="19">
        <f t="shared" si="31"/>
        <v>8</v>
      </c>
      <c r="J323" s="19">
        <f t="shared" si="28"/>
        <v>20</v>
      </c>
      <c r="K323" s="19">
        <f t="shared" si="29"/>
        <v>0</v>
      </c>
      <c r="L323" s="21">
        <f t="shared" si="30"/>
        <v>28</v>
      </c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>
        <v>1</v>
      </c>
      <c r="X323" s="19"/>
      <c r="Y323" s="19">
        <v>1</v>
      </c>
      <c r="Z323" s="19"/>
      <c r="AA323" s="19"/>
      <c r="AB323" s="19"/>
      <c r="AC323" s="19"/>
      <c r="AD323" s="19"/>
      <c r="AE323" s="19">
        <v>1</v>
      </c>
      <c r="AF323" s="19">
        <v>1</v>
      </c>
      <c r="AG323" s="19"/>
      <c r="AH323" s="19"/>
      <c r="AI323" s="19"/>
      <c r="AJ323" s="19"/>
      <c r="AK323" s="19"/>
      <c r="AL323" s="19"/>
      <c r="AM323" s="19"/>
      <c r="AN323" s="19">
        <v>1</v>
      </c>
      <c r="AO323" s="19">
        <v>1</v>
      </c>
      <c r="AP323" s="19"/>
      <c r="AQ323" s="19"/>
      <c r="AR323" s="19"/>
      <c r="AS323" s="19">
        <v>1</v>
      </c>
      <c r="AT323" s="19">
        <v>1</v>
      </c>
      <c r="AU323" s="19"/>
      <c r="AV323" s="19"/>
      <c r="AW323" s="19"/>
      <c r="AX323" s="19"/>
      <c r="AY323" s="19">
        <v>1</v>
      </c>
      <c r="AZ323" s="19">
        <v>1</v>
      </c>
      <c r="BA323" s="19"/>
      <c r="BB323" s="19"/>
      <c r="BC323" s="19"/>
      <c r="BD323" s="19"/>
      <c r="BE323" s="19">
        <v>1</v>
      </c>
      <c r="BF323" s="19">
        <v>1</v>
      </c>
      <c r="BG323" s="19">
        <v>1</v>
      </c>
      <c r="BH323" s="19">
        <v>1</v>
      </c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>
        <v>1</v>
      </c>
      <c r="CN323" s="19">
        <v>1</v>
      </c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33"/>
      <c r="CZ323" s="19">
        <v>2</v>
      </c>
      <c r="DA323" s="19">
        <v>2</v>
      </c>
      <c r="DB323" s="19"/>
      <c r="DC323" s="19"/>
      <c r="DD323" s="19"/>
      <c r="DE323" s="19"/>
      <c r="DF323" s="19"/>
      <c r="DG323" s="19"/>
      <c r="DH323" s="19">
        <v>2</v>
      </c>
      <c r="DI323" s="19">
        <v>1</v>
      </c>
      <c r="DJ323" s="19"/>
      <c r="DK323" s="19"/>
      <c r="DL323" s="19"/>
      <c r="DM323" s="19"/>
      <c r="DN323" s="19"/>
      <c r="DO323" s="19">
        <v>2</v>
      </c>
      <c r="DP323" s="19">
        <v>2</v>
      </c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>
        <v>1</v>
      </c>
      <c r="EF323" s="33"/>
      <c r="EG323" s="33"/>
      <c r="EH323" s="33"/>
      <c r="EI323" s="33"/>
      <c r="EJ323" s="33"/>
      <c r="EK323" s="19"/>
      <c r="EL323" s="19"/>
    </row>
    <row r="324" spans="1:142" hidden="1" x14ac:dyDescent="0.25">
      <c r="A324" s="19" t="s">
        <v>239</v>
      </c>
      <c r="B324" s="19"/>
      <c r="C324" s="19">
        <v>1500</v>
      </c>
      <c r="D324" s="19">
        <v>1100</v>
      </c>
      <c r="E324" s="19" t="s">
        <v>169</v>
      </c>
      <c r="F324" s="20"/>
      <c r="G324" s="19"/>
      <c r="H324" s="21"/>
      <c r="I324" s="19">
        <f t="shared" si="31"/>
        <v>1</v>
      </c>
      <c r="J324" s="19">
        <f t="shared" si="28"/>
        <v>0</v>
      </c>
      <c r="K324" s="19">
        <f t="shared" si="29"/>
        <v>0</v>
      </c>
      <c r="L324" s="21">
        <f t="shared" si="30"/>
        <v>1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>
        <v>1</v>
      </c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33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33"/>
      <c r="EG324" s="33"/>
      <c r="EH324" s="33"/>
      <c r="EI324" s="33"/>
      <c r="EJ324" s="33"/>
      <c r="EK324" s="19"/>
      <c r="EL324" s="19"/>
    </row>
    <row r="325" spans="1:142" hidden="1" x14ac:dyDescent="0.25">
      <c r="A325" s="19" t="s">
        <v>239</v>
      </c>
      <c r="B325" s="19"/>
      <c r="C325" s="19">
        <v>1500</v>
      </c>
      <c r="D325" s="19">
        <v>900</v>
      </c>
      <c r="E325" s="19" t="s">
        <v>169</v>
      </c>
      <c r="F325" s="20"/>
      <c r="G325" s="19"/>
      <c r="H325" s="21"/>
      <c r="I325" s="19">
        <f t="shared" si="31"/>
        <v>0</v>
      </c>
      <c r="J325" s="19">
        <f t="shared" si="28"/>
        <v>1</v>
      </c>
      <c r="K325" s="19">
        <f t="shared" si="29"/>
        <v>0</v>
      </c>
      <c r="L325" s="21">
        <f t="shared" si="30"/>
        <v>1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33"/>
      <c r="CZ325" s="19"/>
      <c r="DA325" s="19"/>
      <c r="DB325" s="19"/>
      <c r="DC325" s="19">
        <v>1</v>
      </c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33"/>
      <c r="EG325" s="33"/>
      <c r="EH325" s="33"/>
      <c r="EI325" s="33"/>
      <c r="EJ325" s="33"/>
      <c r="EK325" s="19"/>
      <c r="EL325" s="19"/>
    </row>
    <row r="326" spans="1:142" hidden="1" x14ac:dyDescent="0.25">
      <c r="A326" s="19" t="s">
        <v>239</v>
      </c>
      <c r="B326" s="19"/>
      <c r="C326" s="19">
        <v>1500</v>
      </c>
      <c r="D326" s="19">
        <v>730</v>
      </c>
      <c r="E326" s="19" t="s">
        <v>169</v>
      </c>
      <c r="F326" s="20"/>
      <c r="G326" s="19"/>
      <c r="H326" s="21"/>
      <c r="I326" s="19">
        <f t="shared" si="31"/>
        <v>2</v>
      </c>
      <c r="J326" s="19">
        <f t="shared" si="28"/>
        <v>0</v>
      </c>
      <c r="K326" s="19">
        <f t="shared" si="29"/>
        <v>0</v>
      </c>
      <c r="L326" s="21">
        <f t="shared" si="30"/>
        <v>2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>
        <v>1</v>
      </c>
      <c r="X326" s="19"/>
      <c r="Y326" s="19">
        <v>1</v>
      </c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33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33"/>
      <c r="EG326" s="33"/>
      <c r="EH326" s="33"/>
      <c r="EI326" s="33"/>
      <c r="EJ326" s="33"/>
      <c r="EK326" s="19"/>
      <c r="EL326" s="19"/>
    </row>
    <row r="327" spans="1:142" hidden="1" x14ac:dyDescent="0.25">
      <c r="A327" s="19" t="s">
        <v>239</v>
      </c>
      <c r="B327" s="19"/>
      <c r="C327" s="19">
        <v>1500</v>
      </c>
      <c r="D327" s="19">
        <v>600</v>
      </c>
      <c r="E327" s="19" t="s">
        <v>169</v>
      </c>
      <c r="F327" s="20"/>
      <c r="G327" s="19"/>
      <c r="H327" s="21"/>
      <c r="I327" s="19">
        <f t="shared" si="31"/>
        <v>12</v>
      </c>
      <c r="J327" s="19">
        <f t="shared" si="28"/>
        <v>14</v>
      </c>
      <c r="K327" s="19">
        <f t="shared" si="29"/>
        <v>0</v>
      </c>
      <c r="L327" s="21">
        <f t="shared" si="30"/>
        <v>26</v>
      </c>
      <c r="M327" s="19"/>
      <c r="N327" s="19"/>
      <c r="O327" s="19"/>
      <c r="P327" s="19"/>
      <c r="Q327" s="19"/>
      <c r="R327" s="19"/>
      <c r="S327" s="19"/>
      <c r="T327" s="19"/>
      <c r="U327" s="19">
        <v>1</v>
      </c>
      <c r="V327" s="19"/>
      <c r="W327" s="19"/>
      <c r="X327" s="19"/>
      <c r="Y327" s="19"/>
      <c r="Z327" s="19"/>
      <c r="AA327" s="19">
        <v>1</v>
      </c>
      <c r="AB327" s="19"/>
      <c r="AC327" s="19"/>
      <c r="AD327" s="19">
        <v>1</v>
      </c>
      <c r="AE327" s="19"/>
      <c r="AF327" s="19"/>
      <c r="AG327" s="19"/>
      <c r="AH327" s="19">
        <v>3</v>
      </c>
      <c r="AI327" s="19"/>
      <c r="AJ327" s="19">
        <v>2</v>
      </c>
      <c r="AK327" s="19"/>
      <c r="AL327" s="19">
        <v>1</v>
      </c>
      <c r="AM327" s="19">
        <v>1</v>
      </c>
      <c r="AN327" s="19"/>
      <c r="AO327" s="19"/>
      <c r="AP327" s="19"/>
      <c r="AQ327" s="19">
        <v>1</v>
      </c>
      <c r="AR327" s="19">
        <v>1</v>
      </c>
      <c r="AS327" s="19"/>
      <c r="AT327" s="19"/>
      <c r="AU327" s="19"/>
      <c r="AV327" s="19"/>
      <c r="AW327" s="19">
        <v>1</v>
      </c>
      <c r="AX327" s="19">
        <v>1</v>
      </c>
      <c r="AY327" s="19"/>
      <c r="AZ327" s="19"/>
      <c r="BA327" s="19">
        <v>1</v>
      </c>
      <c r="BB327" s="19">
        <v>1</v>
      </c>
      <c r="BC327" s="19">
        <v>1</v>
      </c>
      <c r="BD327" s="19">
        <v>1</v>
      </c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>
        <v>1</v>
      </c>
      <c r="CG327" s="19">
        <v>1</v>
      </c>
      <c r="CH327" s="19"/>
      <c r="CI327" s="19"/>
      <c r="CJ327" s="19"/>
      <c r="CK327" s="19"/>
      <c r="CL327" s="19"/>
      <c r="CM327" s="19">
        <v>1</v>
      </c>
      <c r="CN327" s="19">
        <v>1</v>
      </c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33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>
        <v>1</v>
      </c>
      <c r="DM327" s="19">
        <v>1</v>
      </c>
      <c r="DN327" s="19"/>
      <c r="DO327" s="19"/>
      <c r="DP327" s="19"/>
      <c r="DQ327" s="19"/>
      <c r="DR327" s="19"/>
      <c r="DS327" s="19"/>
      <c r="DT327" s="19"/>
      <c r="DU327" s="19"/>
      <c r="DV327" s="19"/>
      <c r="DW327" s="19">
        <v>2</v>
      </c>
      <c r="DX327" s="19"/>
      <c r="DY327" s="19"/>
      <c r="DZ327" s="19"/>
      <c r="EA327" s="19"/>
      <c r="EB327" s="19"/>
      <c r="EC327" s="19"/>
      <c r="ED327" s="19"/>
      <c r="EE327" s="19"/>
      <c r="EF327" s="33"/>
      <c r="EG327" s="33"/>
      <c r="EH327" s="33"/>
      <c r="EI327" s="33"/>
      <c r="EJ327" s="33"/>
      <c r="EK327" s="19"/>
      <c r="EL327" s="19"/>
    </row>
    <row r="328" spans="1:142" hidden="1" x14ac:dyDescent="0.25">
      <c r="A328" s="19" t="s">
        <v>239</v>
      </c>
      <c r="B328" s="19"/>
      <c r="C328" s="19">
        <v>1350</v>
      </c>
      <c r="D328" s="19">
        <v>900</v>
      </c>
      <c r="E328" s="19" t="s">
        <v>169</v>
      </c>
      <c r="F328" s="20"/>
      <c r="G328" s="19"/>
      <c r="H328" s="21"/>
      <c r="I328" s="19">
        <f t="shared" si="31"/>
        <v>0</v>
      </c>
      <c r="J328" s="19">
        <f t="shared" si="28"/>
        <v>4</v>
      </c>
      <c r="K328" s="19">
        <f t="shared" si="29"/>
        <v>0</v>
      </c>
      <c r="L328" s="21">
        <f t="shared" si="30"/>
        <v>4</v>
      </c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33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>
        <v>2</v>
      </c>
      <c r="DU328" s="19">
        <v>1</v>
      </c>
      <c r="DV328" s="19">
        <v>1</v>
      </c>
      <c r="DW328" s="19"/>
      <c r="DX328" s="19"/>
      <c r="DY328" s="19"/>
      <c r="DZ328" s="19"/>
      <c r="EA328" s="19"/>
      <c r="EB328" s="19"/>
      <c r="EC328" s="19"/>
      <c r="ED328" s="19"/>
      <c r="EE328" s="19"/>
      <c r="EF328" s="33"/>
      <c r="EG328" s="33"/>
      <c r="EH328" s="33"/>
      <c r="EI328" s="33"/>
      <c r="EJ328" s="33"/>
      <c r="EK328" s="19"/>
      <c r="EL328" s="19"/>
    </row>
    <row r="329" spans="1:142" hidden="1" x14ac:dyDescent="0.25">
      <c r="A329" s="19" t="s">
        <v>239</v>
      </c>
      <c r="B329" s="19"/>
      <c r="C329" s="19">
        <v>1350</v>
      </c>
      <c r="D329" s="19">
        <v>730</v>
      </c>
      <c r="E329" s="19" t="s">
        <v>169</v>
      </c>
      <c r="F329" s="20"/>
      <c r="G329" s="19"/>
      <c r="H329" s="21"/>
      <c r="I329" s="19">
        <f t="shared" si="31"/>
        <v>6</v>
      </c>
      <c r="J329" s="19">
        <f t="shared" si="28"/>
        <v>15</v>
      </c>
      <c r="K329" s="19">
        <f t="shared" si="29"/>
        <v>0</v>
      </c>
      <c r="L329" s="21">
        <f t="shared" si="30"/>
        <v>21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>
        <v>1</v>
      </c>
      <c r="AO329" s="19">
        <v>1</v>
      </c>
      <c r="AP329" s="19"/>
      <c r="AQ329" s="19">
        <v>1</v>
      </c>
      <c r="AR329" s="19">
        <v>1</v>
      </c>
      <c r="AS329" s="19">
        <v>1</v>
      </c>
      <c r="AT329" s="19">
        <v>1</v>
      </c>
      <c r="AU329" s="19"/>
      <c r="AV329" s="19"/>
      <c r="AW329" s="19">
        <v>1</v>
      </c>
      <c r="AX329" s="19">
        <v>1</v>
      </c>
      <c r="AY329" s="19">
        <v>1</v>
      </c>
      <c r="AZ329" s="19">
        <v>1</v>
      </c>
      <c r="BA329" s="19">
        <v>1</v>
      </c>
      <c r="BB329" s="19">
        <v>1</v>
      </c>
      <c r="BC329" s="19">
        <v>1</v>
      </c>
      <c r="BD329" s="19">
        <v>1</v>
      </c>
      <c r="BE329" s="19"/>
      <c r="BF329" s="19"/>
      <c r="BG329" s="19">
        <v>1</v>
      </c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>
        <v>2</v>
      </c>
      <c r="CI329" s="19">
        <v>2</v>
      </c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33"/>
      <c r="CZ329" s="19"/>
      <c r="DA329" s="19"/>
      <c r="DB329" s="19"/>
      <c r="DC329" s="19"/>
      <c r="DD329" s="19"/>
      <c r="DE329" s="19"/>
      <c r="DF329" s="19"/>
      <c r="DG329" s="19"/>
      <c r="DH329" s="19">
        <v>1</v>
      </c>
      <c r="DI329" s="19">
        <v>1</v>
      </c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33"/>
      <c r="EG329" s="33"/>
      <c r="EH329" s="33"/>
      <c r="EI329" s="33"/>
      <c r="EJ329" s="33"/>
      <c r="EK329" s="19"/>
      <c r="EL329" s="19"/>
    </row>
    <row r="330" spans="1:142" hidden="1" x14ac:dyDescent="0.25">
      <c r="A330" s="19" t="s">
        <v>239</v>
      </c>
      <c r="B330" s="19"/>
      <c r="C330" s="19">
        <v>1350</v>
      </c>
      <c r="D330" s="19">
        <v>600</v>
      </c>
      <c r="E330" s="19" t="s">
        <v>169</v>
      </c>
      <c r="F330" s="20"/>
      <c r="G330" s="19"/>
      <c r="H330" s="21"/>
      <c r="I330" s="19">
        <f t="shared" si="31"/>
        <v>0</v>
      </c>
      <c r="J330" s="19">
        <f t="shared" si="28"/>
        <v>4</v>
      </c>
      <c r="K330" s="19">
        <f t="shared" si="29"/>
        <v>1</v>
      </c>
      <c r="L330" s="21">
        <f t="shared" si="30"/>
        <v>5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33">
        <v>1</v>
      </c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>
        <v>2</v>
      </c>
      <c r="DK330" s="19"/>
      <c r="DL330" s="19"/>
      <c r="DM330" s="19"/>
      <c r="DN330" s="19"/>
      <c r="DO330" s="19"/>
      <c r="DP330" s="19">
        <v>1</v>
      </c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33"/>
      <c r="EG330" s="33"/>
      <c r="EH330" s="33">
        <v>1</v>
      </c>
      <c r="EI330" s="33"/>
      <c r="EJ330" s="33"/>
      <c r="EK330" s="19"/>
      <c r="EL330" s="19"/>
    </row>
    <row r="331" spans="1:142" hidden="1" x14ac:dyDescent="0.25">
      <c r="A331" s="19" t="s">
        <v>239</v>
      </c>
      <c r="B331" s="19"/>
      <c r="C331" s="19">
        <v>1350</v>
      </c>
      <c r="D331" s="19">
        <v>500</v>
      </c>
      <c r="E331" s="19" t="s">
        <v>169</v>
      </c>
      <c r="F331" s="20"/>
      <c r="G331" s="19"/>
      <c r="H331" s="21"/>
      <c r="I331" s="19">
        <f t="shared" si="31"/>
        <v>2</v>
      </c>
      <c r="J331" s="19">
        <f t="shared" si="28"/>
        <v>0</v>
      </c>
      <c r="K331" s="19">
        <f t="shared" si="29"/>
        <v>0</v>
      </c>
      <c r="L331" s="21">
        <f t="shared" si="30"/>
        <v>2</v>
      </c>
      <c r="M331" s="19"/>
      <c r="N331" s="19"/>
      <c r="O331" s="19">
        <v>1</v>
      </c>
      <c r="P331" s="19">
        <v>1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33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33"/>
      <c r="EG331" s="33"/>
      <c r="EH331" s="33"/>
      <c r="EI331" s="33"/>
      <c r="EJ331" s="33"/>
      <c r="EK331" s="19"/>
      <c r="EL331" s="19"/>
    </row>
    <row r="332" spans="1:142" hidden="1" x14ac:dyDescent="0.25">
      <c r="A332" s="19" t="s">
        <v>239</v>
      </c>
      <c r="B332" s="19"/>
      <c r="C332" s="19">
        <v>1350</v>
      </c>
      <c r="D332" s="19">
        <v>420</v>
      </c>
      <c r="E332" s="19" t="s">
        <v>169</v>
      </c>
      <c r="F332" s="20"/>
      <c r="G332" s="19"/>
      <c r="H332" s="21"/>
      <c r="I332" s="19">
        <f t="shared" si="31"/>
        <v>0</v>
      </c>
      <c r="J332" s="19">
        <f t="shared" si="28"/>
        <v>1</v>
      </c>
      <c r="K332" s="19">
        <f t="shared" si="29"/>
        <v>0</v>
      </c>
      <c r="L332" s="21">
        <f t="shared" si="30"/>
        <v>1</v>
      </c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33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25">
        <v>1</v>
      </c>
      <c r="EF332" s="33"/>
      <c r="EG332" s="33"/>
      <c r="EH332" s="33"/>
      <c r="EI332" s="33"/>
      <c r="EJ332" s="33"/>
      <c r="EK332" s="19"/>
      <c r="EL332" s="19"/>
    </row>
    <row r="333" spans="1:142" hidden="1" x14ac:dyDescent="0.25">
      <c r="A333" s="19" t="s">
        <v>239</v>
      </c>
      <c r="B333" s="19"/>
      <c r="C333" s="19">
        <v>1100</v>
      </c>
      <c r="D333" s="19">
        <v>900</v>
      </c>
      <c r="E333" s="19" t="s">
        <v>169</v>
      </c>
      <c r="F333" s="20"/>
      <c r="G333" s="19"/>
      <c r="H333" s="21"/>
      <c r="I333" s="19">
        <f t="shared" si="31"/>
        <v>0</v>
      </c>
      <c r="J333" s="19">
        <f t="shared" si="28"/>
        <v>5</v>
      </c>
      <c r="K333" s="19">
        <f t="shared" si="29"/>
        <v>0</v>
      </c>
      <c r="L333" s="21">
        <f t="shared" si="30"/>
        <v>5</v>
      </c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>
        <v>1</v>
      </c>
      <c r="BF333" s="19">
        <v>1</v>
      </c>
      <c r="BG333" s="19"/>
      <c r="BH333" s="19">
        <v>1</v>
      </c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>
        <v>1</v>
      </c>
      <c r="CG333" s="19">
        <v>1</v>
      </c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33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33"/>
      <c r="EG333" s="33"/>
      <c r="EH333" s="33"/>
      <c r="EI333" s="33"/>
      <c r="EJ333" s="33"/>
      <c r="EK333" s="19"/>
      <c r="EL333" s="19"/>
    </row>
    <row r="334" spans="1:142" hidden="1" x14ac:dyDescent="0.25">
      <c r="A334" s="19" t="s">
        <v>239</v>
      </c>
      <c r="B334" s="19"/>
      <c r="C334" s="19">
        <v>1100</v>
      </c>
      <c r="D334" s="19">
        <v>730</v>
      </c>
      <c r="E334" s="19" t="s">
        <v>169</v>
      </c>
      <c r="F334" s="20"/>
      <c r="G334" s="19"/>
      <c r="H334" s="21"/>
      <c r="I334" s="19">
        <f t="shared" si="31"/>
        <v>1</v>
      </c>
      <c r="J334" s="19">
        <f t="shared" si="28"/>
        <v>3</v>
      </c>
      <c r="K334" s="19">
        <f t="shared" si="29"/>
        <v>1</v>
      </c>
      <c r="L334" s="21">
        <f t="shared" si="30"/>
        <v>5</v>
      </c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>
        <v>1</v>
      </c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>
        <v>1</v>
      </c>
      <c r="CB334" s="19">
        <v>1</v>
      </c>
      <c r="CC334" s="19"/>
      <c r="CD334" s="19"/>
      <c r="CE334" s="19"/>
      <c r="CF334" s="19"/>
      <c r="CG334" s="19"/>
      <c r="CH334" s="19"/>
      <c r="CI334" s="19"/>
      <c r="CJ334" s="19">
        <v>1</v>
      </c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33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33"/>
      <c r="EG334" s="33"/>
      <c r="EH334" s="33">
        <v>1</v>
      </c>
      <c r="EI334" s="33"/>
      <c r="EJ334" s="33"/>
      <c r="EK334" s="19"/>
      <c r="EL334" s="19"/>
    </row>
    <row r="335" spans="1:142" hidden="1" x14ac:dyDescent="0.25">
      <c r="A335" s="19" t="s">
        <v>239</v>
      </c>
      <c r="B335" s="19"/>
      <c r="C335" s="19">
        <v>1100</v>
      </c>
      <c r="D335" s="19">
        <v>650</v>
      </c>
      <c r="E335" s="19" t="s">
        <v>169</v>
      </c>
      <c r="F335" s="20"/>
      <c r="G335" s="19"/>
      <c r="H335" s="21"/>
      <c r="I335" s="19">
        <f t="shared" si="31"/>
        <v>0</v>
      </c>
      <c r="J335" s="19">
        <f t="shared" si="28"/>
        <v>4</v>
      </c>
      <c r="K335" s="19">
        <f t="shared" si="29"/>
        <v>0</v>
      </c>
      <c r="L335" s="21">
        <f t="shared" si="30"/>
        <v>4</v>
      </c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33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>
        <v>4</v>
      </c>
      <c r="EE335" s="19"/>
      <c r="EF335" s="33"/>
      <c r="EG335" s="33"/>
      <c r="EH335" s="33"/>
      <c r="EI335" s="33"/>
      <c r="EJ335" s="33"/>
      <c r="EK335" s="19"/>
      <c r="EL335" s="19"/>
    </row>
    <row r="336" spans="1:142" hidden="1" x14ac:dyDescent="0.25">
      <c r="A336" s="19" t="s">
        <v>239</v>
      </c>
      <c r="B336" s="19"/>
      <c r="C336" s="19">
        <v>1100</v>
      </c>
      <c r="D336" s="19">
        <v>600</v>
      </c>
      <c r="E336" s="19" t="s">
        <v>169</v>
      </c>
      <c r="F336" s="20"/>
      <c r="G336" s="19"/>
      <c r="H336" s="21"/>
      <c r="I336" s="19">
        <f t="shared" si="31"/>
        <v>4</v>
      </c>
      <c r="J336" s="19">
        <f t="shared" si="28"/>
        <v>11</v>
      </c>
      <c r="K336" s="19">
        <f t="shared" si="29"/>
        <v>0</v>
      </c>
      <c r="L336" s="21">
        <f t="shared" si="30"/>
        <v>15</v>
      </c>
      <c r="M336" s="19"/>
      <c r="N336" s="19"/>
      <c r="O336" s="19">
        <v>1</v>
      </c>
      <c r="P336" s="19">
        <v>1</v>
      </c>
      <c r="Q336" s="19"/>
      <c r="R336" s="19"/>
      <c r="S336" s="19"/>
      <c r="T336" s="19"/>
      <c r="U336" s="25">
        <v>1</v>
      </c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>
        <v>1</v>
      </c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>
        <v>1</v>
      </c>
      <c r="CB336" s="19">
        <v>1</v>
      </c>
      <c r="CC336" s="19"/>
      <c r="CD336" s="19"/>
      <c r="CE336" s="19"/>
      <c r="CF336" s="19"/>
      <c r="CG336" s="19"/>
      <c r="CH336" s="19"/>
      <c r="CI336" s="19"/>
      <c r="CJ336" s="19"/>
      <c r="CK336" s="19">
        <v>1</v>
      </c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>
        <v>1</v>
      </c>
      <c r="CW336" s="19">
        <v>1</v>
      </c>
      <c r="CX336" s="19"/>
      <c r="CY336" s="33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25">
        <v>1</v>
      </c>
      <c r="DM336" s="25">
        <v>1</v>
      </c>
      <c r="DN336" s="19">
        <v>2</v>
      </c>
      <c r="DO336" s="19"/>
      <c r="DP336" s="19"/>
      <c r="DQ336" s="19"/>
      <c r="DR336" s="19"/>
      <c r="DS336" s="19">
        <v>2</v>
      </c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33"/>
      <c r="EG336" s="33"/>
      <c r="EH336" s="33"/>
      <c r="EI336" s="33"/>
      <c r="EJ336" s="33"/>
      <c r="EK336" s="19"/>
      <c r="EL336" s="19"/>
    </row>
    <row r="337" spans="1:142" hidden="1" x14ac:dyDescent="0.25">
      <c r="A337" s="19" t="s">
        <v>239</v>
      </c>
      <c r="B337" s="19"/>
      <c r="C337" s="19">
        <v>1100</v>
      </c>
      <c r="D337" s="19">
        <v>500</v>
      </c>
      <c r="E337" s="19" t="s">
        <v>169</v>
      </c>
      <c r="F337" s="20"/>
      <c r="G337" s="19"/>
      <c r="H337" s="21"/>
      <c r="I337" s="19">
        <f t="shared" si="31"/>
        <v>0</v>
      </c>
      <c r="J337" s="19">
        <f t="shared" si="28"/>
        <v>7</v>
      </c>
      <c r="K337" s="19">
        <f t="shared" si="29"/>
        <v>0</v>
      </c>
      <c r="L337" s="21">
        <f t="shared" si="30"/>
        <v>7</v>
      </c>
      <c r="M337" s="19"/>
      <c r="N337" s="19"/>
      <c r="O337" s="19"/>
      <c r="P337" s="19"/>
      <c r="Q337" s="19"/>
      <c r="R337" s="19"/>
      <c r="S337" s="19"/>
      <c r="T337" s="19"/>
      <c r="U337" s="25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>
        <v>1</v>
      </c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>
        <v>2</v>
      </c>
      <c r="CP337" s="19"/>
      <c r="CQ337" s="19"/>
      <c r="CR337" s="19"/>
      <c r="CS337" s="19"/>
      <c r="CT337" s="19"/>
      <c r="CU337" s="19">
        <v>2</v>
      </c>
      <c r="CV337" s="19"/>
      <c r="CW337" s="19"/>
      <c r="CX337" s="19"/>
      <c r="CY337" s="33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>
        <v>2</v>
      </c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33"/>
      <c r="EG337" s="33"/>
      <c r="EH337" s="33"/>
      <c r="EI337" s="33"/>
      <c r="EJ337" s="33"/>
      <c r="EK337" s="19"/>
      <c r="EL337" s="19"/>
    </row>
    <row r="338" spans="1:142" hidden="1" x14ac:dyDescent="0.25">
      <c r="A338" s="19" t="s">
        <v>239</v>
      </c>
      <c r="B338" s="19"/>
      <c r="C338" s="19">
        <v>1100</v>
      </c>
      <c r="D338" s="19">
        <v>420</v>
      </c>
      <c r="E338" s="19" t="s">
        <v>169</v>
      </c>
      <c r="F338" s="20"/>
      <c r="G338" s="19"/>
      <c r="H338" s="21"/>
      <c r="I338" s="19">
        <f t="shared" si="31"/>
        <v>0</v>
      </c>
      <c r="J338" s="19">
        <f t="shared" si="28"/>
        <v>2</v>
      </c>
      <c r="K338" s="19">
        <f t="shared" si="29"/>
        <v>0</v>
      </c>
      <c r="L338" s="21">
        <f t="shared" si="30"/>
        <v>2</v>
      </c>
      <c r="M338" s="19"/>
      <c r="N338" s="19"/>
      <c r="O338" s="19"/>
      <c r="P338" s="19"/>
      <c r="Q338" s="19"/>
      <c r="R338" s="19"/>
      <c r="S338" s="19"/>
      <c r="T338" s="19"/>
      <c r="U338" s="25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33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>
        <v>2</v>
      </c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33"/>
      <c r="EG338" s="33"/>
      <c r="EH338" s="33"/>
      <c r="EI338" s="33"/>
      <c r="EJ338" s="33"/>
      <c r="EK338" s="19"/>
      <c r="EL338" s="19"/>
    </row>
    <row r="339" spans="1:142" hidden="1" x14ac:dyDescent="0.25">
      <c r="A339" s="19" t="s">
        <v>239</v>
      </c>
      <c r="B339" s="19"/>
      <c r="C339" s="24" t="s">
        <v>159</v>
      </c>
      <c r="D339" s="19">
        <v>1000</v>
      </c>
      <c r="E339" s="19" t="s">
        <v>169</v>
      </c>
      <c r="F339" s="20"/>
      <c r="G339" s="19"/>
      <c r="H339" s="21"/>
      <c r="I339" s="19">
        <f t="shared" si="31"/>
        <v>1</v>
      </c>
      <c r="J339" s="19">
        <f t="shared" si="28"/>
        <v>0</v>
      </c>
      <c r="K339" s="19">
        <f t="shared" si="29"/>
        <v>0</v>
      </c>
      <c r="L339" s="21">
        <f t="shared" si="30"/>
        <v>1</v>
      </c>
      <c r="M339" s="19"/>
      <c r="N339" s="19"/>
      <c r="O339" s="19"/>
      <c r="P339" s="19"/>
      <c r="Q339" s="19"/>
      <c r="R339" s="19"/>
      <c r="S339" s="19"/>
      <c r="T339" s="19"/>
      <c r="U339" s="25"/>
      <c r="V339" s="19"/>
      <c r="W339" s="19"/>
      <c r="X339" s="19"/>
      <c r="Y339" s="19"/>
      <c r="Z339" s="19"/>
      <c r="AA339" s="19"/>
      <c r="AB339" s="19"/>
      <c r="AC339" s="19"/>
      <c r="AD339" s="19"/>
      <c r="AE339" s="19">
        <v>1</v>
      </c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33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33"/>
      <c r="EG339" s="33"/>
      <c r="EH339" s="33"/>
      <c r="EI339" s="33"/>
      <c r="EJ339" s="33"/>
      <c r="EK339" s="19"/>
      <c r="EL339" s="19"/>
    </row>
    <row r="340" spans="1:142" hidden="1" x14ac:dyDescent="0.25">
      <c r="A340" s="19" t="s">
        <v>239</v>
      </c>
      <c r="B340" s="19"/>
      <c r="C340" s="24" t="s">
        <v>159</v>
      </c>
      <c r="D340" s="19">
        <v>900</v>
      </c>
      <c r="E340" s="19" t="s">
        <v>169</v>
      </c>
      <c r="F340" s="20"/>
      <c r="G340" s="19"/>
      <c r="H340" s="21"/>
      <c r="I340" s="19">
        <f t="shared" si="31"/>
        <v>1</v>
      </c>
      <c r="J340" s="19">
        <f t="shared" si="28"/>
        <v>0</v>
      </c>
      <c r="K340" s="19">
        <f t="shared" si="29"/>
        <v>0</v>
      </c>
      <c r="L340" s="21">
        <f t="shared" si="30"/>
        <v>1</v>
      </c>
      <c r="M340" s="19"/>
      <c r="N340" s="19"/>
      <c r="O340" s="19"/>
      <c r="P340" s="19"/>
      <c r="Q340" s="19"/>
      <c r="R340" s="19"/>
      <c r="S340" s="19"/>
      <c r="T340" s="19"/>
      <c r="U340" s="25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>
        <v>1</v>
      </c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33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33"/>
      <c r="EG340" s="33"/>
      <c r="EH340" s="33"/>
      <c r="EI340" s="33"/>
      <c r="EJ340" s="33"/>
      <c r="EK340" s="19"/>
      <c r="EL340" s="19"/>
    </row>
    <row r="341" spans="1:142" hidden="1" x14ac:dyDescent="0.25">
      <c r="A341" s="19" t="s">
        <v>239</v>
      </c>
      <c r="B341" s="19"/>
      <c r="C341" s="19">
        <v>900</v>
      </c>
      <c r="D341" s="19">
        <v>900</v>
      </c>
      <c r="E341" s="19" t="s">
        <v>169</v>
      </c>
      <c r="F341" s="20"/>
      <c r="G341" s="19"/>
      <c r="H341" s="21"/>
      <c r="I341" s="19">
        <f t="shared" si="31"/>
        <v>0</v>
      </c>
      <c r="J341" s="19">
        <f t="shared" si="28"/>
        <v>3</v>
      </c>
      <c r="K341" s="19">
        <f t="shared" si="29"/>
        <v>0</v>
      </c>
      <c r="L341" s="21">
        <f t="shared" si="30"/>
        <v>3</v>
      </c>
      <c r="M341" s="19"/>
      <c r="N341" s="19"/>
      <c r="O341" s="19"/>
      <c r="P341" s="19"/>
      <c r="Q341" s="19"/>
      <c r="R341" s="19"/>
      <c r="S341" s="19"/>
      <c r="T341" s="19"/>
      <c r="U341" s="25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>
        <v>1</v>
      </c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>
        <v>1</v>
      </c>
      <c r="CT341" s="19">
        <v>1</v>
      </c>
      <c r="CU341" s="19"/>
      <c r="CV341" s="19"/>
      <c r="CW341" s="19"/>
      <c r="CX341" s="19"/>
      <c r="CY341" s="33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33"/>
      <c r="EG341" s="33"/>
      <c r="EH341" s="33"/>
      <c r="EI341" s="33"/>
      <c r="EJ341" s="33"/>
      <c r="EK341" s="19"/>
      <c r="EL341" s="19"/>
    </row>
    <row r="342" spans="1:142" hidden="1" x14ac:dyDescent="0.25">
      <c r="A342" s="19" t="s">
        <v>239</v>
      </c>
      <c r="B342" s="19"/>
      <c r="C342" s="19">
        <v>900</v>
      </c>
      <c r="D342" s="19">
        <v>600</v>
      </c>
      <c r="E342" s="19" t="s">
        <v>169</v>
      </c>
      <c r="F342" s="20"/>
      <c r="G342" s="19"/>
      <c r="H342" s="21"/>
      <c r="I342" s="19">
        <f t="shared" si="31"/>
        <v>6</v>
      </c>
      <c r="J342" s="19">
        <f t="shared" si="28"/>
        <v>17</v>
      </c>
      <c r="K342" s="19">
        <f t="shared" si="29"/>
        <v>2</v>
      </c>
      <c r="L342" s="21">
        <f t="shared" si="30"/>
        <v>25</v>
      </c>
      <c r="M342" s="25">
        <v>2</v>
      </c>
      <c r="N342" s="25">
        <v>1</v>
      </c>
      <c r="O342" s="19"/>
      <c r="P342" s="19"/>
      <c r="Q342" s="19"/>
      <c r="R342" s="19"/>
      <c r="S342" s="25">
        <v>2</v>
      </c>
      <c r="T342" s="25">
        <v>1</v>
      </c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>
        <v>1</v>
      </c>
      <c r="BX342" s="19">
        <v>1</v>
      </c>
      <c r="BY342" s="19"/>
      <c r="BZ342" s="19"/>
      <c r="CA342" s="19"/>
      <c r="CB342" s="19"/>
      <c r="CC342" s="19">
        <v>3</v>
      </c>
      <c r="CD342" s="19">
        <v>1</v>
      </c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33"/>
      <c r="CZ342" s="19"/>
      <c r="DA342" s="19"/>
      <c r="DB342" s="19"/>
      <c r="DC342" s="19"/>
      <c r="DD342" s="19"/>
      <c r="DE342" s="19">
        <v>1</v>
      </c>
      <c r="DF342" s="19">
        <v>3</v>
      </c>
      <c r="DG342" s="19"/>
      <c r="DH342" s="19"/>
      <c r="DI342" s="19"/>
      <c r="DJ342" s="19"/>
      <c r="DK342" s="19">
        <v>3</v>
      </c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>
        <v>2</v>
      </c>
      <c r="DZ342" s="19"/>
      <c r="EA342" s="19">
        <v>2</v>
      </c>
      <c r="EB342" s="19"/>
      <c r="EC342" s="19"/>
      <c r="ED342" s="19"/>
      <c r="EE342" s="19"/>
      <c r="EF342" s="33">
        <v>1</v>
      </c>
      <c r="EG342" s="33">
        <v>1</v>
      </c>
      <c r="EH342" s="33"/>
      <c r="EI342" s="33"/>
      <c r="EJ342" s="33"/>
      <c r="EK342" s="19"/>
      <c r="EL342" s="19"/>
    </row>
    <row r="343" spans="1:142" hidden="1" x14ac:dyDescent="0.25">
      <c r="A343" s="19" t="s">
        <v>239</v>
      </c>
      <c r="B343" s="19"/>
      <c r="C343" s="19">
        <v>900</v>
      </c>
      <c r="D343" s="19">
        <v>500</v>
      </c>
      <c r="E343" s="19" t="s">
        <v>169</v>
      </c>
      <c r="F343" s="20"/>
      <c r="G343" s="19"/>
      <c r="H343" s="21"/>
      <c r="I343" s="19">
        <f t="shared" si="31"/>
        <v>0</v>
      </c>
      <c r="J343" s="19">
        <f t="shared" si="28"/>
        <v>27</v>
      </c>
      <c r="K343" s="19">
        <f t="shared" si="29"/>
        <v>0</v>
      </c>
      <c r="L343" s="21">
        <f t="shared" si="30"/>
        <v>27</v>
      </c>
      <c r="M343" s="25"/>
      <c r="N343" s="25"/>
      <c r="O343" s="19"/>
      <c r="P343" s="19"/>
      <c r="Q343" s="19"/>
      <c r="R343" s="19"/>
      <c r="S343" s="25"/>
      <c r="T343" s="25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>
        <v>1</v>
      </c>
      <c r="BO343" s="19"/>
      <c r="BP343" s="19">
        <v>3</v>
      </c>
      <c r="BQ343" s="19"/>
      <c r="BR343" s="19">
        <v>2</v>
      </c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>
        <v>1</v>
      </c>
      <c r="CK343" s="19"/>
      <c r="CL343" s="19">
        <v>1</v>
      </c>
      <c r="CM343" s="19"/>
      <c r="CN343" s="19"/>
      <c r="CO343" s="19">
        <v>1</v>
      </c>
      <c r="CP343" s="19">
        <v>1</v>
      </c>
      <c r="CQ343" s="19">
        <v>3</v>
      </c>
      <c r="CR343" s="19">
        <v>3</v>
      </c>
      <c r="CS343" s="19"/>
      <c r="CT343" s="19">
        <v>1</v>
      </c>
      <c r="CU343" s="19"/>
      <c r="CV343" s="19"/>
      <c r="CW343" s="19"/>
      <c r="CX343" s="19">
        <v>2</v>
      </c>
      <c r="CY343" s="33"/>
      <c r="CZ343" s="19"/>
      <c r="DA343" s="19"/>
      <c r="DB343" s="19"/>
      <c r="DC343" s="19"/>
      <c r="DD343" s="19"/>
      <c r="DE343" s="19"/>
      <c r="DF343" s="19"/>
      <c r="DG343" s="19">
        <v>2</v>
      </c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>
        <v>1</v>
      </c>
      <c r="DZ343" s="19">
        <v>2</v>
      </c>
      <c r="EA343" s="19"/>
      <c r="EB343" s="19">
        <v>1</v>
      </c>
      <c r="EC343" s="19">
        <v>2</v>
      </c>
      <c r="ED343" s="19"/>
      <c r="EE343" s="19"/>
      <c r="EF343" s="33"/>
      <c r="EG343" s="33"/>
      <c r="EH343" s="33"/>
      <c r="EI343" s="33"/>
      <c r="EJ343" s="33"/>
      <c r="EK343" s="19"/>
      <c r="EL343" s="19"/>
    </row>
    <row r="344" spans="1:142" hidden="1" x14ac:dyDescent="0.25">
      <c r="A344" s="19" t="s">
        <v>239</v>
      </c>
      <c r="B344" s="19"/>
      <c r="C344" s="19">
        <v>900</v>
      </c>
      <c r="D344" s="19">
        <v>420</v>
      </c>
      <c r="E344" s="19" t="s">
        <v>169</v>
      </c>
      <c r="F344" s="20"/>
      <c r="G344" s="19"/>
      <c r="H344" s="21"/>
      <c r="I344" s="19">
        <f t="shared" si="31"/>
        <v>2</v>
      </c>
      <c r="J344" s="19">
        <f t="shared" si="28"/>
        <v>0</v>
      </c>
      <c r="K344" s="19">
        <f t="shared" si="29"/>
        <v>0</v>
      </c>
      <c r="L344" s="21">
        <f t="shared" si="30"/>
        <v>2</v>
      </c>
      <c r="M344" s="25"/>
      <c r="N344" s="25"/>
      <c r="O344" s="19"/>
      <c r="P344" s="19"/>
      <c r="Q344" s="19"/>
      <c r="R344" s="19"/>
      <c r="S344" s="25"/>
      <c r="T344" s="25"/>
      <c r="U344" s="19"/>
      <c r="V344" s="19"/>
      <c r="W344" s="19"/>
      <c r="X344" s="19"/>
      <c r="Y344" s="19"/>
      <c r="Z344" s="19"/>
      <c r="AA344" s="19"/>
      <c r="AB344" s="19">
        <v>1</v>
      </c>
      <c r="AC344" s="19"/>
      <c r="AD344" s="19"/>
      <c r="AE344" s="19"/>
      <c r="AF344" s="19"/>
      <c r="AG344" s="19"/>
      <c r="AH344" s="19"/>
      <c r="AI344" s="19"/>
      <c r="AJ344" s="19"/>
      <c r="AK344" s="19">
        <v>1</v>
      </c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33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33"/>
      <c r="EG344" s="33"/>
      <c r="EH344" s="33"/>
      <c r="EI344" s="33"/>
      <c r="EJ344" s="33"/>
      <c r="EK344" s="19"/>
      <c r="EL344" s="19"/>
    </row>
    <row r="345" spans="1:142" hidden="1" x14ac:dyDescent="0.25">
      <c r="A345" s="19" t="s">
        <v>239</v>
      </c>
      <c r="B345" s="19"/>
      <c r="C345" s="19">
        <v>900</v>
      </c>
      <c r="D345" s="19">
        <v>350</v>
      </c>
      <c r="E345" s="19" t="s">
        <v>169</v>
      </c>
      <c r="F345" s="20"/>
      <c r="G345" s="19"/>
      <c r="H345" s="21"/>
      <c r="I345" s="19">
        <f t="shared" si="31"/>
        <v>0</v>
      </c>
      <c r="J345" s="19">
        <f t="shared" si="28"/>
        <v>3</v>
      </c>
      <c r="K345" s="19">
        <f t="shared" si="29"/>
        <v>0</v>
      </c>
      <c r="L345" s="21">
        <f t="shared" si="30"/>
        <v>3</v>
      </c>
      <c r="M345" s="25"/>
      <c r="N345" s="25"/>
      <c r="O345" s="19"/>
      <c r="P345" s="19"/>
      <c r="Q345" s="19"/>
      <c r="R345" s="19"/>
      <c r="S345" s="25"/>
      <c r="T345" s="25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>
        <v>1</v>
      </c>
      <c r="BZ345" s="19">
        <v>1</v>
      </c>
      <c r="CA345" s="19">
        <v>1</v>
      </c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33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33"/>
      <c r="EG345" s="33"/>
      <c r="EH345" s="33"/>
      <c r="EI345" s="33"/>
      <c r="EJ345" s="33"/>
      <c r="EK345" s="19"/>
      <c r="EL345" s="19"/>
    </row>
    <row r="346" spans="1:142" hidden="1" x14ac:dyDescent="0.25">
      <c r="A346" s="19" t="s">
        <v>239</v>
      </c>
      <c r="B346" s="19"/>
      <c r="C346" s="19">
        <v>730</v>
      </c>
      <c r="D346" s="19">
        <v>420</v>
      </c>
      <c r="E346" s="19" t="s">
        <v>169</v>
      </c>
      <c r="F346" s="20"/>
      <c r="G346" s="19"/>
      <c r="H346" s="21"/>
      <c r="I346" s="19">
        <f t="shared" si="31"/>
        <v>3</v>
      </c>
      <c r="J346" s="19">
        <f t="shared" si="28"/>
        <v>3</v>
      </c>
      <c r="K346" s="19">
        <f t="shared" si="29"/>
        <v>0</v>
      </c>
      <c r="L346" s="21">
        <f t="shared" si="30"/>
        <v>6</v>
      </c>
      <c r="M346" s="19"/>
      <c r="N346" s="19"/>
      <c r="O346" s="19"/>
      <c r="P346" s="19"/>
      <c r="Q346" s="19">
        <v>1</v>
      </c>
      <c r="R346" s="19">
        <v>1</v>
      </c>
      <c r="S346" s="19"/>
      <c r="T346" s="19"/>
      <c r="U346" s="19"/>
      <c r="V346" s="19">
        <v>1</v>
      </c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>
        <v>1</v>
      </c>
      <c r="BJ346" s="19"/>
      <c r="BK346" s="19"/>
      <c r="BL346" s="19">
        <f>2</f>
        <v>2</v>
      </c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33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33"/>
      <c r="EG346" s="33"/>
      <c r="EH346" s="33"/>
      <c r="EI346" s="33"/>
      <c r="EJ346" s="33"/>
      <c r="EK346" s="19"/>
      <c r="EL346" s="19"/>
    </row>
    <row r="347" spans="1:142" hidden="1" x14ac:dyDescent="0.25">
      <c r="A347" s="19" t="s">
        <v>239</v>
      </c>
      <c r="B347" s="19"/>
      <c r="C347" s="19">
        <v>700</v>
      </c>
      <c r="D347" s="19">
        <v>500</v>
      </c>
      <c r="E347" s="19" t="s">
        <v>169</v>
      </c>
      <c r="F347" s="20"/>
      <c r="G347" s="19"/>
      <c r="H347" s="21"/>
      <c r="I347" s="19">
        <f t="shared" si="31"/>
        <v>1</v>
      </c>
      <c r="J347" s="19">
        <f t="shared" si="28"/>
        <v>0</v>
      </c>
      <c r="K347" s="19">
        <f t="shared" si="29"/>
        <v>0</v>
      </c>
      <c r="L347" s="21">
        <f t="shared" si="30"/>
        <v>1</v>
      </c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>
        <v>1</v>
      </c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33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33"/>
      <c r="EG347" s="33"/>
      <c r="EH347" s="33"/>
      <c r="EI347" s="33"/>
      <c r="EJ347" s="33"/>
      <c r="EK347" s="19"/>
      <c r="EL347" s="19"/>
    </row>
    <row r="348" spans="1:142" hidden="1" x14ac:dyDescent="0.25">
      <c r="A348" s="19" t="s">
        <v>239</v>
      </c>
      <c r="B348" s="19"/>
      <c r="C348" s="19">
        <v>700</v>
      </c>
      <c r="D348" s="19">
        <v>420</v>
      </c>
      <c r="E348" s="19" t="s">
        <v>169</v>
      </c>
      <c r="F348" s="20"/>
      <c r="G348" s="19"/>
      <c r="H348" s="21"/>
      <c r="I348" s="19">
        <f t="shared" si="31"/>
        <v>0</v>
      </c>
      <c r="J348" s="19">
        <f t="shared" si="28"/>
        <v>1</v>
      </c>
      <c r="K348" s="19">
        <f t="shared" si="29"/>
        <v>0</v>
      </c>
      <c r="L348" s="21">
        <f t="shared" si="30"/>
        <v>1</v>
      </c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>
        <v>1</v>
      </c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33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33"/>
      <c r="EG348" s="33"/>
      <c r="EH348" s="33"/>
      <c r="EI348" s="33"/>
      <c r="EJ348" s="33"/>
      <c r="EK348" s="19"/>
      <c r="EL348" s="19"/>
    </row>
    <row r="349" spans="1:142" hidden="1" x14ac:dyDescent="0.25">
      <c r="A349" s="19" t="s">
        <v>239</v>
      </c>
      <c r="B349" s="19"/>
      <c r="C349" s="24" t="s">
        <v>159</v>
      </c>
      <c r="D349" s="19">
        <v>700</v>
      </c>
      <c r="E349" s="19" t="s">
        <v>169</v>
      </c>
      <c r="F349" s="20"/>
      <c r="G349" s="19"/>
      <c r="H349" s="21"/>
      <c r="I349" s="19">
        <f t="shared" si="31"/>
        <v>9</v>
      </c>
      <c r="J349" s="19">
        <f t="shared" si="28"/>
        <v>0</v>
      </c>
      <c r="K349" s="19">
        <f t="shared" si="29"/>
        <v>0</v>
      </c>
      <c r="L349" s="21">
        <f t="shared" si="30"/>
        <v>9</v>
      </c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>
        <v>2</v>
      </c>
      <c r="AA349" s="19"/>
      <c r="AB349" s="19">
        <v>2</v>
      </c>
      <c r="AC349" s="19"/>
      <c r="AD349" s="19"/>
      <c r="AE349" s="19"/>
      <c r="AF349" s="19"/>
      <c r="AG349" s="19">
        <v>2</v>
      </c>
      <c r="AH349" s="19"/>
      <c r="AI349" s="19"/>
      <c r="AJ349" s="19"/>
      <c r="AK349" s="19">
        <v>3</v>
      </c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33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33"/>
      <c r="EG349" s="33"/>
      <c r="EH349" s="33"/>
      <c r="EI349" s="33"/>
      <c r="EJ349" s="33"/>
      <c r="EK349" s="19"/>
      <c r="EL349" s="19"/>
    </row>
    <row r="350" spans="1:142" hidden="1" x14ac:dyDescent="0.25">
      <c r="A350" s="19" t="s">
        <v>239</v>
      </c>
      <c r="B350" s="19"/>
      <c r="C350" s="24">
        <v>600</v>
      </c>
      <c r="D350" s="19">
        <v>420</v>
      </c>
      <c r="E350" s="19" t="s">
        <v>169</v>
      </c>
      <c r="F350" s="20"/>
      <c r="G350" s="19"/>
      <c r="H350" s="21"/>
      <c r="I350" s="19">
        <f t="shared" si="31"/>
        <v>0</v>
      </c>
      <c r="J350" s="19">
        <f t="shared" si="28"/>
        <v>8</v>
      </c>
      <c r="K350" s="19">
        <f t="shared" si="29"/>
        <v>0</v>
      </c>
      <c r="L350" s="21">
        <f t="shared" si="30"/>
        <v>8</v>
      </c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>
        <v>3</v>
      </c>
      <c r="BN350" s="19"/>
      <c r="BO350" s="19">
        <v>1</v>
      </c>
      <c r="BP350" s="19"/>
      <c r="BQ350" s="19">
        <v>3</v>
      </c>
      <c r="BR350" s="19"/>
      <c r="BS350" s="19">
        <v>1</v>
      </c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33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33"/>
      <c r="EG350" s="33"/>
      <c r="EH350" s="33"/>
      <c r="EI350" s="33"/>
      <c r="EJ350" s="33"/>
      <c r="EK350" s="19"/>
      <c r="EL350" s="19"/>
    </row>
    <row r="351" spans="1:142" hidden="1" x14ac:dyDescent="0.25">
      <c r="A351" s="19" t="s">
        <v>239</v>
      </c>
      <c r="B351" s="19"/>
      <c r="C351" s="24">
        <v>600</v>
      </c>
      <c r="D351" s="19">
        <v>300</v>
      </c>
      <c r="E351" s="19" t="s">
        <v>169</v>
      </c>
      <c r="F351" s="20"/>
      <c r="G351" s="19"/>
      <c r="H351" s="21"/>
      <c r="I351" s="19">
        <f t="shared" si="31"/>
        <v>0</v>
      </c>
      <c r="J351" s="19">
        <f t="shared" si="28"/>
        <v>2</v>
      </c>
      <c r="K351" s="19">
        <f t="shared" si="29"/>
        <v>0</v>
      </c>
      <c r="L351" s="21">
        <f t="shared" si="30"/>
        <v>2</v>
      </c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33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>
        <v>2</v>
      </c>
      <c r="DY351" s="19"/>
      <c r="DZ351" s="19"/>
      <c r="EA351" s="19"/>
      <c r="EB351" s="19"/>
      <c r="EC351" s="19"/>
      <c r="ED351" s="19"/>
      <c r="EE351" s="19"/>
      <c r="EF351" s="33"/>
      <c r="EG351" s="33"/>
      <c r="EH351" s="33"/>
      <c r="EI351" s="33"/>
      <c r="EJ351" s="33"/>
      <c r="EK351" s="19"/>
      <c r="EL351" s="19"/>
    </row>
    <row r="352" spans="1:142" hidden="1" x14ac:dyDescent="0.25">
      <c r="A352" s="19" t="s">
        <v>239</v>
      </c>
      <c r="B352" s="19"/>
      <c r="C352" s="24" t="s">
        <v>159</v>
      </c>
      <c r="D352" s="19">
        <v>600</v>
      </c>
      <c r="E352" s="19" t="s">
        <v>169</v>
      </c>
      <c r="F352" s="20"/>
      <c r="G352" s="19"/>
      <c r="H352" s="21"/>
      <c r="I352" s="19">
        <f t="shared" si="31"/>
        <v>10</v>
      </c>
      <c r="J352" s="19">
        <f t="shared" si="28"/>
        <v>0</v>
      </c>
      <c r="K352" s="19">
        <f t="shared" si="29"/>
        <v>0</v>
      </c>
      <c r="L352" s="21">
        <f t="shared" si="30"/>
        <v>10</v>
      </c>
      <c r="M352" s="19"/>
      <c r="N352" s="19"/>
      <c r="O352" s="19"/>
      <c r="P352" s="19"/>
      <c r="Q352" s="19"/>
      <c r="R352" s="19"/>
      <c r="S352" s="19"/>
      <c r="T352" s="19"/>
      <c r="U352" s="19"/>
      <c r="V352" s="19">
        <v>3</v>
      </c>
      <c r="W352" s="19"/>
      <c r="X352" s="19">
        <v>4</v>
      </c>
      <c r="Y352" s="19"/>
      <c r="Z352" s="19"/>
      <c r="AA352" s="19"/>
      <c r="AB352" s="19">
        <v>1</v>
      </c>
      <c r="AC352" s="19"/>
      <c r="AD352" s="19"/>
      <c r="AE352" s="19"/>
      <c r="AF352" s="19"/>
      <c r="AG352" s="19"/>
      <c r="AH352" s="19"/>
      <c r="AI352" s="19"/>
      <c r="AJ352" s="19"/>
      <c r="AK352" s="19">
        <v>2</v>
      </c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33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33"/>
      <c r="EG352" s="33"/>
      <c r="EH352" s="33"/>
      <c r="EI352" s="33"/>
      <c r="EJ352" s="33"/>
      <c r="EK352" s="19"/>
      <c r="EL352" s="19"/>
    </row>
    <row r="353" spans="1:142" hidden="1" x14ac:dyDescent="0.25">
      <c r="A353" s="19" t="s">
        <v>239</v>
      </c>
      <c r="B353" s="19"/>
      <c r="C353" s="24" t="s">
        <v>159</v>
      </c>
      <c r="D353" s="19">
        <v>500</v>
      </c>
      <c r="E353" s="19" t="s">
        <v>169</v>
      </c>
      <c r="F353" s="20"/>
      <c r="G353" s="19"/>
      <c r="H353" s="21"/>
      <c r="I353" s="19">
        <f t="shared" si="31"/>
        <v>1</v>
      </c>
      <c r="J353" s="19">
        <f t="shared" si="28"/>
        <v>0</v>
      </c>
      <c r="K353" s="19">
        <f t="shared" si="29"/>
        <v>0</v>
      </c>
      <c r="L353" s="21">
        <f t="shared" si="30"/>
        <v>1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9">
        <v>1</v>
      </c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33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33"/>
      <c r="EG353" s="33"/>
      <c r="EH353" s="33"/>
      <c r="EI353" s="33"/>
      <c r="EJ353" s="33"/>
      <c r="EK353" s="19"/>
      <c r="EL353" s="19"/>
    </row>
    <row r="354" spans="1:142" hidden="1" x14ac:dyDescent="0.25">
      <c r="A354" s="19" t="s">
        <v>239</v>
      </c>
      <c r="B354" s="19"/>
      <c r="C354" s="19">
        <v>500</v>
      </c>
      <c r="D354" s="19">
        <v>420</v>
      </c>
      <c r="E354" s="19" t="s">
        <v>169</v>
      </c>
      <c r="F354" s="20"/>
      <c r="G354" s="19"/>
      <c r="H354" s="21"/>
      <c r="I354" s="19">
        <f t="shared" si="31"/>
        <v>0</v>
      </c>
      <c r="J354" s="19">
        <f t="shared" si="28"/>
        <v>1</v>
      </c>
      <c r="K354" s="19">
        <f t="shared" si="29"/>
        <v>0</v>
      </c>
      <c r="L354" s="21">
        <f t="shared" si="30"/>
        <v>1</v>
      </c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>
        <v>1</v>
      </c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33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33"/>
      <c r="EG354" s="33"/>
      <c r="EH354" s="33"/>
      <c r="EI354" s="33"/>
      <c r="EJ354" s="33"/>
      <c r="EK354" s="19"/>
      <c r="EL354" s="19"/>
    </row>
    <row r="355" spans="1:142" hidden="1" x14ac:dyDescent="0.25">
      <c r="A355" s="19" t="s">
        <v>239</v>
      </c>
      <c r="B355" s="19"/>
      <c r="C355" s="19">
        <v>500</v>
      </c>
      <c r="D355" s="19">
        <v>350</v>
      </c>
      <c r="E355" s="19" t="s">
        <v>169</v>
      </c>
      <c r="F355" s="20"/>
      <c r="G355" s="19"/>
      <c r="H355" s="21"/>
      <c r="I355" s="19">
        <f t="shared" si="31"/>
        <v>0</v>
      </c>
      <c r="J355" s="19">
        <f t="shared" si="28"/>
        <v>12</v>
      </c>
      <c r="K355" s="19">
        <f t="shared" si="29"/>
        <v>0</v>
      </c>
      <c r="L355" s="21">
        <f t="shared" si="30"/>
        <v>12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>
        <v>3</v>
      </c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>
        <v>4</v>
      </c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33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>
        <v>5</v>
      </c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33"/>
      <c r="EG355" s="33"/>
      <c r="EH355" s="33"/>
      <c r="EI355" s="33"/>
      <c r="EJ355" s="33"/>
      <c r="EK355" s="19"/>
      <c r="EL355" s="19"/>
    </row>
    <row r="356" spans="1:142" hidden="1" x14ac:dyDescent="0.25">
      <c r="A356" s="19" t="s">
        <v>239</v>
      </c>
      <c r="B356" s="19"/>
      <c r="C356" s="19">
        <v>500</v>
      </c>
      <c r="D356" s="19">
        <v>300</v>
      </c>
      <c r="E356" s="19" t="s">
        <v>169</v>
      </c>
      <c r="F356" s="20"/>
      <c r="G356" s="19"/>
      <c r="H356" s="21"/>
      <c r="I356" s="19">
        <f t="shared" si="31"/>
        <v>0</v>
      </c>
      <c r="J356" s="19">
        <f t="shared" si="28"/>
        <v>2</v>
      </c>
      <c r="K356" s="19">
        <f t="shared" si="29"/>
        <v>0</v>
      </c>
      <c r="L356" s="21">
        <f t="shared" si="30"/>
        <v>2</v>
      </c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33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>
        <v>2</v>
      </c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33"/>
      <c r="EG356" s="33"/>
      <c r="EH356" s="33"/>
      <c r="EI356" s="33"/>
      <c r="EJ356" s="33"/>
      <c r="EK356" s="19"/>
      <c r="EL356" s="19"/>
    </row>
    <row r="357" spans="1:142" hidden="1" x14ac:dyDescent="0.25">
      <c r="A357" s="19" t="s">
        <v>239</v>
      </c>
      <c r="B357" s="19"/>
      <c r="C357" s="19">
        <v>420</v>
      </c>
      <c r="D357" s="19">
        <v>260</v>
      </c>
      <c r="E357" s="19" t="s">
        <v>169</v>
      </c>
      <c r="F357" s="20"/>
      <c r="G357" s="19"/>
      <c r="H357" s="21"/>
      <c r="I357" s="19">
        <f t="shared" si="31"/>
        <v>2</v>
      </c>
      <c r="J357" s="19">
        <f t="shared" si="28"/>
        <v>0</v>
      </c>
      <c r="K357" s="19">
        <f t="shared" si="29"/>
        <v>0</v>
      </c>
      <c r="L357" s="21">
        <f t="shared" si="30"/>
        <v>2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9">
        <v>1</v>
      </c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>
        <v>1</v>
      </c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33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33"/>
      <c r="EG357" s="33"/>
      <c r="EH357" s="33"/>
      <c r="EI357" s="33"/>
      <c r="EJ357" s="33"/>
      <c r="EK357" s="19"/>
      <c r="EL357" s="19"/>
    </row>
    <row r="358" spans="1:142" hidden="1" x14ac:dyDescent="0.25">
      <c r="A358" s="19" t="s">
        <v>239</v>
      </c>
      <c r="B358" s="19"/>
      <c r="C358" s="19">
        <v>420</v>
      </c>
      <c r="D358" s="19">
        <v>220</v>
      </c>
      <c r="E358" s="19" t="s">
        <v>169</v>
      </c>
      <c r="F358" s="20"/>
      <c r="G358" s="19"/>
      <c r="H358" s="21"/>
      <c r="I358" s="19">
        <f t="shared" si="31"/>
        <v>1</v>
      </c>
      <c r="J358" s="19">
        <f t="shared" si="28"/>
        <v>1</v>
      </c>
      <c r="K358" s="19">
        <f t="shared" si="29"/>
        <v>0</v>
      </c>
      <c r="L358" s="21">
        <f t="shared" si="30"/>
        <v>2</v>
      </c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>
        <v>1</v>
      </c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>
        <v>1</v>
      </c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33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33"/>
      <c r="EG358" s="33"/>
      <c r="EH358" s="33"/>
      <c r="EI358" s="33"/>
      <c r="EJ358" s="33"/>
      <c r="EK358" s="19"/>
      <c r="EL358" s="19"/>
    </row>
    <row r="359" spans="1:142" hidden="1" x14ac:dyDescent="0.25">
      <c r="A359" s="19" t="s">
        <v>239</v>
      </c>
      <c r="B359" s="19"/>
      <c r="C359" s="24" t="s">
        <v>159</v>
      </c>
      <c r="D359" s="19">
        <v>300</v>
      </c>
      <c r="E359" s="19" t="s">
        <v>169</v>
      </c>
      <c r="F359" s="20"/>
      <c r="G359" s="19"/>
      <c r="H359" s="21"/>
      <c r="I359" s="19">
        <f t="shared" si="31"/>
        <v>1</v>
      </c>
      <c r="J359" s="19">
        <f t="shared" si="28"/>
        <v>11</v>
      </c>
      <c r="K359" s="19">
        <f t="shared" si="29"/>
        <v>0</v>
      </c>
      <c r="L359" s="21">
        <f t="shared" si="30"/>
        <v>12</v>
      </c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>
        <v>1</v>
      </c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>
        <v>10</v>
      </c>
      <c r="BV359" s="19">
        <v>1</v>
      </c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33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33"/>
      <c r="EG359" s="33"/>
      <c r="EH359" s="33"/>
      <c r="EI359" s="33"/>
      <c r="EJ359" s="33"/>
      <c r="EK359" s="19"/>
      <c r="EL359" s="19"/>
    </row>
  </sheetData>
  <autoFilter ref="C1:C359" xr:uid="{89440010-D1DD-44E7-907D-05D680DA4B3B}">
    <filterColumn colId="0">
      <filters>
        <filter val="1000"/>
      </filters>
    </filterColumn>
  </autoFilter>
  <customSheetViews>
    <customSheetView guid="{387918E5-7B77-4020-A141-306F5AFCED74}">
      <pane xSplit="11" ySplit="3" topLeftCell="CP37" activePane="bottomRight" state="frozen"/>
      <selection pane="bottomRight" activeCell="CU44" sqref="CU44"/>
      <pageMargins left="0.75" right="0.75" top="1" bottom="1" header="0.5" footer="0.5"/>
    </customSheetView>
  </customSheetViews>
  <mergeCells count="54">
    <mergeCell ref="C152:D152"/>
    <mergeCell ref="M2:N2"/>
    <mergeCell ref="S2:T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64:D164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76:D176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F278:F282"/>
    <mergeCell ref="C177:D177"/>
    <mergeCell ref="C178:D178"/>
    <mergeCell ref="F189:F211"/>
    <mergeCell ref="F212:F226"/>
    <mergeCell ref="F227:F230"/>
    <mergeCell ref="F231:F235"/>
    <mergeCell ref="F236:F238"/>
    <mergeCell ref="F239:F261"/>
    <mergeCell ref="F262:F267"/>
    <mergeCell ref="F268:F273"/>
    <mergeCell ref="F274:F277"/>
    <mergeCell ref="F283:F287"/>
    <mergeCell ref="F289:F290"/>
    <mergeCell ref="C315:D315"/>
    <mergeCell ref="C316:D316"/>
    <mergeCell ref="F316:F317"/>
    <mergeCell ref="C317:D317"/>
  </mergeCells>
  <phoneticPr fontId="11" type="noConversion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359"/>
  <sheetViews>
    <sheetView tabSelected="1" workbookViewId="0">
      <pane xSplit="11" ySplit="3" topLeftCell="EC4" activePane="bottomRight" state="frozen"/>
      <selection pane="topRight" activeCell="L1" sqref="L1"/>
      <selection pane="bottomLeft" activeCell="A4" sqref="A4"/>
      <selection pane="bottomRight" activeCell="H364" sqref="H364"/>
    </sheetView>
  </sheetViews>
  <sheetFormatPr defaultColWidth="9" defaultRowHeight="14" x14ac:dyDescent="0.25"/>
  <cols>
    <col min="1" max="1" width="24.7265625" customWidth="1"/>
    <col min="2" max="2" width="8.08984375" customWidth="1"/>
    <col min="3" max="4" width="9" customWidth="1"/>
    <col min="5" max="5" width="9" style="12" customWidth="1"/>
    <col min="6" max="6" width="9" style="6" customWidth="1"/>
    <col min="7" max="7" width="9" style="12" customWidth="1"/>
    <col min="8" max="8" width="10.36328125" style="18" customWidth="1"/>
    <col min="9" max="11" width="9" style="12" customWidth="1"/>
    <col min="12" max="12" width="9" style="18" customWidth="1"/>
    <col min="13" max="20" width="9" customWidth="1"/>
    <col min="21" max="21" width="10.7265625" customWidth="1"/>
    <col min="22" max="22" width="9" customWidth="1"/>
    <col min="23" max="23" width="10.453125" customWidth="1"/>
    <col min="24" max="24" width="9" customWidth="1"/>
    <col min="25" max="25" width="10.7265625" customWidth="1"/>
    <col min="26" max="26" width="9" customWidth="1"/>
    <col min="27" max="27" width="11.08984375" customWidth="1"/>
    <col min="28" max="28" width="9" customWidth="1"/>
    <col min="29" max="29" width="8" customWidth="1"/>
    <col min="30" max="30" width="11.08984375" customWidth="1"/>
    <col min="31" max="31" width="9" customWidth="1"/>
    <col min="32" max="32" width="11.90625" customWidth="1"/>
    <col min="33" max="33" width="9" customWidth="1"/>
    <col min="34" max="34" width="11" customWidth="1"/>
    <col min="35" max="35" width="8.7265625" customWidth="1"/>
    <col min="36" max="36" width="10.90625" customWidth="1"/>
    <col min="37" max="37" width="9" customWidth="1"/>
    <col min="38" max="38" width="10.90625" customWidth="1"/>
    <col min="39" max="40" width="10.6328125" customWidth="1"/>
    <col min="41" max="41" width="10.7265625" customWidth="1"/>
    <col min="42" max="42" width="15.26953125" customWidth="1"/>
    <col min="43" max="43" width="10.90625" customWidth="1"/>
    <col min="44" max="46" width="11" customWidth="1"/>
    <col min="47" max="48" width="9" customWidth="1"/>
    <col min="49" max="49" width="11.08984375" customWidth="1"/>
    <col min="50" max="50" width="12.26953125" customWidth="1"/>
    <col min="51" max="52" width="9" customWidth="1"/>
    <col min="53" max="53" width="10.7265625" customWidth="1"/>
    <col min="54" max="54" width="10.453125" customWidth="1"/>
    <col min="55" max="55" width="11.36328125" customWidth="1"/>
    <col min="56" max="57" width="10.7265625" customWidth="1"/>
    <col min="58" max="58" width="11.6328125" customWidth="1"/>
    <col min="59" max="59" width="10.36328125" customWidth="1"/>
    <col min="60" max="60" width="10.453125" customWidth="1"/>
    <col min="61" max="61" width="10.90625" customWidth="1"/>
    <col min="62" max="62" width="11.36328125" customWidth="1"/>
    <col min="63" max="64" width="10.6328125" customWidth="1"/>
    <col min="65" max="65" width="10.36328125" customWidth="1"/>
    <col min="66" max="66" width="10.453125" customWidth="1"/>
    <col min="67" max="67" width="10.6328125" customWidth="1"/>
    <col min="68" max="68" width="11.08984375" customWidth="1"/>
    <col min="69" max="69" width="10.7265625" customWidth="1"/>
    <col min="70" max="70" width="10.6328125" customWidth="1"/>
    <col min="71" max="71" width="10.90625" customWidth="1"/>
    <col min="72" max="72" width="12.6328125" customWidth="1"/>
    <col min="73" max="73" width="4.90625" customWidth="1"/>
    <col min="74" max="74" width="5.08984375" customWidth="1"/>
    <col min="75" max="79" width="9" customWidth="1"/>
    <col min="80" max="80" width="9.7265625" customWidth="1"/>
    <col min="81" max="81" width="10" customWidth="1"/>
    <col min="82" max="82" width="10.26953125" customWidth="1"/>
    <col min="83" max="83" width="13.453125" customWidth="1"/>
    <col min="84" max="84" width="9.7265625" customWidth="1"/>
    <col min="85" max="87" width="10.6328125" customWidth="1"/>
    <col min="88" max="88" width="11.90625" customWidth="1"/>
    <col min="89" max="89" width="12" customWidth="1"/>
    <col min="90" max="90" width="9" customWidth="1"/>
    <col min="91" max="91" width="11.08984375" customWidth="1"/>
    <col min="92" max="92" width="11" customWidth="1"/>
    <col min="93" max="93" width="11.6328125" customWidth="1"/>
    <col min="94" max="94" width="10.453125" customWidth="1"/>
    <col min="95" max="95" width="12.08984375" customWidth="1"/>
    <col min="96" max="96" width="12.26953125" customWidth="1"/>
    <col min="97" max="97" width="10.36328125" customWidth="1"/>
    <col min="98" max="98" width="9" customWidth="1"/>
    <col min="99" max="99" width="10.26953125" customWidth="1"/>
    <col min="100" max="100" width="11.453125" customWidth="1"/>
    <col min="101" max="101" width="11.36328125" customWidth="1"/>
    <col min="102" max="102" width="12" customWidth="1"/>
    <col min="103" max="103" width="10.6328125" customWidth="1"/>
    <col min="104" max="104" width="11.453125" customWidth="1"/>
    <col min="105" max="105" width="10.6328125" customWidth="1"/>
    <col min="106" max="106" width="11.6328125" customWidth="1"/>
    <col min="107" max="107" width="11.90625" customWidth="1"/>
    <col min="108" max="108" width="11.36328125" customWidth="1"/>
    <col min="109" max="109" width="9.453125" customWidth="1"/>
    <col min="110" max="110" width="9" customWidth="1"/>
    <col min="111" max="111" width="11" customWidth="1"/>
    <col min="112" max="112" width="11.08984375" customWidth="1"/>
    <col min="113" max="113" width="10.36328125" customWidth="1"/>
    <col min="114" max="114" width="10.08984375" customWidth="1"/>
    <col min="115" max="115" width="9" customWidth="1"/>
    <col min="116" max="116" width="10.6328125" customWidth="1"/>
    <col min="117" max="117" width="11.08984375" customWidth="1"/>
    <col min="118" max="118" width="10.90625" customWidth="1"/>
    <col min="119" max="119" width="11.90625" customWidth="1"/>
    <col min="120" max="120" width="10.453125" customWidth="1"/>
    <col min="121" max="121" width="11" customWidth="1"/>
    <col min="122" max="122" width="12.453125" customWidth="1"/>
    <col min="123" max="123" width="11.08984375" customWidth="1"/>
    <col min="124" max="124" width="10.6328125" customWidth="1"/>
    <col min="125" max="125" width="10.36328125" customWidth="1"/>
    <col min="126" max="126" width="10.6328125" customWidth="1"/>
    <col min="127" max="128" width="11.36328125" customWidth="1"/>
    <col min="129" max="130" width="11" customWidth="1"/>
    <col min="131" max="131" width="11.08984375" customWidth="1"/>
    <col min="132" max="132" width="11" customWidth="1"/>
    <col min="133" max="133" width="11.36328125" customWidth="1"/>
    <col min="134" max="134" width="11" customWidth="1"/>
    <col min="135" max="135" width="11.08984375" customWidth="1"/>
    <col min="136" max="141" width="9" customWidth="1"/>
    <col min="142" max="142" width="17.08984375" customWidth="1"/>
  </cols>
  <sheetData>
    <row r="1" spans="1:142" x14ac:dyDescent="0.25">
      <c r="A1" s="25" t="s">
        <v>0</v>
      </c>
      <c r="B1" s="25"/>
      <c r="C1" s="19"/>
      <c r="D1" s="19"/>
      <c r="E1" s="19"/>
      <c r="F1" s="20"/>
      <c r="G1" s="19"/>
      <c r="H1" s="21"/>
      <c r="I1" s="19"/>
      <c r="J1" s="19"/>
      <c r="K1" s="19"/>
      <c r="L1" s="21"/>
      <c r="M1" s="30" t="s">
        <v>1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 t="s">
        <v>2</v>
      </c>
      <c r="AR1" s="30"/>
      <c r="AS1" s="30"/>
      <c r="AT1" s="30"/>
      <c r="AU1" s="30"/>
      <c r="AV1" s="30"/>
      <c r="AW1" s="19" t="s">
        <v>3</v>
      </c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 t="s">
        <v>4</v>
      </c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 t="s">
        <v>5</v>
      </c>
      <c r="EG1" s="19"/>
      <c r="EH1" s="19"/>
      <c r="EI1" s="19"/>
      <c r="EJ1" s="19"/>
      <c r="EK1" s="19"/>
      <c r="EL1" s="19"/>
    </row>
    <row r="2" spans="1:142" s="29" customFormat="1" ht="40" customHeight="1" x14ac:dyDescent="0.25">
      <c r="A2" s="20" t="s">
        <v>6</v>
      </c>
      <c r="B2" s="20"/>
      <c r="C2" s="20"/>
      <c r="D2" s="20"/>
      <c r="E2" s="20"/>
      <c r="F2" s="20" t="s">
        <v>7</v>
      </c>
      <c r="G2" s="20"/>
      <c r="H2" s="22"/>
      <c r="I2" s="20"/>
      <c r="J2" s="20"/>
      <c r="K2" s="20"/>
      <c r="L2" s="22"/>
      <c r="M2" s="42" t="s">
        <v>8</v>
      </c>
      <c r="N2" s="42"/>
      <c r="O2" s="20" t="s">
        <v>9</v>
      </c>
      <c r="P2" s="20"/>
      <c r="Q2" s="20"/>
      <c r="R2" s="20"/>
      <c r="S2" s="42" t="s">
        <v>10</v>
      </c>
      <c r="T2" s="42"/>
      <c r="U2" s="20" t="s">
        <v>11</v>
      </c>
      <c r="V2" s="26" t="s">
        <v>12</v>
      </c>
      <c r="W2" s="20"/>
      <c r="X2" s="20"/>
      <c r="Y2" s="20" t="s">
        <v>13</v>
      </c>
      <c r="Z2" s="20"/>
      <c r="AA2" s="20"/>
      <c r="AB2" s="26"/>
      <c r="AC2" s="26"/>
      <c r="AD2" s="20"/>
      <c r="AE2" s="20" t="s">
        <v>14</v>
      </c>
      <c r="AF2" s="20"/>
      <c r="AG2" s="20"/>
      <c r="AH2" s="20"/>
      <c r="AI2" s="20"/>
      <c r="AJ2" s="20"/>
      <c r="AK2" s="20" t="s">
        <v>15</v>
      </c>
      <c r="AL2" s="20" t="s">
        <v>15</v>
      </c>
      <c r="AM2" s="20" t="s">
        <v>15</v>
      </c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 t="s">
        <v>16</v>
      </c>
      <c r="CF2" s="20"/>
      <c r="CG2" s="20"/>
      <c r="CH2" s="20"/>
      <c r="CI2" s="20"/>
      <c r="CJ2" s="20"/>
      <c r="CK2" s="20" t="s">
        <v>17</v>
      </c>
      <c r="CL2" s="20"/>
      <c r="CM2" s="20"/>
      <c r="CN2" s="20"/>
      <c r="CO2" s="20"/>
      <c r="CP2" s="20"/>
      <c r="CQ2" s="20"/>
      <c r="CR2" s="20"/>
      <c r="CS2" s="20"/>
      <c r="CT2" s="20" t="s">
        <v>18</v>
      </c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31" t="s">
        <v>19</v>
      </c>
      <c r="DG2" s="20" t="s">
        <v>20</v>
      </c>
      <c r="DH2" s="20" t="s">
        <v>20</v>
      </c>
      <c r="DI2" s="20"/>
      <c r="DJ2" s="20"/>
      <c r="DK2" s="20"/>
      <c r="DL2" s="20" t="s">
        <v>21</v>
      </c>
      <c r="DM2" s="20" t="s">
        <v>21</v>
      </c>
      <c r="DN2" s="20"/>
      <c r="DO2" s="20"/>
      <c r="DP2" s="20"/>
      <c r="DQ2" s="20"/>
      <c r="DR2" s="20"/>
      <c r="DS2" s="20"/>
      <c r="DT2" s="20"/>
      <c r="DU2" s="20" t="s">
        <v>22</v>
      </c>
      <c r="DV2" s="20"/>
      <c r="DW2" s="20"/>
      <c r="DX2" s="20" t="s">
        <v>23</v>
      </c>
      <c r="DY2" s="20" t="s">
        <v>24</v>
      </c>
      <c r="DZ2" s="20"/>
      <c r="EA2" s="20"/>
      <c r="EB2" s="20"/>
      <c r="EC2" s="20"/>
      <c r="ED2" s="20"/>
      <c r="EE2" s="20" t="s">
        <v>25</v>
      </c>
      <c r="EF2" s="20" t="s">
        <v>24</v>
      </c>
      <c r="EG2" s="20"/>
      <c r="EH2" s="20" t="s">
        <v>24</v>
      </c>
      <c r="EI2" s="20" t="s">
        <v>26</v>
      </c>
      <c r="EJ2" s="20"/>
      <c r="EK2" s="20"/>
      <c r="EL2" s="20"/>
    </row>
    <row r="3" spans="1:142" x14ac:dyDescent="0.25">
      <c r="A3" s="19" t="s">
        <v>27</v>
      </c>
      <c r="B3" s="19" t="s">
        <v>28</v>
      </c>
      <c r="C3" s="19" t="s">
        <v>29</v>
      </c>
      <c r="D3" s="19"/>
      <c r="E3" s="19" t="s">
        <v>30</v>
      </c>
      <c r="F3" s="20"/>
      <c r="G3" s="19" t="s">
        <v>31</v>
      </c>
      <c r="H3" s="21" t="s">
        <v>32</v>
      </c>
      <c r="I3" s="19" t="s">
        <v>1</v>
      </c>
      <c r="J3" s="19" t="s">
        <v>33</v>
      </c>
      <c r="K3" s="19" t="s">
        <v>34</v>
      </c>
      <c r="L3" s="21" t="s">
        <v>35</v>
      </c>
      <c r="M3" s="19" t="s">
        <v>36</v>
      </c>
      <c r="N3" s="19" t="s">
        <v>37</v>
      </c>
      <c r="O3" s="19" t="s">
        <v>38</v>
      </c>
      <c r="P3" s="19" t="s">
        <v>39</v>
      </c>
      <c r="Q3" s="19" t="s">
        <v>40</v>
      </c>
      <c r="R3" s="19" t="s">
        <v>41</v>
      </c>
      <c r="S3" s="19" t="s">
        <v>42</v>
      </c>
      <c r="T3" s="19" t="s">
        <v>43</v>
      </c>
      <c r="U3" s="19" t="s">
        <v>44</v>
      </c>
      <c r="V3" s="19" t="s">
        <v>45</v>
      </c>
      <c r="W3" s="19" t="s">
        <v>46</v>
      </c>
      <c r="X3" s="19" t="s">
        <v>47</v>
      </c>
      <c r="Y3" s="19" t="s">
        <v>48</v>
      </c>
      <c r="Z3" s="19" t="s">
        <v>47</v>
      </c>
      <c r="AA3" s="19" t="s">
        <v>49</v>
      </c>
      <c r="AB3" s="19" t="s">
        <v>45</v>
      </c>
      <c r="AC3" s="19"/>
      <c r="AD3" s="19" t="s">
        <v>50</v>
      </c>
      <c r="AE3" s="19" t="s">
        <v>51</v>
      </c>
      <c r="AF3" s="19" t="s">
        <v>52</v>
      </c>
      <c r="AG3" s="19" t="s">
        <v>47</v>
      </c>
      <c r="AH3" s="19" t="s">
        <v>53</v>
      </c>
      <c r="AI3" s="19" t="s">
        <v>54</v>
      </c>
      <c r="AJ3" s="19" t="s">
        <v>55</v>
      </c>
      <c r="AK3" s="19" t="s">
        <v>45</v>
      </c>
      <c r="AL3" s="19" t="s">
        <v>56</v>
      </c>
      <c r="AM3" s="19" t="s">
        <v>57</v>
      </c>
      <c r="AN3" s="19" t="s">
        <v>58</v>
      </c>
      <c r="AO3" s="19" t="s">
        <v>59</v>
      </c>
      <c r="AP3" s="19" t="s">
        <v>60</v>
      </c>
      <c r="AQ3" s="19" t="s">
        <v>56</v>
      </c>
      <c r="AR3" s="19" t="s">
        <v>57</v>
      </c>
      <c r="AS3" s="19" t="s">
        <v>58</v>
      </c>
      <c r="AT3" s="19" t="s">
        <v>59</v>
      </c>
      <c r="AU3" s="19" t="s">
        <v>61</v>
      </c>
      <c r="AV3" s="19" t="s">
        <v>62</v>
      </c>
      <c r="AW3" s="19" t="s">
        <v>63</v>
      </c>
      <c r="AX3" s="19" t="s">
        <v>64</v>
      </c>
      <c r="AY3" s="19" t="s">
        <v>65</v>
      </c>
      <c r="AZ3" s="19" t="s">
        <v>66</v>
      </c>
      <c r="BA3" s="19" t="s">
        <v>67</v>
      </c>
      <c r="BB3" s="19" t="s">
        <v>68</v>
      </c>
      <c r="BC3" s="19" t="s">
        <v>69</v>
      </c>
      <c r="BD3" s="19" t="s">
        <v>70</v>
      </c>
      <c r="BE3" s="19" t="s">
        <v>71</v>
      </c>
      <c r="BF3" s="19" t="s">
        <v>72</v>
      </c>
      <c r="BG3" s="19" t="s">
        <v>73</v>
      </c>
      <c r="BH3" s="19" t="s">
        <v>74</v>
      </c>
      <c r="BI3" s="19" t="s">
        <v>75</v>
      </c>
      <c r="BJ3" s="19" t="s">
        <v>76</v>
      </c>
      <c r="BK3" s="19" t="s">
        <v>77</v>
      </c>
      <c r="BL3" s="19" t="s">
        <v>78</v>
      </c>
      <c r="BM3" s="19" t="s">
        <v>79</v>
      </c>
      <c r="BN3" s="19" t="s">
        <v>80</v>
      </c>
      <c r="BO3" s="19" t="s">
        <v>81</v>
      </c>
      <c r="BP3" s="19" t="s">
        <v>82</v>
      </c>
      <c r="BQ3" s="19" t="s">
        <v>83</v>
      </c>
      <c r="BR3" s="19" t="s">
        <v>84</v>
      </c>
      <c r="BS3" s="19" t="s">
        <v>85</v>
      </c>
      <c r="BT3" s="19" t="s">
        <v>86</v>
      </c>
      <c r="BU3" s="19" t="s">
        <v>87</v>
      </c>
      <c r="BV3" s="19" t="s">
        <v>61</v>
      </c>
      <c r="BW3" s="19" t="s">
        <v>88</v>
      </c>
      <c r="BX3" s="19" t="s">
        <v>89</v>
      </c>
      <c r="BY3" s="19" t="s">
        <v>90</v>
      </c>
      <c r="BZ3" s="19" t="s">
        <v>91</v>
      </c>
      <c r="CA3" s="19" t="s">
        <v>92</v>
      </c>
      <c r="CB3" s="19" t="s">
        <v>93</v>
      </c>
      <c r="CC3" s="19" t="s">
        <v>94</v>
      </c>
      <c r="CD3" s="19" t="s">
        <v>95</v>
      </c>
      <c r="CE3" s="19" t="s">
        <v>96</v>
      </c>
      <c r="CF3" s="19" t="s">
        <v>97</v>
      </c>
      <c r="CG3" s="19" t="s">
        <v>98</v>
      </c>
      <c r="CH3" s="19" t="s">
        <v>99</v>
      </c>
      <c r="CI3" s="19" t="s">
        <v>100</v>
      </c>
      <c r="CJ3" s="19" t="s">
        <v>101</v>
      </c>
      <c r="CK3" s="19" t="s">
        <v>102</v>
      </c>
      <c r="CL3" s="19" t="s">
        <v>103</v>
      </c>
      <c r="CM3" s="19" t="s">
        <v>104</v>
      </c>
      <c r="CN3" s="19" t="s">
        <v>105</v>
      </c>
      <c r="CO3" s="19" t="s">
        <v>106</v>
      </c>
      <c r="CP3" s="19" t="s">
        <v>107</v>
      </c>
      <c r="CQ3" s="19" t="s">
        <v>108</v>
      </c>
      <c r="CR3" s="19" t="s">
        <v>109</v>
      </c>
      <c r="CS3" s="19" t="s">
        <v>110</v>
      </c>
      <c r="CT3" s="19" t="s">
        <v>111</v>
      </c>
      <c r="CU3" s="19" t="s">
        <v>112</v>
      </c>
      <c r="CV3" s="19" t="s">
        <v>113</v>
      </c>
      <c r="CW3" s="19" t="s">
        <v>114</v>
      </c>
      <c r="CX3" s="19" t="s">
        <v>115</v>
      </c>
      <c r="CY3" s="19" t="s">
        <v>116</v>
      </c>
      <c r="CZ3" s="19" t="s">
        <v>117</v>
      </c>
      <c r="DA3" s="19" t="s">
        <v>118</v>
      </c>
      <c r="DB3" s="19" t="s">
        <v>119</v>
      </c>
      <c r="DC3" s="19" t="s">
        <v>120</v>
      </c>
      <c r="DD3" s="19" t="s">
        <v>121</v>
      </c>
      <c r="DE3" s="19" t="s">
        <v>122</v>
      </c>
      <c r="DF3" s="19" t="s">
        <v>123</v>
      </c>
      <c r="DG3" s="19" t="s">
        <v>124</v>
      </c>
      <c r="DH3" s="19" t="s">
        <v>125</v>
      </c>
      <c r="DI3" s="19" t="s">
        <v>126</v>
      </c>
      <c r="DJ3" s="19" t="s">
        <v>127</v>
      </c>
      <c r="DK3" s="19" t="s">
        <v>128</v>
      </c>
      <c r="DL3" s="19" t="s">
        <v>129</v>
      </c>
      <c r="DM3" s="19" t="s">
        <v>130</v>
      </c>
      <c r="DN3" s="19" t="s">
        <v>131</v>
      </c>
      <c r="DO3" s="19" t="s">
        <v>132</v>
      </c>
      <c r="DP3" s="19" t="s">
        <v>84</v>
      </c>
      <c r="DQ3" s="19" t="s">
        <v>75</v>
      </c>
      <c r="DR3" s="19" t="s">
        <v>96</v>
      </c>
      <c r="DS3" s="19" t="s">
        <v>78</v>
      </c>
      <c r="DT3" s="19" t="s">
        <v>133</v>
      </c>
      <c r="DU3" s="19" t="s">
        <v>134</v>
      </c>
      <c r="DV3" s="19" t="s">
        <v>135</v>
      </c>
      <c r="DW3" s="19" t="s">
        <v>136</v>
      </c>
      <c r="DX3" s="19" t="s">
        <v>82</v>
      </c>
      <c r="DY3" s="19" t="s">
        <v>137</v>
      </c>
      <c r="DZ3" s="19" t="s">
        <v>138</v>
      </c>
      <c r="EA3" s="19" t="s">
        <v>139</v>
      </c>
      <c r="EB3" s="19" t="s">
        <v>140</v>
      </c>
      <c r="EC3" s="19" t="s">
        <v>141</v>
      </c>
      <c r="ED3" s="19" t="s">
        <v>142</v>
      </c>
      <c r="EE3" s="19" t="s">
        <v>143</v>
      </c>
      <c r="EF3" s="19" t="s">
        <v>144</v>
      </c>
      <c r="EG3" s="19" t="s">
        <v>145</v>
      </c>
      <c r="EH3" s="19" t="s">
        <v>146</v>
      </c>
      <c r="EI3" s="19" t="s">
        <v>147</v>
      </c>
      <c r="EJ3" s="19" t="s">
        <v>87</v>
      </c>
      <c r="EK3" s="19" t="s">
        <v>62</v>
      </c>
      <c r="EL3" s="19" t="s">
        <v>148</v>
      </c>
    </row>
    <row r="4" spans="1:142" x14ac:dyDescent="0.25">
      <c r="A4" s="19" t="s">
        <v>149</v>
      </c>
      <c r="B4" s="19"/>
      <c r="C4" s="19"/>
      <c r="D4" s="19"/>
      <c r="E4" s="19" t="s">
        <v>150</v>
      </c>
      <c r="F4" s="20"/>
      <c r="G4" s="19"/>
      <c r="H4" s="21"/>
      <c r="I4" s="19">
        <f>SUM(M4:AV4)</f>
        <v>48</v>
      </c>
      <c r="J4" s="19">
        <f>SUM(AW4:EE4)</f>
        <v>82</v>
      </c>
      <c r="K4" s="19">
        <f>SUM(EF4:EM4)</f>
        <v>4</v>
      </c>
      <c r="L4" s="21">
        <f>SUM(M4:EM4)</f>
        <v>134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5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7</v>
      </c>
      <c r="AC4" s="19"/>
      <c r="AD4" s="19">
        <v>1</v>
      </c>
      <c r="AE4" s="19">
        <v>1</v>
      </c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7</v>
      </c>
      <c r="AL4" s="19">
        <v>1</v>
      </c>
      <c r="AM4" s="19">
        <v>1</v>
      </c>
      <c r="AN4" s="19">
        <v>1</v>
      </c>
      <c r="AO4" s="19">
        <v>1</v>
      </c>
      <c r="AP4" s="19"/>
      <c r="AQ4" s="19">
        <v>1</v>
      </c>
      <c r="AR4" s="19">
        <v>1</v>
      </c>
      <c r="AS4" s="19">
        <v>1</v>
      </c>
      <c r="AT4" s="19">
        <v>1</v>
      </c>
      <c r="AU4" s="19"/>
      <c r="AV4" s="19"/>
      <c r="AW4" s="19">
        <v>1</v>
      </c>
      <c r="AX4" s="19">
        <v>1</v>
      </c>
      <c r="AY4" s="19">
        <v>1</v>
      </c>
      <c r="AZ4" s="19">
        <v>1</v>
      </c>
      <c r="BA4" s="19">
        <v>1</v>
      </c>
      <c r="BB4" s="19">
        <v>1</v>
      </c>
      <c r="BC4" s="19">
        <v>1</v>
      </c>
      <c r="BD4" s="19">
        <v>1</v>
      </c>
      <c r="BE4" s="19">
        <v>1</v>
      </c>
      <c r="BF4" s="19">
        <v>1</v>
      </c>
      <c r="BG4" s="19">
        <v>1</v>
      </c>
      <c r="BH4" s="19">
        <v>1</v>
      </c>
      <c r="BI4" s="19">
        <v>1</v>
      </c>
      <c r="BJ4" s="19">
        <v>1</v>
      </c>
      <c r="BK4" s="19">
        <v>1</v>
      </c>
      <c r="BL4" s="19">
        <v>1</v>
      </c>
      <c r="BM4" s="19">
        <v>1</v>
      </c>
      <c r="BN4" s="19">
        <v>1</v>
      </c>
      <c r="BO4" s="19">
        <v>1</v>
      </c>
      <c r="BP4" s="19">
        <v>1</v>
      </c>
      <c r="BQ4" s="19">
        <v>1</v>
      </c>
      <c r="BR4" s="19">
        <v>1</v>
      </c>
      <c r="BS4" s="19">
        <v>1</v>
      </c>
      <c r="BT4" s="19"/>
      <c r="BU4" s="19"/>
      <c r="BV4" s="19"/>
      <c r="BW4" s="19">
        <v>1</v>
      </c>
      <c r="BX4" s="19">
        <v>1</v>
      </c>
      <c r="BY4" s="19">
        <v>1</v>
      </c>
      <c r="BZ4" s="19">
        <v>1</v>
      </c>
      <c r="CA4" s="19">
        <v>1</v>
      </c>
      <c r="CB4" s="19">
        <v>1</v>
      </c>
      <c r="CC4" s="19">
        <v>1</v>
      </c>
      <c r="CD4" s="19">
        <v>1</v>
      </c>
      <c r="CE4" s="19"/>
      <c r="CF4" s="19">
        <v>1</v>
      </c>
      <c r="CG4" s="19">
        <v>1</v>
      </c>
      <c r="CH4" s="19">
        <v>1</v>
      </c>
      <c r="CI4" s="19">
        <v>1</v>
      </c>
      <c r="CJ4" s="19">
        <v>1</v>
      </c>
      <c r="CK4" s="19">
        <v>1</v>
      </c>
      <c r="CL4" s="19">
        <v>1</v>
      </c>
      <c r="CM4" s="19">
        <v>1</v>
      </c>
      <c r="CN4" s="19">
        <v>1</v>
      </c>
      <c r="CO4" s="19">
        <v>1</v>
      </c>
      <c r="CP4" s="19">
        <v>1</v>
      </c>
      <c r="CQ4" s="19">
        <v>1</v>
      </c>
      <c r="CR4" s="19">
        <v>1</v>
      </c>
      <c r="CS4" s="19">
        <v>1</v>
      </c>
      <c r="CT4" s="19">
        <v>1</v>
      </c>
      <c r="CU4" s="19">
        <v>1</v>
      </c>
      <c r="CV4" s="19">
        <v>1</v>
      </c>
      <c r="CW4" s="19">
        <v>1</v>
      </c>
      <c r="CX4" s="19">
        <v>1</v>
      </c>
      <c r="CY4" s="19">
        <v>1</v>
      </c>
      <c r="CZ4" s="19">
        <v>1</v>
      </c>
      <c r="DA4" s="19">
        <v>1</v>
      </c>
      <c r="DB4" s="19">
        <v>1</v>
      </c>
      <c r="DC4" s="19">
        <v>1</v>
      </c>
      <c r="DD4" s="19">
        <v>1</v>
      </c>
      <c r="DE4" s="19">
        <v>1</v>
      </c>
      <c r="DF4" s="19">
        <v>1</v>
      </c>
      <c r="DG4" s="19">
        <v>1</v>
      </c>
      <c r="DH4" s="19">
        <v>1</v>
      </c>
      <c r="DI4" s="19">
        <v>1</v>
      </c>
      <c r="DJ4" s="19">
        <v>1</v>
      </c>
      <c r="DK4" s="19">
        <v>1</v>
      </c>
      <c r="DL4" s="19">
        <v>1</v>
      </c>
      <c r="DM4" s="19">
        <v>1</v>
      </c>
      <c r="DN4" s="19">
        <v>1</v>
      </c>
      <c r="DO4" s="19">
        <v>1</v>
      </c>
      <c r="DP4" s="19">
        <v>1</v>
      </c>
      <c r="DQ4" s="19">
        <v>1</v>
      </c>
      <c r="DR4" s="19"/>
      <c r="DS4" s="19">
        <v>1</v>
      </c>
      <c r="DT4" s="19">
        <v>1</v>
      </c>
      <c r="DU4" s="19">
        <v>1</v>
      </c>
      <c r="DV4" s="19">
        <v>1</v>
      </c>
      <c r="DW4" s="19">
        <v>1</v>
      </c>
      <c r="DX4" s="19">
        <v>1</v>
      </c>
      <c r="DY4" s="19">
        <v>1</v>
      </c>
      <c r="DZ4" s="19">
        <v>1</v>
      </c>
      <c r="EA4" s="19">
        <v>1</v>
      </c>
      <c r="EB4" s="19">
        <v>1</v>
      </c>
      <c r="EC4" s="19">
        <v>1</v>
      </c>
      <c r="ED4" s="19">
        <v>1</v>
      </c>
      <c r="EE4" s="19">
        <v>1</v>
      </c>
      <c r="EF4" s="19">
        <v>1</v>
      </c>
      <c r="EG4" s="19">
        <v>1</v>
      </c>
      <c r="EH4" s="19">
        <v>1</v>
      </c>
      <c r="EI4" s="19">
        <v>1</v>
      </c>
      <c r="EJ4" s="19"/>
      <c r="EK4" s="19"/>
      <c r="EL4" s="19"/>
    </row>
    <row r="5" spans="1:142" x14ac:dyDescent="0.25">
      <c r="A5" s="19" t="s">
        <v>151</v>
      </c>
      <c r="B5" s="19"/>
      <c r="C5" s="19"/>
      <c r="D5" s="19"/>
      <c r="E5" s="19" t="s">
        <v>150</v>
      </c>
      <c r="F5" s="20"/>
      <c r="G5" s="19"/>
      <c r="H5" s="21"/>
      <c r="I5" s="19">
        <f>SUM(M5:AV5)</f>
        <v>11</v>
      </c>
      <c r="J5" s="19">
        <f t="shared" ref="J5:J68" si="0">SUM(AW5:EE5)</f>
        <v>0</v>
      </c>
      <c r="K5" s="19">
        <f t="shared" ref="K5:K68" si="1">SUM(EF5:EM5)</f>
        <v>0</v>
      </c>
      <c r="L5" s="21">
        <f t="shared" ref="L5:L68" si="2">SUM(M5:EM5)</f>
        <v>11</v>
      </c>
      <c r="M5" s="19"/>
      <c r="N5" s="19"/>
      <c r="O5" s="19"/>
      <c r="P5" s="19"/>
      <c r="Q5" s="19"/>
      <c r="R5" s="19"/>
      <c r="S5" s="19"/>
      <c r="T5" s="19"/>
      <c r="U5" s="19"/>
      <c r="V5" s="19">
        <v>3</v>
      </c>
      <c r="W5" s="19"/>
      <c r="X5" s="19"/>
      <c r="Y5" s="19"/>
      <c r="Z5" s="19"/>
      <c r="AA5" s="19"/>
      <c r="AB5" s="19">
        <v>4</v>
      </c>
      <c r="AC5" s="19"/>
      <c r="AD5" s="19"/>
      <c r="AE5" s="19"/>
      <c r="AF5" s="19"/>
      <c r="AG5" s="19"/>
      <c r="AH5" s="19"/>
      <c r="AI5" s="19"/>
      <c r="AJ5" s="19"/>
      <c r="AK5" s="19">
        <v>4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</row>
    <row r="6" spans="1:142" x14ac:dyDescent="0.25">
      <c r="A6" s="19" t="s">
        <v>152</v>
      </c>
      <c r="B6" s="19"/>
      <c r="C6" s="19"/>
      <c r="D6" s="19"/>
      <c r="E6" s="19" t="s">
        <v>153</v>
      </c>
      <c r="F6" s="20"/>
      <c r="G6" s="19"/>
      <c r="H6" s="21"/>
      <c r="I6" s="19">
        <f>SUM(M6:AV6)</f>
        <v>32</v>
      </c>
      <c r="J6" s="19">
        <f t="shared" si="0"/>
        <v>0</v>
      </c>
      <c r="K6" s="19">
        <f t="shared" si="1"/>
        <v>0</v>
      </c>
      <c r="L6" s="21">
        <f t="shared" si="2"/>
        <v>32</v>
      </c>
      <c r="M6" s="19"/>
      <c r="N6" s="19"/>
      <c r="O6" s="19"/>
      <c r="P6" s="19"/>
      <c r="Q6" s="19"/>
      <c r="R6" s="19"/>
      <c r="S6" s="19"/>
      <c r="T6" s="19"/>
      <c r="U6" s="19"/>
      <c r="V6" s="19">
        <v>6</v>
      </c>
      <c r="W6" s="19"/>
      <c r="X6" s="19"/>
      <c r="Y6" s="19"/>
      <c r="Z6" s="19"/>
      <c r="AA6" s="19"/>
      <c r="AB6" s="19">
        <v>8</v>
      </c>
      <c r="AC6" s="19">
        <v>10</v>
      </c>
      <c r="AD6" s="19"/>
      <c r="AE6" s="19"/>
      <c r="AF6" s="19"/>
      <c r="AG6" s="19"/>
      <c r="AH6" s="19"/>
      <c r="AI6" s="19"/>
      <c r="AJ6" s="19"/>
      <c r="AK6" s="19">
        <v>8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</row>
    <row r="7" spans="1:142" x14ac:dyDescent="0.25">
      <c r="A7" s="19" t="s">
        <v>62</v>
      </c>
      <c r="B7" s="19"/>
      <c r="C7" s="19"/>
      <c r="D7" s="19"/>
      <c r="E7" s="19" t="s">
        <v>150</v>
      </c>
      <c r="F7" s="20"/>
      <c r="G7" s="19"/>
      <c r="H7" s="21"/>
      <c r="I7" s="19">
        <f>SUM(M7:AV7)</f>
        <v>97</v>
      </c>
      <c r="J7" s="19">
        <f t="shared" si="0"/>
        <v>0</v>
      </c>
      <c r="K7" s="19">
        <f t="shared" si="1"/>
        <v>173</v>
      </c>
      <c r="L7" s="21">
        <f t="shared" si="2"/>
        <v>270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f>75+22</f>
        <v>97</v>
      </c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>
        <f>74+99</f>
        <v>173</v>
      </c>
      <c r="EL7" s="19"/>
    </row>
    <row r="8" spans="1:142" x14ac:dyDescent="0.25">
      <c r="A8" s="19" t="s">
        <v>154</v>
      </c>
      <c r="B8" s="19"/>
      <c r="C8" s="19"/>
      <c r="D8" s="19"/>
      <c r="E8" s="19" t="s">
        <v>150</v>
      </c>
      <c r="F8" s="20"/>
      <c r="G8" s="19"/>
      <c r="H8" s="21"/>
      <c r="I8" s="19">
        <f>SUM(M8:AV8)</f>
        <v>0</v>
      </c>
      <c r="J8" s="19">
        <f t="shared" si="0"/>
        <v>5</v>
      </c>
      <c r="K8" s="19">
        <f t="shared" si="1"/>
        <v>0</v>
      </c>
      <c r="L8" s="21">
        <f t="shared" si="2"/>
        <v>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>
        <v>3</v>
      </c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>
        <v>2</v>
      </c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x14ac:dyDescent="0.25">
      <c r="A9" s="19" t="s">
        <v>60</v>
      </c>
      <c r="B9" s="19"/>
      <c r="C9" s="19"/>
      <c r="D9" s="19"/>
      <c r="E9" s="19" t="s">
        <v>150</v>
      </c>
      <c r="F9" s="20"/>
      <c r="G9" s="19"/>
      <c r="H9" s="21"/>
      <c r="I9" s="19">
        <f t="shared" ref="I9:I69" si="3">SUM(M9:AV9)</f>
        <v>26</v>
      </c>
      <c r="J9" s="19">
        <f t="shared" si="0"/>
        <v>0</v>
      </c>
      <c r="K9" s="19">
        <f t="shared" si="1"/>
        <v>32</v>
      </c>
      <c r="L9" s="21">
        <f t="shared" si="2"/>
        <v>58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>
        <v>26</v>
      </c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>
        <v>32</v>
      </c>
      <c r="EK9" s="19"/>
      <c r="EL9" s="19"/>
    </row>
    <row r="10" spans="1:142" x14ac:dyDescent="0.25">
      <c r="A10" s="19" t="s">
        <v>155</v>
      </c>
      <c r="B10" s="19"/>
      <c r="C10" s="19"/>
      <c r="D10" s="19"/>
      <c r="E10" s="19" t="s">
        <v>150</v>
      </c>
      <c r="F10" s="20"/>
      <c r="G10" s="19"/>
      <c r="H10" s="21"/>
      <c r="I10" s="19">
        <f t="shared" si="3"/>
        <v>0</v>
      </c>
      <c r="J10" s="19">
        <f t="shared" si="0"/>
        <v>10</v>
      </c>
      <c r="K10" s="19">
        <f t="shared" si="1"/>
        <v>1</v>
      </c>
      <c r="L10" s="21">
        <f t="shared" si="2"/>
        <v>11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>
        <v>10</v>
      </c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>
        <v>1</v>
      </c>
      <c r="EK10" s="19"/>
      <c r="EL10" s="19"/>
    </row>
    <row r="11" spans="1:142" x14ac:dyDescent="0.25">
      <c r="A11" s="19" t="s">
        <v>61</v>
      </c>
      <c r="B11" s="19"/>
      <c r="C11" s="19"/>
      <c r="D11" s="19"/>
      <c r="E11" s="19" t="s">
        <v>150</v>
      </c>
      <c r="F11" s="20"/>
      <c r="G11" s="19"/>
      <c r="H11" s="21"/>
      <c r="I11" s="19">
        <f t="shared" si="3"/>
        <v>1</v>
      </c>
      <c r="J11" s="19">
        <f t="shared" si="0"/>
        <v>1</v>
      </c>
      <c r="K11" s="19">
        <f t="shared" si="1"/>
        <v>0</v>
      </c>
      <c r="L11" s="21">
        <f t="shared" si="2"/>
        <v>2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>
        <v>1</v>
      </c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>
        <v>1</v>
      </c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x14ac:dyDescent="0.25">
      <c r="A12" s="19" t="s">
        <v>156</v>
      </c>
      <c r="B12" s="19" t="s">
        <v>157</v>
      </c>
      <c r="C12" s="19">
        <v>800</v>
      </c>
      <c r="D12" s="19">
        <v>320</v>
      </c>
      <c r="E12" s="19" t="s">
        <v>158</v>
      </c>
      <c r="F12" s="20"/>
      <c r="G12" s="19">
        <f>(C12/1000+D12/1000)*2</f>
        <v>2.2400000000000002</v>
      </c>
      <c r="H12" s="21">
        <f>G12*L12</f>
        <v>37.255680000000005</v>
      </c>
      <c r="I12" s="19">
        <f t="shared" si="3"/>
        <v>16.632000000000001</v>
      </c>
      <c r="J12" s="19">
        <f t="shared" si="0"/>
        <v>0</v>
      </c>
      <c r="K12" s="19">
        <f t="shared" si="1"/>
        <v>0</v>
      </c>
      <c r="L12" s="21">
        <f t="shared" si="2"/>
        <v>16.632000000000001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>
        <f>6.607+0.8</f>
        <v>7.407</v>
      </c>
      <c r="AC12" s="19"/>
      <c r="AD12" s="19"/>
      <c r="AE12" s="19"/>
      <c r="AF12" s="19"/>
      <c r="AG12" s="19"/>
      <c r="AH12" s="19"/>
      <c r="AI12" s="19"/>
      <c r="AJ12" s="19"/>
      <c r="AK12" s="19">
        <f>9.425-0.2</f>
        <v>9.2250000000000014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</row>
    <row r="13" spans="1:142" x14ac:dyDescent="0.25">
      <c r="A13" s="19" t="s">
        <v>156</v>
      </c>
      <c r="B13" s="19" t="s">
        <v>157</v>
      </c>
      <c r="C13" s="19">
        <v>630</v>
      </c>
      <c r="D13" s="19">
        <v>320</v>
      </c>
      <c r="E13" s="19" t="s">
        <v>158</v>
      </c>
      <c r="F13" s="20"/>
      <c r="G13" s="19">
        <f t="shared" ref="G13:G44" si="4">(C13/1000+D13/1000)*2</f>
        <v>1.9</v>
      </c>
      <c r="H13" s="21">
        <f t="shared" ref="H13:H44" si="5">G13*L13</f>
        <v>10.3208</v>
      </c>
      <c r="I13" s="19">
        <f t="shared" si="3"/>
        <v>5.4320000000000004</v>
      </c>
      <c r="J13" s="19">
        <f t="shared" si="0"/>
        <v>0</v>
      </c>
      <c r="K13" s="19">
        <f t="shared" si="1"/>
        <v>0</v>
      </c>
      <c r="L13" s="21">
        <f t="shared" si="2"/>
        <v>5.4320000000000004</v>
      </c>
      <c r="M13" s="19"/>
      <c r="N13" s="19"/>
      <c r="O13" s="19"/>
      <c r="P13" s="19"/>
      <c r="Q13" s="19"/>
      <c r="R13" s="19"/>
      <c r="S13" s="19"/>
      <c r="T13" s="19"/>
      <c r="U13" s="19"/>
      <c r="V13" s="19">
        <f>5.432</f>
        <v>5.4320000000000004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</row>
    <row r="14" spans="1:142" x14ac:dyDescent="0.25">
      <c r="A14" s="19" t="s">
        <v>156</v>
      </c>
      <c r="B14" s="19" t="s">
        <v>157</v>
      </c>
      <c r="C14" s="24" t="s">
        <v>159</v>
      </c>
      <c r="D14" s="19">
        <v>600</v>
      </c>
      <c r="E14" s="19" t="s">
        <v>158</v>
      </c>
      <c r="F14" s="20"/>
      <c r="G14" s="19">
        <f t="shared" ref="G14:G20" si="6">3.14*D14/1000</f>
        <v>1.8839999999999999</v>
      </c>
      <c r="H14" s="21">
        <f t="shared" si="5"/>
        <v>56.401308000000007</v>
      </c>
      <c r="I14" s="19">
        <f t="shared" si="3"/>
        <v>29.937000000000005</v>
      </c>
      <c r="J14" s="19">
        <f t="shared" si="0"/>
        <v>0</v>
      </c>
      <c r="K14" s="19">
        <f t="shared" si="1"/>
        <v>0</v>
      </c>
      <c r="L14" s="21">
        <f t="shared" si="2"/>
        <v>29.937000000000005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>
        <f>1.813+4.45+3.761-0.4+1.45+0.9+0.3</f>
        <v>12.274000000000001</v>
      </c>
      <c r="AC14" s="19"/>
      <c r="AD14" s="19"/>
      <c r="AE14" s="19"/>
      <c r="AF14" s="19"/>
      <c r="AG14" s="19"/>
      <c r="AH14" s="19"/>
      <c r="AI14" s="19"/>
      <c r="AJ14" s="19"/>
      <c r="AK14" s="19">
        <f>5.327+5.35+0.9+0.3+4.761-0.4+1.425</f>
        <v>17.663000000000004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</row>
    <row r="15" spans="1:142" x14ac:dyDescent="0.25">
      <c r="A15" s="19" t="s">
        <v>156</v>
      </c>
      <c r="B15" s="19" t="s">
        <v>157</v>
      </c>
      <c r="C15" s="24" t="s">
        <v>159</v>
      </c>
      <c r="D15" s="19">
        <v>500</v>
      </c>
      <c r="E15" s="19" t="s">
        <v>158</v>
      </c>
      <c r="F15" s="20"/>
      <c r="G15" s="19">
        <f t="shared" si="6"/>
        <v>1.57</v>
      </c>
      <c r="H15" s="21">
        <f t="shared" si="5"/>
        <v>56.105520000000006</v>
      </c>
      <c r="I15" s="19">
        <f t="shared" si="3"/>
        <v>35.736000000000004</v>
      </c>
      <c r="J15" s="19">
        <f t="shared" si="0"/>
        <v>0</v>
      </c>
      <c r="K15" s="19">
        <f t="shared" si="1"/>
        <v>0</v>
      </c>
      <c r="L15" s="21">
        <f t="shared" si="2"/>
        <v>35.736000000000004</v>
      </c>
      <c r="M15" s="19"/>
      <c r="N15" s="19"/>
      <c r="O15" s="19"/>
      <c r="P15" s="19"/>
      <c r="Q15" s="19"/>
      <c r="R15" s="19"/>
      <c r="S15" s="19"/>
      <c r="T15" s="19"/>
      <c r="U15" s="19"/>
      <c r="V15" s="19">
        <f>1.61+3.3+3.661-0.4+1.699+(0.9+0.25)</f>
        <v>11.02</v>
      </c>
      <c r="W15" s="19"/>
      <c r="X15" s="19"/>
      <c r="Y15" s="19"/>
      <c r="Z15" s="19"/>
      <c r="AA15" s="19"/>
      <c r="AB15" s="19">
        <f>5.719+1.288+3.94+1.285+1.285+0.7+3.45+0.6-0.4</f>
        <v>17.867000000000004</v>
      </c>
      <c r="AC15" s="19"/>
      <c r="AD15" s="19"/>
      <c r="AE15" s="19"/>
      <c r="AF15" s="19"/>
      <c r="AG15" s="19"/>
      <c r="AH15" s="19"/>
      <c r="AI15" s="19"/>
      <c r="AJ15" s="19"/>
      <c r="AK15" s="19">
        <f>1.139+1.285-0.2+0.575+4.45-0.4</f>
        <v>6.8489999999999993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</row>
    <row r="16" spans="1:142" x14ac:dyDescent="0.25">
      <c r="A16" s="19" t="s">
        <v>156</v>
      </c>
      <c r="B16" s="19" t="s">
        <v>157</v>
      </c>
      <c r="C16" s="24" t="s">
        <v>159</v>
      </c>
      <c r="D16" s="19">
        <v>400</v>
      </c>
      <c r="E16" s="19" t="s">
        <v>158</v>
      </c>
      <c r="F16" s="20"/>
      <c r="G16" s="19">
        <f t="shared" si="6"/>
        <v>1.256</v>
      </c>
      <c r="H16" s="21">
        <f t="shared" si="5"/>
        <v>68.429392000000007</v>
      </c>
      <c r="I16" s="19">
        <f t="shared" si="3"/>
        <v>54.482000000000006</v>
      </c>
      <c r="J16" s="19">
        <f t="shared" si="0"/>
        <v>0</v>
      </c>
      <c r="K16" s="19">
        <f t="shared" si="1"/>
        <v>0</v>
      </c>
      <c r="L16" s="21">
        <f t="shared" si="2"/>
        <v>54.482000000000006</v>
      </c>
      <c r="M16" s="19"/>
      <c r="N16" s="19"/>
      <c r="O16" s="19"/>
      <c r="P16" s="19"/>
      <c r="Q16" s="19"/>
      <c r="R16" s="19"/>
      <c r="S16" s="19"/>
      <c r="T16" s="19"/>
      <c r="U16" s="19"/>
      <c r="V16" s="25">
        <f>4.208+1.588+3.939-0.2+1.285+1.285+0.7+3.45+0.6-0.4+2.457+2.424+0.3+0.3+0.32+0.32</f>
        <v>22.576000000000004</v>
      </c>
      <c r="W16" s="19"/>
      <c r="X16" s="19"/>
      <c r="Y16" s="19"/>
      <c r="Z16" s="19"/>
      <c r="AA16" s="19"/>
      <c r="AB16" s="19">
        <f>(2.457+2.424+0.32*2+0.3*2)*2</f>
        <v>12.241999999999999</v>
      </c>
      <c r="AC16" s="19"/>
      <c r="AD16" s="19"/>
      <c r="AE16" s="19"/>
      <c r="AF16" s="19"/>
      <c r="AG16" s="19"/>
      <c r="AH16" s="19"/>
      <c r="AI16" s="19"/>
      <c r="AJ16" s="19"/>
      <c r="AK16" s="19">
        <f>4.494+(1.71-0.2+2.421+0.32*4+2.374)*2</f>
        <v>19.664000000000001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</row>
    <row r="17" spans="1:142" x14ac:dyDescent="0.25">
      <c r="A17" s="19" t="s">
        <v>156</v>
      </c>
      <c r="B17" s="19" t="s">
        <v>157</v>
      </c>
      <c r="C17" s="24" t="s">
        <v>159</v>
      </c>
      <c r="D17" s="19">
        <v>320</v>
      </c>
      <c r="E17" s="19" t="s">
        <v>158</v>
      </c>
      <c r="F17" s="20"/>
      <c r="G17" s="19">
        <f t="shared" si="6"/>
        <v>1.0048000000000001</v>
      </c>
      <c r="H17" s="21">
        <f t="shared" si="5"/>
        <v>4.7326080000000008</v>
      </c>
      <c r="I17" s="19">
        <f t="shared" si="3"/>
        <v>4.71</v>
      </c>
      <c r="J17" s="19">
        <f t="shared" si="0"/>
        <v>0</v>
      </c>
      <c r="K17" s="19">
        <f t="shared" si="1"/>
        <v>0</v>
      </c>
      <c r="L17" s="21">
        <f t="shared" si="2"/>
        <v>4.71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>
        <f>1.637*2+1.436</f>
        <v>4.71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</row>
    <row r="18" spans="1:142" x14ac:dyDescent="0.25">
      <c r="A18" s="19" t="s">
        <v>156</v>
      </c>
      <c r="B18" s="19" t="s">
        <v>157</v>
      </c>
      <c r="C18" s="24" t="s">
        <v>159</v>
      </c>
      <c r="D18" s="19">
        <v>300</v>
      </c>
      <c r="E18" s="19" t="s">
        <v>158</v>
      </c>
      <c r="F18" s="20"/>
      <c r="G18" s="19">
        <f t="shared" si="6"/>
        <v>0.94199999999999995</v>
      </c>
      <c r="H18" s="21">
        <f t="shared" si="5"/>
        <v>4.7768819999999996</v>
      </c>
      <c r="I18" s="19">
        <f t="shared" si="3"/>
        <v>5.0709999999999997</v>
      </c>
      <c r="J18" s="19">
        <f t="shared" si="0"/>
        <v>0</v>
      </c>
      <c r="K18" s="19">
        <f t="shared" si="1"/>
        <v>0</v>
      </c>
      <c r="L18" s="21">
        <f t="shared" si="2"/>
        <v>5.0709999999999997</v>
      </c>
      <c r="M18" s="19"/>
      <c r="N18" s="19"/>
      <c r="O18" s="19"/>
      <c r="P18" s="19"/>
      <c r="Q18" s="19"/>
      <c r="R18" s="19"/>
      <c r="S18" s="19"/>
      <c r="T18" s="19"/>
      <c r="U18" s="19"/>
      <c r="V18" s="19">
        <f>2.457+0.324+0.29+2</f>
        <v>5.0709999999999997</v>
      </c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</row>
    <row r="19" spans="1:142" x14ac:dyDescent="0.25">
      <c r="A19" s="19" t="s">
        <v>156</v>
      </c>
      <c r="B19" s="19" t="s">
        <v>157</v>
      </c>
      <c r="C19" s="24" t="s">
        <v>159</v>
      </c>
      <c r="D19" s="19">
        <v>250</v>
      </c>
      <c r="E19" s="19" t="s">
        <v>158</v>
      </c>
      <c r="F19" s="20"/>
      <c r="G19" s="19">
        <f t="shared" si="6"/>
        <v>0.78500000000000003</v>
      </c>
      <c r="H19" s="21">
        <f t="shared" si="5"/>
        <v>11.101470000000001</v>
      </c>
      <c r="I19" s="19">
        <f t="shared" si="3"/>
        <v>14.142000000000001</v>
      </c>
      <c r="J19" s="19">
        <f t="shared" si="0"/>
        <v>0</v>
      </c>
      <c r="K19" s="19">
        <f t="shared" si="1"/>
        <v>0</v>
      </c>
      <c r="L19" s="21">
        <f t="shared" si="2"/>
        <v>14.142000000000001</v>
      </c>
      <c r="M19" s="19"/>
      <c r="N19" s="19"/>
      <c r="O19" s="19"/>
      <c r="P19" s="19"/>
      <c r="Q19" s="19"/>
      <c r="R19" s="19"/>
      <c r="S19" s="19"/>
      <c r="T19" s="19"/>
      <c r="U19" s="19"/>
      <c r="V19" s="19">
        <f>1.022*2+1.36*3</f>
        <v>6.1240000000000006</v>
      </c>
      <c r="W19" s="19"/>
      <c r="X19" s="19"/>
      <c r="Y19" s="19"/>
      <c r="Z19" s="19"/>
      <c r="AA19" s="19"/>
      <c r="AB19" s="19">
        <f>(1.07*3+1.202*4)</f>
        <v>8.0180000000000007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</row>
    <row r="20" spans="1:142" x14ac:dyDescent="0.25">
      <c r="A20" s="19" t="s">
        <v>156</v>
      </c>
      <c r="B20" s="19" t="s">
        <v>157</v>
      </c>
      <c r="C20" s="24" t="s">
        <v>159</v>
      </c>
      <c r="D20" s="19">
        <v>200</v>
      </c>
      <c r="E20" s="19" t="s">
        <v>158</v>
      </c>
      <c r="F20" s="20"/>
      <c r="G20" s="19">
        <f t="shared" si="6"/>
        <v>0.628</v>
      </c>
      <c r="H20" s="21">
        <f t="shared" si="5"/>
        <v>24.04926</v>
      </c>
      <c r="I20" s="19">
        <f t="shared" si="3"/>
        <v>38.295000000000002</v>
      </c>
      <c r="J20" s="19">
        <f t="shared" si="0"/>
        <v>0</v>
      </c>
      <c r="K20" s="19">
        <f t="shared" si="1"/>
        <v>0</v>
      </c>
      <c r="L20" s="21">
        <f t="shared" si="2"/>
        <v>38.295000000000002</v>
      </c>
      <c r="M20" s="19"/>
      <c r="N20" s="19"/>
      <c r="O20" s="19"/>
      <c r="P20" s="19"/>
      <c r="Q20" s="19"/>
      <c r="R20" s="19"/>
      <c r="S20" s="19"/>
      <c r="T20" s="19"/>
      <c r="U20" s="19"/>
      <c r="V20" s="19">
        <f>(1.85+2.59-1.05+1.05-0.355)*3</f>
        <v>12.254999999999997</v>
      </c>
      <c r="W20" s="19"/>
      <c r="X20" s="19"/>
      <c r="Y20" s="19"/>
      <c r="Z20" s="19"/>
      <c r="AA20" s="19"/>
      <c r="AB20" s="19">
        <f>(2.75-0.16+1.65-1.05-1.05-0.355)*7</f>
        <v>12.495000000000005</v>
      </c>
      <c r="AC20" s="19"/>
      <c r="AD20" s="19"/>
      <c r="AE20" s="19"/>
      <c r="AF20" s="19"/>
      <c r="AG20" s="19"/>
      <c r="AH20" s="19"/>
      <c r="AI20" s="19"/>
      <c r="AJ20" s="19"/>
      <c r="AK20" s="19">
        <f>(1.8+2.75-0.16-1.05-1.05-0.355)*7</f>
        <v>13.545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</row>
    <row r="21" spans="1:142" x14ac:dyDescent="0.25">
      <c r="A21" s="19" t="s">
        <v>160</v>
      </c>
      <c r="B21" s="19"/>
      <c r="C21" s="24">
        <v>3300</v>
      </c>
      <c r="D21" s="19">
        <v>700</v>
      </c>
      <c r="E21" s="19" t="s">
        <v>158</v>
      </c>
      <c r="F21" s="20"/>
      <c r="G21" s="19">
        <f t="shared" si="4"/>
        <v>8</v>
      </c>
      <c r="H21" s="21">
        <f t="shared" si="5"/>
        <v>69.2</v>
      </c>
      <c r="I21" s="19">
        <f t="shared" si="3"/>
        <v>0</v>
      </c>
      <c r="J21" s="19">
        <f t="shared" si="0"/>
        <v>0</v>
      </c>
      <c r="K21" s="19">
        <f t="shared" si="1"/>
        <v>8.65</v>
      </c>
      <c r="L21" s="21">
        <f t="shared" si="2"/>
        <v>8.65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>
        <f>8.65</f>
        <v>8.65</v>
      </c>
      <c r="EI21" s="19"/>
      <c r="EJ21" s="19"/>
      <c r="EK21" s="19"/>
      <c r="EL21" s="19"/>
    </row>
    <row r="22" spans="1:142" x14ac:dyDescent="0.25">
      <c r="A22" s="25" t="s">
        <v>160</v>
      </c>
      <c r="B22" s="25"/>
      <c r="C22" s="27">
        <v>2250</v>
      </c>
      <c r="D22" s="25">
        <v>650</v>
      </c>
      <c r="E22" s="25" t="s">
        <v>158</v>
      </c>
      <c r="F22" s="26"/>
      <c r="G22" s="19">
        <f t="shared" si="4"/>
        <v>5.8</v>
      </c>
      <c r="H22" s="21">
        <f t="shared" si="5"/>
        <v>43.5</v>
      </c>
      <c r="I22" s="19">
        <f t="shared" si="3"/>
        <v>0</v>
      </c>
      <c r="J22" s="19">
        <f t="shared" si="0"/>
        <v>7.5</v>
      </c>
      <c r="K22" s="19">
        <f t="shared" si="1"/>
        <v>0</v>
      </c>
      <c r="L22" s="21">
        <f t="shared" si="2"/>
        <v>7.5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>
        <f>(6.25-3.45+0.2+4.5)</f>
        <v>7.5</v>
      </c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</row>
    <row r="23" spans="1:142" x14ac:dyDescent="0.25">
      <c r="A23" s="25" t="s">
        <v>160</v>
      </c>
      <c r="B23" s="25"/>
      <c r="C23" s="27">
        <v>2200</v>
      </c>
      <c r="D23" s="25">
        <v>650</v>
      </c>
      <c r="E23" s="25" t="s">
        <v>158</v>
      </c>
      <c r="F23" s="26"/>
      <c r="G23" s="19">
        <f t="shared" si="4"/>
        <v>5.7</v>
      </c>
      <c r="H23" s="21">
        <f t="shared" si="5"/>
        <v>42.75</v>
      </c>
      <c r="I23" s="19">
        <f t="shared" si="3"/>
        <v>0</v>
      </c>
      <c r="J23" s="19">
        <f t="shared" si="0"/>
        <v>7.5</v>
      </c>
      <c r="K23" s="19">
        <f t="shared" si="1"/>
        <v>0</v>
      </c>
      <c r="L23" s="21">
        <f t="shared" si="2"/>
        <v>7.5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>
        <f>(6.25-3.45+0.2+4.5)</f>
        <v>7.5</v>
      </c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</row>
    <row r="24" spans="1:142" x14ac:dyDescent="0.25">
      <c r="A24" s="19" t="s">
        <v>160</v>
      </c>
      <c r="B24" s="19" t="s">
        <v>161</v>
      </c>
      <c r="C24" s="24">
        <v>1600</v>
      </c>
      <c r="D24" s="19">
        <v>500</v>
      </c>
      <c r="E24" s="19" t="s">
        <v>158</v>
      </c>
      <c r="F24" s="20"/>
      <c r="G24" s="19">
        <f t="shared" si="4"/>
        <v>4.2</v>
      </c>
      <c r="H24" s="21">
        <f t="shared" si="5"/>
        <v>3026.1504</v>
      </c>
      <c r="I24" s="19">
        <f t="shared" si="3"/>
        <v>203.38799999999998</v>
      </c>
      <c r="J24" s="19">
        <f t="shared" si="0"/>
        <v>517.12399999999991</v>
      </c>
      <c r="K24" s="19">
        <f t="shared" si="1"/>
        <v>0</v>
      </c>
      <c r="L24" s="21">
        <f t="shared" si="2"/>
        <v>720.51199999999994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>
        <f>2.016-0.2+7.143+10.6</f>
        <v>19.558999999999997</v>
      </c>
      <c r="X24" s="19"/>
      <c r="Y24" s="19">
        <f>5.25-0.2+13.886</f>
        <v>18.936</v>
      </c>
      <c r="Z24" s="19"/>
      <c r="AA24" s="19"/>
      <c r="AB24" s="19"/>
      <c r="AC24" s="19"/>
      <c r="AD24" s="19"/>
      <c r="AE24" s="19"/>
      <c r="AF24" s="19">
        <f>1.284-0.2+1.615-0.2+0.819+3.773-0.2+7.122-0.2</f>
        <v>13.812999999999999</v>
      </c>
      <c r="AG24" s="19"/>
      <c r="AH24" s="19"/>
      <c r="AI24" s="19"/>
      <c r="AJ24" s="19"/>
      <c r="AK24" s="19"/>
      <c r="AL24" s="19"/>
      <c r="AM24" s="19"/>
      <c r="AN24" s="19">
        <f>1.286-0.2+7.992+30.869-0.2+6.399-0.2</f>
        <v>45.945999999999998</v>
      </c>
      <c r="AO24" s="19">
        <f>1.959-0.2+7.779+5.5-0.2+18.06</f>
        <v>32.897999999999996</v>
      </c>
      <c r="AP24" s="19"/>
      <c r="AQ24" s="19"/>
      <c r="AR24" s="19"/>
      <c r="AS24" s="19">
        <f>10.95-0.4+14.1+6.583-0.2</f>
        <v>31.032999999999998</v>
      </c>
      <c r="AT24" s="19">
        <f>0.32+2-0.2+19.9-0.2+6.183-0.2+13.4</f>
        <v>41.203000000000003</v>
      </c>
      <c r="AU24" s="19"/>
      <c r="AV24" s="19"/>
      <c r="AW24" s="19"/>
      <c r="AX24" s="19"/>
      <c r="AY24" s="19">
        <f>11.159-0.4+6.586-0.2+14.1+14.764</f>
        <v>46.009</v>
      </c>
      <c r="AZ24" s="19">
        <f>0.52+1.86-0.2+17.401+6.183-0.2+3.725</f>
        <v>29.289000000000001</v>
      </c>
      <c r="BA24" s="19"/>
      <c r="BB24" s="19"/>
      <c r="BC24" s="19"/>
      <c r="BD24" s="19"/>
      <c r="BE24" s="19">
        <f>1.585-0.2+2.065+7.181-0.2</f>
        <v>10.431000000000001</v>
      </c>
      <c r="BF24" s="19">
        <f>1.585-0.2+5.515+6.2+5.896-0.2</f>
        <v>18.795999999999999</v>
      </c>
      <c r="BG24" s="19">
        <f>2.364+3.085-0.2+10.775-0.4+6.2+13.3</f>
        <v>35.124000000000002</v>
      </c>
      <c r="BH24" s="19">
        <f>2.55-0.2+6.231-0.2+14.6-0.2+11.052</f>
        <v>33.832999999999998</v>
      </c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>
        <f>33.544-0.998-0.2+11.098+5.68-0.2</f>
        <v>48.923999999999992</v>
      </c>
      <c r="CN24" s="19">
        <f>0.72+6.712-0.2+53.667+(3.45-2.85)-0.2</f>
        <v>61.298999999999999</v>
      </c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>
        <f>1.8-0.2+1.044-0.2+0.78+6.484-0.2+27.08-0.2</f>
        <v>36.387999999999998</v>
      </c>
      <c r="DA24" s="19">
        <f>1.6-0.2+0.78+23.759-0.6+31.486</f>
        <v>56.825000000000003</v>
      </c>
      <c r="DB24" s="19"/>
      <c r="DC24" s="19"/>
      <c r="DD24" s="19"/>
      <c r="DE24" s="19"/>
      <c r="DF24" s="19"/>
      <c r="DG24" s="19"/>
      <c r="DH24" s="19">
        <f>6.481-0.4+22.346-0.2</f>
        <v>28.227</v>
      </c>
      <c r="DI24" s="19">
        <f>0.519+5.226-0.2+59.813-0.2</f>
        <v>65.158000000000001</v>
      </c>
      <c r="DJ24" s="19"/>
      <c r="DK24" s="19"/>
      <c r="DL24" s="19"/>
      <c r="DM24" s="19"/>
      <c r="DN24" s="19"/>
      <c r="DO24" s="19">
        <f>2.15-0.4+0.748+5.983-0.2</f>
        <v>8.2810000000000006</v>
      </c>
      <c r="DP24" s="19">
        <f>2.15-0.4+0.748+4.872-0.2</f>
        <v>7.17</v>
      </c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>
        <f>7.127-0.2+14.561-0.4+10.282</f>
        <v>31.37</v>
      </c>
      <c r="EF24" s="19"/>
      <c r="EG24" s="19"/>
      <c r="EH24" s="19"/>
      <c r="EI24" s="19"/>
      <c r="EJ24" s="19"/>
      <c r="EK24" s="19"/>
      <c r="EL24" s="19"/>
    </row>
    <row r="25" spans="1:142" x14ac:dyDescent="0.25">
      <c r="A25" s="19" t="s">
        <v>160</v>
      </c>
      <c r="B25" s="19" t="s">
        <v>161</v>
      </c>
      <c r="C25" s="24">
        <v>1600</v>
      </c>
      <c r="D25" s="19">
        <v>400</v>
      </c>
      <c r="E25" s="19" t="s">
        <v>158</v>
      </c>
      <c r="F25" s="20"/>
      <c r="G25" s="19">
        <f t="shared" si="4"/>
        <v>4</v>
      </c>
      <c r="H25" s="21">
        <f t="shared" si="5"/>
        <v>152.30799999999999</v>
      </c>
      <c r="I25" s="19">
        <f t="shared" si="3"/>
        <v>0</v>
      </c>
      <c r="J25" s="19">
        <f t="shared" si="0"/>
        <v>38.076999999999998</v>
      </c>
      <c r="K25" s="19">
        <f t="shared" si="1"/>
        <v>0</v>
      </c>
      <c r="L25" s="21">
        <f t="shared" si="2"/>
        <v>38.076999999999998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>
        <f>18.723</f>
        <v>18.722999999999999</v>
      </c>
      <c r="DA25" s="19">
        <f>19.354</f>
        <v>19.353999999999999</v>
      </c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</row>
    <row r="26" spans="1:142" x14ac:dyDescent="0.25">
      <c r="A26" s="19" t="s">
        <v>160</v>
      </c>
      <c r="B26" s="19" t="s">
        <v>162</v>
      </c>
      <c r="C26" s="24">
        <v>1400</v>
      </c>
      <c r="D26" s="19">
        <v>630</v>
      </c>
      <c r="E26" s="19" t="s">
        <v>158</v>
      </c>
      <c r="F26" s="20"/>
      <c r="G26" s="19">
        <f t="shared" si="4"/>
        <v>4.0599999999999996</v>
      </c>
      <c r="H26" s="21">
        <f t="shared" si="5"/>
        <v>23.316579999999995</v>
      </c>
      <c r="I26" s="19">
        <f t="shared" si="3"/>
        <v>5.7429999999999994</v>
      </c>
      <c r="J26" s="19">
        <f t="shared" si="0"/>
        <v>0</v>
      </c>
      <c r="K26" s="19">
        <f t="shared" si="1"/>
        <v>0</v>
      </c>
      <c r="L26" s="21">
        <f t="shared" si="2"/>
        <v>5.7429999999999994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f>1.63-0.2+1.579-0.2</f>
        <v>2.8089999999999997</v>
      </c>
      <c r="X26" s="19"/>
      <c r="Y26" s="19">
        <f>2.23-0.2+1.104-0.2</f>
        <v>2.9339999999999997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</row>
    <row r="27" spans="1:142" x14ac:dyDescent="0.25">
      <c r="A27" s="19" t="s">
        <v>160</v>
      </c>
      <c r="B27" s="19" t="s">
        <v>162</v>
      </c>
      <c r="C27" s="24">
        <v>1400</v>
      </c>
      <c r="D27" s="19">
        <v>500</v>
      </c>
      <c r="E27" s="19" t="s">
        <v>158</v>
      </c>
      <c r="F27" s="20"/>
      <c r="G27" s="19">
        <f t="shared" si="4"/>
        <v>3.8</v>
      </c>
      <c r="H27" s="21">
        <f t="shared" si="5"/>
        <v>126.12199999999999</v>
      </c>
      <c r="I27" s="19">
        <f t="shared" si="3"/>
        <v>29.69</v>
      </c>
      <c r="J27" s="19">
        <f t="shared" si="0"/>
        <v>3.5</v>
      </c>
      <c r="K27" s="19">
        <f t="shared" si="1"/>
        <v>0</v>
      </c>
      <c r="L27" s="21">
        <f t="shared" si="2"/>
        <v>33.19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>
        <f>1.813-0.4</f>
        <v>1.4129999999999998</v>
      </c>
      <c r="AE27" s="19"/>
      <c r="AF27" s="19">
        <f>7.615+20.662</f>
        <v>28.277000000000001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>
        <f>2.15-0.4</f>
        <v>1.75</v>
      </c>
      <c r="CN27" s="19">
        <f>2.15-0.4</f>
        <v>1.75</v>
      </c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</row>
    <row r="28" spans="1:142" x14ac:dyDescent="0.25">
      <c r="A28" s="19" t="s">
        <v>160</v>
      </c>
      <c r="B28" s="19" t="s">
        <v>162</v>
      </c>
      <c r="C28" s="24">
        <v>1400</v>
      </c>
      <c r="D28" s="19">
        <v>400</v>
      </c>
      <c r="E28" s="19" t="s">
        <v>158</v>
      </c>
      <c r="F28" s="20"/>
      <c r="G28" s="19">
        <f t="shared" si="4"/>
        <v>3.5999999999999996</v>
      </c>
      <c r="H28" s="21">
        <f t="shared" si="5"/>
        <v>201.17159999999998</v>
      </c>
      <c r="I28" s="19">
        <f t="shared" si="3"/>
        <v>0</v>
      </c>
      <c r="J28" s="19">
        <f t="shared" si="0"/>
        <v>55.881</v>
      </c>
      <c r="K28" s="19">
        <f t="shared" si="1"/>
        <v>0</v>
      </c>
      <c r="L28" s="21">
        <f t="shared" si="2"/>
        <v>55.881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>
        <f>5.45-0.2+10.6+10.205</f>
        <v>26.055</v>
      </c>
      <c r="BF28" s="19">
        <f>16.6-0.2+13.426</f>
        <v>29.826000000000001</v>
      </c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</row>
    <row r="29" spans="1:142" x14ac:dyDescent="0.25">
      <c r="A29" s="19" t="s">
        <v>160</v>
      </c>
      <c r="B29" s="19" t="s">
        <v>162</v>
      </c>
      <c r="C29" s="19">
        <v>1250</v>
      </c>
      <c r="D29" s="19">
        <v>630</v>
      </c>
      <c r="E29" s="19" t="s">
        <v>158</v>
      </c>
      <c r="F29" s="20"/>
      <c r="G29" s="19">
        <f t="shared" si="4"/>
        <v>3.76</v>
      </c>
      <c r="H29" s="21">
        <f t="shared" si="5"/>
        <v>54.091359999999995</v>
      </c>
      <c r="I29" s="19">
        <f t="shared" si="3"/>
        <v>6.6389999999999993</v>
      </c>
      <c r="J29" s="19">
        <f t="shared" si="0"/>
        <v>7.7469999999999999</v>
      </c>
      <c r="K29" s="19">
        <f t="shared" si="1"/>
        <v>0</v>
      </c>
      <c r="L29" s="21">
        <f t="shared" si="2"/>
        <v>14.385999999999999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>
        <f>1.093-0.4+0.568</f>
        <v>1.2609999999999999</v>
      </c>
      <c r="AO29" s="19">
        <f>1.801-0.4+1.079</f>
        <v>2.4799999999999995</v>
      </c>
      <c r="AP29" s="19"/>
      <c r="AQ29" s="19"/>
      <c r="AR29" s="19"/>
      <c r="AS29" s="19">
        <f>1.363-0.4+0.486</f>
        <v>1.4489999999999998</v>
      </c>
      <c r="AT29" s="19">
        <f>1.363-0.4+0.486</f>
        <v>1.4489999999999998</v>
      </c>
      <c r="AU29" s="19"/>
      <c r="AV29" s="19"/>
      <c r="AW29" s="19"/>
      <c r="AX29" s="19"/>
      <c r="AY29" s="19">
        <f>1.363-0.4+0.486</f>
        <v>1.4489999999999998</v>
      </c>
      <c r="AZ29" s="19">
        <f>1.363-0.4+0.486</f>
        <v>1.4489999999999998</v>
      </c>
      <c r="BA29" s="19"/>
      <c r="BB29" s="19"/>
      <c r="BC29" s="19"/>
      <c r="BD29" s="19"/>
      <c r="BE29" s="19"/>
      <c r="BF29" s="19"/>
      <c r="BG29" s="19">
        <f>1.36-0.4+0.589</f>
        <v>1.5489999999999999</v>
      </c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>
        <f>2.05-0.4</f>
        <v>1.65</v>
      </c>
      <c r="DI29" s="19">
        <f>2.05-0.4</f>
        <v>1.65</v>
      </c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</row>
    <row r="30" spans="1:142" x14ac:dyDescent="0.25">
      <c r="A30" s="19" t="s">
        <v>160</v>
      </c>
      <c r="B30" s="19" t="s">
        <v>162</v>
      </c>
      <c r="C30" s="19">
        <v>1250</v>
      </c>
      <c r="D30" s="19">
        <v>500</v>
      </c>
      <c r="E30" s="19" t="s">
        <v>158</v>
      </c>
      <c r="F30" s="20"/>
      <c r="G30" s="19">
        <f t="shared" si="4"/>
        <v>3.5</v>
      </c>
      <c r="H30" s="21">
        <f t="shared" si="5"/>
        <v>424.77399999999994</v>
      </c>
      <c r="I30" s="19">
        <f t="shared" si="3"/>
        <v>0</v>
      </c>
      <c r="J30" s="19">
        <f t="shared" si="0"/>
        <v>106.48899999999999</v>
      </c>
      <c r="K30" s="19">
        <f t="shared" si="1"/>
        <v>14.875</v>
      </c>
      <c r="L30" s="21">
        <f t="shared" si="2"/>
        <v>121.36399999999999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>
        <f>4.75-0.4+0.507+1+48.124-0.2</f>
        <v>53.780999999999999</v>
      </c>
      <c r="DK30" s="19"/>
      <c r="DL30" s="19"/>
      <c r="DM30" s="19"/>
      <c r="DN30" s="19"/>
      <c r="DO30" s="19">
        <f>22.1+11.6</f>
        <v>33.700000000000003</v>
      </c>
      <c r="DP30" s="19">
        <f>19.208-0.2</f>
        <v>19.007999999999999</v>
      </c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>
        <f>15.075-0.2</f>
        <v>14.875</v>
      </c>
      <c r="EI30" s="19"/>
      <c r="EJ30" s="19"/>
      <c r="EK30" s="19"/>
      <c r="EL30" s="19"/>
    </row>
    <row r="31" spans="1:142" x14ac:dyDescent="0.25">
      <c r="A31" s="19" t="s">
        <v>160</v>
      </c>
      <c r="B31" s="19" t="s">
        <v>162</v>
      </c>
      <c r="C31" s="19">
        <v>1250</v>
      </c>
      <c r="D31" s="19">
        <v>400</v>
      </c>
      <c r="E31" s="19" t="s">
        <v>158</v>
      </c>
      <c r="F31" s="20"/>
      <c r="G31" s="19">
        <f t="shared" si="4"/>
        <v>3.3</v>
      </c>
      <c r="H31" s="21">
        <f t="shared" si="5"/>
        <v>295.83839999999998</v>
      </c>
      <c r="I31" s="19">
        <f t="shared" si="3"/>
        <v>45.158000000000001</v>
      </c>
      <c r="J31" s="19">
        <f t="shared" si="0"/>
        <v>44.489999999999995</v>
      </c>
      <c r="K31" s="19">
        <f t="shared" si="1"/>
        <v>0</v>
      </c>
      <c r="L31" s="21">
        <f t="shared" si="2"/>
        <v>89.647999999999996</v>
      </c>
      <c r="M31" s="19"/>
      <c r="N31" s="19"/>
      <c r="O31" s="19">
        <f>12.274-0.2</f>
        <v>12.074</v>
      </c>
      <c r="P31" s="19">
        <f>2.775-0.2+7.925+13.832+8.752</f>
        <v>33.084000000000003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>
        <f>14.54</f>
        <v>14.54</v>
      </c>
      <c r="DP31" s="19">
        <f>29.95</f>
        <v>29.95</v>
      </c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</row>
    <row r="32" spans="1:142" x14ac:dyDescent="0.25">
      <c r="A32" s="19" t="s">
        <v>160</v>
      </c>
      <c r="B32" s="19" t="s">
        <v>162</v>
      </c>
      <c r="C32" s="19">
        <v>1250</v>
      </c>
      <c r="D32" s="19">
        <v>320</v>
      </c>
      <c r="E32" s="19" t="s">
        <v>158</v>
      </c>
      <c r="F32" s="20"/>
      <c r="G32" s="19">
        <f t="shared" si="4"/>
        <v>3.14</v>
      </c>
      <c r="H32" s="21">
        <f t="shared" si="5"/>
        <v>1025.5868</v>
      </c>
      <c r="I32" s="19">
        <f t="shared" si="3"/>
        <v>144.60600000000002</v>
      </c>
      <c r="J32" s="19">
        <f t="shared" si="0"/>
        <v>182.01400000000001</v>
      </c>
      <c r="K32" s="19">
        <f t="shared" si="1"/>
        <v>0</v>
      </c>
      <c r="L32" s="21">
        <f t="shared" si="2"/>
        <v>326.62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>
        <f>14.628</f>
        <v>14.628</v>
      </c>
      <c r="X32" s="19"/>
      <c r="Y32" s="19">
        <f>7.859+16.632</f>
        <v>24.491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>
        <f>3.107+21.984</f>
        <v>25.091000000000001</v>
      </c>
      <c r="AO32" s="19">
        <f>11.456+4.645</f>
        <v>16.100999999999999</v>
      </c>
      <c r="AP32" s="19"/>
      <c r="AQ32" s="19"/>
      <c r="AR32" s="19"/>
      <c r="AS32" s="19">
        <f>15.15+16+20.8</f>
        <v>51.95</v>
      </c>
      <c r="AT32" s="19">
        <f>12.345</f>
        <v>12.345000000000001</v>
      </c>
      <c r="AU32" s="19"/>
      <c r="AV32" s="19"/>
      <c r="AW32" s="19"/>
      <c r="AX32" s="19"/>
      <c r="AY32" s="19"/>
      <c r="AZ32" s="19">
        <f>13.748</f>
        <v>13.747999999999999</v>
      </c>
      <c r="BA32" s="19"/>
      <c r="BB32" s="19"/>
      <c r="BC32" s="19"/>
      <c r="BD32" s="19"/>
      <c r="BE32" s="19"/>
      <c r="BF32" s="19"/>
      <c r="BG32" s="19">
        <f>2.559+20.3</f>
        <v>22.859000000000002</v>
      </c>
      <c r="BH32" s="19">
        <f>14.476</f>
        <v>14.476000000000001</v>
      </c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>
        <f>13.556</f>
        <v>13.555999999999999</v>
      </c>
      <c r="CN32" s="19">
        <f>13.783</f>
        <v>13.782999999999999</v>
      </c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>
        <f>22.117</f>
        <v>22.117000000000001</v>
      </c>
      <c r="DA32" s="19">
        <f>22.367</f>
        <v>22.367000000000001</v>
      </c>
      <c r="DB32" s="19"/>
      <c r="DC32" s="19"/>
      <c r="DD32" s="19"/>
      <c r="DE32" s="19"/>
      <c r="DF32" s="19"/>
      <c r="DG32" s="19"/>
      <c r="DH32" s="19">
        <v>17.893000000000001</v>
      </c>
      <c r="DI32" s="19">
        <f>22.31</f>
        <v>22.31</v>
      </c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25">
        <f>2.323-0.4+1.876+15.106</f>
        <v>18.905000000000001</v>
      </c>
      <c r="EF32" s="19"/>
      <c r="EG32" s="19"/>
      <c r="EH32" s="19"/>
      <c r="EI32" s="19"/>
      <c r="EJ32" s="19"/>
      <c r="EK32" s="19"/>
      <c r="EL32" s="19"/>
    </row>
    <row r="33" spans="1:142" x14ac:dyDescent="0.25">
      <c r="A33" s="19" t="s">
        <v>160</v>
      </c>
      <c r="B33" s="19" t="s">
        <v>162</v>
      </c>
      <c r="C33" s="19">
        <v>1000</v>
      </c>
      <c r="D33" s="19">
        <v>800</v>
      </c>
      <c r="E33" s="19" t="s">
        <v>158</v>
      </c>
      <c r="F33" s="20"/>
      <c r="G33" s="19">
        <f t="shared" si="4"/>
        <v>3.6</v>
      </c>
      <c r="H33" s="21">
        <f t="shared" si="5"/>
        <v>37.112400000000008</v>
      </c>
      <c r="I33" s="19">
        <f t="shared" si="3"/>
        <v>0</v>
      </c>
      <c r="J33" s="19">
        <f t="shared" si="0"/>
        <v>10.309000000000001</v>
      </c>
      <c r="K33" s="19">
        <f t="shared" si="1"/>
        <v>0</v>
      </c>
      <c r="L33" s="21">
        <f t="shared" si="2"/>
        <v>10.309000000000001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>
        <f>1.45-0.2+0.744-0.2</f>
        <v>1.794</v>
      </c>
      <c r="BF33" s="19">
        <f>4.716-0.2+0.95-0.2</f>
        <v>5.266</v>
      </c>
      <c r="BG33" s="19"/>
      <c r="BH33" s="19">
        <f>1.36-0.4+0.589+1.7</f>
        <v>3.2489999999999997</v>
      </c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</row>
    <row r="34" spans="1:142" x14ac:dyDescent="0.25">
      <c r="A34" s="19" t="s">
        <v>160</v>
      </c>
      <c r="B34" s="19" t="s">
        <v>162</v>
      </c>
      <c r="C34" s="19">
        <v>1000</v>
      </c>
      <c r="D34" s="19">
        <v>630</v>
      </c>
      <c r="E34" s="19" t="s">
        <v>158</v>
      </c>
      <c r="F34" s="20"/>
      <c r="G34" s="19">
        <f t="shared" si="4"/>
        <v>3.26</v>
      </c>
      <c r="H34" s="21">
        <f t="shared" si="5"/>
        <v>140.06915999999998</v>
      </c>
      <c r="I34" s="19">
        <f t="shared" si="3"/>
        <v>0</v>
      </c>
      <c r="J34" s="19">
        <f t="shared" si="0"/>
        <v>40.516999999999996</v>
      </c>
      <c r="K34" s="19">
        <f t="shared" si="1"/>
        <v>2.4489999999999998</v>
      </c>
      <c r="L34" s="21">
        <f t="shared" si="2"/>
        <v>42.965999999999994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>
        <f>1.37+2.045-0.4</f>
        <v>3.0150000000000001</v>
      </c>
      <c r="CB34" s="19">
        <f>1.37+2.045-0.4</f>
        <v>3.0150000000000001</v>
      </c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>
        <f>18.987+15.5</f>
        <v>34.486999999999995</v>
      </c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>
        <f>1.775-0.4+0.524+0.55</f>
        <v>2.4489999999999998</v>
      </c>
      <c r="EI34" s="19"/>
      <c r="EJ34" s="19"/>
      <c r="EK34" s="19"/>
      <c r="EL34" s="19"/>
    </row>
    <row r="35" spans="1:142" x14ac:dyDescent="0.25">
      <c r="A35" s="19" t="s">
        <v>160</v>
      </c>
      <c r="B35" s="19" t="s">
        <v>162</v>
      </c>
      <c r="C35" s="19">
        <v>1000</v>
      </c>
      <c r="D35" s="19">
        <v>550</v>
      </c>
      <c r="E35" s="19" t="s">
        <v>158</v>
      </c>
      <c r="F35" s="20"/>
      <c r="G35" s="19">
        <f t="shared" si="4"/>
        <v>3.1</v>
      </c>
      <c r="H35" s="21">
        <f t="shared" si="5"/>
        <v>60.081099999999999</v>
      </c>
      <c r="I35" s="19">
        <f t="shared" si="3"/>
        <v>0</v>
      </c>
      <c r="J35" s="19">
        <f t="shared" si="0"/>
        <v>19.381</v>
      </c>
      <c r="K35" s="19">
        <f t="shared" si="1"/>
        <v>0</v>
      </c>
      <c r="L35" s="21">
        <f t="shared" si="2"/>
        <v>19.381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>
        <f>1.514-0.4+18.867-0.6</f>
        <v>19.381</v>
      </c>
      <c r="EE35" s="19"/>
      <c r="EF35" s="19"/>
      <c r="EG35" s="19"/>
      <c r="EH35" s="19"/>
      <c r="EI35" s="19"/>
      <c r="EJ35" s="19"/>
      <c r="EK35" s="19"/>
      <c r="EL35" s="19"/>
    </row>
    <row r="36" spans="1:142" x14ac:dyDescent="0.25">
      <c r="A36" s="19" t="s">
        <v>160</v>
      </c>
      <c r="B36" s="19" t="s">
        <v>162</v>
      </c>
      <c r="C36" s="19">
        <v>1000</v>
      </c>
      <c r="D36" s="19">
        <v>500</v>
      </c>
      <c r="E36" s="19" t="s">
        <v>158</v>
      </c>
      <c r="F36" s="20"/>
      <c r="G36" s="19">
        <f t="shared" si="4"/>
        <v>3</v>
      </c>
      <c r="H36" s="21">
        <f t="shared" si="5"/>
        <v>144.756</v>
      </c>
      <c r="I36" s="19">
        <f t="shared" si="3"/>
        <v>6.33</v>
      </c>
      <c r="J36" s="19">
        <f t="shared" si="0"/>
        <v>41.921999999999997</v>
      </c>
      <c r="K36" s="19">
        <f t="shared" si="1"/>
        <v>0</v>
      </c>
      <c r="L36" s="21">
        <f t="shared" si="2"/>
        <v>48.252000000000002</v>
      </c>
      <c r="M36" s="19"/>
      <c r="N36" s="19"/>
      <c r="O36" s="19">
        <f>2.195-0.4+1.37</f>
        <v>3.165</v>
      </c>
      <c r="P36" s="19">
        <f>2.195-0.4+1.37</f>
        <v>3.165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>
        <f>18.347-0.2</f>
        <v>18.147000000000002</v>
      </c>
      <c r="CB36" s="19">
        <f>2.775-0.2+9+12.2</f>
        <v>23.774999999999999</v>
      </c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</row>
    <row r="37" spans="1:142" x14ac:dyDescent="0.25">
      <c r="A37" s="19" t="s">
        <v>160</v>
      </c>
      <c r="B37" s="19" t="s">
        <v>162</v>
      </c>
      <c r="C37" s="19">
        <v>1000</v>
      </c>
      <c r="D37" s="19">
        <v>400</v>
      </c>
      <c r="E37" s="19" t="s">
        <v>158</v>
      </c>
      <c r="F37" s="20"/>
      <c r="G37" s="19">
        <f t="shared" si="4"/>
        <v>2.8</v>
      </c>
      <c r="H37" s="21">
        <f t="shared" si="5"/>
        <v>218.6352</v>
      </c>
      <c r="I37" s="19">
        <f t="shared" si="3"/>
        <v>10.142999999999999</v>
      </c>
      <c r="J37" s="19">
        <f t="shared" si="0"/>
        <v>46.823</v>
      </c>
      <c r="K37" s="19">
        <f t="shared" si="1"/>
        <v>21.117999999999999</v>
      </c>
      <c r="L37" s="21">
        <f t="shared" si="2"/>
        <v>78.084000000000003</v>
      </c>
      <c r="M37" s="19"/>
      <c r="N37" s="19"/>
      <c r="O37" s="19">
        <f>(3.581-0.2)*3</f>
        <v>10.142999999999999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>
        <f>1.199+0.951-0.2+30.786-0.6</f>
        <v>32.136000000000003</v>
      </c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>
        <f>7.828-0.4+7.659-0.4</f>
        <v>14.686999999999999</v>
      </c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>
        <f>3.31-0.2+3.305-0.2+15.103-0.2</f>
        <v>21.117999999999999</v>
      </c>
      <c r="EI37" s="19"/>
      <c r="EJ37" s="19"/>
      <c r="EK37" s="19"/>
      <c r="EL37" s="19"/>
    </row>
    <row r="38" spans="1:142" x14ac:dyDescent="0.25">
      <c r="A38" s="19" t="s">
        <v>160</v>
      </c>
      <c r="B38" s="19" t="s">
        <v>162</v>
      </c>
      <c r="C38" s="19">
        <v>1000</v>
      </c>
      <c r="D38" s="19">
        <v>320</v>
      </c>
      <c r="E38" s="19" t="s">
        <v>158</v>
      </c>
      <c r="F38" s="20"/>
      <c r="G38" s="19">
        <f t="shared" si="4"/>
        <v>2.64</v>
      </c>
      <c r="H38" s="21">
        <f t="shared" si="5"/>
        <v>639.22847999999999</v>
      </c>
      <c r="I38" s="19">
        <f t="shared" si="3"/>
        <v>14.015000000000001</v>
      </c>
      <c r="J38" s="19">
        <f t="shared" si="0"/>
        <v>228.11699999999996</v>
      </c>
      <c r="K38" s="19">
        <f t="shared" si="1"/>
        <v>0</v>
      </c>
      <c r="L38" s="21">
        <f t="shared" si="2"/>
        <v>242.13199999999998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>
        <v>14.015000000000001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>
        <f>6.035+17.4+11.472</f>
        <v>34.906999999999996</v>
      </c>
      <c r="AZ38" s="19"/>
      <c r="BA38" s="19"/>
      <c r="BB38" s="19"/>
      <c r="BC38" s="19"/>
      <c r="BD38" s="19"/>
      <c r="BE38" s="19">
        <f>13.967</f>
        <v>13.967000000000001</v>
      </c>
      <c r="BF38" s="19">
        <f>11.897</f>
        <v>11.897</v>
      </c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>
        <f>(4.431-0.4)*3</f>
        <v>12.093</v>
      </c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>
        <f>4.236-0.4+17.43+4.111+4.616-0.2</f>
        <v>29.792999999999999</v>
      </c>
      <c r="DK38" s="19"/>
      <c r="DL38" s="19"/>
      <c r="DM38" s="19"/>
      <c r="DN38" s="19"/>
      <c r="DO38" s="19">
        <f>9.133+8.734-0.8-0.8+11.488-0.2+9.744-0.4+9.744-0.4+4.217-0.4+7.803-0.4</f>
        <v>57.462999999999994</v>
      </c>
      <c r="DP38" s="19">
        <f>23.877-0.4+(5.086-0.4)*3+6.026-0.4-4.489-0.4</f>
        <v>38.271999999999998</v>
      </c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>
        <f>18.342-0.4+11.983-0.2</f>
        <v>29.725000000000001</v>
      </c>
      <c r="EE38" s="19"/>
      <c r="EF38" s="19"/>
      <c r="EG38" s="19"/>
      <c r="EH38" s="19"/>
      <c r="EI38" s="19"/>
      <c r="EJ38" s="19"/>
      <c r="EK38" s="19"/>
      <c r="EL38" s="19"/>
    </row>
    <row r="39" spans="1:142" x14ac:dyDescent="0.25">
      <c r="A39" s="19" t="s">
        <v>160</v>
      </c>
      <c r="B39" s="19" t="s">
        <v>162</v>
      </c>
      <c r="C39" s="19">
        <v>1000</v>
      </c>
      <c r="D39" s="19">
        <v>250</v>
      </c>
      <c r="E39" s="19" t="s">
        <v>158</v>
      </c>
      <c r="F39" s="20"/>
      <c r="G39" s="19">
        <f t="shared" si="4"/>
        <v>2.5</v>
      </c>
      <c r="H39" s="21">
        <f t="shared" si="5"/>
        <v>10.925000000000001</v>
      </c>
      <c r="I39" s="19">
        <f t="shared" si="3"/>
        <v>4.37</v>
      </c>
      <c r="J39" s="19">
        <f t="shared" si="0"/>
        <v>0</v>
      </c>
      <c r="K39" s="19">
        <f t="shared" si="1"/>
        <v>0</v>
      </c>
      <c r="L39" s="21">
        <f t="shared" si="2"/>
        <v>4.37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>
        <f>4.57-0.2</f>
        <v>4.37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</row>
    <row r="40" spans="1:142" x14ac:dyDescent="0.25">
      <c r="A40" s="19" t="s">
        <v>160</v>
      </c>
      <c r="B40" s="19" t="s">
        <v>162</v>
      </c>
      <c r="C40" s="24" t="s">
        <v>159</v>
      </c>
      <c r="D40" s="19">
        <v>1000</v>
      </c>
      <c r="E40" s="19" t="s">
        <v>158</v>
      </c>
      <c r="F40" s="20"/>
      <c r="G40" s="19">
        <f>3.14*D40/1000</f>
        <v>3.14</v>
      </c>
      <c r="H40" s="21">
        <f t="shared" si="5"/>
        <v>4.9926000000000004</v>
      </c>
      <c r="I40" s="19">
        <f t="shared" si="3"/>
        <v>1.59</v>
      </c>
      <c r="J40" s="19">
        <f t="shared" si="0"/>
        <v>0</v>
      </c>
      <c r="K40" s="19">
        <f t="shared" si="1"/>
        <v>0</v>
      </c>
      <c r="L40" s="21">
        <f t="shared" si="2"/>
        <v>1.59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>
        <f>0.654</f>
        <v>0.65400000000000003</v>
      </c>
      <c r="Z40" s="19"/>
      <c r="AA40" s="19"/>
      <c r="AB40" s="19"/>
      <c r="AC40" s="19"/>
      <c r="AD40" s="19">
        <f>0.936</f>
        <v>0.93600000000000005</v>
      </c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</row>
    <row r="41" spans="1:142" x14ac:dyDescent="0.25">
      <c r="A41" s="19" t="s">
        <v>160</v>
      </c>
      <c r="B41" s="19" t="s">
        <v>163</v>
      </c>
      <c r="C41" s="19">
        <v>800</v>
      </c>
      <c r="D41" s="19">
        <v>400</v>
      </c>
      <c r="E41" s="19" t="s">
        <v>158</v>
      </c>
      <c r="F41" s="20"/>
      <c r="G41" s="19">
        <f t="shared" si="4"/>
        <v>2.4000000000000004</v>
      </c>
      <c r="H41" s="21">
        <f t="shared" si="5"/>
        <v>251.21040000000002</v>
      </c>
      <c r="I41" s="19">
        <f t="shared" si="3"/>
        <v>25.542000000000002</v>
      </c>
      <c r="J41" s="19">
        <f t="shared" si="0"/>
        <v>79.128999999999991</v>
      </c>
      <c r="K41" s="19">
        <f t="shared" si="1"/>
        <v>0</v>
      </c>
      <c r="L41" s="21">
        <f t="shared" si="2"/>
        <v>104.67099999999999</v>
      </c>
      <c r="M41" s="19"/>
      <c r="N41" s="19"/>
      <c r="O41" s="19"/>
      <c r="P41" s="19">
        <f>3.2-0.2+12.042+(3.7-0.2)*3</f>
        <v>25.542000000000002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>
        <f>2.275-0.4+3.74-0.2+3.115</f>
        <v>8.5300000000000011</v>
      </c>
      <c r="BS41" s="19"/>
      <c r="BT41" s="19"/>
      <c r="BU41" s="19"/>
      <c r="BV41" s="19"/>
      <c r="BW41" s="19"/>
      <c r="BX41" s="19"/>
      <c r="BY41" s="19"/>
      <c r="BZ41" s="19"/>
      <c r="CA41" s="19"/>
      <c r="CB41" s="19">
        <f>4.025-0.2+4+4.523-0.2+4.505-0.2+2.257+17.868-0.2</f>
        <v>36.378</v>
      </c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>
        <f>2.15-0.4</f>
        <v>1.75</v>
      </c>
      <c r="CP41" s="19"/>
      <c r="CQ41" s="19"/>
      <c r="CR41" s="19"/>
      <c r="CS41" s="19"/>
      <c r="CT41" s="19"/>
      <c r="CU41" s="19"/>
      <c r="CV41" s="19"/>
      <c r="CW41" s="19"/>
      <c r="CX41" s="19">
        <f>2.049-0.4+0.709+19.403-0.2</f>
        <v>21.561</v>
      </c>
      <c r="CY41" s="19"/>
      <c r="CZ41" s="19"/>
      <c r="DA41" s="19"/>
      <c r="DB41" s="19"/>
      <c r="DC41" s="19"/>
      <c r="DD41" s="19"/>
      <c r="DE41" s="19"/>
      <c r="DF41" s="19"/>
      <c r="DG41" s="19">
        <f>1.35-0.4+1.647+8.513-0.2</f>
        <v>10.91</v>
      </c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</row>
    <row r="42" spans="1:142" x14ac:dyDescent="0.25">
      <c r="A42" s="19" t="s">
        <v>160</v>
      </c>
      <c r="B42" s="19" t="s">
        <v>163</v>
      </c>
      <c r="C42" s="19">
        <v>630</v>
      </c>
      <c r="D42" s="19">
        <v>250</v>
      </c>
      <c r="E42" s="19" t="s">
        <v>158</v>
      </c>
      <c r="F42" s="20"/>
      <c r="G42" s="19">
        <f t="shared" si="4"/>
        <v>1.76</v>
      </c>
      <c r="H42" s="21">
        <f t="shared" si="5"/>
        <v>29.157920000000001</v>
      </c>
      <c r="I42" s="19">
        <f t="shared" si="3"/>
        <v>0</v>
      </c>
      <c r="J42" s="19">
        <f t="shared" si="0"/>
        <v>16.567</v>
      </c>
      <c r="K42" s="19">
        <f t="shared" si="1"/>
        <v>0</v>
      </c>
      <c r="L42" s="21">
        <f t="shared" si="2"/>
        <v>16.567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>
        <f>0.835+5.085+5+5.647</f>
        <v>16.567</v>
      </c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</row>
    <row r="43" spans="1:142" x14ac:dyDescent="0.25">
      <c r="A43" s="19" t="s">
        <v>160</v>
      </c>
      <c r="B43" s="19" t="s">
        <v>163</v>
      </c>
      <c r="C43" s="19">
        <v>500</v>
      </c>
      <c r="D43" s="19">
        <v>320</v>
      </c>
      <c r="E43" s="19" t="s">
        <v>158</v>
      </c>
      <c r="F43" s="20"/>
      <c r="G43" s="19">
        <f t="shared" si="4"/>
        <v>1.6400000000000001</v>
      </c>
      <c r="H43" s="21">
        <f t="shared" si="5"/>
        <v>43.745360000000005</v>
      </c>
      <c r="I43" s="19">
        <f t="shared" si="3"/>
        <v>1.37</v>
      </c>
      <c r="J43" s="19">
        <f t="shared" si="0"/>
        <v>25.304000000000002</v>
      </c>
      <c r="K43" s="19">
        <f t="shared" si="1"/>
        <v>0</v>
      </c>
      <c r="L43" s="21">
        <f t="shared" si="2"/>
        <v>26.674000000000003</v>
      </c>
      <c r="M43" s="19"/>
      <c r="N43" s="19"/>
      <c r="O43" s="19"/>
      <c r="P43" s="19">
        <v>1.37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>
        <f>3.473+11.131-0.2+10.9</f>
        <v>25.304000000000002</v>
      </c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</row>
    <row r="44" spans="1:142" x14ac:dyDescent="0.25">
      <c r="A44" s="19" t="s">
        <v>160</v>
      </c>
      <c r="B44" s="19" t="s">
        <v>163</v>
      </c>
      <c r="C44" s="19">
        <v>400</v>
      </c>
      <c r="D44" s="19">
        <v>320</v>
      </c>
      <c r="E44" s="19" t="s">
        <v>158</v>
      </c>
      <c r="F44" s="20"/>
      <c r="G44" s="19">
        <f t="shared" si="4"/>
        <v>1.44</v>
      </c>
      <c r="H44" s="21">
        <f t="shared" si="5"/>
        <v>16.732799999999997</v>
      </c>
      <c r="I44" s="19">
        <f t="shared" si="3"/>
        <v>11.62</v>
      </c>
      <c r="J44" s="19">
        <f t="shared" si="0"/>
        <v>0</v>
      </c>
      <c r="K44" s="19">
        <f t="shared" si="1"/>
        <v>0</v>
      </c>
      <c r="L44" s="21">
        <f t="shared" si="2"/>
        <v>11.62</v>
      </c>
      <c r="M44" s="19"/>
      <c r="N44" s="19"/>
      <c r="O44" s="19">
        <f>11.62</f>
        <v>11.62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</row>
    <row r="45" spans="1:142" x14ac:dyDescent="0.25">
      <c r="A45" s="19" t="s">
        <v>164</v>
      </c>
      <c r="B45" s="19" t="s">
        <v>162</v>
      </c>
      <c r="C45" s="19">
        <v>3200</v>
      </c>
      <c r="D45" s="19">
        <v>800</v>
      </c>
      <c r="E45" s="19" t="s">
        <v>158</v>
      </c>
      <c r="F45" s="20"/>
      <c r="G45" s="19">
        <f t="shared" ref="G45:G76" si="7">(C45/1000+D45/1000)*2</f>
        <v>8</v>
      </c>
      <c r="H45" s="21">
        <f t="shared" ref="H45:H76" si="8">G45*L45</f>
        <v>69.2</v>
      </c>
      <c r="I45" s="19">
        <f t="shared" si="3"/>
        <v>0</v>
      </c>
      <c r="J45" s="19">
        <f t="shared" si="0"/>
        <v>0</v>
      </c>
      <c r="K45" s="19">
        <f t="shared" si="1"/>
        <v>8.65</v>
      </c>
      <c r="L45" s="21">
        <f t="shared" si="2"/>
        <v>8.65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>
        <f>8.65</f>
        <v>8.65</v>
      </c>
      <c r="EG45" s="19"/>
      <c r="EH45" s="19"/>
      <c r="EI45" s="19"/>
      <c r="EJ45" s="19"/>
      <c r="EK45" s="19"/>
      <c r="EL45" s="19"/>
    </row>
    <row r="46" spans="1:142" x14ac:dyDescent="0.25">
      <c r="A46" s="19" t="s">
        <v>164</v>
      </c>
      <c r="B46" s="19" t="s">
        <v>162</v>
      </c>
      <c r="C46" s="19">
        <v>2100</v>
      </c>
      <c r="D46" s="19">
        <v>1070</v>
      </c>
      <c r="E46" s="19" t="s">
        <v>158</v>
      </c>
      <c r="F46" s="20"/>
      <c r="G46" s="19">
        <f t="shared" si="7"/>
        <v>6.34</v>
      </c>
      <c r="H46" s="21">
        <f t="shared" si="8"/>
        <v>16.484000000000002</v>
      </c>
      <c r="I46" s="19">
        <f t="shared" si="3"/>
        <v>0</v>
      </c>
      <c r="J46" s="19">
        <f t="shared" si="0"/>
        <v>2.6</v>
      </c>
      <c r="K46" s="19">
        <f t="shared" si="1"/>
        <v>0</v>
      </c>
      <c r="L46" s="21">
        <f t="shared" si="2"/>
        <v>2.6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>
        <f>6.25-3.25-0.4</f>
        <v>2.6</v>
      </c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</row>
    <row r="47" spans="1:142" x14ac:dyDescent="0.25">
      <c r="A47" s="19" t="s">
        <v>164</v>
      </c>
      <c r="B47" s="19" t="s">
        <v>162</v>
      </c>
      <c r="C47" s="19">
        <v>2000</v>
      </c>
      <c r="D47" s="19">
        <v>800</v>
      </c>
      <c r="E47" s="19" t="s">
        <v>158</v>
      </c>
      <c r="F47" s="20"/>
      <c r="G47" s="19">
        <f t="shared" si="7"/>
        <v>5.6</v>
      </c>
      <c r="H47" s="21">
        <f t="shared" si="8"/>
        <v>155.4616</v>
      </c>
      <c r="I47" s="19">
        <f t="shared" si="3"/>
        <v>0</v>
      </c>
      <c r="J47" s="19">
        <f t="shared" si="0"/>
        <v>27.761000000000003</v>
      </c>
      <c r="K47" s="19">
        <f t="shared" si="1"/>
        <v>0</v>
      </c>
      <c r="L47" s="21">
        <f t="shared" si="2"/>
        <v>27.761000000000003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>
        <f>28.161-0.4</f>
        <v>27.761000000000003</v>
      </c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</row>
    <row r="48" spans="1:142" x14ac:dyDescent="0.25">
      <c r="A48" s="19" t="s">
        <v>164</v>
      </c>
      <c r="B48" s="19" t="s">
        <v>162</v>
      </c>
      <c r="C48" s="19">
        <v>1600</v>
      </c>
      <c r="D48" s="19">
        <v>500</v>
      </c>
      <c r="E48" s="19" t="s">
        <v>158</v>
      </c>
      <c r="F48" s="20"/>
      <c r="G48" s="19">
        <f t="shared" si="7"/>
        <v>4.2</v>
      </c>
      <c r="H48" s="21">
        <f t="shared" si="8"/>
        <v>265.05360000000002</v>
      </c>
      <c r="I48" s="19">
        <f t="shared" si="3"/>
        <v>47.19</v>
      </c>
      <c r="J48" s="19">
        <f t="shared" si="0"/>
        <v>15.917999999999999</v>
      </c>
      <c r="K48" s="19">
        <f t="shared" si="1"/>
        <v>0</v>
      </c>
      <c r="L48" s="21">
        <f t="shared" si="2"/>
        <v>63.107999999999997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>
        <f>47.39-0.2</f>
        <v>47.19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>
        <f>6.25-3.25+0.4+0.818+(8.7+6.25-3.25)</f>
        <v>15.917999999999999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</row>
    <row r="49" spans="1:142" x14ac:dyDescent="0.25">
      <c r="A49" s="19" t="s">
        <v>164</v>
      </c>
      <c r="B49" s="19" t="s">
        <v>163</v>
      </c>
      <c r="C49" s="19">
        <v>1400</v>
      </c>
      <c r="D49" s="19">
        <v>1000</v>
      </c>
      <c r="E49" s="19" t="s">
        <v>158</v>
      </c>
      <c r="F49" s="20"/>
      <c r="G49" s="19">
        <f t="shared" si="7"/>
        <v>4.8</v>
      </c>
      <c r="H49" s="21">
        <f t="shared" si="8"/>
        <v>3.84</v>
      </c>
      <c r="I49" s="19">
        <f t="shared" si="3"/>
        <v>0.8</v>
      </c>
      <c r="J49" s="19">
        <f t="shared" si="0"/>
        <v>0</v>
      </c>
      <c r="K49" s="19">
        <f t="shared" si="1"/>
        <v>0</v>
      </c>
      <c r="L49" s="21">
        <f t="shared" si="2"/>
        <v>0.8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f>1-0.2</f>
        <v>0.8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</row>
    <row r="50" spans="1:142" x14ac:dyDescent="0.25">
      <c r="A50" s="19" t="s">
        <v>164</v>
      </c>
      <c r="B50" s="19" t="s">
        <v>163</v>
      </c>
      <c r="C50" s="19">
        <v>1400</v>
      </c>
      <c r="D50" s="19">
        <v>800</v>
      </c>
      <c r="E50" s="19" t="s">
        <v>158</v>
      </c>
      <c r="F50" s="20"/>
      <c r="G50" s="19">
        <f t="shared" si="7"/>
        <v>4.4000000000000004</v>
      </c>
      <c r="H50" s="21">
        <f t="shared" si="8"/>
        <v>45.944800000000008</v>
      </c>
      <c r="I50" s="19">
        <f t="shared" si="3"/>
        <v>0</v>
      </c>
      <c r="J50" s="19">
        <f t="shared" si="0"/>
        <v>10.442</v>
      </c>
      <c r="K50" s="19">
        <f t="shared" si="1"/>
        <v>0</v>
      </c>
      <c r="L50" s="21">
        <f t="shared" si="2"/>
        <v>10.442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>
        <f>0.7-0.2+9.942</f>
        <v>10.442</v>
      </c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</row>
    <row r="51" spans="1:142" x14ac:dyDescent="0.25">
      <c r="A51" s="19" t="s">
        <v>164</v>
      </c>
      <c r="B51" s="19" t="s">
        <v>163</v>
      </c>
      <c r="C51" s="19">
        <v>1400</v>
      </c>
      <c r="D51" s="19">
        <v>500</v>
      </c>
      <c r="E51" s="19" t="s">
        <v>158</v>
      </c>
      <c r="F51" s="20"/>
      <c r="G51" s="19">
        <f t="shared" si="7"/>
        <v>3.8</v>
      </c>
      <c r="H51" s="21">
        <f t="shared" si="8"/>
        <v>708.6354</v>
      </c>
      <c r="I51" s="19">
        <f t="shared" si="3"/>
        <v>90.617000000000004</v>
      </c>
      <c r="J51" s="19">
        <f t="shared" si="0"/>
        <v>95.866</v>
      </c>
      <c r="K51" s="19">
        <f t="shared" si="1"/>
        <v>0</v>
      </c>
      <c r="L51" s="21">
        <f t="shared" si="2"/>
        <v>186.483</v>
      </c>
      <c r="M51" s="19"/>
      <c r="N51" s="19"/>
      <c r="O51" s="19"/>
      <c r="P51" s="19"/>
      <c r="Q51" s="19"/>
      <c r="R51" s="19"/>
      <c r="S51" s="19"/>
      <c r="T51" s="19"/>
      <c r="U51" s="19">
        <f>1.884+1.572+2.31+0.692+5.703-0.4</f>
        <v>11.761000000000001</v>
      </c>
      <c r="V51" s="19"/>
      <c r="W51" s="19"/>
      <c r="X51" s="19"/>
      <c r="Y51" s="19"/>
      <c r="Z51" s="19"/>
      <c r="AA51" s="19">
        <f>2.481+6.888-0.4</f>
        <v>8.9689999999999994</v>
      </c>
      <c r="AB51" s="19"/>
      <c r="AC51" s="19"/>
      <c r="AD51" s="19"/>
      <c r="AE51" s="19"/>
      <c r="AF51" s="19"/>
      <c r="AG51" s="19"/>
      <c r="AH51" s="19">
        <f>4.553-0.2+8.302+3.357+1.747-0.2+2.1-0.2+1.602+0.962-0.2+4.415</f>
        <v>26.238000000000003</v>
      </c>
      <c r="AI51" s="19"/>
      <c r="AJ51" s="19">
        <f>3.15-0.4+2.525+2.76-0.2+1.073+1.403-0.2+5.193</f>
        <v>15.304</v>
      </c>
      <c r="AK51" s="19"/>
      <c r="AL51" s="19">
        <f>6.668-0.2</f>
        <v>6.468</v>
      </c>
      <c r="AM51" s="19">
        <f>6.668-0.2</f>
        <v>6.468</v>
      </c>
      <c r="AN51" s="19"/>
      <c r="AO51" s="19"/>
      <c r="AP51" s="19"/>
      <c r="AQ51" s="19">
        <f>2.73-0.2+7.6-0.2</f>
        <v>9.93</v>
      </c>
      <c r="AR51" s="19">
        <f>0.929-0.2+4.95-0.2</f>
        <v>5.4790000000000001</v>
      </c>
      <c r="AS51" s="19"/>
      <c r="AT51" s="19"/>
      <c r="AU51" s="19"/>
      <c r="AV51" s="19"/>
      <c r="AW51" s="19">
        <f>2.78-0.2+7.603-0.2</f>
        <v>9.9830000000000005</v>
      </c>
      <c r="AX51" s="19">
        <f>0.98-0.2+4.973-0.2</f>
        <v>5.5529999999999999</v>
      </c>
      <c r="AY51" s="19"/>
      <c r="AZ51" s="19"/>
      <c r="BA51" s="19">
        <f>1.857-0.2+6.569-0.2</f>
        <v>8.0259999999999998</v>
      </c>
      <c r="BB51" s="19">
        <f>1.857-0.2+6.569-0.2</f>
        <v>8.0259999999999998</v>
      </c>
      <c r="BC51" s="19">
        <f>1.126+5.799-0.4</f>
        <v>6.5250000000000004</v>
      </c>
      <c r="BD51" s="19">
        <f>1.126+5.799-0.4</f>
        <v>6.5250000000000004</v>
      </c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>
        <f>7.692-0.4</f>
        <v>7.2919999999999998</v>
      </c>
      <c r="CG51" s="19">
        <f>1.38-0.2+9.146-0.2</f>
        <v>10.126000000000001</v>
      </c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>
        <f>7.692-0.4</f>
        <v>7.2919999999999998</v>
      </c>
      <c r="DM51" s="19">
        <f>1.38-0.2+9.147</f>
        <v>10.327</v>
      </c>
      <c r="DN51" s="19"/>
      <c r="DO51" s="19"/>
      <c r="DP51" s="19"/>
      <c r="DQ51" s="19"/>
      <c r="DR51" s="19"/>
      <c r="DS51" s="19"/>
      <c r="DT51" s="19"/>
      <c r="DU51" s="19"/>
      <c r="DV51" s="19"/>
      <c r="DW51" s="19">
        <f>2.365-0.4+14.426-0.2</f>
        <v>16.191000000000003</v>
      </c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</row>
    <row r="52" spans="1:142" x14ac:dyDescent="0.25">
      <c r="A52" s="19" t="s">
        <v>164</v>
      </c>
      <c r="B52" s="19" t="s">
        <v>163</v>
      </c>
      <c r="C52" s="19">
        <v>1250</v>
      </c>
      <c r="D52" s="19">
        <v>800</v>
      </c>
      <c r="E52" s="19" t="s">
        <v>158</v>
      </c>
      <c r="F52" s="20"/>
      <c r="G52" s="19">
        <f t="shared" si="7"/>
        <v>4.0999999999999996</v>
      </c>
      <c r="H52" s="21">
        <f t="shared" si="8"/>
        <v>161.69989999999996</v>
      </c>
      <c r="I52" s="19">
        <f t="shared" si="3"/>
        <v>0</v>
      </c>
      <c r="J52" s="19">
        <f t="shared" si="0"/>
        <v>39.438999999999993</v>
      </c>
      <c r="K52" s="19">
        <f t="shared" si="1"/>
        <v>0</v>
      </c>
      <c r="L52" s="21">
        <f t="shared" si="2"/>
        <v>39.438999999999993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>
        <f>2.45-0.4+1.96+28.232-0.4</f>
        <v>31.841999999999999</v>
      </c>
      <c r="DU52" s="19">
        <f>2.45-0.4+1.747</f>
        <v>3.7970000000000006</v>
      </c>
      <c r="DV52" s="19">
        <f>2.45-0.4+1.75</f>
        <v>3.8000000000000003</v>
      </c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</row>
    <row r="53" spans="1:142" x14ac:dyDescent="0.25">
      <c r="A53" s="19" t="s">
        <v>164</v>
      </c>
      <c r="B53" s="19" t="s">
        <v>163</v>
      </c>
      <c r="C53" s="19">
        <v>1250</v>
      </c>
      <c r="D53" s="19">
        <v>630</v>
      </c>
      <c r="E53" s="19" t="s">
        <v>158</v>
      </c>
      <c r="F53" s="20"/>
      <c r="G53" s="19">
        <f t="shared" si="7"/>
        <v>3.76</v>
      </c>
      <c r="H53" s="21">
        <f t="shared" si="8"/>
        <v>135.17576</v>
      </c>
      <c r="I53" s="19">
        <f t="shared" si="3"/>
        <v>2</v>
      </c>
      <c r="J53" s="19">
        <f t="shared" si="0"/>
        <v>33.951000000000001</v>
      </c>
      <c r="K53" s="19">
        <f t="shared" si="1"/>
        <v>0</v>
      </c>
      <c r="L53" s="21">
        <f t="shared" si="2"/>
        <v>35.951000000000001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>
        <f>0.722-0.2+0.478</f>
        <v>1</v>
      </c>
      <c r="AR53" s="19">
        <f>0.7-0.2+0.5</f>
        <v>1</v>
      </c>
      <c r="AS53" s="19"/>
      <c r="AT53" s="19"/>
      <c r="AU53" s="19"/>
      <c r="AV53" s="19"/>
      <c r="AW53" s="19">
        <f>0.701-0.2+0.448</f>
        <v>0.94899999999999984</v>
      </c>
      <c r="AX53" s="19">
        <f>0.701-0.2+0.448</f>
        <v>0.94899999999999984</v>
      </c>
      <c r="AY53" s="19"/>
      <c r="AZ53" s="19"/>
      <c r="BA53" s="19">
        <f>0.967+0.782-0.2</f>
        <v>1.5490000000000002</v>
      </c>
      <c r="BB53" s="19">
        <f>0.967+0.782-0.2</f>
        <v>1.5490000000000002</v>
      </c>
      <c r="BC53" s="19">
        <f>0.817+0.782-0.2</f>
        <v>1.399</v>
      </c>
      <c r="BD53" s="19">
        <f>0.817+0.782-0.2</f>
        <v>1.399</v>
      </c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>
        <f>0.699+1.189-0.2+4.474-0.2+9.358-0.2</f>
        <v>15.120000000000001</v>
      </c>
      <c r="CI53" s="19">
        <f>0.699+1.19-0.2+2.956-0.2+6.792-0.2</f>
        <v>11.036999999999999</v>
      </c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</row>
    <row r="54" spans="1:142" x14ac:dyDescent="0.25">
      <c r="A54" s="19" t="s">
        <v>164</v>
      </c>
      <c r="B54" s="19" t="s">
        <v>163</v>
      </c>
      <c r="C54" s="19">
        <v>1250</v>
      </c>
      <c r="D54" s="19">
        <v>500</v>
      </c>
      <c r="E54" s="19" t="s">
        <v>158</v>
      </c>
      <c r="F54" s="20"/>
      <c r="G54" s="19">
        <f t="shared" si="7"/>
        <v>3.5</v>
      </c>
      <c r="H54" s="21">
        <f t="shared" si="8"/>
        <v>41.950999999999993</v>
      </c>
      <c r="I54" s="19">
        <f t="shared" si="3"/>
        <v>0</v>
      </c>
      <c r="J54" s="19">
        <f t="shared" si="0"/>
        <v>11.985999999999999</v>
      </c>
      <c r="K54" s="19">
        <f t="shared" si="1"/>
        <v>0</v>
      </c>
      <c r="L54" s="21">
        <f t="shared" si="2"/>
        <v>11.985999999999999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>
        <f>5.334-0.2+2.454-0.2+3.45-0.25-0.2+1.998-0.4</f>
        <v>11.985999999999999</v>
      </c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</row>
    <row r="55" spans="1:142" x14ac:dyDescent="0.25">
      <c r="A55" s="19" t="s">
        <v>164</v>
      </c>
      <c r="B55" s="19" t="s">
        <v>163</v>
      </c>
      <c r="C55" s="19">
        <v>1000</v>
      </c>
      <c r="D55" s="19">
        <v>800</v>
      </c>
      <c r="E55" s="19" t="s">
        <v>158</v>
      </c>
      <c r="F55" s="20"/>
      <c r="G55" s="19">
        <f t="shared" si="7"/>
        <v>3.6</v>
      </c>
      <c r="H55" s="21">
        <f t="shared" si="8"/>
        <v>57.459600000000002</v>
      </c>
      <c r="I55" s="19">
        <f t="shared" si="3"/>
        <v>0</v>
      </c>
      <c r="J55" s="19">
        <f t="shared" si="0"/>
        <v>15.961</v>
      </c>
      <c r="K55" s="19">
        <f t="shared" si="1"/>
        <v>0</v>
      </c>
      <c r="L55" s="21">
        <f t="shared" si="2"/>
        <v>15.961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>
        <f>0.717-0.2+0.382</f>
        <v>0.89899999999999991</v>
      </c>
      <c r="CG55" s="19">
        <f>0.717-0.2+0.482</f>
        <v>0.99899999999999989</v>
      </c>
      <c r="CH55" s="19"/>
      <c r="CI55" s="19"/>
      <c r="CJ55" s="19">
        <f>1.2+1.07-0.4+0.1</f>
        <v>1.9700000000000002</v>
      </c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>
        <f>9.693+1.4+1.4-0.4</f>
        <v>12.093</v>
      </c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</row>
    <row r="56" spans="1:142" x14ac:dyDescent="0.25">
      <c r="A56" s="19" t="s">
        <v>164</v>
      </c>
      <c r="B56" s="19" t="s">
        <v>163</v>
      </c>
      <c r="C56" s="19">
        <v>1000</v>
      </c>
      <c r="D56" s="19">
        <v>630</v>
      </c>
      <c r="E56" s="19" t="s">
        <v>158</v>
      </c>
      <c r="F56" s="20"/>
      <c r="G56" s="19">
        <f t="shared" si="7"/>
        <v>3.26</v>
      </c>
      <c r="H56" s="21">
        <f t="shared" si="8"/>
        <v>42.74512</v>
      </c>
      <c r="I56" s="19">
        <f t="shared" si="3"/>
        <v>6.2500000000000009</v>
      </c>
      <c r="J56" s="19">
        <f t="shared" si="0"/>
        <v>6.8620000000000001</v>
      </c>
      <c r="K56" s="19">
        <f t="shared" si="1"/>
        <v>0</v>
      </c>
      <c r="L56" s="21">
        <f t="shared" si="2"/>
        <v>13.112000000000002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>
        <f>1.199-0.2+3.301+1.95</f>
        <v>6.2500000000000009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>
        <f>7.062-0.2</f>
        <v>6.8620000000000001</v>
      </c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</row>
    <row r="57" spans="1:142" x14ac:dyDescent="0.25">
      <c r="A57" s="19" t="s">
        <v>164</v>
      </c>
      <c r="B57" s="19" t="s">
        <v>163</v>
      </c>
      <c r="C57" s="19">
        <v>1000</v>
      </c>
      <c r="D57" s="19">
        <v>500</v>
      </c>
      <c r="E57" s="19" t="s">
        <v>158</v>
      </c>
      <c r="F57" s="20"/>
      <c r="G57" s="19">
        <f t="shared" si="7"/>
        <v>3</v>
      </c>
      <c r="H57" s="21">
        <f t="shared" si="8"/>
        <v>273.72000000000003</v>
      </c>
      <c r="I57" s="19">
        <f t="shared" si="3"/>
        <v>49.482999999999997</v>
      </c>
      <c r="J57" s="19">
        <f t="shared" si="0"/>
        <v>41.757000000000005</v>
      </c>
      <c r="K57" s="19">
        <f t="shared" si="1"/>
        <v>0</v>
      </c>
      <c r="L57" s="21">
        <f t="shared" si="2"/>
        <v>91.240000000000009</v>
      </c>
      <c r="M57" s="19"/>
      <c r="N57" s="19"/>
      <c r="O57" s="19"/>
      <c r="P57" s="19"/>
      <c r="Q57" s="19"/>
      <c r="R57" s="19"/>
      <c r="S57" s="19"/>
      <c r="T57" s="19"/>
      <c r="U57" s="25">
        <f>1.55-0.2</f>
        <v>1.35</v>
      </c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>
        <f>2.83+4.149-0.4+39.73-0.2</f>
        <v>46.108999999999995</v>
      </c>
      <c r="AJ57" s="19"/>
      <c r="AK57" s="19"/>
      <c r="AL57" s="25">
        <f>1.212-0.2</f>
        <v>1.012</v>
      </c>
      <c r="AM57" s="25">
        <f>1.212-0.2</f>
        <v>1.012</v>
      </c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>
        <f>8.946-0.4+1.325-0.2</f>
        <v>9.6709999999999994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>
        <f>3.93-0.4+0.475+1.025-0.2</f>
        <v>4.8299999999999992</v>
      </c>
      <c r="CW57" s="19">
        <f>3.93-0.4+0.475+0.925-0.2</f>
        <v>4.7299999999999995</v>
      </c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25">
        <f>0.717-0.2+0.532</f>
        <v>1.0489999999999999</v>
      </c>
      <c r="DM57" s="25">
        <f>0.717-0.2+0.632</f>
        <v>1.149</v>
      </c>
      <c r="DN57" s="19">
        <f>1.6-0.4+1.576+6.248-0.2</f>
        <v>8.8240000000000016</v>
      </c>
      <c r="DO57" s="19"/>
      <c r="DP57" s="19"/>
      <c r="DQ57" s="19"/>
      <c r="DR57" s="19"/>
      <c r="DS57" s="19">
        <f>2.25-0.4+1.95+7.904-0.2</f>
        <v>11.504000000000001</v>
      </c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</row>
    <row r="58" spans="1:142" x14ac:dyDescent="0.25">
      <c r="A58" s="19" t="s">
        <v>164</v>
      </c>
      <c r="B58" s="19" t="s">
        <v>163</v>
      </c>
      <c r="C58" s="19">
        <v>1000</v>
      </c>
      <c r="D58" s="19">
        <v>400</v>
      </c>
      <c r="E58" s="19" t="s">
        <v>158</v>
      </c>
      <c r="F58" s="20"/>
      <c r="G58" s="19">
        <f t="shared" si="7"/>
        <v>2.8</v>
      </c>
      <c r="H58" s="21">
        <f t="shared" si="8"/>
        <v>77.14</v>
      </c>
      <c r="I58" s="19">
        <f t="shared" si="3"/>
        <v>0</v>
      </c>
      <c r="J58" s="19">
        <f t="shared" si="0"/>
        <v>27.55</v>
      </c>
      <c r="K58" s="19">
        <f t="shared" si="1"/>
        <v>0</v>
      </c>
      <c r="L58" s="21">
        <f t="shared" si="2"/>
        <v>27.55</v>
      </c>
      <c r="M58" s="19"/>
      <c r="N58" s="19"/>
      <c r="O58" s="19"/>
      <c r="P58" s="19"/>
      <c r="Q58" s="19"/>
      <c r="R58" s="19"/>
      <c r="S58" s="19"/>
      <c r="T58" s="19"/>
      <c r="U58" s="25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5"/>
      <c r="AM58" s="25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>
        <f>4.112-0.4</f>
        <v>3.7120000000000002</v>
      </c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>
        <f>11.565+4.623-0.2-0.4</f>
        <v>15.587999999999999</v>
      </c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>
        <f>6.6+5.1-3.45</f>
        <v>8.25</v>
      </c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</row>
    <row r="59" spans="1:142" x14ac:dyDescent="0.25">
      <c r="A59" s="19" t="s">
        <v>164</v>
      </c>
      <c r="B59" s="19" t="s">
        <v>163</v>
      </c>
      <c r="C59" s="24" t="s">
        <v>159</v>
      </c>
      <c r="D59" s="19">
        <v>1000</v>
      </c>
      <c r="E59" s="19" t="s">
        <v>158</v>
      </c>
      <c r="F59" s="20"/>
      <c r="G59" s="19">
        <f>3.14*D59/1000</f>
        <v>3.14</v>
      </c>
      <c r="H59" s="21">
        <f t="shared" si="8"/>
        <v>24.856240000000003</v>
      </c>
      <c r="I59" s="19">
        <f t="shared" si="3"/>
        <v>7.766</v>
      </c>
      <c r="J59" s="19">
        <f t="shared" si="0"/>
        <v>0.15</v>
      </c>
      <c r="K59" s="19">
        <f t="shared" si="1"/>
        <v>0</v>
      </c>
      <c r="L59" s="21">
        <f t="shared" si="2"/>
        <v>7.9160000000000004</v>
      </c>
      <c r="M59" s="19"/>
      <c r="N59" s="19"/>
      <c r="O59" s="19"/>
      <c r="P59" s="19"/>
      <c r="Q59" s="19"/>
      <c r="R59" s="19"/>
      <c r="S59" s="19"/>
      <c r="T59" s="19"/>
      <c r="U59" s="25"/>
      <c r="V59" s="19"/>
      <c r="W59" s="19"/>
      <c r="X59" s="19"/>
      <c r="Y59" s="19"/>
      <c r="Z59" s="19"/>
      <c r="AA59" s="19"/>
      <c r="AB59" s="19"/>
      <c r="AC59" s="19"/>
      <c r="AD59" s="19"/>
      <c r="AE59" s="19">
        <f>7.767-0.8+1.6-1.301+0.5</f>
        <v>7.766</v>
      </c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>
        <f>0.15</f>
        <v>0.15</v>
      </c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</row>
    <row r="60" spans="1:142" x14ac:dyDescent="0.25">
      <c r="A60" s="19" t="s">
        <v>164</v>
      </c>
      <c r="B60" s="19" t="s">
        <v>165</v>
      </c>
      <c r="C60" s="24" t="s">
        <v>159</v>
      </c>
      <c r="D60" s="19">
        <v>800</v>
      </c>
      <c r="E60" s="19" t="s">
        <v>158</v>
      </c>
      <c r="F60" s="20"/>
      <c r="G60" s="19">
        <f>3.14*D60/1000</f>
        <v>2.512</v>
      </c>
      <c r="H60" s="21">
        <f t="shared" si="8"/>
        <v>9.7817280000000011</v>
      </c>
      <c r="I60" s="19">
        <f t="shared" si="3"/>
        <v>3.7440000000000002</v>
      </c>
      <c r="J60" s="19">
        <f t="shared" si="0"/>
        <v>0.15</v>
      </c>
      <c r="K60" s="19">
        <f t="shared" si="1"/>
        <v>0</v>
      </c>
      <c r="L60" s="21">
        <f t="shared" si="2"/>
        <v>3.8940000000000001</v>
      </c>
      <c r="M60" s="19"/>
      <c r="N60" s="19"/>
      <c r="O60" s="19"/>
      <c r="P60" s="19"/>
      <c r="Q60" s="19"/>
      <c r="R60" s="19"/>
      <c r="S60" s="19"/>
      <c r="T60" s="19"/>
      <c r="U60" s="25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>
        <f>3.6-0.4+0.275+0.269</f>
        <v>3.7440000000000002</v>
      </c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>
        <f>0.15</f>
        <v>0.15</v>
      </c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</row>
    <row r="61" spans="1:142" x14ac:dyDescent="0.25">
      <c r="A61" s="19" t="s">
        <v>164</v>
      </c>
      <c r="B61" s="19" t="s">
        <v>165</v>
      </c>
      <c r="C61" s="19">
        <v>800</v>
      </c>
      <c r="D61" s="19">
        <v>800</v>
      </c>
      <c r="E61" s="19" t="s">
        <v>158</v>
      </c>
      <c r="F61" s="20"/>
      <c r="G61" s="19">
        <f t="shared" si="7"/>
        <v>3.2</v>
      </c>
      <c r="H61" s="21">
        <f t="shared" si="8"/>
        <v>52.031999999999996</v>
      </c>
      <c r="I61" s="19">
        <f t="shared" si="3"/>
        <v>0</v>
      </c>
      <c r="J61" s="19">
        <f t="shared" si="0"/>
        <v>16.259999999999998</v>
      </c>
      <c r="K61" s="19">
        <f t="shared" si="1"/>
        <v>0</v>
      </c>
      <c r="L61" s="21">
        <f t="shared" si="2"/>
        <v>16.259999999999998</v>
      </c>
      <c r="M61" s="19"/>
      <c r="N61" s="19"/>
      <c r="O61" s="19"/>
      <c r="P61" s="19"/>
      <c r="Q61" s="19"/>
      <c r="R61" s="19"/>
      <c r="S61" s="19"/>
      <c r="T61" s="19"/>
      <c r="U61" s="25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>
        <f>1.55-0.2</f>
        <v>1.35</v>
      </c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>
        <f>1.255-0.4+3.538</f>
        <v>4.3929999999999998</v>
      </c>
      <c r="CT61" s="19">
        <f>1.756-0.4+5.637-0.2+3.724</f>
        <v>10.516999999999999</v>
      </c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</row>
    <row r="62" spans="1:142" x14ac:dyDescent="0.25">
      <c r="A62" s="19" t="s">
        <v>164</v>
      </c>
      <c r="B62" s="19" t="s">
        <v>165</v>
      </c>
      <c r="C62" s="19">
        <v>800</v>
      </c>
      <c r="D62" s="19">
        <v>500</v>
      </c>
      <c r="E62" s="19" t="s">
        <v>158</v>
      </c>
      <c r="F62" s="20"/>
      <c r="G62" s="19">
        <f t="shared" si="7"/>
        <v>2.6</v>
      </c>
      <c r="H62" s="21">
        <f t="shared" si="8"/>
        <v>310.10460000000006</v>
      </c>
      <c r="I62" s="19">
        <f t="shared" si="3"/>
        <v>18.582000000000001</v>
      </c>
      <c r="J62" s="19">
        <f t="shared" si="0"/>
        <v>92.697000000000003</v>
      </c>
      <c r="K62" s="19">
        <f t="shared" si="1"/>
        <v>7.9920000000000009</v>
      </c>
      <c r="L62" s="21">
        <f t="shared" si="2"/>
        <v>119.27100000000002</v>
      </c>
      <c r="M62" s="25">
        <f>1.083-0.2+1.057+4.112-0.4</f>
        <v>5.6519999999999992</v>
      </c>
      <c r="N62" s="25">
        <f>1.083-0.2+1.057</f>
        <v>1.94</v>
      </c>
      <c r="O62" s="19"/>
      <c r="P62" s="19"/>
      <c r="Q62" s="19"/>
      <c r="R62" s="19"/>
      <c r="S62" s="25">
        <f>1.494-0.2+1.845+5.112-0.4</f>
        <v>7.8510000000000009</v>
      </c>
      <c r="T62" s="25">
        <f>1.494-0.2+1.845</f>
        <v>3.1390000000000002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>
        <f>1.083-0.2+1.057</f>
        <v>1.94</v>
      </c>
      <c r="BX62" s="19">
        <f>1.083-0.2+1.057</f>
        <v>1.94</v>
      </c>
      <c r="BY62" s="19"/>
      <c r="BZ62" s="19"/>
      <c r="CA62" s="19"/>
      <c r="CB62" s="19"/>
      <c r="CC62" s="19">
        <f>0.95-0.2+0.945+3-0.2+5.486-0.4</f>
        <v>9.5809999999999995</v>
      </c>
      <c r="CD62" s="19">
        <f>0.95-0.2+0.945</f>
        <v>1.6949999999999998</v>
      </c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>
        <f>7.167-0.2+1.725-0.2</f>
        <v>8.4920000000000009</v>
      </c>
      <c r="DD62" s="19"/>
      <c r="DE62" s="19">
        <f>1.305-0.4+2.264</f>
        <v>3.1689999999999996</v>
      </c>
      <c r="DF62" s="19">
        <f>5.108-0.6+4.142-0.2+(0.728+1.594-0.2)+(4.5+6.25)</f>
        <v>21.322000000000003</v>
      </c>
      <c r="DG62" s="19"/>
      <c r="DH62" s="19"/>
      <c r="DI62" s="19"/>
      <c r="DJ62" s="19"/>
      <c r="DK62" s="19">
        <f>0.265-0.2+4.58-0.2+7.622-0.4</f>
        <v>11.667</v>
      </c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>
        <f>4.114+5.972-0.2-0.4</f>
        <v>9.4860000000000007</v>
      </c>
      <c r="DZ62" s="19">
        <f>2.227+13.915-0.6</f>
        <v>15.542</v>
      </c>
      <c r="EA62" s="19">
        <f>1.15-0.2+0.484+6.829-0.4</f>
        <v>7.8629999999999995</v>
      </c>
      <c r="EB62" s="19"/>
      <c r="EC62" s="19"/>
      <c r="ED62" s="19"/>
      <c r="EE62" s="19"/>
      <c r="EF62" s="19">
        <f>1.483-0.4+1.057+4.112-0.4</f>
        <v>5.8520000000000003</v>
      </c>
      <c r="EG62" s="19">
        <f>1.483-0.4+1.057</f>
        <v>2.14</v>
      </c>
      <c r="EH62" s="19"/>
      <c r="EI62" s="19"/>
      <c r="EJ62" s="19"/>
      <c r="EK62" s="19"/>
      <c r="EL62" s="19"/>
    </row>
    <row r="63" spans="1:142" x14ac:dyDescent="0.25">
      <c r="A63" s="19" t="s">
        <v>164</v>
      </c>
      <c r="B63" s="19" t="s">
        <v>165</v>
      </c>
      <c r="C63" s="19">
        <v>800</v>
      </c>
      <c r="D63" s="19">
        <v>400</v>
      </c>
      <c r="E63" s="19" t="s">
        <v>158</v>
      </c>
      <c r="F63" s="20"/>
      <c r="G63" s="19">
        <f t="shared" si="7"/>
        <v>2.4000000000000004</v>
      </c>
      <c r="H63" s="21">
        <f t="shared" si="8"/>
        <v>228.19680000000005</v>
      </c>
      <c r="I63" s="19">
        <f t="shared" si="3"/>
        <v>0</v>
      </c>
      <c r="J63" s="19">
        <f t="shared" si="0"/>
        <v>95.082000000000008</v>
      </c>
      <c r="K63" s="19">
        <f t="shared" si="1"/>
        <v>0</v>
      </c>
      <c r="L63" s="21">
        <f t="shared" si="2"/>
        <v>95.082000000000008</v>
      </c>
      <c r="M63" s="25"/>
      <c r="N63" s="25"/>
      <c r="O63" s="19"/>
      <c r="P63" s="19"/>
      <c r="Q63" s="19"/>
      <c r="R63" s="19"/>
      <c r="S63" s="25"/>
      <c r="T63" s="25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>
        <f>0.763-0.2+0.561+3.592-0.2</f>
        <v>4.516</v>
      </c>
      <c r="BO63" s="19"/>
      <c r="BP63" s="19">
        <f>5.25-0.2+2.075+2.725-0.4+15.6-0.4</f>
        <v>24.65</v>
      </c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>
        <f>1.26+2-0.2+2.325</f>
        <v>5.3849999999999998</v>
      </c>
      <c r="CK63" s="19"/>
      <c r="CL63" s="19">
        <f>1.77-0.4+2.259</f>
        <v>3.629</v>
      </c>
      <c r="CM63" s="19"/>
      <c r="CN63" s="19"/>
      <c r="CO63" s="19"/>
      <c r="CP63" s="19">
        <f>3.466-0.4+1.099-0.2+2.279</f>
        <v>6.2439999999999998</v>
      </c>
      <c r="CQ63" s="19">
        <f>2.296-0.2+0.376+2.328-0.2</f>
        <v>4.5999999999999988</v>
      </c>
      <c r="CR63" s="19">
        <f>2.296-0.2+0.376+2.328-0.2</f>
        <v>4.5999999999999988</v>
      </c>
      <c r="CS63" s="19"/>
      <c r="CT63" s="19">
        <f>0.85+(6.25-1.85+0.2)</f>
        <v>5.45</v>
      </c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>
        <f>1.075+3.25-0.25-0.2</f>
        <v>3.875</v>
      </c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>
        <f>0.75+(7.6-1.85+0.2)</f>
        <v>6.7</v>
      </c>
      <c r="DZ63" s="19"/>
      <c r="EA63" s="19"/>
      <c r="EB63" s="19">
        <f>1.295-0.2+2.195-0.2</f>
        <v>3.09</v>
      </c>
      <c r="EC63" s="19">
        <f>2.176+20.567-1+(4.05-3.45)</f>
        <v>22.343000000000004</v>
      </c>
      <c r="ED63" s="19"/>
      <c r="EE63" s="19"/>
      <c r="EF63" s="19"/>
      <c r="EG63" s="19"/>
      <c r="EH63" s="19"/>
      <c r="EI63" s="19"/>
      <c r="EJ63" s="19"/>
      <c r="EK63" s="19"/>
      <c r="EL63" s="19"/>
    </row>
    <row r="64" spans="1:142" x14ac:dyDescent="0.25">
      <c r="A64" s="19" t="s">
        <v>164</v>
      </c>
      <c r="B64" s="19" t="s">
        <v>165</v>
      </c>
      <c r="C64" s="19">
        <v>800</v>
      </c>
      <c r="D64" s="19">
        <v>320</v>
      </c>
      <c r="E64" s="19" t="s">
        <v>158</v>
      </c>
      <c r="F64" s="20"/>
      <c r="G64" s="19">
        <f t="shared" si="7"/>
        <v>2.2400000000000002</v>
      </c>
      <c r="H64" s="21">
        <f t="shared" si="8"/>
        <v>106.10208000000002</v>
      </c>
      <c r="I64" s="19">
        <f t="shared" si="3"/>
        <v>47.367000000000004</v>
      </c>
      <c r="J64" s="19">
        <f t="shared" si="0"/>
        <v>0</v>
      </c>
      <c r="K64" s="19">
        <f t="shared" si="1"/>
        <v>0</v>
      </c>
      <c r="L64" s="21">
        <f t="shared" si="2"/>
        <v>47.367000000000004</v>
      </c>
      <c r="M64" s="25"/>
      <c r="N64" s="25"/>
      <c r="O64" s="19"/>
      <c r="P64" s="19"/>
      <c r="Q64" s="19"/>
      <c r="R64" s="19"/>
      <c r="S64" s="25"/>
      <c r="T64" s="25"/>
      <c r="U64" s="19"/>
      <c r="V64" s="19"/>
      <c r="W64" s="19"/>
      <c r="X64" s="19"/>
      <c r="Y64" s="19"/>
      <c r="Z64" s="19"/>
      <c r="AA64" s="19"/>
      <c r="AB64" s="19">
        <f>15.25</f>
        <v>15.25</v>
      </c>
      <c r="AC64" s="19"/>
      <c r="AD64" s="19"/>
      <c r="AE64" s="19"/>
      <c r="AF64" s="19"/>
      <c r="AG64" s="19"/>
      <c r="AH64" s="19"/>
      <c r="AI64" s="19"/>
      <c r="AJ64" s="19"/>
      <c r="AK64" s="19">
        <f>6.067+26.05</f>
        <v>32.117000000000004</v>
      </c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</row>
    <row r="65" spans="1:142" x14ac:dyDescent="0.25">
      <c r="A65" s="19" t="s">
        <v>164</v>
      </c>
      <c r="B65" s="19" t="s">
        <v>165</v>
      </c>
      <c r="C65" s="19">
        <v>800</v>
      </c>
      <c r="D65" s="19">
        <v>250</v>
      </c>
      <c r="E65" s="19" t="s">
        <v>158</v>
      </c>
      <c r="F65" s="20"/>
      <c r="G65" s="19">
        <f t="shared" si="7"/>
        <v>2.1</v>
      </c>
      <c r="H65" s="21">
        <f t="shared" si="8"/>
        <v>76.574399999999997</v>
      </c>
      <c r="I65" s="19">
        <f t="shared" si="3"/>
        <v>0</v>
      </c>
      <c r="J65" s="19">
        <f t="shared" si="0"/>
        <v>36.463999999999999</v>
      </c>
      <c r="K65" s="19">
        <f t="shared" si="1"/>
        <v>0</v>
      </c>
      <c r="L65" s="21">
        <f t="shared" si="2"/>
        <v>36.463999999999999</v>
      </c>
      <c r="M65" s="25"/>
      <c r="N65" s="25"/>
      <c r="O65" s="19"/>
      <c r="P65" s="19"/>
      <c r="Q65" s="19"/>
      <c r="R65" s="19"/>
      <c r="S65" s="25"/>
      <c r="T65" s="25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>
        <f>1.474+2.15-0.4</f>
        <v>3.2239999999999998</v>
      </c>
      <c r="BZ65" s="19">
        <f>1.474+2.15-0.4</f>
        <v>3.2239999999999998</v>
      </c>
      <c r="CA65" s="19">
        <f>8.497-0.2+21.719</f>
        <v>30.016000000000002</v>
      </c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</row>
    <row r="66" spans="1:142" x14ac:dyDescent="0.25">
      <c r="A66" s="19" t="s">
        <v>164</v>
      </c>
      <c r="B66" s="19" t="s">
        <v>165</v>
      </c>
      <c r="C66" s="24" t="s">
        <v>159</v>
      </c>
      <c r="D66" s="19">
        <v>710</v>
      </c>
      <c r="E66" s="19" t="s">
        <v>158</v>
      </c>
      <c r="F66" s="20"/>
      <c r="G66" s="19">
        <f t="shared" ref="G66:G71" si="9">3.14*D66/1000</f>
        <v>2.2294</v>
      </c>
      <c r="H66" s="21">
        <f t="shared" si="8"/>
        <v>1.3153459999999999</v>
      </c>
      <c r="I66" s="19">
        <f t="shared" si="3"/>
        <v>0</v>
      </c>
      <c r="J66" s="19">
        <f t="shared" si="0"/>
        <v>0.59</v>
      </c>
      <c r="K66" s="19">
        <f t="shared" si="1"/>
        <v>0</v>
      </c>
      <c r="L66" s="21">
        <f t="shared" si="2"/>
        <v>0.59</v>
      </c>
      <c r="M66" s="25"/>
      <c r="N66" s="25"/>
      <c r="O66" s="19"/>
      <c r="P66" s="19"/>
      <c r="Q66" s="19"/>
      <c r="R66" s="19"/>
      <c r="S66" s="25"/>
      <c r="T66" s="25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>
        <f>0.295</f>
        <v>0.29499999999999998</v>
      </c>
      <c r="CD66" s="19">
        <f>0.295</f>
        <v>0.29499999999999998</v>
      </c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</row>
    <row r="67" spans="1:142" x14ac:dyDescent="0.25">
      <c r="A67" s="19" t="s">
        <v>164</v>
      </c>
      <c r="B67" s="19" t="s">
        <v>165</v>
      </c>
      <c r="C67" s="19">
        <v>630</v>
      </c>
      <c r="D67" s="19">
        <v>630</v>
      </c>
      <c r="E67" s="19" t="s">
        <v>158</v>
      </c>
      <c r="F67" s="20"/>
      <c r="G67" s="19">
        <f t="shared" si="7"/>
        <v>2.52</v>
      </c>
      <c r="H67" s="21">
        <f t="shared" si="8"/>
        <v>13.499639999999998</v>
      </c>
      <c r="I67" s="19">
        <f t="shared" si="3"/>
        <v>0</v>
      </c>
      <c r="J67" s="19">
        <f t="shared" si="0"/>
        <v>5.3569999999999993</v>
      </c>
      <c r="K67" s="19">
        <f t="shared" si="1"/>
        <v>0</v>
      </c>
      <c r="L67" s="21">
        <f t="shared" si="2"/>
        <v>5.3569999999999993</v>
      </c>
      <c r="M67" s="25"/>
      <c r="N67" s="25"/>
      <c r="O67" s="19"/>
      <c r="P67" s="19"/>
      <c r="Q67" s="19"/>
      <c r="R67" s="19"/>
      <c r="S67" s="25"/>
      <c r="T67" s="25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>
        <f>0.775-0.2+2.43-0.2</f>
        <v>2.8049999999999997</v>
      </c>
      <c r="DC67" s="19"/>
      <c r="DD67" s="19">
        <f>1.925-0.2+1.027-0.2</f>
        <v>2.5519999999999996</v>
      </c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</row>
    <row r="68" spans="1:142" x14ac:dyDescent="0.25">
      <c r="A68" s="19" t="s">
        <v>164</v>
      </c>
      <c r="B68" s="19" t="s">
        <v>165</v>
      </c>
      <c r="C68" s="19">
        <v>630</v>
      </c>
      <c r="D68" s="19">
        <v>320</v>
      </c>
      <c r="E68" s="19" t="s">
        <v>158</v>
      </c>
      <c r="F68" s="20"/>
      <c r="G68" s="19">
        <f t="shared" si="7"/>
        <v>1.9</v>
      </c>
      <c r="H68" s="21">
        <f t="shared" si="8"/>
        <v>257.94970000000001</v>
      </c>
      <c r="I68" s="19">
        <f t="shared" si="3"/>
        <v>69.049000000000007</v>
      </c>
      <c r="J68" s="19">
        <f t="shared" si="0"/>
        <v>27.44</v>
      </c>
      <c r="K68" s="19">
        <f t="shared" si="1"/>
        <v>39.273999999999994</v>
      </c>
      <c r="L68" s="21">
        <f t="shared" si="2"/>
        <v>135.76300000000001</v>
      </c>
      <c r="M68" s="25"/>
      <c r="N68" s="25"/>
      <c r="O68" s="19">
        <f>8.475-0.2+21.719</f>
        <v>29.994</v>
      </c>
      <c r="P68" s="19"/>
      <c r="Q68" s="19">
        <f>2.3-0.4+1.474</f>
        <v>3.3739999999999997</v>
      </c>
      <c r="R68" s="19">
        <f>2.3-0.4+1.474</f>
        <v>3.3739999999999997</v>
      </c>
      <c r="S68" s="19"/>
      <c r="T68" s="19"/>
      <c r="U68" s="19"/>
      <c r="V68" s="19">
        <f>6.869+17.748</f>
        <v>24.617000000000001</v>
      </c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>
        <f>7.69</f>
        <v>7.69</v>
      </c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>
        <f>2.025-0.4+17.779-0.2+5.25-3.45</f>
        <v>21.004000000000001</v>
      </c>
      <c r="BJ68" s="19"/>
      <c r="BK68" s="19"/>
      <c r="BL68" s="19">
        <f>2.475-0.2+4.561-0.4</f>
        <v>6.4359999999999999</v>
      </c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>
        <f>0.774+0.8+37.9-0.2</f>
        <v>39.273999999999994</v>
      </c>
      <c r="EJ68" s="19"/>
      <c r="EK68" s="19"/>
      <c r="EL68" s="19"/>
    </row>
    <row r="69" spans="1:142" x14ac:dyDescent="0.25">
      <c r="A69" s="19" t="s">
        <v>164</v>
      </c>
      <c r="B69" s="19" t="s">
        <v>165</v>
      </c>
      <c r="C69" s="19">
        <v>630</v>
      </c>
      <c r="D69" s="19">
        <v>250</v>
      </c>
      <c r="E69" s="19" t="s">
        <v>158</v>
      </c>
      <c r="F69" s="20"/>
      <c r="G69" s="19">
        <f t="shared" si="7"/>
        <v>1.76</v>
      </c>
      <c r="H69" s="21">
        <f t="shared" si="8"/>
        <v>15.84</v>
      </c>
      <c r="I69" s="19">
        <f t="shared" si="3"/>
        <v>9</v>
      </c>
      <c r="J69" s="19">
        <f t="shared" ref="J69:J132" si="10">SUM(AW69:EE69)</f>
        <v>0</v>
      </c>
      <c r="K69" s="19">
        <f t="shared" ref="K69:K132" si="11">SUM(EF69:EM69)</f>
        <v>0</v>
      </c>
      <c r="L69" s="21">
        <f t="shared" ref="L69:L132" si="12">SUM(M69:EM69)</f>
        <v>9</v>
      </c>
      <c r="M69" s="25"/>
      <c r="N69" s="25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>
        <f>9</f>
        <v>9</v>
      </c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</row>
    <row r="70" spans="1:142" x14ac:dyDescent="0.25">
      <c r="A70" s="19" t="s">
        <v>164</v>
      </c>
      <c r="B70" s="19" t="s">
        <v>165</v>
      </c>
      <c r="C70" s="24" t="s">
        <v>159</v>
      </c>
      <c r="D70" s="19">
        <v>630</v>
      </c>
      <c r="E70" s="19" t="s">
        <v>158</v>
      </c>
      <c r="F70" s="20"/>
      <c r="G70" s="19">
        <f t="shared" si="9"/>
        <v>1.9782</v>
      </c>
      <c r="H70" s="21">
        <f t="shared" si="8"/>
        <v>0.39563999999999999</v>
      </c>
      <c r="I70" s="19">
        <f t="shared" ref="I70:I133" si="13">SUM(M70:AV70)</f>
        <v>0</v>
      </c>
      <c r="J70" s="19">
        <f t="shared" si="10"/>
        <v>0.2</v>
      </c>
      <c r="K70" s="19">
        <f t="shared" si="11"/>
        <v>0</v>
      </c>
      <c r="L70" s="21">
        <f t="shared" si="12"/>
        <v>0.2</v>
      </c>
      <c r="M70" s="25"/>
      <c r="N70" s="25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>
        <f>0.2</f>
        <v>0.2</v>
      </c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</row>
    <row r="71" spans="1:142" x14ac:dyDescent="0.25">
      <c r="A71" s="19" t="s">
        <v>164</v>
      </c>
      <c r="B71" s="19" t="s">
        <v>165</v>
      </c>
      <c r="C71" s="24" t="s">
        <v>159</v>
      </c>
      <c r="D71" s="19">
        <v>600</v>
      </c>
      <c r="E71" s="19" t="s">
        <v>158</v>
      </c>
      <c r="F71" s="20"/>
      <c r="G71" s="19">
        <f t="shared" si="9"/>
        <v>1.8839999999999999</v>
      </c>
      <c r="H71" s="21">
        <f t="shared" si="8"/>
        <v>28.205363999999999</v>
      </c>
      <c r="I71" s="19">
        <f t="shared" si="13"/>
        <v>14.971</v>
      </c>
      <c r="J71" s="19">
        <f t="shared" si="10"/>
        <v>0</v>
      </c>
      <c r="K71" s="19">
        <f t="shared" si="11"/>
        <v>0</v>
      </c>
      <c r="L71" s="21">
        <f t="shared" si="12"/>
        <v>14.971</v>
      </c>
      <c r="M71" s="25"/>
      <c r="N71" s="25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>
        <f>2.4-0.2+2.143+3.5-0.2+1.124</f>
        <v>8.7669999999999995</v>
      </c>
      <c r="AA71" s="19"/>
      <c r="AB71" s="19"/>
      <c r="AC71" s="19"/>
      <c r="AD71" s="19"/>
      <c r="AE71" s="19"/>
      <c r="AF71" s="19"/>
      <c r="AG71" s="19">
        <f>1.85-0.2+4.754-0.2</f>
        <v>6.2039999999999997</v>
      </c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</row>
    <row r="72" spans="1:142" x14ac:dyDescent="0.25">
      <c r="A72" s="19" t="s">
        <v>164</v>
      </c>
      <c r="B72" s="19" t="s">
        <v>165</v>
      </c>
      <c r="C72" s="19">
        <v>600</v>
      </c>
      <c r="D72" s="19">
        <v>400</v>
      </c>
      <c r="E72" s="19" t="s">
        <v>158</v>
      </c>
      <c r="F72" s="20"/>
      <c r="G72" s="19">
        <f t="shared" si="7"/>
        <v>2</v>
      </c>
      <c r="H72" s="21">
        <f t="shared" si="8"/>
        <v>98.144000000000005</v>
      </c>
      <c r="I72" s="19">
        <f t="shared" si="13"/>
        <v>49.072000000000003</v>
      </c>
      <c r="J72" s="19">
        <f t="shared" si="10"/>
        <v>0</v>
      </c>
      <c r="K72" s="19">
        <f t="shared" si="11"/>
        <v>0</v>
      </c>
      <c r="L72" s="21">
        <f t="shared" si="12"/>
        <v>49.072000000000003</v>
      </c>
      <c r="M72" s="25"/>
      <c r="N72" s="25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>
        <f>7.425</f>
        <v>7.4249999999999998</v>
      </c>
      <c r="AA72" s="19"/>
      <c r="AB72" s="19"/>
      <c r="AC72" s="19"/>
      <c r="AD72" s="19"/>
      <c r="AE72" s="19"/>
      <c r="AF72" s="19"/>
      <c r="AG72" s="19">
        <f>5.114+20.289+16.244</f>
        <v>41.647000000000006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</row>
    <row r="73" spans="1:142" x14ac:dyDescent="0.25">
      <c r="A73" s="19" t="s">
        <v>164</v>
      </c>
      <c r="B73" s="19" t="s">
        <v>165</v>
      </c>
      <c r="C73" s="19">
        <v>600</v>
      </c>
      <c r="D73" s="19">
        <v>320</v>
      </c>
      <c r="E73" s="19" t="s">
        <v>158</v>
      </c>
      <c r="F73" s="20"/>
      <c r="G73" s="19">
        <f t="shared" si="7"/>
        <v>1.8399999999999999</v>
      </c>
      <c r="H73" s="21">
        <f t="shared" si="8"/>
        <v>6.3535199999999996</v>
      </c>
      <c r="I73" s="19">
        <f t="shared" si="13"/>
        <v>0</v>
      </c>
      <c r="J73" s="19">
        <f t="shared" si="10"/>
        <v>3.4529999999999998</v>
      </c>
      <c r="K73" s="19">
        <f t="shared" si="11"/>
        <v>0</v>
      </c>
      <c r="L73" s="21">
        <f t="shared" si="12"/>
        <v>3.4529999999999998</v>
      </c>
      <c r="M73" s="25"/>
      <c r="N73" s="25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>
        <f>1.324-0.2+2.529-0.2</f>
        <v>3.4529999999999998</v>
      </c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</row>
    <row r="74" spans="1:142" x14ac:dyDescent="0.25">
      <c r="A74" s="19" t="s">
        <v>164</v>
      </c>
      <c r="B74" s="19" t="s">
        <v>165</v>
      </c>
      <c r="C74" s="19">
        <v>500</v>
      </c>
      <c r="D74" s="19">
        <v>400</v>
      </c>
      <c r="E74" s="19" t="s">
        <v>158</v>
      </c>
      <c r="F74" s="20"/>
      <c r="G74" s="19">
        <f t="shared" si="7"/>
        <v>1.8</v>
      </c>
      <c r="H74" s="21">
        <f t="shared" si="8"/>
        <v>57.412800000000004</v>
      </c>
      <c r="I74" s="19">
        <f t="shared" si="13"/>
        <v>31.896000000000001</v>
      </c>
      <c r="J74" s="19">
        <f t="shared" si="10"/>
        <v>0</v>
      </c>
      <c r="K74" s="19">
        <f t="shared" si="11"/>
        <v>0</v>
      </c>
      <c r="L74" s="21">
        <f t="shared" si="12"/>
        <v>31.896000000000001</v>
      </c>
      <c r="M74" s="25"/>
      <c r="N74" s="25"/>
      <c r="O74" s="19"/>
      <c r="P74" s="19"/>
      <c r="Q74" s="19"/>
      <c r="R74" s="19"/>
      <c r="S74" s="19"/>
      <c r="T74" s="19"/>
      <c r="U74" s="19"/>
      <c r="V74" s="19"/>
      <c r="W74" s="19"/>
      <c r="X74" s="19">
        <f>6.862+3.137+4.405+17.492</f>
        <v>31.896000000000001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</row>
    <row r="75" spans="1:142" x14ac:dyDescent="0.25">
      <c r="A75" s="19" t="s">
        <v>164</v>
      </c>
      <c r="B75" s="19" t="s">
        <v>165</v>
      </c>
      <c r="C75" s="19">
        <v>500</v>
      </c>
      <c r="D75" s="19">
        <v>320</v>
      </c>
      <c r="E75" s="19" t="s">
        <v>158</v>
      </c>
      <c r="F75" s="20"/>
      <c r="G75" s="19">
        <f t="shared" si="7"/>
        <v>1.6400000000000001</v>
      </c>
      <c r="H75" s="21">
        <f t="shared" si="8"/>
        <v>185.59880000000001</v>
      </c>
      <c r="I75" s="19">
        <f t="shared" si="13"/>
        <v>27.613999999999997</v>
      </c>
      <c r="J75" s="19">
        <f t="shared" si="10"/>
        <v>85.555999999999997</v>
      </c>
      <c r="K75" s="19">
        <f t="shared" si="11"/>
        <v>0</v>
      </c>
      <c r="L75" s="21">
        <f t="shared" si="12"/>
        <v>113.17</v>
      </c>
      <c r="M75" s="25"/>
      <c r="N75" s="25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>
        <f>5.6+8.008+5.606</f>
        <v>19.213999999999999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>
        <f>8.4</f>
        <v>8.4</v>
      </c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>
        <f>2.525-0.2+12.425-0.4+9.1+2.3+5.605-0.2</f>
        <v>31.155000000000001</v>
      </c>
      <c r="BN75" s="19"/>
      <c r="BO75" s="19">
        <f>2.529+16.175-0.4+3.54+(5.9-5.25)</f>
        <v>22.494</v>
      </c>
      <c r="BP75" s="19"/>
      <c r="BQ75" s="19">
        <f>3.079+5.925-0.8+1.3+5.25-4.75</f>
        <v>10.004</v>
      </c>
      <c r="BR75" s="19"/>
      <c r="BS75" s="19">
        <f>2.529-0.2+1.324+1.1-0.2</f>
        <v>4.5529999999999999</v>
      </c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>
        <f>14.2+6.6-3.45</f>
        <v>17.349999999999998</v>
      </c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</row>
    <row r="76" spans="1:142" x14ac:dyDescent="0.25">
      <c r="A76" s="19" t="s">
        <v>164</v>
      </c>
      <c r="B76" s="19" t="s">
        <v>165</v>
      </c>
      <c r="C76" s="19">
        <v>500</v>
      </c>
      <c r="D76" s="19">
        <v>250</v>
      </c>
      <c r="E76" s="19" t="s">
        <v>158</v>
      </c>
      <c r="F76" s="20"/>
      <c r="G76" s="19">
        <f t="shared" si="7"/>
        <v>1.5</v>
      </c>
      <c r="H76" s="21">
        <f t="shared" si="8"/>
        <v>39.630000000000003</v>
      </c>
      <c r="I76" s="19">
        <f t="shared" si="13"/>
        <v>14.7</v>
      </c>
      <c r="J76" s="19">
        <f t="shared" si="10"/>
        <v>11.72</v>
      </c>
      <c r="K76" s="19">
        <f t="shared" si="11"/>
        <v>0</v>
      </c>
      <c r="L76" s="21">
        <f t="shared" si="12"/>
        <v>26.42</v>
      </c>
      <c r="M76" s="25"/>
      <c r="N76" s="25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>
        <f>8.4</f>
        <v>8.4</v>
      </c>
      <c r="AC76" s="19"/>
      <c r="AD76" s="19"/>
      <c r="AE76" s="19"/>
      <c r="AF76" s="19"/>
      <c r="AG76" s="19"/>
      <c r="AH76" s="19"/>
      <c r="AI76" s="19"/>
      <c r="AJ76" s="19"/>
      <c r="AK76" s="19">
        <v>6.3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>
        <f>11.72</f>
        <v>11.72</v>
      </c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</row>
    <row r="77" spans="1:142" x14ac:dyDescent="0.25">
      <c r="A77" s="19" t="s">
        <v>164</v>
      </c>
      <c r="B77" s="19" t="s">
        <v>165</v>
      </c>
      <c r="C77" s="19">
        <v>500</v>
      </c>
      <c r="D77" s="19">
        <v>200</v>
      </c>
      <c r="E77" s="19" t="s">
        <v>158</v>
      </c>
      <c r="F77" s="20"/>
      <c r="G77" s="19">
        <f>(C77/1000+D77/1000)*2</f>
        <v>1.4</v>
      </c>
      <c r="H77" s="21">
        <f t="shared" ref="H77:H88" si="14">G77*L77</f>
        <v>19.801600000000001</v>
      </c>
      <c r="I77" s="19">
        <f t="shared" si="13"/>
        <v>0</v>
      </c>
      <c r="J77" s="19">
        <f t="shared" si="10"/>
        <v>14.144</v>
      </c>
      <c r="K77" s="19">
        <f t="shared" si="11"/>
        <v>0</v>
      </c>
      <c r="L77" s="21">
        <f t="shared" si="12"/>
        <v>14.144</v>
      </c>
      <c r="M77" s="25"/>
      <c r="N77" s="25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>
        <f>1.223+8.217-0.4</f>
        <v>9.0400000000000009</v>
      </c>
      <c r="DR77" s="19"/>
      <c r="DS77" s="19"/>
      <c r="DT77" s="19"/>
      <c r="DU77" s="19"/>
      <c r="DV77" s="19"/>
      <c r="DW77" s="19"/>
      <c r="DX77" s="19">
        <f>1.223+4.281-0.4</f>
        <v>5.1039999999999992</v>
      </c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</row>
    <row r="78" spans="1:142" x14ac:dyDescent="0.25">
      <c r="A78" s="19" t="s">
        <v>164</v>
      </c>
      <c r="B78" s="19" t="s">
        <v>165</v>
      </c>
      <c r="C78" s="24" t="s">
        <v>159</v>
      </c>
      <c r="D78" s="19">
        <v>500</v>
      </c>
      <c r="E78" s="19" t="s">
        <v>158</v>
      </c>
      <c r="F78" s="20"/>
      <c r="G78" s="19">
        <f>3.14*D78/1000</f>
        <v>1.57</v>
      </c>
      <c r="H78" s="21">
        <f t="shared" si="14"/>
        <v>85.48178999999999</v>
      </c>
      <c r="I78" s="19">
        <f t="shared" si="13"/>
        <v>54.446999999999996</v>
      </c>
      <c r="J78" s="19">
        <f t="shared" si="10"/>
        <v>0</v>
      </c>
      <c r="K78" s="19">
        <f t="shared" si="11"/>
        <v>0</v>
      </c>
      <c r="L78" s="21">
        <f t="shared" si="12"/>
        <v>54.446999999999996</v>
      </c>
      <c r="M78" s="25"/>
      <c r="N78" s="25"/>
      <c r="O78" s="19"/>
      <c r="P78" s="19">
        <f>8.557-0.2+10.305-1.37+2.669-0.2+20.227</f>
        <v>39.988</v>
      </c>
      <c r="Q78" s="19"/>
      <c r="R78" s="19"/>
      <c r="S78" s="19"/>
      <c r="T78" s="19"/>
      <c r="U78" s="19"/>
      <c r="V78" s="19">
        <f>8.9</f>
        <v>8.9</v>
      </c>
      <c r="W78" s="19"/>
      <c r="X78" s="19">
        <f>5.325-0.4+0.634</f>
        <v>5.5590000000000002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</row>
    <row r="79" spans="1:142" x14ac:dyDescent="0.25">
      <c r="A79" s="19" t="s">
        <v>164</v>
      </c>
      <c r="B79" s="19" t="s">
        <v>166</v>
      </c>
      <c r="C79" s="19">
        <v>400</v>
      </c>
      <c r="D79" s="19">
        <v>320</v>
      </c>
      <c r="E79" s="19" t="s">
        <v>158</v>
      </c>
      <c r="F79" s="20"/>
      <c r="G79" s="19">
        <f t="shared" ref="G79:G84" si="15">(C79/1000+D79/1000)*2</f>
        <v>1.44</v>
      </c>
      <c r="H79" s="21">
        <f t="shared" si="14"/>
        <v>62.599679999999999</v>
      </c>
      <c r="I79" s="19">
        <f t="shared" si="13"/>
        <v>12.100000000000001</v>
      </c>
      <c r="J79" s="19">
        <f t="shared" si="10"/>
        <v>19.752000000000002</v>
      </c>
      <c r="K79" s="19">
        <f t="shared" si="11"/>
        <v>11.62</v>
      </c>
      <c r="L79" s="21">
        <f t="shared" si="12"/>
        <v>43.472000000000001</v>
      </c>
      <c r="M79" s="25"/>
      <c r="N79" s="25"/>
      <c r="O79" s="19"/>
      <c r="P79" s="19"/>
      <c r="Q79" s="19"/>
      <c r="R79" s="19"/>
      <c r="S79" s="19"/>
      <c r="T79" s="19"/>
      <c r="U79" s="19"/>
      <c r="V79" s="19">
        <f>2.7</f>
        <v>2.7</v>
      </c>
      <c r="W79" s="19"/>
      <c r="X79" s="19"/>
      <c r="Y79" s="19"/>
      <c r="Z79" s="19"/>
      <c r="AA79" s="19"/>
      <c r="AB79" s="19"/>
      <c r="AC79" s="19"/>
      <c r="AD79" s="19"/>
      <c r="AE79" s="25">
        <f>9.6-0.2</f>
        <v>9.4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>
        <f>2.446+9.914+5.2+4.472-0.2-2.08</f>
        <v>19.752000000000002</v>
      </c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>
        <f>11.62</f>
        <v>11.62</v>
      </c>
      <c r="EJ79" s="19"/>
      <c r="EK79" s="19"/>
      <c r="EL79" s="19"/>
    </row>
    <row r="80" spans="1:142" x14ac:dyDescent="0.25">
      <c r="A80" s="19" t="s">
        <v>164</v>
      </c>
      <c r="B80" s="19" t="s">
        <v>166</v>
      </c>
      <c r="C80" s="19">
        <v>400</v>
      </c>
      <c r="D80" s="19">
        <v>250</v>
      </c>
      <c r="E80" s="19" t="s">
        <v>158</v>
      </c>
      <c r="F80" s="20"/>
      <c r="G80" s="19">
        <f t="shared" si="15"/>
        <v>1.3</v>
      </c>
      <c r="H80" s="21">
        <f t="shared" si="14"/>
        <v>65.782600000000002</v>
      </c>
      <c r="I80" s="19">
        <f t="shared" si="13"/>
        <v>0</v>
      </c>
      <c r="J80" s="19">
        <f t="shared" si="10"/>
        <v>50.601999999999997</v>
      </c>
      <c r="K80" s="19">
        <f t="shared" si="11"/>
        <v>0</v>
      </c>
      <c r="L80" s="21">
        <f t="shared" si="12"/>
        <v>50.601999999999997</v>
      </c>
      <c r="M80" s="25"/>
      <c r="N80" s="25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25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>
        <f>1.75-0.2+4.15+25.855-0.4+5.25-3.45</f>
        <v>32.954999999999998</v>
      </c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>
        <f>1.28+2.449-0.2+2.133+2.156+2.08-0.2</f>
        <v>9.6980000000000004</v>
      </c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>
        <f>2.809-0.4+1.167+3.423-0.2+1.15</f>
        <v>7.9489999999999998</v>
      </c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</row>
    <row r="81" spans="1:142" x14ac:dyDescent="0.25">
      <c r="A81" s="19" t="s">
        <v>164</v>
      </c>
      <c r="B81" s="19" t="s">
        <v>166</v>
      </c>
      <c r="C81" s="19">
        <v>320</v>
      </c>
      <c r="D81" s="19">
        <v>320</v>
      </c>
      <c r="E81" s="19" t="s">
        <v>158</v>
      </c>
      <c r="F81" s="20"/>
      <c r="G81" s="19">
        <f t="shared" si="15"/>
        <v>1.28</v>
      </c>
      <c r="H81" s="21">
        <f t="shared" si="14"/>
        <v>10.036479999999999</v>
      </c>
      <c r="I81" s="19">
        <f t="shared" si="13"/>
        <v>2.0999999999999996</v>
      </c>
      <c r="J81" s="19">
        <f t="shared" si="10"/>
        <v>0</v>
      </c>
      <c r="K81" s="19">
        <f t="shared" si="11"/>
        <v>5.7409999999999997</v>
      </c>
      <c r="L81" s="21">
        <f t="shared" si="12"/>
        <v>7.8409999999999993</v>
      </c>
      <c r="M81" s="19"/>
      <c r="N81" s="19"/>
      <c r="O81" s="25">
        <f>2.3-0.2</f>
        <v>2.0999999999999996</v>
      </c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25">
        <f>5.741</f>
        <v>5.7409999999999997</v>
      </c>
      <c r="EJ81" s="19"/>
      <c r="EK81" s="19"/>
      <c r="EL81" s="19"/>
    </row>
    <row r="82" spans="1:142" x14ac:dyDescent="0.25">
      <c r="A82" s="19" t="s">
        <v>164</v>
      </c>
      <c r="B82" s="19" t="s">
        <v>166</v>
      </c>
      <c r="C82" s="24">
        <v>320</v>
      </c>
      <c r="D82" s="19">
        <v>250</v>
      </c>
      <c r="E82" s="19" t="s">
        <v>158</v>
      </c>
      <c r="F82" s="20"/>
      <c r="G82" s="19">
        <f t="shared" si="15"/>
        <v>1.1400000000000001</v>
      </c>
      <c r="H82" s="21">
        <f t="shared" si="14"/>
        <v>135.01248000000001</v>
      </c>
      <c r="I82" s="19">
        <f t="shared" si="13"/>
        <v>116.33199999999999</v>
      </c>
      <c r="J82" s="19">
        <f t="shared" si="10"/>
        <v>2.0999999999999996</v>
      </c>
      <c r="K82" s="19">
        <f t="shared" si="11"/>
        <v>0</v>
      </c>
      <c r="L82" s="21">
        <f t="shared" si="12"/>
        <v>118.43199999999999</v>
      </c>
      <c r="M82" s="19"/>
      <c r="N82" s="19"/>
      <c r="O82" s="25"/>
      <c r="P82" s="19"/>
      <c r="Q82" s="19"/>
      <c r="R82" s="19"/>
      <c r="S82" s="19"/>
      <c r="T82" s="19"/>
      <c r="U82" s="19"/>
      <c r="V82" s="25">
        <f>5.7+(2.963+3.763*4)+17.954+3.742</f>
        <v>45.410999999999994</v>
      </c>
      <c r="W82" s="19"/>
      <c r="X82" s="19"/>
      <c r="Y82" s="19"/>
      <c r="Z82" s="19"/>
      <c r="AA82" s="19"/>
      <c r="AB82" s="19">
        <f>8.101+12.564+12.564+12.564+12.564+12.564</f>
        <v>70.920999999999992</v>
      </c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>
        <f>2.3-0.2</f>
        <v>2.0999999999999996</v>
      </c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</row>
    <row r="83" spans="1:142" x14ac:dyDescent="0.25">
      <c r="A83" s="19" t="s">
        <v>164</v>
      </c>
      <c r="B83" s="19" t="s">
        <v>166</v>
      </c>
      <c r="C83" s="24">
        <v>320</v>
      </c>
      <c r="D83" s="19">
        <v>160</v>
      </c>
      <c r="E83" s="19" t="s">
        <v>158</v>
      </c>
      <c r="F83" s="20"/>
      <c r="G83" s="19">
        <f t="shared" si="15"/>
        <v>0.96</v>
      </c>
      <c r="H83" s="21">
        <f t="shared" si="14"/>
        <v>104.29727999999999</v>
      </c>
      <c r="I83" s="19">
        <f t="shared" si="13"/>
        <v>108.64299999999999</v>
      </c>
      <c r="J83" s="19">
        <f t="shared" si="10"/>
        <v>0</v>
      </c>
      <c r="K83" s="19">
        <f t="shared" si="11"/>
        <v>0</v>
      </c>
      <c r="L83" s="21">
        <f t="shared" si="12"/>
        <v>108.64299999999999</v>
      </c>
      <c r="M83" s="19"/>
      <c r="N83" s="19"/>
      <c r="O83" s="25"/>
      <c r="P83" s="19"/>
      <c r="Q83" s="19"/>
      <c r="R83" s="19"/>
      <c r="S83" s="19"/>
      <c r="T83" s="19"/>
      <c r="U83" s="19"/>
      <c r="V83" s="32">
        <f>8.367+3.786+12.963</f>
        <v>25.116</v>
      </c>
      <c r="W83" s="19"/>
      <c r="X83" s="19"/>
      <c r="Y83" s="19"/>
      <c r="Z83" s="19"/>
      <c r="AA83" s="19"/>
      <c r="AB83" s="19">
        <f>10.003+9.904</f>
        <v>19.907</v>
      </c>
      <c r="AC83" s="19"/>
      <c r="AD83" s="19"/>
      <c r="AE83" s="19"/>
      <c r="AF83" s="19"/>
      <c r="AG83" s="19"/>
      <c r="AH83" s="19"/>
      <c r="AI83" s="19"/>
      <c r="AJ83" s="19"/>
      <c r="AK83" s="19">
        <f>4.178+13.646+31.964+14.032-0.2</f>
        <v>63.61999999999999</v>
      </c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</row>
    <row r="84" spans="1:142" x14ac:dyDescent="0.25">
      <c r="A84" s="19" t="s">
        <v>164</v>
      </c>
      <c r="B84" s="19" t="s">
        <v>166</v>
      </c>
      <c r="C84" s="24">
        <v>320</v>
      </c>
      <c r="D84" s="19">
        <v>120</v>
      </c>
      <c r="E84" s="19" t="s">
        <v>158</v>
      </c>
      <c r="F84" s="20"/>
      <c r="G84" s="19">
        <f t="shared" si="15"/>
        <v>0.88</v>
      </c>
      <c r="H84" s="21">
        <f t="shared" si="14"/>
        <v>18.43336</v>
      </c>
      <c r="I84" s="19">
        <f t="shared" si="13"/>
        <v>18.788</v>
      </c>
      <c r="J84" s="19">
        <f t="shared" si="10"/>
        <v>2.1589999999999998</v>
      </c>
      <c r="K84" s="19">
        <f t="shared" si="11"/>
        <v>0</v>
      </c>
      <c r="L84" s="21">
        <f t="shared" si="12"/>
        <v>20.946999999999999</v>
      </c>
      <c r="M84" s="19"/>
      <c r="N84" s="19"/>
      <c r="O84" s="25"/>
      <c r="P84" s="19"/>
      <c r="Q84" s="19"/>
      <c r="R84" s="19"/>
      <c r="S84" s="19"/>
      <c r="T84" s="19"/>
      <c r="U84" s="19"/>
      <c r="V84" s="32"/>
      <c r="W84" s="19"/>
      <c r="X84" s="19"/>
      <c r="Y84" s="19"/>
      <c r="Z84" s="19"/>
      <c r="AA84" s="19"/>
      <c r="AB84" s="19">
        <f>6.146+12.642</f>
        <v>18.788</v>
      </c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>
        <f>0.75+1.609-0.2</f>
        <v>2.1589999999999998</v>
      </c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</row>
    <row r="85" spans="1:142" x14ac:dyDescent="0.25">
      <c r="A85" s="19" t="s">
        <v>164</v>
      </c>
      <c r="B85" s="19" t="s">
        <v>167</v>
      </c>
      <c r="C85" s="24" t="s">
        <v>159</v>
      </c>
      <c r="D85" s="19">
        <v>300</v>
      </c>
      <c r="E85" s="19" t="s">
        <v>158</v>
      </c>
      <c r="F85" s="20"/>
      <c r="G85" s="19">
        <f>3.14*D85/1000</f>
        <v>0.94199999999999995</v>
      </c>
      <c r="H85" s="21">
        <f t="shared" si="14"/>
        <v>4.1448</v>
      </c>
      <c r="I85" s="19">
        <f t="shared" si="13"/>
        <v>0</v>
      </c>
      <c r="J85" s="19">
        <f t="shared" si="10"/>
        <v>4.4000000000000004</v>
      </c>
      <c r="K85" s="19">
        <f t="shared" si="11"/>
        <v>0</v>
      </c>
      <c r="L85" s="21">
        <f t="shared" si="12"/>
        <v>4.4000000000000004</v>
      </c>
      <c r="M85" s="19"/>
      <c r="N85" s="19"/>
      <c r="O85" s="25"/>
      <c r="P85" s="19"/>
      <c r="Q85" s="19"/>
      <c r="R85" s="19"/>
      <c r="S85" s="19"/>
      <c r="T85" s="19"/>
      <c r="U85" s="19"/>
      <c r="V85" s="32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>
        <f>0.1+0.1+0.1+0.1</f>
        <v>0.4</v>
      </c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>
        <f>4</f>
        <v>4</v>
      </c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</row>
    <row r="86" spans="1:142" x14ac:dyDescent="0.25">
      <c r="A86" s="19" t="s">
        <v>164</v>
      </c>
      <c r="B86" s="19" t="s">
        <v>167</v>
      </c>
      <c r="C86" s="24">
        <v>250</v>
      </c>
      <c r="D86" s="19">
        <v>160</v>
      </c>
      <c r="E86" s="19" t="s">
        <v>158</v>
      </c>
      <c r="F86" s="20"/>
      <c r="G86" s="19">
        <f>(C86/1000+D86/1000)*2</f>
        <v>0.82000000000000006</v>
      </c>
      <c r="H86" s="21">
        <f t="shared" si="14"/>
        <v>38.550660000000008</v>
      </c>
      <c r="I86" s="19">
        <f t="shared" si="13"/>
        <v>47.013000000000005</v>
      </c>
      <c r="J86" s="19">
        <f t="shared" si="10"/>
        <v>0</v>
      </c>
      <c r="K86" s="19">
        <f t="shared" si="11"/>
        <v>0</v>
      </c>
      <c r="L86" s="21">
        <f t="shared" si="12"/>
        <v>47.013000000000005</v>
      </c>
      <c r="M86" s="19"/>
      <c r="N86" s="19"/>
      <c r="O86" s="25"/>
      <c r="P86" s="19"/>
      <c r="Q86" s="19"/>
      <c r="R86" s="19"/>
      <c r="S86" s="19"/>
      <c r="T86" s="19"/>
      <c r="U86" s="19"/>
      <c r="V86" s="32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25">
        <f>10.425+10.43+5.279+10.469+10.41</f>
        <v>47.013000000000005</v>
      </c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</row>
    <row r="87" spans="1:142" x14ac:dyDescent="0.25">
      <c r="A87" s="19" t="s">
        <v>164</v>
      </c>
      <c r="B87" s="19" t="s">
        <v>167</v>
      </c>
      <c r="C87" s="24" t="s">
        <v>159</v>
      </c>
      <c r="D87" s="19">
        <v>200</v>
      </c>
      <c r="E87" s="19" t="s">
        <v>158</v>
      </c>
      <c r="F87" s="20"/>
      <c r="G87" s="19">
        <f>3.14*D87/1000</f>
        <v>0.628</v>
      </c>
      <c r="H87" s="21">
        <f t="shared" si="14"/>
        <v>9.5424600000000002</v>
      </c>
      <c r="I87" s="19">
        <f t="shared" si="13"/>
        <v>1.099</v>
      </c>
      <c r="J87" s="19">
        <f t="shared" si="10"/>
        <v>12.847</v>
      </c>
      <c r="K87" s="19">
        <f t="shared" si="11"/>
        <v>1.2490000000000001</v>
      </c>
      <c r="L87" s="21">
        <f t="shared" si="12"/>
        <v>15.195</v>
      </c>
      <c r="M87" s="19"/>
      <c r="N87" s="19"/>
      <c r="O87" s="25"/>
      <c r="P87" s="19"/>
      <c r="Q87" s="19"/>
      <c r="R87" s="19"/>
      <c r="S87" s="19"/>
      <c r="T87" s="19"/>
      <c r="U87" s="19"/>
      <c r="V87" s="32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25"/>
      <c r="AL87" s="19"/>
      <c r="AM87" s="19"/>
      <c r="AN87" s="19"/>
      <c r="AO87" s="19"/>
      <c r="AP87" s="19"/>
      <c r="AQ87" s="19"/>
      <c r="AR87" s="19"/>
      <c r="AS87" s="19"/>
      <c r="AT87" s="19"/>
      <c r="AU87" s="19">
        <f>1.299-0.2</f>
        <v>1.099</v>
      </c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>
        <f>(1.3-0.2)*5+(1.049-0.2)*3+(2.05-0.2)*2</f>
        <v>11.747</v>
      </c>
      <c r="BV87" s="19">
        <f>1.3-0.2</f>
        <v>1.1000000000000001</v>
      </c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>
        <f>1.449-0.2</f>
        <v>1.2490000000000001</v>
      </c>
      <c r="EK87" s="19"/>
      <c r="EL87" s="19"/>
    </row>
    <row r="88" spans="1:142" x14ac:dyDescent="0.25">
      <c r="A88" s="19" t="s">
        <v>168</v>
      </c>
      <c r="B88" s="19" t="s">
        <v>157</v>
      </c>
      <c r="C88" s="19">
        <v>800</v>
      </c>
      <c r="D88" s="19">
        <v>320</v>
      </c>
      <c r="E88" s="19" t="s">
        <v>169</v>
      </c>
      <c r="F88" s="20"/>
      <c r="G88" s="19">
        <f>C88/1000*D88/1000</f>
        <v>0.25600000000000001</v>
      </c>
      <c r="H88" s="21">
        <f t="shared" si="14"/>
        <v>0.25600000000000001</v>
      </c>
      <c r="I88" s="19">
        <f t="shared" si="13"/>
        <v>1</v>
      </c>
      <c r="J88" s="19">
        <f t="shared" si="10"/>
        <v>0</v>
      </c>
      <c r="K88" s="19">
        <f t="shared" si="11"/>
        <v>0</v>
      </c>
      <c r="L88" s="21">
        <f t="shared" si="12"/>
        <v>1</v>
      </c>
      <c r="M88" s="19"/>
      <c r="N88" s="19"/>
      <c r="O88" s="25"/>
      <c r="P88" s="19"/>
      <c r="Q88" s="19"/>
      <c r="R88" s="19"/>
      <c r="S88" s="19"/>
      <c r="T88" s="19"/>
      <c r="U88" s="19"/>
      <c r="V88" s="32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>
        <v>1</v>
      </c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</row>
    <row r="89" spans="1:142" x14ac:dyDescent="0.25">
      <c r="A89" s="19" t="s">
        <v>168</v>
      </c>
      <c r="B89" s="19" t="s">
        <v>157</v>
      </c>
      <c r="C89" s="19">
        <v>630</v>
      </c>
      <c r="D89" s="19">
        <v>320</v>
      </c>
      <c r="E89" s="19" t="s">
        <v>169</v>
      </c>
      <c r="F89" s="20"/>
      <c r="G89" s="19">
        <f t="shared" ref="G89:G126" si="16">C89/1000*D89/1000</f>
        <v>0.2016</v>
      </c>
      <c r="H89" s="21">
        <f t="shared" ref="H89:H126" si="17">G89*L89</f>
        <v>0.2016</v>
      </c>
      <c r="I89" s="19">
        <f t="shared" si="13"/>
        <v>1</v>
      </c>
      <c r="J89" s="19">
        <f t="shared" si="10"/>
        <v>0</v>
      </c>
      <c r="K89" s="19">
        <f t="shared" si="11"/>
        <v>0</v>
      </c>
      <c r="L89" s="21">
        <f t="shared" si="12"/>
        <v>1</v>
      </c>
      <c r="M89" s="19"/>
      <c r="N89" s="19"/>
      <c r="O89" s="25"/>
      <c r="P89" s="19"/>
      <c r="Q89" s="19"/>
      <c r="R89" s="19"/>
      <c r="S89" s="19"/>
      <c r="T89" s="19"/>
      <c r="U89" s="19"/>
      <c r="V89" s="19">
        <v>1</v>
      </c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</row>
    <row r="90" spans="1:142" x14ac:dyDescent="0.25">
      <c r="A90" s="19" t="s">
        <v>168</v>
      </c>
      <c r="B90" s="19" t="s">
        <v>157</v>
      </c>
      <c r="C90" s="24" t="s">
        <v>159</v>
      </c>
      <c r="D90" s="19">
        <v>400</v>
      </c>
      <c r="E90" s="19" t="s">
        <v>169</v>
      </c>
      <c r="F90" s="20"/>
      <c r="G90" s="19">
        <f>3.14*D90/1000*D90/1000</f>
        <v>0.50239999999999996</v>
      </c>
      <c r="H90" s="21">
        <f t="shared" si="17"/>
        <v>0.50239999999999996</v>
      </c>
      <c r="I90" s="19">
        <f t="shared" si="13"/>
        <v>1</v>
      </c>
      <c r="J90" s="19">
        <f t="shared" si="10"/>
        <v>0</v>
      </c>
      <c r="K90" s="19">
        <f t="shared" si="11"/>
        <v>0</v>
      </c>
      <c r="L90" s="21">
        <f t="shared" si="12"/>
        <v>1</v>
      </c>
      <c r="M90" s="19"/>
      <c r="N90" s="19"/>
      <c r="O90" s="25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>
        <v>1</v>
      </c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</row>
    <row r="91" spans="1:142" x14ac:dyDescent="0.25">
      <c r="A91" s="19" t="s">
        <v>170</v>
      </c>
      <c r="B91" s="19" t="s">
        <v>161</v>
      </c>
      <c r="C91" s="19">
        <v>1600</v>
      </c>
      <c r="D91" s="19">
        <v>500</v>
      </c>
      <c r="E91" s="19" t="s">
        <v>169</v>
      </c>
      <c r="F91" s="20"/>
      <c r="G91" s="19">
        <f t="shared" si="16"/>
        <v>0.8</v>
      </c>
      <c r="H91" s="21">
        <f t="shared" si="17"/>
        <v>12.8</v>
      </c>
      <c r="I91" s="19">
        <f t="shared" si="13"/>
        <v>4</v>
      </c>
      <c r="J91" s="19">
        <f t="shared" si="10"/>
        <v>12</v>
      </c>
      <c r="K91" s="19">
        <f t="shared" si="11"/>
        <v>0</v>
      </c>
      <c r="L91" s="21">
        <f t="shared" si="12"/>
        <v>16</v>
      </c>
      <c r="M91" s="19"/>
      <c r="N91" s="19"/>
      <c r="O91" s="25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>
        <v>1</v>
      </c>
      <c r="AG91" s="19"/>
      <c r="AH91" s="19"/>
      <c r="AI91" s="19"/>
      <c r="AJ91" s="19"/>
      <c r="AK91" s="19"/>
      <c r="AL91" s="19"/>
      <c r="AM91" s="19"/>
      <c r="AN91" s="19"/>
      <c r="AO91" s="19">
        <v>1</v>
      </c>
      <c r="AP91" s="19"/>
      <c r="AQ91" s="19"/>
      <c r="AR91" s="19"/>
      <c r="AS91" s="19">
        <v>1</v>
      </c>
      <c r="AT91" s="19">
        <v>1</v>
      </c>
      <c r="AU91" s="19"/>
      <c r="AV91" s="19"/>
      <c r="AW91" s="19"/>
      <c r="AX91" s="19"/>
      <c r="AY91" s="19">
        <v>1</v>
      </c>
      <c r="AZ91" s="19">
        <v>1</v>
      </c>
      <c r="BA91" s="19"/>
      <c r="BB91" s="19"/>
      <c r="BC91" s="19"/>
      <c r="BD91" s="19"/>
      <c r="BE91" s="19">
        <v>1</v>
      </c>
      <c r="BF91" s="19">
        <v>1</v>
      </c>
      <c r="BG91" s="19">
        <v>1</v>
      </c>
      <c r="BH91" s="19">
        <v>1</v>
      </c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>
        <v>1</v>
      </c>
      <c r="CN91" s="19">
        <v>1</v>
      </c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>
        <v>1</v>
      </c>
      <c r="DA91" s="19">
        <v>1</v>
      </c>
      <c r="DB91" s="19"/>
      <c r="DC91" s="19"/>
      <c r="DD91" s="19"/>
      <c r="DE91" s="19"/>
      <c r="DF91" s="19"/>
      <c r="DG91" s="19"/>
      <c r="DH91" s="19">
        <v>1</v>
      </c>
      <c r="DI91" s="19">
        <v>1</v>
      </c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</row>
    <row r="92" spans="1:142" x14ac:dyDescent="0.25">
      <c r="A92" s="19" t="s">
        <v>170</v>
      </c>
      <c r="B92" s="19" t="s">
        <v>162</v>
      </c>
      <c r="C92" s="19">
        <v>1250</v>
      </c>
      <c r="D92" s="19">
        <v>320</v>
      </c>
      <c r="E92" s="19" t="s">
        <v>169</v>
      </c>
      <c r="F92" s="20"/>
      <c r="G92" s="19">
        <f t="shared" si="16"/>
        <v>0.4</v>
      </c>
      <c r="H92" s="21">
        <f t="shared" si="17"/>
        <v>6</v>
      </c>
      <c r="I92" s="19">
        <f t="shared" si="13"/>
        <v>6</v>
      </c>
      <c r="J92" s="19">
        <f t="shared" si="10"/>
        <v>9</v>
      </c>
      <c r="K92" s="19">
        <f t="shared" si="11"/>
        <v>0</v>
      </c>
      <c r="L92" s="21">
        <f t="shared" si="12"/>
        <v>15</v>
      </c>
      <c r="M92" s="19"/>
      <c r="N92" s="19"/>
      <c r="O92" s="25"/>
      <c r="P92" s="19"/>
      <c r="Q92" s="19"/>
      <c r="R92" s="19"/>
      <c r="S92" s="19"/>
      <c r="T92" s="19"/>
      <c r="U92" s="19"/>
      <c r="V92" s="19"/>
      <c r="W92" s="19">
        <v>1</v>
      </c>
      <c r="X92" s="19"/>
      <c r="Y92" s="19">
        <v>1</v>
      </c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>
        <v>3</v>
      </c>
      <c r="AT92" s="19">
        <v>1</v>
      </c>
      <c r="AU92" s="19"/>
      <c r="AV92" s="19"/>
      <c r="AW92" s="19"/>
      <c r="AX92" s="19"/>
      <c r="AY92" s="19"/>
      <c r="AZ92" s="19">
        <v>1</v>
      </c>
      <c r="BA92" s="19"/>
      <c r="BB92" s="19"/>
      <c r="BC92" s="19"/>
      <c r="BD92" s="19"/>
      <c r="BE92" s="19"/>
      <c r="BF92" s="19"/>
      <c r="BG92" s="19">
        <v>1</v>
      </c>
      <c r="BH92" s="19">
        <v>1</v>
      </c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>
        <v>1</v>
      </c>
      <c r="CN92" s="19">
        <v>1</v>
      </c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>
        <v>1</v>
      </c>
      <c r="DA92" s="19">
        <v>1</v>
      </c>
      <c r="DB92" s="19"/>
      <c r="DC92" s="19"/>
      <c r="DD92" s="19"/>
      <c r="DE92" s="19"/>
      <c r="DF92" s="19"/>
      <c r="DG92" s="19"/>
      <c r="DH92" s="19">
        <v>1</v>
      </c>
      <c r="DI92" s="19">
        <v>1</v>
      </c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</row>
    <row r="93" spans="1:142" x14ac:dyDescent="0.25">
      <c r="A93" s="19" t="s">
        <v>170</v>
      </c>
      <c r="B93" s="19" t="s">
        <v>162</v>
      </c>
      <c r="C93" s="19">
        <v>1000</v>
      </c>
      <c r="D93" s="19">
        <v>500</v>
      </c>
      <c r="E93" s="19" t="s">
        <v>169</v>
      </c>
      <c r="F93" s="20"/>
      <c r="G93" s="19">
        <f t="shared" si="16"/>
        <v>0.5</v>
      </c>
      <c r="H93" s="21">
        <f t="shared" si="17"/>
        <v>0.5</v>
      </c>
      <c r="I93" s="19">
        <f t="shared" si="13"/>
        <v>1</v>
      </c>
      <c r="J93" s="19">
        <f t="shared" si="10"/>
        <v>0</v>
      </c>
      <c r="K93" s="19">
        <f t="shared" si="11"/>
        <v>0</v>
      </c>
      <c r="L93" s="21">
        <f t="shared" si="12"/>
        <v>1</v>
      </c>
      <c r="M93" s="19"/>
      <c r="N93" s="19"/>
      <c r="O93" s="25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>
        <v>1</v>
      </c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</row>
    <row r="94" spans="1:142" x14ac:dyDescent="0.25">
      <c r="A94" s="19" t="s">
        <v>170</v>
      </c>
      <c r="B94" s="19" t="s">
        <v>162</v>
      </c>
      <c r="C94" s="19">
        <v>1000</v>
      </c>
      <c r="D94" s="19">
        <v>400</v>
      </c>
      <c r="E94" s="19" t="s">
        <v>169</v>
      </c>
      <c r="F94" s="20"/>
      <c r="G94" s="19">
        <f t="shared" si="16"/>
        <v>0.4</v>
      </c>
      <c r="H94" s="21">
        <f t="shared" si="17"/>
        <v>2.4000000000000004</v>
      </c>
      <c r="I94" s="19">
        <f t="shared" si="13"/>
        <v>3</v>
      </c>
      <c r="J94" s="19">
        <f t="shared" si="10"/>
        <v>3</v>
      </c>
      <c r="K94" s="19">
        <f t="shared" si="11"/>
        <v>0</v>
      </c>
      <c r="L94" s="21">
        <f t="shared" si="12"/>
        <v>6</v>
      </c>
      <c r="M94" s="25"/>
      <c r="N94" s="25"/>
      <c r="O94" s="19">
        <v>3</v>
      </c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>
        <v>1</v>
      </c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>
        <v>2</v>
      </c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</row>
    <row r="95" spans="1:142" x14ac:dyDescent="0.25">
      <c r="A95" s="19" t="s">
        <v>170</v>
      </c>
      <c r="B95" s="19" t="s">
        <v>162</v>
      </c>
      <c r="C95" s="19">
        <v>1000</v>
      </c>
      <c r="D95" s="19">
        <v>320</v>
      </c>
      <c r="E95" s="19" t="s">
        <v>169</v>
      </c>
      <c r="F95" s="20"/>
      <c r="G95" s="19">
        <f t="shared" si="16"/>
        <v>0.32</v>
      </c>
      <c r="H95" s="21">
        <f t="shared" si="17"/>
        <v>4.16</v>
      </c>
      <c r="I95" s="19">
        <f t="shared" si="13"/>
        <v>1</v>
      </c>
      <c r="J95" s="19">
        <f t="shared" si="10"/>
        <v>12</v>
      </c>
      <c r="K95" s="19">
        <f t="shared" si="11"/>
        <v>0</v>
      </c>
      <c r="L95" s="21">
        <f t="shared" si="12"/>
        <v>13</v>
      </c>
      <c r="M95" s="25"/>
      <c r="N95" s="25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>
        <v>1</v>
      </c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>
        <v>1</v>
      </c>
      <c r="AZ95" s="19"/>
      <c r="BA95" s="19"/>
      <c r="BB95" s="19"/>
      <c r="BC95" s="19"/>
      <c r="BD95" s="19"/>
      <c r="BE95" s="19">
        <v>1</v>
      </c>
      <c r="BF95" s="19">
        <v>1</v>
      </c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>
        <v>3</v>
      </c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>
        <v>2</v>
      </c>
      <c r="DK95" s="19"/>
      <c r="DL95" s="19"/>
      <c r="DM95" s="19"/>
      <c r="DN95" s="19"/>
      <c r="DO95" s="19"/>
      <c r="DP95" s="19">
        <v>4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</row>
    <row r="96" spans="1:142" x14ac:dyDescent="0.25">
      <c r="A96" s="19" t="s">
        <v>170</v>
      </c>
      <c r="B96" s="19" t="s">
        <v>162</v>
      </c>
      <c r="C96" s="19">
        <v>1000</v>
      </c>
      <c r="D96" s="19">
        <v>250</v>
      </c>
      <c r="E96" s="19" t="s">
        <v>169</v>
      </c>
      <c r="F96" s="20"/>
      <c r="G96" s="19">
        <f t="shared" si="16"/>
        <v>0.25</v>
      </c>
      <c r="H96" s="21">
        <f t="shared" si="17"/>
        <v>0.25</v>
      </c>
      <c r="I96" s="19">
        <f t="shared" si="13"/>
        <v>1</v>
      </c>
      <c r="J96" s="19">
        <f t="shared" si="10"/>
        <v>0</v>
      </c>
      <c r="K96" s="19">
        <f t="shared" si="11"/>
        <v>0</v>
      </c>
      <c r="L96" s="21">
        <f t="shared" si="12"/>
        <v>1</v>
      </c>
      <c r="M96" s="25"/>
      <c r="N96" s="25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>
        <v>1</v>
      </c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</row>
    <row r="97" spans="1:142" x14ac:dyDescent="0.25">
      <c r="A97" s="19" t="s">
        <v>170</v>
      </c>
      <c r="B97" s="19" t="s">
        <v>163</v>
      </c>
      <c r="C97" s="19">
        <v>800</v>
      </c>
      <c r="D97" s="19">
        <v>420</v>
      </c>
      <c r="E97" s="19" t="s">
        <v>169</v>
      </c>
      <c r="F97" s="20"/>
      <c r="G97" s="19">
        <f t="shared" si="16"/>
        <v>0.33600000000000002</v>
      </c>
      <c r="H97" s="21">
        <f t="shared" si="17"/>
        <v>1.3440000000000001</v>
      </c>
      <c r="I97" s="19">
        <f t="shared" si="13"/>
        <v>4</v>
      </c>
      <c r="J97" s="19">
        <f t="shared" si="10"/>
        <v>0</v>
      </c>
      <c r="K97" s="19">
        <f t="shared" si="11"/>
        <v>0</v>
      </c>
      <c r="L97" s="21">
        <f t="shared" si="12"/>
        <v>4</v>
      </c>
      <c r="M97" s="25"/>
      <c r="N97" s="25"/>
      <c r="O97" s="19"/>
      <c r="P97" s="19">
        <v>4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</row>
    <row r="98" spans="1:142" x14ac:dyDescent="0.25">
      <c r="A98" s="19" t="s">
        <v>170</v>
      </c>
      <c r="B98" s="19" t="s">
        <v>163</v>
      </c>
      <c r="C98" s="19">
        <v>800</v>
      </c>
      <c r="D98" s="19">
        <v>400</v>
      </c>
      <c r="E98" s="19" t="s">
        <v>169</v>
      </c>
      <c r="F98" s="20"/>
      <c r="G98" s="19">
        <f t="shared" si="16"/>
        <v>0.32</v>
      </c>
      <c r="H98" s="21">
        <f t="shared" si="17"/>
        <v>1.28</v>
      </c>
      <c r="I98" s="19">
        <f t="shared" si="13"/>
        <v>0</v>
      </c>
      <c r="J98" s="19">
        <f t="shared" si="10"/>
        <v>4</v>
      </c>
      <c r="K98" s="19">
        <f t="shared" si="11"/>
        <v>0</v>
      </c>
      <c r="L98" s="21">
        <f t="shared" si="12"/>
        <v>4</v>
      </c>
      <c r="M98" s="25"/>
      <c r="N98" s="25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>
        <v>4</v>
      </c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</row>
    <row r="99" spans="1:142" x14ac:dyDescent="0.25">
      <c r="A99" s="19" t="s">
        <v>170</v>
      </c>
      <c r="B99" s="19" t="s">
        <v>163</v>
      </c>
      <c r="C99" s="19">
        <v>630</v>
      </c>
      <c r="D99" s="19">
        <v>250</v>
      </c>
      <c r="E99" s="19" t="s">
        <v>169</v>
      </c>
      <c r="F99" s="20"/>
      <c r="G99" s="19">
        <f t="shared" si="16"/>
        <v>0.1575</v>
      </c>
      <c r="H99" s="21">
        <f t="shared" si="17"/>
        <v>0.1575</v>
      </c>
      <c r="I99" s="19">
        <f t="shared" si="13"/>
        <v>0</v>
      </c>
      <c r="J99" s="19">
        <f t="shared" si="10"/>
        <v>1</v>
      </c>
      <c r="K99" s="19">
        <f t="shared" si="11"/>
        <v>0</v>
      </c>
      <c r="L99" s="21">
        <f t="shared" si="12"/>
        <v>1</v>
      </c>
      <c r="M99" s="25"/>
      <c r="N99" s="25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>
        <v>1</v>
      </c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</row>
    <row r="100" spans="1:142" x14ac:dyDescent="0.25">
      <c r="A100" s="19" t="s">
        <v>170</v>
      </c>
      <c r="B100" s="19" t="s">
        <v>163</v>
      </c>
      <c r="C100" s="19">
        <v>500</v>
      </c>
      <c r="D100" s="19">
        <v>420</v>
      </c>
      <c r="E100" s="19" t="s">
        <v>169</v>
      </c>
      <c r="F100" s="20"/>
      <c r="G100" s="19">
        <f t="shared" si="16"/>
        <v>0.21</v>
      </c>
      <c r="H100" s="21">
        <f t="shared" si="17"/>
        <v>0.21</v>
      </c>
      <c r="I100" s="19">
        <f t="shared" si="13"/>
        <v>1</v>
      </c>
      <c r="J100" s="19">
        <f t="shared" si="10"/>
        <v>0</v>
      </c>
      <c r="K100" s="19">
        <f t="shared" si="11"/>
        <v>0</v>
      </c>
      <c r="L100" s="21">
        <f t="shared" si="12"/>
        <v>1</v>
      </c>
      <c r="M100" s="25"/>
      <c r="N100" s="25"/>
      <c r="O100" s="19">
        <v>1</v>
      </c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</row>
    <row r="101" spans="1:142" x14ac:dyDescent="0.25">
      <c r="A101" s="19" t="s">
        <v>170</v>
      </c>
      <c r="B101" s="19" t="s">
        <v>163</v>
      </c>
      <c r="C101" s="19">
        <v>500</v>
      </c>
      <c r="D101" s="19">
        <v>320</v>
      </c>
      <c r="E101" s="19" t="s">
        <v>169</v>
      </c>
      <c r="F101" s="20"/>
      <c r="G101" s="19">
        <f t="shared" si="16"/>
        <v>0.16</v>
      </c>
      <c r="H101" s="21">
        <f t="shared" si="17"/>
        <v>0.32</v>
      </c>
      <c r="I101" s="19">
        <f t="shared" si="13"/>
        <v>0</v>
      </c>
      <c r="J101" s="19">
        <f t="shared" si="10"/>
        <v>2</v>
      </c>
      <c r="K101" s="19">
        <f t="shared" si="11"/>
        <v>0</v>
      </c>
      <c r="L101" s="21">
        <f t="shared" si="12"/>
        <v>2</v>
      </c>
      <c r="M101" s="25"/>
      <c r="N101" s="25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>
        <v>2</v>
      </c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</row>
    <row r="102" spans="1:142" x14ac:dyDescent="0.25">
      <c r="A102" s="19" t="s">
        <v>170</v>
      </c>
      <c r="B102" s="19" t="s">
        <v>165</v>
      </c>
      <c r="C102" s="19">
        <v>320</v>
      </c>
      <c r="D102" s="19">
        <v>320</v>
      </c>
      <c r="E102" s="19" t="s">
        <v>169</v>
      </c>
      <c r="F102" s="20"/>
      <c r="G102" s="19">
        <f t="shared" si="16"/>
        <v>0.1024</v>
      </c>
      <c r="H102" s="21">
        <f t="shared" si="17"/>
        <v>0.1024</v>
      </c>
      <c r="I102" s="19">
        <f t="shared" si="13"/>
        <v>1</v>
      </c>
      <c r="J102" s="19">
        <f t="shared" si="10"/>
        <v>0</v>
      </c>
      <c r="K102" s="19">
        <f t="shared" si="11"/>
        <v>0</v>
      </c>
      <c r="L102" s="21">
        <f t="shared" si="12"/>
        <v>1</v>
      </c>
      <c r="M102" s="25"/>
      <c r="N102" s="25"/>
      <c r="O102" s="25">
        <v>1</v>
      </c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</row>
    <row r="103" spans="1:142" x14ac:dyDescent="0.25">
      <c r="A103" s="19" t="s">
        <v>171</v>
      </c>
      <c r="B103" s="19" t="s">
        <v>162</v>
      </c>
      <c r="C103" s="19">
        <v>1600</v>
      </c>
      <c r="D103" s="19">
        <v>500</v>
      </c>
      <c r="E103" s="19" t="s">
        <v>169</v>
      </c>
      <c r="F103" s="20"/>
      <c r="G103" s="19">
        <f t="shared" si="16"/>
        <v>0.8</v>
      </c>
      <c r="H103" s="21">
        <f t="shared" si="17"/>
        <v>1.6</v>
      </c>
      <c r="I103" s="19">
        <f t="shared" si="13"/>
        <v>2</v>
      </c>
      <c r="J103" s="19">
        <f t="shared" si="10"/>
        <v>0</v>
      </c>
      <c r="K103" s="19">
        <f t="shared" si="11"/>
        <v>0</v>
      </c>
      <c r="L103" s="21">
        <f t="shared" si="12"/>
        <v>2</v>
      </c>
      <c r="M103" s="25"/>
      <c r="N103" s="25"/>
      <c r="O103" s="25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>
        <v>1</v>
      </c>
      <c r="AF103" s="19"/>
      <c r="AG103" s="19"/>
      <c r="AH103" s="19"/>
      <c r="AI103" s="19"/>
      <c r="AJ103" s="19"/>
      <c r="AK103" s="19"/>
      <c r="AL103" s="19"/>
      <c r="AM103" s="19"/>
      <c r="AN103" s="19">
        <v>1</v>
      </c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</row>
    <row r="104" spans="1:142" x14ac:dyDescent="0.25">
      <c r="A104" s="19" t="s">
        <v>171</v>
      </c>
      <c r="B104" s="19" t="s">
        <v>163</v>
      </c>
      <c r="C104" s="19">
        <v>1400</v>
      </c>
      <c r="D104" s="19">
        <v>500</v>
      </c>
      <c r="E104" s="19" t="s">
        <v>169</v>
      </c>
      <c r="F104" s="20"/>
      <c r="G104" s="19">
        <f t="shared" si="16"/>
        <v>0.7</v>
      </c>
      <c r="H104" s="21">
        <f t="shared" si="17"/>
        <v>13.299999999999999</v>
      </c>
      <c r="I104" s="19">
        <f t="shared" si="13"/>
        <v>8</v>
      </c>
      <c r="J104" s="19">
        <f t="shared" si="10"/>
        <v>11</v>
      </c>
      <c r="K104" s="19">
        <f t="shared" si="11"/>
        <v>0</v>
      </c>
      <c r="L104" s="21">
        <f t="shared" si="12"/>
        <v>19</v>
      </c>
      <c r="M104" s="25"/>
      <c r="N104" s="25"/>
      <c r="O104" s="25"/>
      <c r="P104" s="19"/>
      <c r="Q104" s="19"/>
      <c r="R104" s="19"/>
      <c r="S104" s="19"/>
      <c r="T104" s="19"/>
      <c r="U104" s="19">
        <v>1</v>
      </c>
      <c r="V104" s="19"/>
      <c r="W104" s="19"/>
      <c r="X104" s="19"/>
      <c r="Y104" s="19"/>
      <c r="Z104" s="19"/>
      <c r="AA104" s="19">
        <v>1</v>
      </c>
      <c r="AB104" s="19"/>
      <c r="AC104" s="19"/>
      <c r="AD104" s="19"/>
      <c r="AE104" s="19"/>
      <c r="AF104" s="19"/>
      <c r="AG104" s="19"/>
      <c r="AH104" s="19">
        <v>1</v>
      </c>
      <c r="AI104" s="19"/>
      <c r="AJ104" s="19">
        <v>1</v>
      </c>
      <c r="AK104" s="19"/>
      <c r="AL104" s="19">
        <v>1</v>
      </c>
      <c r="AM104" s="19">
        <v>1</v>
      </c>
      <c r="AN104" s="19"/>
      <c r="AO104" s="19"/>
      <c r="AP104" s="19"/>
      <c r="AQ104" s="19">
        <v>1</v>
      </c>
      <c r="AR104" s="19">
        <v>1</v>
      </c>
      <c r="AS104" s="19"/>
      <c r="AT104" s="19"/>
      <c r="AU104" s="19"/>
      <c r="AV104" s="19"/>
      <c r="AW104" s="19">
        <v>1</v>
      </c>
      <c r="AX104" s="19">
        <v>1</v>
      </c>
      <c r="AY104" s="19"/>
      <c r="AZ104" s="19"/>
      <c r="BA104" s="19">
        <v>1</v>
      </c>
      <c r="BB104" s="19">
        <v>1</v>
      </c>
      <c r="BC104" s="19">
        <v>1</v>
      </c>
      <c r="BD104" s="19">
        <v>1</v>
      </c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>
        <v>1</v>
      </c>
      <c r="CG104" s="19">
        <v>1</v>
      </c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>
        <v>1</v>
      </c>
      <c r="DM104" s="19">
        <v>1</v>
      </c>
      <c r="DN104" s="19"/>
      <c r="DO104" s="19"/>
      <c r="DP104" s="19"/>
      <c r="DQ104" s="19"/>
      <c r="DR104" s="19"/>
      <c r="DS104" s="19"/>
      <c r="DT104" s="19"/>
      <c r="DU104" s="19"/>
      <c r="DV104" s="19"/>
      <c r="DW104" s="19">
        <v>1</v>
      </c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</row>
    <row r="105" spans="1:142" x14ac:dyDescent="0.25">
      <c r="A105" s="19" t="s">
        <v>171</v>
      </c>
      <c r="B105" s="19" t="s">
        <v>163</v>
      </c>
      <c r="C105" s="19">
        <v>1250</v>
      </c>
      <c r="D105" s="19">
        <v>630</v>
      </c>
      <c r="E105" s="19" t="s">
        <v>169</v>
      </c>
      <c r="F105" s="20"/>
      <c r="G105" s="19">
        <f t="shared" si="16"/>
        <v>0.78749999999999998</v>
      </c>
      <c r="H105" s="21">
        <f t="shared" si="17"/>
        <v>1.575</v>
      </c>
      <c r="I105" s="19">
        <f t="shared" si="13"/>
        <v>0</v>
      </c>
      <c r="J105" s="19">
        <f t="shared" si="10"/>
        <v>2</v>
      </c>
      <c r="K105" s="19">
        <f t="shared" si="11"/>
        <v>0</v>
      </c>
      <c r="L105" s="21">
        <f t="shared" si="12"/>
        <v>2</v>
      </c>
      <c r="M105" s="25"/>
      <c r="N105" s="25"/>
      <c r="O105" s="25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>
        <v>1</v>
      </c>
      <c r="CI105" s="19">
        <v>1</v>
      </c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</row>
    <row r="106" spans="1:142" x14ac:dyDescent="0.25">
      <c r="A106" s="19" t="s">
        <v>171</v>
      </c>
      <c r="B106" s="19" t="s">
        <v>163</v>
      </c>
      <c r="C106" s="19">
        <v>1250</v>
      </c>
      <c r="D106" s="19">
        <v>320</v>
      </c>
      <c r="E106" s="19" t="s">
        <v>169</v>
      </c>
      <c r="F106" s="20"/>
      <c r="G106" s="19">
        <f t="shared" si="16"/>
        <v>0.4</v>
      </c>
      <c r="H106" s="21">
        <f t="shared" si="17"/>
        <v>0.4</v>
      </c>
      <c r="I106" s="19">
        <f t="shared" si="13"/>
        <v>1</v>
      </c>
      <c r="J106" s="19">
        <f t="shared" si="10"/>
        <v>0</v>
      </c>
      <c r="K106" s="19">
        <f t="shared" si="11"/>
        <v>0</v>
      </c>
      <c r="L106" s="21">
        <f t="shared" si="12"/>
        <v>1</v>
      </c>
      <c r="M106" s="25"/>
      <c r="N106" s="25"/>
      <c r="O106" s="25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>
        <v>1</v>
      </c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</row>
    <row r="107" spans="1:142" x14ac:dyDescent="0.25">
      <c r="A107" s="19" t="s">
        <v>171</v>
      </c>
      <c r="B107" s="19" t="s">
        <v>163</v>
      </c>
      <c r="C107" s="19">
        <v>1000</v>
      </c>
      <c r="D107" s="19">
        <v>500</v>
      </c>
      <c r="E107" s="19" t="s">
        <v>169</v>
      </c>
      <c r="F107" s="20"/>
      <c r="G107" s="19">
        <f t="shared" si="16"/>
        <v>0.5</v>
      </c>
      <c r="H107" s="21">
        <f t="shared" si="17"/>
        <v>2.5</v>
      </c>
      <c r="I107" s="19">
        <f t="shared" si="13"/>
        <v>0</v>
      </c>
      <c r="J107" s="19">
        <f t="shared" si="10"/>
        <v>5</v>
      </c>
      <c r="K107" s="19">
        <f t="shared" si="11"/>
        <v>0</v>
      </c>
      <c r="L107" s="21">
        <f t="shared" si="12"/>
        <v>5</v>
      </c>
      <c r="M107" s="25"/>
      <c r="N107" s="25"/>
      <c r="O107" s="25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>
        <v>1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>
        <v>1</v>
      </c>
      <c r="CW107" s="19">
        <v>1</v>
      </c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>
        <v>1</v>
      </c>
      <c r="DO107" s="19"/>
      <c r="DP107" s="19"/>
      <c r="DQ107" s="19"/>
      <c r="DR107" s="19"/>
      <c r="DS107" s="19">
        <v>1</v>
      </c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</row>
    <row r="108" spans="1:142" x14ac:dyDescent="0.25">
      <c r="A108" s="19" t="s">
        <v>171</v>
      </c>
      <c r="B108" s="19" t="s">
        <v>163</v>
      </c>
      <c r="C108" s="19">
        <v>1000</v>
      </c>
      <c r="D108" s="19">
        <v>400</v>
      </c>
      <c r="E108" s="19" t="s">
        <v>169</v>
      </c>
      <c r="F108" s="20"/>
      <c r="G108" s="19">
        <f t="shared" si="16"/>
        <v>0.4</v>
      </c>
      <c r="H108" s="21">
        <f t="shared" si="17"/>
        <v>2</v>
      </c>
      <c r="I108" s="19">
        <f t="shared" si="13"/>
        <v>0</v>
      </c>
      <c r="J108" s="19">
        <f t="shared" si="10"/>
        <v>2</v>
      </c>
      <c r="K108" s="19">
        <f t="shared" si="11"/>
        <v>3</v>
      </c>
      <c r="L108" s="21">
        <f t="shared" si="12"/>
        <v>5</v>
      </c>
      <c r="M108" s="25"/>
      <c r="N108" s="25"/>
      <c r="O108" s="25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>
        <v>1</v>
      </c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>
        <v>1</v>
      </c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>
        <v>3</v>
      </c>
      <c r="EI108" s="19"/>
      <c r="EJ108" s="19"/>
      <c r="EK108" s="19"/>
      <c r="EL108" s="19"/>
    </row>
    <row r="109" spans="1:142" x14ac:dyDescent="0.25">
      <c r="A109" s="19" t="s">
        <v>171</v>
      </c>
      <c r="B109" s="19" t="s">
        <v>163</v>
      </c>
      <c r="C109" s="19">
        <v>1000</v>
      </c>
      <c r="D109" s="19">
        <v>320</v>
      </c>
      <c r="E109" s="19" t="s">
        <v>169</v>
      </c>
      <c r="F109" s="20"/>
      <c r="G109" s="19">
        <f t="shared" si="16"/>
        <v>0.32</v>
      </c>
      <c r="H109" s="21">
        <f t="shared" si="17"/>
        <v>3.52</v>
      </c>
      <c r="I109" s="19">
        <f t="shared" si="13"/>
        <v>0</v>
      </c>
      <c r="J109" s="19">
        <f t="shared" si="10"/>
        <v>11</v>
      </c>
      <c r="K109" s="19">
        <f t="shared" si="11"/>
        <v>0</v>
      </c>
      <c r="L109" s="21">
        <f t="shared" si="12"/>
        <v>11</v>
      </c>
      <c r="M109" s="25"/>
      <c r="N109" s="25"/>
      <c r="O109" s="25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>
        <v>9</v>
      </c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>
        <v>2</v>
      </c>
      <c r="EE109" s="19"/>
      <c r="EF109" s="19"/>
      <c r="EG109" s="19"/>
      <c r="EH109" s="19"/>
      <c r="EI109" s="19"/>
      <c r="EJ109" s="19"/>
      <c r="EK109" s="19"/>
      <c r="EL109" s="19"/>
    </row>
    <row r="110" spans="1:142" x14ac:dyDescent="0.25">
      <c r="A110" s="19" t="s">
        <v>171</v>
      </c>
      <c r="B110" s="19" t="s">
        <v>165</v>
      </c>
      <c r="C110" s="19">
        <v>800</v>
      </c>
      <c r="D110" s="19">
        <v>800</v>
      </c>
      <c r="E110" s="19" t="s">
        <v>169</v>
      </c>
      <c r="F110" s="20"/>
      <c r="G110" s="19">
        <f t="shared" si="16"/>
        <v>0.64</v>
      </c>
      <c r="H110" s="21">
        <f t="shared" si="17"/>
        <v>1.28</v>
      </c>
      <c r="I110" s="19">
        <f t="shared" si="13"/>
        <v>0</v>
      </c>
      <c r="J110" s="19">
        <f t="shared" si="10"/>
        <v>2</v>
      </c>
      <c r="K110" s="19">
        <f t="shared" si="11"/>
        <v>0</v>
      </c>
      <c r="L110" s="21">
        <f t="shared" si="12"/>
        <v>2</v>
      </c>
      <c r="M110" s="25"/>
      <c r="N110" s="25"/>
      <c r="O110" s="25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>
        <v>1</v>
      </c>
      <c r="CT110" s="19">
        <v>1</v>
      </c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</row>
    <row r="111" spans="1:142" x14ac:dyDescent="0.25">
      <c r="A111" s="19" t="s">
        <v>171</v>
      </c>
      <c r="B111" s="19" t="s">
        <v>165</v>
      </c>
      <c r="C111" s="19">
        <v>800</v>
      </c>
      <c r="D111" s="19">
        <v>500</v>
      </c>
      <c r="E111" s="19" t="s">
        <v>169</v>
      </c>
      <c r="F111" s="20"/>
      <c r="G111" s="19">
        <f t="shared" si="16"/>
        <v>0.4</v>
      </c>
      <c r="H111" s="21">
        <f t="shared" si="17"/>
        <v>4</v>
      </c>
      <c r="I111" s="19">
        <f t="shared" si="13"/>
        <v>2</v>
      </c>
      <c r="J111" s="19">
        <f t="shared" si="10"/>
        <v>7</v>
      </c>
      <c r="K111" s="19">
        <f t="shared" si="11"/>
        <v>1</v>
      </c>
      <c r="L111" s="21">
        <f t="shared" si="12"/>
        <v>10</v>
      </c>
      <c r="M111" s="32">
        <v>1</v>
      </c>
      <c r="N111" s="19"/>
      <c r="O111" s="19"/>
      <c r="P111" s="19"/>
      <c r="Q111" s="19"/>
      <c r="R111" s="19"/>
      <c r="S111" s="19">
        <v>1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>
        <v>2</v>
      </c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>
        <v>1</v>
      </c>
      <c r="DF111" s="19">
        <v>1</v>
      </c>
      <c r="DG111" s="19"/>
      <c r="DH111" s="19"/>
      <c r="DI111" s="19"/>
      <c r="DJ111" s="19"/>
      <c r="DK111" s="19">
        <v>1</v>
      </c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>
        <v>1</v>
      </c>
      <c r="EA111" s="19">
        <v>1</v>
      </c>
      <c r="EB111" s="19"/>
      <c r="EC111" s="19"/>
      <c r="ED111" s="19"/>
      <c r="EE111" s="19"/>
      <c r="EF111" s="19">
        <v>1</v>
      </c>
      <c r="EG111" s="19"/>
      <c r="EH111" s="19"/>
      <c r="EI111" s="19"/>
      <c r="EJ111" s="19"/>
      <c r="EK111" s="19"/>
      <c r="EL111" s="19"/>
    </row>
    <row r="112" spans="1:142" x14ac:dyDescent="0.25">
      <c r="A112" s="19" t="s">
        <v>171</v>
      </c>
      <c r="B112" s="19" t="s">
        <v>165</v>
      </c>
      <c r="C112" s="19">
        <v>800</v>
      </c>
      <c r="D112" s="19">
        <v>400</v>
      </c>
      <c r="E112" s="19" t="s">
        <v>169</v>
      </c>
      <c r="F112" s="20"/>
      <c r="G112" s="19">
        <f t="shared" si="16"/>
        <v>0.32</v>
      </c>
      <c r="H112" s="21">
        <f t="shared" si="17"/>
        <v>2.88</v>
      </c>
      <c r="I112" s="19">
        <f t="shared" si="13"/>
        <v>0</v>
      </c>
      <c r="J112" s="19">
        <f t="shared" si="10"/>
        <v>9</v>
      </c>
      <c r="K112" s="19">
        <f t="shared" si="11"/>
        <v>0</v>
      </c>
      <c r="L112" s="21">
        <f t="shared" si="12"/>
        <v>9</v>
      </c>
      <c r="M112" s="32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>
        <v>1</v>
      </c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>
        <v>1</v>
      </c>
      <c r="CK112" s="19"/>
      <c r="CL112" s="19"/>
      <c r="CM112" s="19"/>
      <c r="CN112" s="19"/>
      <c r="CO112" s="19"/>
      <c r="CP112" s="19">
        <v>1</v>
      </c>
      <c r="CQ112" s="19">
        <v>1</v>
      </c>
      <c r="CR112" s="19">
        <v>1</v>
      </c>
      <c r="CS112" s="19"/>
      <c r="CT112" s="19"/>
      <c r="CU112" s="19"/>
      <c r="CV112" s="19"/>
      <c r="CW112" s="19"/>
      <c r="CX112" s="19">
        <v>1</v>
      </c>
      <c r="CY112" s="19"/>
      <c r="CZ112" s="19"/>
      <c r="DA112" s="19"/>
      <c r="DB112" s="19"/>
      <c r="DC112" s="19"/>
      <c r="DD112" s="19"/>
      <c r="DE112" s="19"/>
      <c r="DF112" s="19"/>
      <c r="DG112" s="19">
        <v>1</v>
      </c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>
        <v>1</v>
      </c>
      <c r="EC112" s="19">
        <v>1</v>
      </c>
      <c r="ED112" s="19"/>
      <c r="EE112" s="19"/>
      <c r="EF112" s="19"/>
      <c r="EG112" s="19"/>
      <c r="EH112" s="19"/>
      <c r="EI112" s="19"/>
      <c r="EJ112" s="19"/>
      <c r="EK112" s="19"/>
      <c r="EL112" s="19"/>
    </row>
    <row r="113" spans="1:142" x14ac:dyDescent="0.25">
      <c r="A113" s="19" t="s">
        <v>171</v>
      </c>
      <c r="B113" s="19" t="s">
        <v>165</v>
      </c>
      <c r="C113" s="19">
        <v>630</v>
      </c>
      <c r="D113" s="19">
        <v>320</v>
      </c>
      <c r="E113" s="19" t="s">
        <v>169</v>
      </c>
      <c r="F113" s="20"/>
      <c r="G113" s="19">
        <f t="shared" si="16"/>
        <v>0.2016</v>
      </c>
      <c r="H113" s="21">
        <f t="shared" si="17"/>
        <v>0.4032</v>
      </c>
      <c r="I113" s="19">
        <f t="shared" si="13"/>
        <v>0</v>
      </c>
      <c r="J113" s="19">
        <f t="shared" si="10"/>
        <v>2</v>
      </c>
      <c r="K113" s="19">
        <f t="shared" si="11"/>
        <v>0</v>
      </c>
      <c r="L113" s="21">
        <f t="shared" si="12"/>
        <v>2</v>
      </c>
      <c r="M113" s="32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>
        <v>1</v>
      </c>
      <c r="BJ113" s="19"/>
      <c r="BK113" s="19"/>
      <c r="BL113" s="19">
        <v>1</v>
      </c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</row>
    <row r="114" spans="1:142" x14ac:dyDescent="0.25">
      <c r="A114" s="19" t="s">
        <v>171</v>
      </c>
      <c r="B114" s="19" t="s">
        <v>165</v>
      </c>
      <c r="C114" s="19">
        <v>600</v>
      </c>
      <c r="D114" s="19">
        <v>400</v>
      </c>
      <c r="E114" s="19" t="s">
        <v>169</v>
      </c>
      <c r="F114" s="20"/>
      <c r="G114" s="19">
        <f t="shared" si="16"/>
        <v>0.24</v>
      </c>
      <c r="H114" s="21">
        <f t="shared" si="17"/>
        <v>0.24</v>
      </c>
      <c r="I114" s="19">
        <f t="shared" si="13"/>
        <v>1</v>
      </c>
      <c r="J114" s="19">
        <f t="shared" si="10"/>
        <v>0</v>
      </c>
      <c r="K114" s="19">
        <f t="shared" si="11"/>
        <v>0</v>
      </c>
      <c r="L114" s="21">
        <f t="shared" si="12"/>
        <v>1</v>
      </c>
      <c r="M114" s="32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>
        <v>1</v>
      </c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</row>
    <row r="115" spans="1:142" x14ac:dyDescent="0.25">
      <c r="A115" s="19" t="s">
        <v>171</v>
      </c>
      <c r="B115" s="19" t="s">
        <v>165</v>
      </c>
      <c r="C115" s="19">
        <v>600</v>
      </c>
      <c r="D115" s="19">
        <v>320</v>
      </c>
      <c r="E115" s="19" t="s">
        <v>169</v>
      </c>
      <c r="F115" s="20"/>
      <c r="G115" s="19">
        <f t="shared" si="16"/>
        <v>0.192</v>
      </c>
      <c r="H115" s="21">
        <f t="shared" si="17"/>
        <v>0.192</v>
      </c>
      <c r="I115" s="19">
        <f t="shared" si="13"/>
        <v>0</v>
      </c>
      <c r="J115" s="19">
        <f t="shared" si="10"/>
        <v>1</v>
      </c>
      <c r="K115" s="19">
        <f t="shared" si="11"/>
        <v>0</v>
      </c>
      <c r="L115" s="21">
        <f t="shared" si="12"/>
        <v>1</v>
      </c>
      <c r="M115" s="32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>
        <v>1</v>
      </c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</row>
    <row r="116" spans="1:142" x14ac:dyDescent="0.25">
      <c r="A116" s="19" t="s">
        <v>171</v>
      </c>
      <c r="B116" s="19" t="s">
        <v>165</v>
      </c>
      <c r="C116" s="19">
        <v>500</v>
      </c>
      <c r="D116" s="19">
        <v>400</v>
      </c>
      <c r="E116" s="19" t="s">
        <v>169</v>
      </c>
      <c r="F116" s="20"/>
      <c r="G116" s="19">
        <f t="shared" si="16"/>
        <v>0.2</v>
      </c>
      <c r="H116" s="21">
        <f t="shared" si="17"/>
        <v>0.2</v>
      </c>
      <c r="I116" s="19">
        <f t="shared" si="13"/>
        <v>1</v>
      </c>
      <c r="J116" s="19">
        <f t="shared" si="10"/>
        <v>0</v>
      </c>
      <c r="K116" s="19">
        <f t="shared" si="11"/>
        <v>0</v>
      </c>
      <c r="L116" s="21">
        <f t="shared" si="12"/>
        <v>1</v>
      </c>
      <c r="M116" s="32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1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</row>
    <row r="117" spans="1:142" x14ac:dyDescent="0.25">
      <c r="A117" s="19" t="s">
        <v>171</v>
      </c>
      <c r="B117" s="19" t="s">
        <v>165</v>
      </c>
      <c r="C117" s="19">
        <v>500</v>
      </c>
      <c r="D117" s="19">
        <v>320</v>
      </c>
      <c r="E117" s="19" t="s">
        <v>169</v>
      </c>
      <c r="F117" s="20"/>
      <c r="G117" s="19">
        <f t="shared" si="16"/>
        <v>0.16</v>
      </c>
      <c r="H117" s="21">
        <f t="shared" si="17"/>
        <v>1.1200000000000001</v>
      </c>
      <c r="I117" s="19">
        <f t="shared" si="13"/>
        <v>4</v>
      </c>
      <c r="J117" s="19">
        <f t="shared" si="10"/>
        <v>3</v>
      </c>
      <c r="K117" s="19">
        <f t="shared" si="11"/>
        <v>0</v>
      </c>
      <c r="L117" s="21">
        <f t="shared" si="12"/>
        <v>7</v>
      </c>
      <c r="M117" s="25"/>
      <c r="N117" s="25"/>
      <c r="O117" s="19"/>
      <c r="P117" s="19">
        <v>2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>
        <v>2</v>
      </c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>
        <v>1</v>
      </c>
      <c r="BN117" s="19"/>
      <c r="BO117" s="19"/>
      <c r="BP117" s="19"/>
      <c r="BQ117" s="19">
        <v>1</v>
      </c>
      <c r="BR117" s="19"/>
      <c r="BS117" s="19">
        <v>1</v>
      </c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</row>
    <row r="118" spans="1:142" x14ac:dyDescent="0.25">
      <c r="A118" s="19" t="s">
        <v>171</v>
      </c>
      <c r="B118" s="19" t="s">
        <v>165</v>
      </c>
      <c r="C118" s="19">
        <v>500</v>
      </c>
      <c r="D118" s="19">
        <v>250</v>
      </c>
      <c r="E118" s="19" t="s">
        <v>169</v>
      </c>
      <c r="F118" s="20"/>
      <c r="G118" s="19">
        <f t="shared" si="16"/>
        <v>0.125</v>
      </c>
      <c r="H118" s="21">
        <f t="shared" si="17"/>
        <v>0.125</v>
      </c>
      <c r="I118" s="19">
        <f t="shared" si="13"/>
        <v>0</v>
      </c>
      <c r="J118" s="19">
        <f t="shared" si="10"/>
        <v>1</v>
      </c>
      <c r="K118" s="19">
        <f t="shared" si="11"/>
        <v>0</v>
      </c>
      <c r="L118" s="21">
        <f t="shared" si="12"/>
        <v>1</v>
      </c>
      <c r="M118" s="25"/>
      <c r="N118" s="25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>
        <v>1</v>
      </c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</row>
    <row r="119" spans="1:142" x14ac:dyDescent="0.25">
      <c r="A119" s="19" t="s">
        <v>171</v>
      </c>
      <c r="B119" s="19" t="s">
        <v>165</v>
      </c>
      <c r="C119" s="19">
        <v>500</v>
      </c>
      <c r="D119" s="19">
        <v>200</v>
      </c>
      <c r="E119" s="19" t="s">
        <v>169</v>
      </c>
      <c r="F119" s="20"/>
      <c r="G119" s="19">
        <f t="shared" si="16"/>
        <v>0.1</v>
      </c>
      <c r="H119" s="21">
        <f t="shared" si="17"/>
        <v>0.1</v>
      </c>
      <c r="I119" s="19">
        <f t="shared" si="13"/>
        <v>0</v>
      </c>
      <c r="J119" s="19">
        <f t="shared" si="10"/>
        <v>1</v>
      </c>
      <c r="K119" s="19">
        <f t="shared" si="11"/>
        <v>0</v>
      </c>
      <c r="L119" s="21">
        <f t="shared" si="12"/>
        <v>1</v>
      </c>
      <c r="M119" s="25"/>
      <c r="N119" s="25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>
        <v>1</v>
      </c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</row>
    <row r="120" spans="1:142" x14ac:dyDescent="0.25">
      <c r="A120" s="19" t="s">
        <v>171</v>
      </c>
      <c r="B120" s="19" t="s">
        <v>166</v>
      </c>
      <c r="C120" s="19">
        <v>400</v>
      </c>
      <c r="D120" s="19">
        <v>320</v>
      </c>
      <c r="E120" s="19" t="s">
        <v>169</v>
      </c>
      <c r="F120" s="20"/>
      <c r="G120" s="19">
        <f t="shared" si="16"/>
        <v>0.128</v>
      </c>
      <c r="H120" s="21">
        <f t="shared" si="17"/>
        <v>0.25600000000000001</v>
      </c>
      <c r="I120" s="19">
        <f t="shared" si="13"/>
        <v>1</v>
      </c>
      <c r="J120" s="19">
        <f t="shared" si="10"/>
        <v>0</v>
      </c>
      <c r="K120" s="19">
        <f t="shared" si="11"/>
        <v>1</v>
      </c>
      <c r="L120" s="21">
        <f t="shared" si="12"/>
        <v>2</v>
      </c>
      <c r="M120" s="25"/>
      <c r="N120" s="25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5">
        <v>1</v>
      </c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>
        <v>1</v>
      </c>
      <c r="EJ120" s="19"/>
      <c r="EK120" s="19"/>
      <c r="EL120" s="19"/>
    </row>
    <row r="121" spans="1:142" x14ac:dyDescent="0.25">
      <c r="A121" s="19" t="s">
        <v>171</v>
      </c>
      <c r="B121" s="19" t="s">
        <v>166</v>
      </c>
      <c r="C121" s="19">
        <v>400</v>
      </c>
      <c r="D121" s="19">
        <v>250</v>
      </c>
      <c r="E121" s="19" t="s">
        <v>169</v>
      </c>
      <c r="F121" s="20"/>
      <c r="G121" s="19">
        <f t="shared" si="16"/>
        <v>0.1</v>
      </c>
      <c r="H121" s="21">
        <f t="shared" si="17"/>
        <v>0.30000000000000004</v>
      </c>
      <c r="I121" s="19">
        <f t="shared" si="13"/>
        <v>0</v>
      </c>
      <c r="J121" s="19">
        <f t="shared" si="10"/>
        <v>3</v>
      </c>
      <c r="K121" s="19">
        <f t="shared" si="11"/>
        <v>0</v>
      </c>
      <c r="L121" s="21">
        <f t="shared" si="12"/>
        <v>3</v>
      </c>
      <c r="M121" s="25"/>
      <c r="N121" s="25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5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>
        <v>1</v>
      </c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>
        <v>2</v>
      </c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</row>
    <row r="122" spans="1:142" x14ac:dyDescent="0.25">
      <c r="A122" s="19" t="s">
        <v>171</v>
      </c>
      <c r="B122" s="19" t="s">
        <v>167</v>
      </c>
      <c r="C122" s="19">
        <v>320</v>
      </c>
      <c r="D122" s="19">
        <v>320</v>
      </c>
      <c r="E122" s="19" t="s">
        <v>169</v>
      </c>
      <c r="F122" s="20"/>
      <c r="G122" s="19">
        <f t="shared" si="16"/>
        <v>0.1024</v>
      </c>
      <c r="H122" s="21">
        <f t="shared" si="17"/>
        <v>0.1024</v>
      </c>
      <c r="I122" s="19">
        <f t="shared" si="13"/>
        <v>0</v>
      </c>
      <c r="J122" s="19">
        <f t="shared" si="10"/>
        <v>0</v>
      </c>
      <c r="K122" s="19">
        <f t="shared" si="11"/>
        <v>1</v>
      </c>
      <c r="L122" s="21">
        <f t="shared" si="12"/>
        <v>1</v>
      </c>
      <c r="M122" s="25"/>
      <c r="N122" s="25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5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>
        <v>1</v>
      </c>
      <c r="EJ122" s="19"/>
      <c r="EK122" s="19"/>
      <c r="EL122" s="19"/>
    </row>
    <row r="123" spans="1:142" x14ac:dyDescent="0.25">
      <c r="A123" s="19" t="s">
        <v>171</v>
      </c>
      <c r="B123" s="19" t="s">
        <v>167</v>
      </c>
      <c r="C123" s="19">
        <v>320</v>
      </c>
      <c r="D123" s="19">
        <v>250</v>
      </c>
      <c r="E123" s="19" t="s">
        <v>169</v>
      </c>
      <c r="F123" s="20"/>
      <c r="G123" s="19">
        <f t="shared" si="16"/>
        <v>0.08</v>
      </c>
      <c r="H123" s="21">
        <f t="shared" si="17"/>
        <v>1.04</v>
      </c>
      <c r="I123" s="19">
        <f t="shared" si="13"/>
        <v>12</v>
      </c>
      <c r="J123" s="19">
        <f t="shared" si="10"/>
        <v>1</v>
      </c>
      <c r="K123" s="19">
        <f t="shared" si="11"/>
        <v>0</v>
      </c>
      <c r="L123" s="21">
        <f t="shared" si="12"/>
        <v>13</v>
      </c>
      <c r="M123" s="25"/>
      <c r="N123" s="25"/>
      <c r="O123" s="19"/>
      <c r="P123" s="19"/>
      <c r="Q123" s="19"/>
      <c r="R123" s="19"/>
      <c r="S123" s="19"/>
      <c r="T123" s="19"/>
      <c r="U123" s="19"/>
      <c r="V123" s="19">
        <v>7</v>
      </c>
      <c r="W123" s="19"/>
      <c r="X123" s="19"/>
      <c r="Y123" s="19"/>
      <c r="Z123" s="19"/>
      <c r="AA123" s="19"/>
      <c r="AB123" s="19">
        <v>5</v>
      </c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>
        <v>1</v>
      </c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</row>
    <row r="124" spans="1:142" x14ac:dyDescent="0.25">
      <c r="A124" s="19" t="s">
        <v>171</v>
      </c>
      <c r="B124" s="19" t="s">
        <v>167</v>
      </c>
      <c r="C124" s="19">
        <v>320</v>
      </c>
      <c r="D124" s="19">
        <v>160</v>
      </c>
      <c r="E124" s="19" t="s">
        <v>169</v>
      </c>
      <c r="F124" s="20"/>
      <c r="G124" s="19">
        <f t="shared" si="16"/>
        <v>5.1200000000000002E-2</v>
      </c>
      <c r="H124" s="21">
        <f t="shared" si="17"/>
        <v>0.40960000000000002</v>
      </c>
      <c r="I124" s="19">
        <f t="shared" si="13"/>
        <v>8</v>
      </c>
      <c r="J124" s="19">
        <f t="shared" si="10"/>
        <v>0</v>
      </c>
      <c r="K124" s="19">
        <f t="shared" si="11"/>
        <v>0</v>
      </c>
      <c r="L124" s="21">
        <f t="shared" si="12"/>
        <v>8</v>
      </c>
      <c r="M124" s="25"/>
      <c r="N124" s="25"/>
      <c r="O124" s="19"/>
      <c r="P124" s="19"/>
      <c r="Q124" s="19"/>
      <c r="R124" s="19"/>
      <c r="S124" s="19"/>
      <c r="T124" s="19"/>
      <c r="U124" s="19"/>
      <c r="V124" s="19">
        <v>2</v>
      </c>
      <c r="W124" s="19"/>
      <c r="X124" s="19"/>
      <c r="Y124" s="19"/>
      <c r="Z124" s="19"/>
      <c r="AA124" s="19"/>
      <c r="AB124" s="19">
        <v>2</v>
      </c>
      <c r="AC124" s="19"/>
      <c r="AD124" s="19"/>
      <c r="AE124" s="19"/>
      <c r="AF124" s="19"/>
      <c r="AG124" s="19"/>
      <c r="AH124" s="19"/>
      <c r="AI124" s="19"/>
      <c r="AJ124" s="19"/>
      <c r="AK124" s="19">
        <v>4</v>
      </c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</row>
    <row r="125" spans="1:142" x14ac:dyDescent="0.25">
      <c r="A125" s="19" t="s">
        <v>171</v>
      </c>
      <c r="B125" s="19" t="s">
        <v>167</v>
      </c>
      <c r="C125" s="19">
        <v>320</v>
      </c>
      <c r="D125" s="19">
        <v>120</v>
      </c>
      <c r="E125" s="19" t="s">
        <v>169</v>
      </c>
      <c r="F125" s="20"/>
      <c r="G125" s="19">
        <f t="shared" si="16"/>
        <v>3.8399999999999997E-2</v>
      </c>
      <c r="H125" s="21">
        <f t="shared" si="17"/>
        <v>0.1152</v>
      </c>
      <c r="I125" s="19">
        <f t="shared" si="13"/>
        <v>2</v>
      </c>
      <c r="J125" s="19">
        <f t="shared" si="10"/>
        <v>1</v>
      </c>
      <c r="K125" s="19">
        <f t="shared" si="11"/>
        <v>0</v>
      </c>
      <c r="L125" s="21">
        <f t="shared" si="12"/>
        <v>3</v>
      </c>
      <c r="M125" s="25"/>
      <c r="N125" s="25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>
        <v>2</v>
      </c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>
        <v>1</v>
      </c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</row>
    <row r="126" spans="1:142" x14ac:dyDescent="0.25">
      <c r="A126" s="19" t="s">
        <v>171</v>
      </c>
      <c r="B126" s="19" t="s">
        <v>167</v>
      </c>
      <c r="C126" s="19">
        <v>250</v>
      </c>
      <c r="D126" s="19">
        <v>160</v>
      </c>
      <c r="E126" s="19" t="s">
        <v>169</v>
      </c>
      <c r="F126" s="20"/>
      <c r="G126" s="19">
        <f t="shared" si="16"/>
        <v>0.04</v>
      </c>
      <c r="H126" s="21">
        <f t="shared" si="17"/>
        <v>0.36</v>
      </c>
      <c r="I126" s="19">
        <f t="shared" si="13"/>
        <v>9</v>
      </c>
      <c r="J126" s="19">
        <f t="shared" si="10"/>
        <v>0</v>
      </c>
      <c r="K126" s="19">
        <f t="shared" si="11"/>
        <v>0</v>
      </c>
      <c r="L126" s="21">
        <f t="shared" si="12"/>
        <v>9</v>
      </c>
      <c r="M126" s="25"/>
      <c r="N126" s="25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25">
        <v>9</v>
      </c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</row>
    <row r="127" spans="1:142" x14ac:dyDescent="0.25">
      <c r="A127" s="19" t="s">
        <v>172</v>
      </c>
      <c r="B127" s="19"/>
      <c r="C127" s="24" t="s">
        <v>159</v>
      </c>
      <c r="D127" s="19">
        <v>1120</v>
      </c>
      <c r="E127" s="19" t="s">
        <v>169</v>
      </c>
      <c r="F127" s="20"/>
      <c r="G127" s="19"/>
      <c r="H127" s="21"/>
      <c r="I127" s="19">
        <f t="shared" si="13"/>
        <v>4</v>
      </c>
      <c r="J127" s="19">
        <f t="shared" si="10"/>
        <v>6</v>
      </c>
      <c r="K127" s="19">
        <f t="shared" si="11"/>
        <v>0</v>
      </c>
      <c r="L127" s="21">
        <f t="shared" si="12"/>
        <v>10</v>
      </c>
      <c r="M127" s="25"/>
      <c r="N127" s="25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25"/>
      <c r="AL127" s="19"/>
      <c r="AM127" s="19"/>
      <c r="AN127" s="19"/>
      <c r="AO127" s="19"/>
      <c r="AP127" s="19"/>
      <c r="AQ127" s="19"/>
      <c r="AR127" s="19"/>
      <c r="AS127" s="19">
        <v>2</v>
      </c>
      <c r="AT127" s="19">
        <v>2</v>
      </c>
      <c r="AU127" s="19"/>
      <c r="AV127" s="19"/>
      <c r="AW127" s="19"/>
      <c r="AX127" s="19"/>
      <c r="AY127" s="19">
        <v>2</v>
      </c>
      <c r="AZ127" s="19">
        <v>2</v>
      </c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>
        <v>2</v>
      </c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</row>
    <row r="128" spans="1:142" x14ac:dyDescent="0.25">
      <c r="A128" s="19" t="s">
        <v>172</v>
      </c>
      <c r="B128" s="19"/>
      <c r="C128" s="24" t="s">
        <v>159</v>
      </c>
      <c r="D128" s="19">
        <v>1100</v>
      </c>
      <c r="E128" s="19" t="s">
        <v>169</v>
      </c>
      <c r="F128" s="20"/>
      <c r="G128" s="19"/>
      <c r="H128" s="21"/>
      <c r="I128" s="19">
        <f t="shared" si="13"/>
        <v>0</v>
      </c>
      <c r="J128" s="19">
        <f t="shared" si="10"/>
        <v>2</v>
      </c>
      <c r="K128" s="19">
        <f t="shared" si="11"/>
        <v>0</v>
      </c>
      <c r="L128" s="21">
        <f t="shared" si="12"/>
        <v>2</v>
      </c>
      <c r="M128" s="25"/>
      <c r="N128" s="25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25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>
        <v>2</v>
      </c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</row>
    <row r="129" spans="1:142" x14ac:dyDescent="0.25">
      <c r="A129" s="19" t="s">
        <v>172</v>
      </c>
      <c r="B129" s="19"/>
      <c r="C129" s="24" t="s">
        <v>159</v>
      </c>
      <c r="D129" s="19">
        <v>1000</v>
      </c>
      <c r="E129" s="19" t="s">
        <v>169</v>
      </c>
      <c r="F129" s="20"/>
      <c r="G129" s="19"/>
      <c r="H129" s="21"/>
      <c r="I129" s="19">
        <f t="shared" si="13"/>
        <v>14</v>
      </c>
      <c r="J129" s="19">
        <f t="shared" si="10"/>
        <v>28</v>
      </c>
      <c r="K129" s="19">
        <f t="shared" si="11"/>
        <v>2</v>
      </c>
      <c r="L129" s="21">
        <f t="shared" si="12"/>
        <v>44</v>
      </c>
      <c r="M129" s="25"/>
      <c r="N129" s="25"/>
      <c r="O129" s="19"/>
      <c r="P129" s="19"/>
      <c r="Q129" s="19"/>
      <c r="R129" s="19"/>
      <c r="S129" s="19"/>
      <c r="T129" s="19"/>
      <c r="U129" s="19"/>
      <c r="V129" s="19"/>
      <c r="W129" s="19">
        <v>2</v>
      </c>
      <c r="X129" s="19"/>
      <c r="Y129" s="19">
        <v>2</v>
      </c>
      <c r="Z129" s="19"/>
      <c r="AA129" s="19"/>
      <c r="AB129" s="19"/>
      <c r="AC129" s="19"/>
      <c r="AD129" s="19">
        <v>2</v>
      </c>
      <c r="AE129" s="19">
        <v>2</v>
      </c>
      <c r="AF129" s="19">
        <v>2</v>
      </c>
      <c r="AG129" s="19"/>
      <c r="AH129" s="19"/>
      <c r="AI129" s="19"/>
      <c r="AJ129" s="19"/>
      <c r="AK129" s="19"/>
      <c r="AL129" s="19"/>
      <c r="AM129" s="19"/>
      <c r="AN129" s="19">
        <v>2</v>
      </c>
      <c r="AO129" s="19">
        <v>2</v>
      </c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>
        <v>2</v>
      </c>
      <c r="BF129" s="19">
        <v>2</v>
      </c>
      <c r="BG129" s="19">
        <v>2</v>
      </c>
      <c r="BH129" s="19">
        <v>2</v>
      </c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>
        <v>2</v>
      </c>
      <c r="CN129" s="19">
        <v>2</v>
      </c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>
        <v>2</v>
      </c>
      <c r="DA129" s="19">
        <v>2</v>
      </c>
      <c r="DB129" s="19"/>
      <c r="DC129" s="19"/>
      <c r="DD129" s="19"/>
      <c r="DE129" s="19"/>
      <c r="DF129" s="19"/>
      <c r="DG129" s="19"/>
      <c r="DH129" s="19">
        <v>2</v>
      </c>
      <c r="DI129" s="19">
        <v>2</v>
      </c>
      <c r="DJ129" s="19">
        <v>2</v>
      </c>
      <c r="DK129" s="19"/>
      <c r="DL129" s="19">
        <v>2</v>
      </c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>
        <v>2</v>
      </c>
      <c r="EE129" s="19">
        <v>2</v>
      </c>
      <c r="EF129" s="19"/>
      <c r="EG129" s="19"/>
      <c r="EH129" s="19">
        <v>2</v>
      </c>
      <c r="EI129" s="19"/>
      <c r="EJ129" s="19"/>
      <c r="EK129" s="19"/>
      <c r="EL129" s="19"/>
    </row>
    <row r="130" spans="1:142" x14ac:dyDescent="0.25">
      <c r="A130" s="19" t="s">
        <v>172</v>
      </c>
      <c r="B130" s="19"/>
      <c r="C130" s="24" t="s">
        <v>159</v>
      </c>
      <c r="D130" s="19">
        <v>900</v>
      </c>
      <c r="E130" s="19" t="s">
        <v>169</v>
      </c>
      <c r="F130" s="20"/>
      <c r="G130" s="19"/>
      <c r="H130" s="21"/>
      <c r="I130" s="19">
        <f t="shared" si="13"/>
        <v>0</v>
      </c>
      <c r="J130" s="19">
        <f t="shared" si="10"/>
        <v>4</v>
      </c>
      <c r="K130" s="19">
        <f t="shared" si="11"/>
        <v>0</v>
      </c>
      <c r="L130" s="21">
        <f t="shared" si="12"/>
        <v>4</v>
      </c>
      <c r="M130" s="25"/>
      <c r="N130" s="25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>
        <v>2</v>
      </c>
      <c r="CP130" s="19"/>
      <c r="CQ130" s="19"/>
      <c r="CR130" s="19"/>
      <c r="CS130" s="19"/>
      <c r="CT130" s="19"/>
      <c r="CU130" s="19"/>
      <c r="CV130" s="19"/>
      <c r="CW130" s="19"/>
      <c r="CX130" s="19"/>
      <c r="CY130" s="19">
        <v>2</v>
      </c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</row>
    <row r="131" spans="1:142" x14ac:dyDescent="0.25">
      <c r="A131" s="19" t="s">
        <v>172</v>
      </c>
      <c r="B131" s="19"/>
      <c r="C131" s="24" t="s">
        <v>159</v>
      </c>
      <c r="D131" s="19">
        <v>800</v>
      </c>
      <c r="E131" s="19" t="s">
        <v>169</v>
      </c>
      <c r="F131" s="20"/>
      <c r="G131" s="19"/>
      <c r="H131" s="21"/>
      <c r="I131" s="19">
        <f t="shared" si="13"/>
        <v>18</v>
      </c>
      <c r="J131" s="19">
        <f t="shared" si="10"/>
        <v>26</v>
      </c>
      <c r="K131" s="19">
        <f t="shared" si="11"/>
        <v>0</v>
      </c>
      <c r="L131" s="21">
        <f t="shared" si="12"/>
        <v>44</v>
      </c>
      <c r="M131" s="25"/>
      <c r="N131" s="25"/>
      <c r="O131" s="19"/>
      <c r="P131" s="19"/>
      <c r="Q131" s="19"/>
      <c r="R131" s="19"/>
      <c r="S131" s="19"/>
      <c r="T131" s="19"/>
      <c r="U131" s="19">
        <v>2</v>
      </c>
      <c r="V131" s="19"/>
      <c r="W131" s="19"/>
      <c r="X131" s="19"/>
      <c r="Y131" s="19"/>
      <c r="Z131" s="19"/>
      <c r="AA131" s="19">
        <v>2</v>
      </c>
      <c r="AB131" s="19"/>
      <c r="AC131" s="19"/>
      <c r="AD131" s="19"/>
      <c r="AE131" s="19"/>
      <c r="AF131" s="19"/>
      <c r="AG131" s="19"/>
      <c r="AH131" s="19">
        <v>2</v>
      </c>
      <c r="AI131" s="19">
        <v>2</v>
      </c>
      <c r="AJ131" s="19">
        <v>2</v>
      </c>
      <c r="AK131" s="19"/>
      <c r="AL131" s="19">
        <v>2</v>
      </c>
      <c r="AM131" s="19">
        <v>2</v>
      </c>
      <c r="AN131" s="19"/>
      <c r="AO131" s="19"/>
      <c r="AP131" s="19"/>
      <c r="AQ131" s="19">
        <v>2</v>
      </c>
      <c r="AR131" s="19">
        <v>2</v>
      </c>
      <c r="AS131" s="19"/>
      <c r="AT131" s="19"/>
      <c r="AU131" s="19"/>
      <c r="AV131" s="19"/>
      <c r="AW131" s="19">
        <v>2</v>
      </c>
      <c r="AX131" s="19">
        <v>2</v>
      </c>
      <c r="AY131" s="19"/>
      <c r="AZ131" s="19"/>
      <c r="BA131" s="19">
        <v>2</v>
      </c>
      <c r="BB131" s="19">
        <v>2</v>
      </c>
      <c r="BC131" s="19">
        <v>2</v>
      </c>
      <c r="BD131" s="19">
        <v>2</v>
      </c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>
        <v>2</v>
      </c>
      <c r="CG131" s="19">
        <v>2</v>
      </c>
      <c r="CH131" s="19">
        <v>2</v>
      </c>
      <c r="CI131" s="19">
        <v>2</v>
      </c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>
        <v>2</v>
      </c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>
        <v>2</v>
      </c>
      <c r="DN131" s="19"/>
      <c r="DO131" s="19"/>
      <c r="DP131" s="19"/>
      <c r="DQ131" s="19"/>
      <c r="DR131" s="19"/>
      <c r="DS131" s="19"/>
      <c r="DT131" s="19"/>
      <c r="DU131" s="19"/>
      <c r="DV131" s="19"/>
      <c r="DW131" s="19">
        <v>2</v>
      </c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</row>
    <row r="132" spans="1:142" x14ac:dyDescent="0.25">
      <c r="A132" s="19" t="s">
        <v>172</v>
      </c>
      <c r="B132" s="19"/>
      <c r="C132" s="24" t="s">
        <v>159</v>
      </c>
      <c r="D132" s="19">
        <v>750</v>
      </c>
      <c r="E132" s="19" t="s">
        <v>169</v>
      </c>
      <c r="F132" s="20"/>
      <c r="G132" s="19"/>
      <c r="H132" s="21"/>
      <c r="I132" s="19">
        <f t="shared" si="13"/>
        <v>0</v>
      </c>
      <c r="J132" s="19">
        <f t="shared" si="10"/>
        <v>4</v>
      </c>
      <c r="K132" s="19">
        <f t="shared" si="11"/>
        <v>0</v>
      </c>
      <c r="L132" s="21">
        <f t="shared" si="12"/>
        <v>4</v>
      </c>
      <c r="M132" s="25"/>
      <c r="N132" s="25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>
        <v>2</v>
      </c>
      <c r="CT132" s="19">
        <v>2</v>
      </c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</row>
    <row r="133" spans="1:142" x14ac:dyDescent="0.25">
      <c r="A133" s="19" t="s">
        <v>172</v>
      </c>
      <c r="B133" s="19"/>
      <c r="C133" s="24" t="s">
        <v>159</v>
      </c>
      <c r="D133" s="19">
        <v>710</v>
      </c>
      <c r="E133" s="19" t="s">
        <v>169</v>
      </c>
      <c r="F133" s="20"/>
      <c r="G133" s="19"/>
      <c r="H133" s="21"/>
      <c r="I133" s="19">
        <f t="shared" si="13"/>
        <v>12</v>
      </c>
      <c r="J133" s="19">
        <f t="shared" ref="J133:J148" si="18">SUM(AW133:EE133)</f>
        <v>24</v>
      </c>
      <c r="K133" s="19">
        <f t="shared" ref="K133:K148" si="19">SUM(EF133:EM133)</f>
        <v>4</v>
      </c>
      <c r="L133" s="21">
        <f t="shared" ref="L133:L148" si="20">SUM(M133:EM133)</f>
        <v>40</v>
      </c>
      <c r="M133" s="25">
        <v>2</v>
      </c>
      <c r="N133" s="25">
        <v>2</v>
      </c>
      <c r="O133" s="19">
        <v>2</v>
      </c>
      <c r="P133" s="19">
        <v>2</v>
      </c>
      <c r="Q133" s="19"/>
      <c r="R133" s="19"/>
      <c r="S133" s="19">
        <v>2</v>
      </c>
      <c r="T133" s="19">
        <v>2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>
        <v>2</v>
      </c>
      <c r="BS133" s="19"/>
      <c r="BT133" s="19"/>
      <c r="BU133" s="19"/>
      <c r="BV133" s="19"/>
      <c r="BW133" s="19">
        <v>2</v>
      </c>
      <c r="BX133" s="19">
        <v>2</v>
      </c>
      <c r="BY133" s="19"/>
      <c r="BZ133" s="19"/>
      <c r="CA133" s="19">
        <v>2</v>
      </c>
      <c r="CB133" s="19">
        <v>2</v>
      </c>
      <c r="CC133" s="19">
        <v>2</v>
      </c>
      <c r="CD133" s="19">
        <v>2</v>
      </c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>
        <v>2</v>
      </c>
      <c r="CY133" s="19"/>
      <c r="CZ133" s="19"/>
      <c r="DA133" s="19"/>
      <c r="DB133" s="19"/>
      <c r="DC133" s="19"/>
      <c r="DD133" s="19"/>
      <c r="DE133" s="19"/>
      <c r="DF133" s="19"/>
      <c r="DG133" s="19">
        <v>2</v>
      </c>
      <c r="DH133" s="19"/>
      <c r="DI133" s="19"/>
      <c r="DJ133" s="19"/>
      <c r="DK133" s="19">
        <v>2</v>
      </c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>
        <v>2</v>
      </c>
      <c r="EC133" s="19">
        <v>2</v>
      </c>
      <c r="ED133" s="19"/>
      <c r="EE133" s="19"/>
      <c r="EF133" s="19">
        <v>2</v>
      </c>
      <c r="EG133" s="19">
        <v>2</v>
      </c>
      <c r="EH133" s="19"/>
      <c r="EI133" s="19"/>
      <c r="EJ133" s="19"/>
      <c r="EK133" s="19"/>
      <c r="EL133" s="19"/>
    </row>
    <row r="134" spans="1:142" x14ac:dyDescent="0.25">
      <c r="A134" s="19" t="s">
        <v>172</v>
      </c>
      <c r="B134" s="19"/>
      <c r="C134" s="24" t="s">
        <v>159</v>
      </c>
      <c r="D134" s="19">
        <v>650</v>
      </c>
      <c r="E134" s="19" t="s">
        <v>169</v>
      </c>
      <c r="F134" s="20"/>
      <c r="G134" s="19"/>
      <c r="H134" s="21"/>
      <c r="I134" s="19">
        <f t="shared" ref="I134:I148" si="21">SUM(M134:AV134)</f>
        <v>0</v>
      </c>
      <c r="J134" s="19">
        <f t="shared" si="18"/>
        <v>24</v>
      </c>
      <c r="K134" s="19">
        <f t="shared" si="19"/>
        <v>0</v>
      </c>
      <c r="L134" s="21">
        <f t="shared" si="20"/>
        <v>24</v>
      </c>
      <c r="M134" s="25"/>
      <c r="N134" s="25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>
        <v>2</v>
      </c>
      <c r="CR134" s="19">
        <v>2</v>
      </c>
      <c r="CS134" s="19"/>
      <c r="CT134" s="19"/>
      <c r="CU134" s="19">
        <v>2</v>
      </c>
      <c r="CV134" s="19"/>
      <c r="CW134" s="19"/>
      <c r="CX134" s="19"/>
      <c r="CY134" s="19"/>
      <c r="CZ134" s="19"/>
      <c r="DA134" s="19"/>
      <c r="DB134" s="19"/>
      <c r="DC134" s="19"/>
      <c r="DD134" s="19"/>
      <c r="DE134" s="19">
        <v>2</v>
      </c>
      <c r="DF134" s="19">
        <v>2</v>
      </c>
      <c r="DG134" s="19"/>
      <c r="DH134" s="19"/>
      <c r="DI134" s="19"/>
      <c r="DJ134" s="19"/>
      <c r="DK134" s="19"/>
      <c r="DL134" s="19"/>
      <c r="DM134" s="19"/>
      <c r="DN134" s="19">
        <v>2</v>
      </c>
      <c r="DO134" s="19"/>
      <c r="DP134" s="19"/>
      <c r="DQ134" s="19"/>
      <c r="DR134" s="19"/>
      <c r="DS134" s="19">
        <v>2</v>
      </c>
      <c r="DT134" s="19">
        <v>2</v>
      </c>
      <c r="DU134" s="19">
        <v>2</v>
      </c>
      <c r="DV134" s="19">
        <v>2</v>
      </c>
      <c r="DW134" s="19"/>
      <c r="DX134" s="19"/>
      <c r="DY134" s="19">
        <v>2</v>
      </c>
      <c r="DZ134" s="19">
        <v>2</v>
      </c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</row>
    <row r="135" spans="1:142" x14ac:dyDescent="0.25">
      <c r="A135" s="19" t="s">
        <v>172</v>
      </c>
      <c r="B135" s="19"/>
      <c r="C135" s="24" t="s">
        <v>159</v>
      </c>
      <c r="D135" s="19">
        <v>630</v>
      </c>
      <c r="E135" s="19" t="s">
        <v>169</v>
      </c>
      <c r="F135" s="20"/>
      <c r="G135" s="19"/>
      <c r="H135" s="21"/>
      <c r="I135" s="19">
        <f t="shared" si="21"/>
        <v>0</v>
      </c>
      <c r="J135" s="19">
        <f t="shared" si="18"/>
        <v>21</v>
      </c>
      <c r="K135" s="19">
        <f t="shared" si="19"/>
        <v>0</v>
      </c>
      <c r="L135" s="21">
        <f t="shared" si="20"/>
        <v>21</v>
      </c>
      <c r="M135" s="25"/>
      <c r="N135" s="25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>
        <v>2</v>
      </c>
      <c r="BO135" s="19"/>
      <c r="BP135" s="19">
        <v>2</v>
      </c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>
        <v>1</v>
      </c>
      <c r="CK135" s="19">
        <v>2</v>
      </c>
      <c r="CL135" s="19">
        <v>2</v>
      </c>
      <c r="CM135" s="19"/>
      <c r="CN135" s="19"/>
      <c r="CO135" s="19"/>
      <c r="CP135" s="19">
        <v>2</v>
      </c>
      <c r="CQ135" s="19"/>
      <c r="CR135" s="19"/>
      <c r="CS135" s="19"/>
      <c r="CT135" s="19"/>
      <c r="CU135" s="19"/>
      <c r="CV135" s="19">
        <v>2</v>
      </c>
      <c r="CW135" s="19">
        <v>2</v>
      </c>
      <c r="CX135" s="19"/>
      <c r="CY135" s="19"/>
      <c r="CZ135" s="19"/>
      <c r="DA135" s="19"/>
      <c r="DB135" s="19">
        <v>2</v>
      </c>
      <c r="DC135" s="19">
        <v>2</v>
      </c>
      <c r="DD135" s="19">
        <v>2</v>
      </c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</row>
    <row r="136" spans="1:142" x14ac:dyDescent="0.25">
      <c r="A136" s="19" t="s">
        <v>172</v>
      </c>
      <c r="B136" s="19"/>
      <c r="C136" s="24" t="s">
        <v>159</v>
      </c>
      <c r="D136" s="19">
        <v>560</v>
      </c>
      <c r="E136" s="19" t="s">
        <v>169</v>
      </c>
      <c r="F136" s="20"/>
      <c r="G136" s="19"/>
      <c r="H136" s="21"/>
      <c r="I136" s="19">
        <f t="shared" si="21"/>
        <v>0</v>
      </c>
      <c r="J136" s="19">
        <f t="shared" si="18"/>
        <v>4</v>
      </c>
      <c r="K136" s="19">
        <f t="shared" si="19"/>
        <v>0</v>
      </c>
      <c r="L136" s="21">
        <f t="shared" si="20"/>
        <v>4</v>
      </c>
      <c r="M136" s="25"/>
      <c r="N136" s="25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>
        <v>2</v>
      </c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>
        <v>2</v>
      </c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</row>
    <row r="137" spans="1:142" x14ac:dyDescent="0.25">
      <c r="A137" s="19" t="s">
        <v>172</v>
      </c>
      <c r="B137" s="19"/>
      <c r="C137" s="24" t="s">
        <v>159</v>
      </c>
      <c r="D137" s="19">
        <v>500</v>
      </c>
      <c r="E137" s="19" t="s">
        <v>169</v>
      </c>
      <c r="F137" s="20"/>
      <c r="G137" s="19"/>
      <c r="H137" s="21"/>
      <c r="I137" s="19">
        <f t="shared" si="21"/>
        <v>4</v>
      </c>
      <c r="J137" s="19">
        <f t="shared" si="18"/>
        <v>4</v>
      </c>
      <c r="K137" s="19">
        <f t="shared" si="19"/>
        <v>2</v>
      </c>
      <c r="L137" s="21">
        <f t="shared" si="20"/>
        <v>10</v>
      </c>
      <c r="M137" s="25"/>
      <c r="N137" s="25"/>
      <c r="O137" s="19"/>
      <c r="P137" s="19"/>
      <c r="Q137" s="19">
        <v>2</v>
      </c>
      <c r="R137" s="19">
        <v>2</v>
      </c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>
        <v>2</v>
      </c>
      <c r="BZ137" s="19">
        <v>2</v>
      </c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>
        <v>2</v>
      </c>
      <c r="EJ137" s="19"/>
      <c r="EK137" s="19"/>
      <c r="EL137" s="19"/>
    </row>
    <row r="138" spans="1:142" x14ac:dyDescent="0.25">
      <c r="A138" s="19" t="s">
        <v>172</v>
      </c>
      <c r="B138" s="19"/>
      <c r="C138" s="24" t="s">
        <v>159</v>
      </c>
      <c r="D138" s="19">
        <v>450</v>
      </c>
      <c r="E138" s="19" t="s">
        <v>169</v>
      </c>
      <c r="F138" s="20"/>
      <c r="G138" s="19"/>
      <c r="H138" s="21"/>
      <c r="I138" s="19">
        <f t="shared" si="21"/>
        <v>6</v>
      </c>
      <c r="J138" s="19">
        <f t="shared" si="18"/>
        <v>12</v>
      </c>
      <c r="K138" s="19">
        <f t="shared" si="19"/>
        <v>0</v>
      </c>
      <c r="L138" s="21">
        <f t="shared" si="20"/>
        <v>18</v>
      </c>
      <c r="M138" s="25"/>
      <c r="N138" s="25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v>2</v>
      </c>
      <c r="Y138" s="19"/>
      <c r="Z138" s="19">
        <v>2</v>
      </c>
      <c r="AA138" s="19"/>
      <c r="AB138" s="19"/>
      <c r="AC138" s="19"/>
      <c r="AD138" s="19"/>
      <c r="AE138" s="19"/>
      <c r="AF138" s="19"/>
      <c r="AG138" s="19">
        <v>2</v>
      </c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>
        <v>2</v>
      </c>
      <c r="BJ138" s="19"/>
      <c r="BK138" s="19">
        <v>2</v>
      </c>
      <c r="BL138" s="19"/>
      <c r="BM138" s="19">
        <v>2</v>
      </c>
      <c r="BN138" s="19"/>
      <c r="BO138" s="19">
        <v>2</v>
      </c>
      <c r="BP138" s="19"/>
      <c r="BQ138" s="19">
        <v>2</v>
      </c>
      <c r="BR138" s="19"/>
      <c r="BS138" s="19">
        <v>2</v>
      </c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</row>
    <row r="139" spans="1:142" x14ac:dyDescent="0.25">
      <c r="A139" s="19" t="s">
        <v>172</v>
      </c>
      <c r="B139" s="19"/>
      <c r="C139" s="24" t="s">
        <v>159</v>
      </c>
      <c r="D139" s="19">
        <v>400</v>
      </c>
      <c r="E139" s="19" t="s">
        <v>169</v>
      </c>
      <c r="F139" s="20"/>
      <c r="G139" s="19"/>
      <c r="H139" s="21"/>
      <c r="I139" s="19">
        <f t="shared" si="21"/>
        <v>4</v>
      </c>
      <c r="J139" s="19">
        <f t="shared" si="18"/>
        <v>2</v>
      </c>
      <c r="K139" s="19">
        <f t="shared" si="19"/>
        <v>0</v>
      </c>
      <c r="L139" s="21">
        <f t="shared" si="20"/>
        <v>6</v>
      </c>
      <c r="M139" s="25"/>
      <c r="N139" s="25"/>
      <c r="O139" s="19"/>
      <c r="P139" s="19"/>
      <c r="Q139" s="19"/>
      <c r="R139" s="19"/>
      <c r="S139" s="19"/>
      <c r="T139" s="19"/>
      <c r="U139" s="19"/>
      <c r="V139" s="19">
        <v>4</v>
      </c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>
        <v>2</v>
      </c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</row>
    <row r="140" spans="1:142" x14ac:dyDescent="0.25">
      <c r="A140" s="19" t="s">
        <v>172</v>
      </c>
      <c r="B140" s="19"/>
      <c r="C140" s="24" t="s">
        <v>159</v>
      </c>
      <c r="D140" s="19">
        <v>300</v>
      </c>
      <c r="E140" s="19" t="s">
        <v>169</v>
      </c>
      <c r="F140" s="20"/>
      <c r="G140" s="19"/>
      <c r="H140" s="21"/>
      <c r="I140" s="19">
        <f t="shared" si="21"/>
        <v>14</v>
      </c>
      <c r="J140" s="19">
        <f t="shared" si="18"/>
        <v>10</v>
      </c>
      <c r="K140" s="19">
        <f t="shared" si="19"/>
        <v>0</v>
      </c>
      <c r="L140" s="21">
        <f t="shared" si="20"/>
        <v>24</v>
      </c>
      <c r="M140" s="25"/>
      <c r="N140" s="25"/>
      <c r="O140" s="19"/>
      <c r="P140" s="19"/>
      <c r="Q140" s="19"/>
      <c r="R140" s="19"/>
      <c r="S140" s="19"/>
      <c r="T140" s="19"/>
      <c r="U140" s="19"/>
      <c r="V140" s="19">
        <f>2</f>
        <v>2</v>
      </c>
      <c r="W140" s="19"/>
      <c r="X140" s="19"/>
      <c r="Y140" s="19"/>
      <c r="Z140" s="19"/>
      <c r="AA140" s="19"/>
      <c r="AB140" s="19">
        <v>4</v>
      </c>
      <c r="AC140" s="19"/>
      <c r="AD140" s="19"/>
      <c r="AE140" s="19"/>
      <c r="AF140" s="19"/>
      <c r="AG140" s="19"/>
      <c r="AH140" s="19"/>
      <c r="AI140" s="19"/>
      <c r="AJ140" s="19"/>
      <c r="AK140" s="19">
        <f>4*2</f>
        <v>8</v>
      </c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>
        <v>6</v>
      </c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>
        <v>4</v>
      </c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</row>
    <row r="141" spans="1:142" x14ac:dyDescent="0.25">
      <c r="A141" s="19" t="s">
        <v>172</v>
      </c>
      <c r="B141" s="19"/>
      <c r="C141" s="24" t="s">
        <v>159</v>
      </c>
      <c r="D141" s="19">
        <v>280</v>
      </c>
      <c r="E141" s="19" t="s">
        <v>169</v>
      </c>
      <c r="F141" s="20"/>
      <c r="G141" s="19"/>
      <c r="H141" s="21"/>
      <c r="I141" s="19">
        <f t="shared" si="21"/>
        <v>0</v>
      </c>
      <c r="J141" s="19">
        <f t="shared" si="18"/>
        <v>4</v>
      </c>
      <c r="K141" s="19">
        <f t="shared" si="19"/>
        <v>0</v>
      </c>
      <c r="L141" s="21">
        <f t="shared" si="20"/>
        <v>4</v>
      </c>
      <c r="M141" s="25"/>
      <c r="N141" s="25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>
        <v>2</v>
      </c>
      <c r="DR141" s="19"/>
      <c r="DS141" s="19"/>
      <c r="DT141" s="19"/>
      <c r="DU141" s="19"/>
      <c r="DV141" s="19"/>
      <c r="DW141" s="19"/>
      <c r="DX141" s="19">
        <v>2</v>
      </c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</row>
    <row r="142" spans="1:142" x14ac:dyDescent="0.25">
      <c r="A142" s="19" t="s">
        <v>172</v>
      </c>
      <c r="B142" s="19"/>
      <c r="C142" s="24" t="s">
        <v>159</v>
      </c>
      <c r="D142" s="19">
        <v>200</v>
      </c>
      <c r="E142" s="19" t="s">
        <v>169</v>
      </c>
      <c r="F142" s="20"/>
      <c r="G142" s="19"/>
      <c r="H142" s="21"/>
      <c r="I142" s="19">
        <f t="shared" si="21"/>
        <v>38</v>
      </c>
      <c r="J142" s="19">
        <f t="shared" si="18"/>
        <v>0</v>
      </c>
      <c r="K142" s="19">
        <f t="shared" si="19"/>
        <v>0</v>
      </c>
      <c r="L142" s="21">
        <f t="shared" si="20"/>
        <v>38</v>
      </c>
      <c r="M142" s="25"/>
      <c r="N142" s="25"/>
      <c r="O142" s="19"/>
      <c r="P142" s="19"/>
      <c r="Q142" s="19"/>
      <c r="R142" s="19"/>
      <c r="S142" s="19"/>
      <c r="T142" s="19"/>
      <c r="U142" s="19"/>
      <c r="V142" s="19">
        <f>2*5</f>
        <v>10</v>
      </c>
      <c r="W142" s="19"/>
      <c r="X142" s="19"/>
      <c r="Y142" s="19"/>
      <c r="Z142" s="19"/>
      <c r="AA142" s="19"/>
      <c r="AB142" s="19">
        <f>2*7</f>
        <v>14</v>
      </c>
      <c r="AC142" s="19"/>
      <c r="AD142" s="19"/>
      <c r="AE142" s="19"/>
      <c r="AF142" s="19"/>
      <c r="AG142" s="19"/>
      <c r="AH142" s="19"/>
      <c r="AI142" s="19"/>
      <c r="AJ142" s="19"/>
      <c r="AK142" s="19">
        <f>2*7</f>
        <v>14</v>
      </c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</row>
    <row r="143" spans="1:142" x14ac:dyDescent="0.25">
      <c r="A143" s="19" t="s">
        <v>173</v>
      </c>
      <c r="B143" s="19"/>
      <c r="C143" s="40" t="s">
        <v>174</v>
      </c>
      <c r="D143" s="40"/>
      <c r="E143" s="19" t="s">
        <v>169</v>
      </c>
      <c r="F143" s="20"/>
      <c r="G143" s="19"/>
      <c r="H143" s="21"/>
      <c r="I143" s="19">
        <f t="shared" si="21"/>
        <v>1</v>
      </c>
      <c r="J143" s="19">
        <f t="shared" si="18"/>
        <v>0</v>
      </c>
      <c r="K143" s="19">
        <f t="shared" si="19"/>
        <v>0</v>
      </c>
      <c r="L143" s="21">
        <f t="shared" si="20"/>
        <v>1</v>
      </c>
      <c r="M143" s="25"/>
      <c r="N143" s="2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>
        <v>1</v>
      </c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</row>
    <row r="144" spans="1:142" x14ac:dyDescent="0.25">
      <c r="A144" s="19" t="s">
        <v>173</v>
      </c>
      <c r="B144" s="19"/>
      <c r="C144" s="40" t="s">
        <v>175</v>
      </c>
      <c r="D144" s="40"/>
      <c r="E144" s="19" t="s">
        <v>169</v>
      </c>
      <c r="F144" s="20"/>
      <c r="G144" s="19"/>
      <c r="H144" s="21"/>
      <c r="I144" s="19">
        <f t="shared" si="21"/>
        <v>0</v>
      </c>
      <c r="J144" s="19">
        <f t="shared" si="18"/>
        <v>1</v>
      </c>
      <c r="K144" s="19">
        <f t="shared" si="19"/>
        <v>0</v>
      </c>
      <c r="L144" s="21">
        <f t="shared" si="20"/>
        <v>1</v>
      </c>
      <c r="M144" s="25"/>
      <c r="N144" s="2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>
        <v>1</v>
      </c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</row>
    <row r="145" spans="1:142" x14ac:dyDescent="0.25">
      <c r="A145" s="25" t="s">
        <v>173</v>
      </c>
      <c r="B145" s="25"/>
      <c r="C145" s="41" t="s">
        <v>176</v>
      </c>
      <c r="D145" s="41"/>
      <c r="E145" s="19" t="s">
        <v>169</v>
      </c>
      <c r="F145" s="20"/>
      <c r="G145" s="19"/>
      <c r="H145" s="21"/>
      <c r="I145" s="19">
        <f t="shared" si="21"/>
        <v>1</v>
      </c>
      <c r="J145" s="19">
        <f t="shared" si="18"/>
        <v>0</v>
      </c>
      <c r="K145" s="19">
        <f t="shared" si="19"/>
        <v>0</v>
      </c>
      <c r="L145" s="21">
        <f t="shared" si="20"/>
        <v>1</v>
      </c>
      <c r="M145" s="25"/>
      <c r="N145" s="25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>
        <v>1</v>
      </c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</row>
    <row r="146" spans="1:142" x14ac:dyDescent="0.25">
      <c r="A146" s="19" t="s">
        <v>173</v>
      </c>
      <c r="B146" s="19"/>
      <c r="C146" s="40" t="s">
        <v>177</v>
      </c>
      <c r="D146" s="40"/>
      <c r="E146" s="19" t="s">
        <v>169</v>
      </c>
      <c r="F146" s="20"/>
      <c r="G146" s="19"/>
      <c r="H146" s="21"/>
      <c r="I146" s="19">
        <f t="shared" si="21"/>
        <v>0</v>
      </c>
      <c r="J146" s="19">
        <f t="shared" si="18"/>
        <v>1</v>
      </c>
      <c r="K146" s="19">
        <f t="shared" si="19"/>
        <v>0</v>
      </c>
      <c r="L146" s="21">
        <f t="shared" si="20"/>
        <v>1</v>
      </c>
      <c r="M146" s="25"/>
      <c r="N146" s="25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>
        <v>1</v>
      </c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</row>
    <row r="147" spans="1:142" x14ac:dyDescent="0.25">
      <c r="A147" s="19" t="s">
        <v>173</v>
      </c>
      <c r="B147" s="19"/>
      <c r="C147" s="40" t="s">
        <v>178</v>
      </c>
      <c r="D147" s="40"/>
      <c r="E147" s="19" t="s">
        <v>169</v>
      </c>
      <c r="F147" s="20"/>
      <c r="G147" s="19"/>
      <c r="H147" s="21"/>
      <c r="I147" s="19">
        <f t="shared" si="21"/>
        <v>0</v>
      </c>
      <c r="J147" s="19">
        <f t="shared" si="18"/>
        <v>2</v>
      </c>
      <c r="K147" s="19">
        <f t="shared" si="19"/>
        <v>0</v>
      </c>
      <c r="L147" s="21">
        <f t="shared" si="20"/>
        <v>2</v>
      </c>
      <c r="M147" s="25"/>
      <c r="N147" s="25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>
        <v>1</v>
      </c>
      <c r="CX147" s="19"/>
      <c r="CY147" s="19"/>
      <c r="CZ147" s="19"/>
      <c r="DA147" s="19"/>
      <c r="DB147" s="19">
        <v>1</v>
      </c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</row>
    <row r="148" spans="1:142" x14ac:dyDescent="0.25">
      <c r="A148" s="19" t="s">
        <v>173</v>
      </c>
      <c r="B148" s="19"/>
      <c r="C148" s="40" t="s">
        <v>179</v>
      </c>
      <c r="D148" s="40"/>
      <c r="E148" s="19" t="s">
        <v>169</v>
      </c>
      <c r="F148" s="20"/>
      <c r="G148" s="19"/>
      <c r="H148" s="21"/>
      <c r="I148" s="19">
        <f t="shared" si="21"/>
        <v>0</v>
      </c>
      <c r="J148" s="19">
        <f t="shared" si="18"/>
        <v>1</v>
      </c>
      <c r="K148" s="19">
        <f t="shared" si="19"/>
        <v>0</v>
      </c>
      <c r="L148" s="21">
        <f t="shared" si="20"/>
        <v>1</v>
      </c>
      <c r="M148" s="25"/>
      <c r="N148" s="25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>
        <v>1</v>
      </c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</row>
    <row r="149" spans="1:142" ht="15" customHeight="1" x14ac:dyDescent="0.25">
      <c r="A149" s="25" t="s">
        <v>173</v>
      </c>
      <c r="B149" s="25"/>
      <c r="C149" s="41" t="s">
        <v>180</v>
      </c>
      <c r="D149" s="41"/>
      <c r="E149" s="19" t="s">
        <v>169</v>
      </c>
      <c r="F149" s="20"/>
      <c r="G149" s="19"/>
      <c r="H149" s="21"/>
      <c r="I149" s="19">
        <f t="shared" ref="I149:I196" si="22">SUM(M149:AV149)</f>
        <v>0</v>
      </c>
      <c r="J149" s="19">
        <f t="shared" ref="J149:J195" si="23">SUM(AW149:EE149)</f>
        <v>1</v>
      </c>
      <c r="K149" s="19">
        <f t="shared" ref="K149:K195" si="24">SUM(EF149:EM149)</f>
        <v>0</v>
      </c>
      <c r="L149" s="21">
        <f t="shared" ref="L149:L195" si="25">SUM(M149:EM149)</f>
        <v>1</v>
      </c>
      <c r="M149" s="25"/>
      <c r="N149" s="25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>
        <v>1</v>
      </c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</row>
    <row r="150" spans="1:142" ht="15" customHeight="1" x14ac:dyDescent="0.25">
      <c r="A150" s="25" t="s">
        <v>173</v>
      </c>
      <c r="B150" s="25"/>
      <c r="C150" s="41" t="s">
        <v>181</v>
      </c>
      <c r="D150" s="41"/>
      <c r="E150" s="19" t="s">
        <v>169</v>
      </c>
      <c r="F150" s="20"/>
      <c r="G150" s="19"/>
      <c r="H150" s="21"/>
      <c r="I150" s="19">
        <f t="shared" si="22"/>
        <v>0</v>
      </c>
      <c r="J150" s="19">
        <f t="shared" si="23"/>
        <v>1</v>
      </c>
      <c r="K150" s="19">
        <f t="shared" si="24"/>
        <v>0</v>
      </c>
      <c r="L150" s="21">
        <f t="shared" si="25"/>
        <v>1</v>
      </c>
      <c r="M150" s="25"/>
      <c r="N150" s="25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>
        <v>1</v>
      </c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</row>
    <row r="151" spans="1:142" ht="15" customHeight="1" x14ac:dyDescent="0.25">
      <c r="A151" s="25" t="s">
        <v>173</v>
      </c>
      <c r="B151" s="25"/>
      <c r="C151" s="41" t="s">
        <v>181</v>
      </c>
      <c r="D151" s="41"/>
      <c r="E151" s="19" t="s">
        <v>169</v>
      </c>
      <c r="F151" s="20"/>
      <c r="G151" s="19"/>
      <c r="H151" s="21"/>
      <c r="I151" s="19">
        <f t="shared" si="22"/>
        <v>0</v>
      </c>
      <c r="J151" s="19">
        <f t="shared" si="23"/>
        <v>1</v>
      </c>
      <c r="K151" s="19">
        <f t="shared" si="24"/>
        <v>0</v>
      </c>
      <c r="L151" s="21">
        <f t="shared" si="25"/>
        <v>1</v>
      </c>
      <c r="M151" s="25"/>
      <c r="N151" s="25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25">
        <v>1</v>
      </c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</row>
    <row r="152" spans="1:142" x14ac:dyDescent="0.25">
      <c r="A152" s="19" t="s">
        <v>173</v>
      </c>
      <c r="B152" s="19"/>
      <c r="C152" s="40" t="s">
        <v>182</v>
      </c>
      <c r="D152" s="40"/>
      <c r="E152" s="19" t="s">
        <v>169</v>
      </c>
      <c r="F152" s="20"/>
      <c r="G152" s="19"/>
      <c r="H152" s="21"/>
      <c r="I152" s="19">
        <f t="shared" si="22"/>
        <v>0</v>
      </c>
      <c r="J152" s="19">
        <f t="shared" si="23"/>
        <v>1</v>
      </c>
      <c r="K152" s="19">
        <f t="shared" si="24"/>
        <v>0</v>
      </c>
      <c r="L152" s="21">
        <f t="shared" si="25"/>
        <v>1</v>
      </c>
      <c r="M152" s="25"/>
      <c r="N152" s="25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>
        <v>1</v>
      </c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</row>
    <row r="153" spans="1:142" x14ac:dyDescent="0.25">
      <c r="A153" s="19" t="s">
        <v>173</v>
      </c>
      <c r="B153" s="19"/>
      <c r="C153" s="40" t="s">
        <v>183</v>
      </c>
      <c r="D153" s="40"/>
      <c r="E153" s="19" t="s">
        <v>169</v>
      </c>
      <c r="F153" s="20"/>
      <c r="G153" s="19"/>
      <c r="H153" s="21"/>
      <c r="I153" s="19">
        <f t="shared" si="22"/>
        <v>0</v>
      </c>
      <c r="J153" s="19">
        <f t="shared" si="23"/>
        <v>1</v>
      </c>
      <c r="K153" s="19">
        <f t="shared" si="24"/>
        <v>0</v>
      </c>
      <c r="L153" s="21">
        <f t="shared" si="25"/>
        <v>1</v>
      </c>
      <c r="M153" s="25"/>
      <c r="N153" s="25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>
        <v>1</v>
      </c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</row>
    <row r="154" spans="1:142" x14ac:dyDescent="0.25">
      <c r="A154" s="19" t="s">
        <v>173</v>
      </c>
      <c r="B154" s="19"/>
      <c r="C154" s="40" t="s">
        <v>184</v>
      </c>
      <c r="D154" s="40"/>
      <c r="E154" s="19" t="s">
        <v>169</v>
      </c>
      <c r="F154" s="20"/>
      <c r="G154" s="19"/>
      <c r="H154" s="21"/>
      <c r="I154" s="19">
        <f t="shared" si="22"/>
        <v>0</v>
      </c>
      <c r="J154" s="19">
        <f t="shared" si="23"/>
        <v>1</v>
      </c>
      <c r="K154" s="19">
        <f t="shared" si="24"/>
        <v>0</v>
      </c>
      <c r="L154" s="21">
        <f t="shared" si="25"/>
        <v>1</v>
      </c>
      <c r="M154" s="25"/>
      <c r="N154" s="25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>
        <v>1</v>
      </c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</row>
    <row r="155" spans="1:142" x14ac:dyDescent="0.25">
      <c r="A155" s="19" t="s">
        <v>173</v>
      </c>
      <c r="B155" s="19"/>
      <c r="C155" s="40" t="s">
        <v>185</v>
      </c>
      <c r="D155" s="40"/>
      <c r="E155" s="19" t="s">
        <v>169</v>
      </c>
      <c r="F155" s="20"/>
      <c r="G155" s="19"/>
      <c r="H155" s="21"/>
      <c r="I155" s="19">
        <f t="shared" si="22"/>
        <v>1</v>
      </c>
      <c r="J155" s="19">
        <f t="shared" si="23"/>
        <v>0</v>
      </c>
      <c r="K155" s="19">
        <f t="shared" si="24"/>
        <v>0</v>
      </c>
      <c r="L155" s="21">
        <f t="shared" si="25"/>
        <v>1</v>
      </c>
      <c r="M155" s="25"/>
      <c r="N155" s="25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>
        <v>1</v>
      </c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</row>
    <row r="156" spans="1:142" x14ac:dyDescent="0.25">
      <c r="A156" s="19" t="s">
        <v>173</v>
      </c>
      <c r="B156" s="19"/>
      <c r="C156" s="40" t="s">
        <v>186</v>
      </c>
      <c r="D156" s="40"/>
      <c r="E156" s="19" t="s">
        <v>169</v>
      </c>
      <c r="F156" s="20"/>
      <c r="G156" s="19"/>
      <c r="H156" s="21"/>
      <c r="I156" s="19">
        <f t="shared" si="22"/>
        <v>2</v>
      </c>
      <c r="J156" s="19">
        <f t="shared" si="23"/>
        <v>0</v>
      </c>
      <c r="K156" s="19">
        <f t="shared" si="24"/>
        <v>0</v>
      </c>
      <c r="L156" s="21">
        <f t="shared" si="25"/>
        <v>2</v>
      </c>
      <c r="M156" s="25"/>
      <c r="N156" s="25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>
        <v>1</v>
      </c>
      <c r="AC156" s="19"/>
      <c r="AD156" s="19"/>
      <c r="AE156" s="19"/>
      <c r="AF156" s="19"/>
      <c r="AG156" s="19"/>
      <c r="AH156" s="19"/>
      <c r="AI156" s="19"/>
      <c r="AJ156" s="19"/>
      <c r="AK156" s="19">
        <v>1</v>
      </c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</row>
    <row r="157" spans="1:142" x14ac:dyDescent="0.25">
      <c r="A157" s="19" t="s">
        <v>173</v>
      </c>
      <c r="B157" s="19"/>
      <c r="C157" s="40" t="s">
        <v>187</v>
      </c>
      <c r="D157" s="40"/>
      <c r="E157" s="19" t="s">
        <v>169</v>
      </c>
      <c r="F157" s="20"/>
      <c r="G157" s="19"/>
      <c r="H157" s="21"/>
      <c r="I157" s="19">
        <f t="shared" si="22"/>
        <v>1</v>
      </c>
      <c r="J157" s="19">
        <f t="shared" si="23"/>
        <v>0</v>
      </c>
      <c r="K157" s="19">
        <f t="shared" si="24"/>
        <v>0</v>
      </c>
      <c r="L157" s="21">
        <f t="shared" si="25"/>
        <v>1</v>
      </c>
      <c r="M157" s="25"/>
      <c r="N157" s="25"/>
      <c r="O157" s="19"/>
      <c r="P157" s="19"/>
      <c r="Q157" s="19"/>
      <c r="R157" s="19"/>
      <c r="S157" s="19"/>
      <c r="T157" s="19"/>
      <c r="U157" s="19"/>
      <c r="V157" s="19">
        <v>1</v>
      </c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</row>
    <row r="158" spans="1:142" x14ac:dyDescent="0.25">
      <c r="A158" s="19" t="s">
        <v>188</v>
      </c>
      <c r="B158" s="19"/>
      <c r="C158" s="40" t="s">
        <v>189</v>
      </c>
      <c r="D158" s="40"/>
      <c r="E158" s="19" t="s">
        <v>169</v>
      </c>
      <c r="F158" s="20"/>
      <c r="G158" s="19"/>
      <c r="H158" s="21"/>
      <c r="I158" s="19">
        <f t="shared" si="22"/>
        <v>0</v>
      </c>
      <c r="J158" s="19">
        <f t="shared" si="23"/>
        <v>1</v>
      </c>
      <c r="K158" s="19">
        <f t="shared" si="24"/>
        <v>0</v>
      </c>
      <c r="L158" s="21">
        <f t="shared" si="25"/>
        <v>1</v>
      </c>
      <c r="M158" s="25"/>
      <c r="N158" s="25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>
        <v>1</v>
      </c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</row>
    <row r="159" spans="1:142" x14ac:dyDescent="0.25">
      <c r="A159" s="19" t="s">
        <v>188</v>
      </c>
      <c r="B159" s="19"/>
      <c r="C159" s="40" t="s">
        <v>190</v>
      </c>
      <c r="D159" s="40"/>
      <c r="E159" s="19" t="s">
        <v>169</v>
      </c>
      <c r="F159" s="20"/>
      <c r="G159" s="19"/>
      <c r="H159" s="21"/>
      <c r="I159" s="19">
        <f t="shared" si="22"/>
        <v>0</v>
      </c>
      <c r="J159" s="19">
        <f t="shared" si="23"/>
        <v>1</v>
      </c>
      <c r="K159" s="19">
        <f t="shared" si="24"/>
        <v>0</v>
      </c>
      <c r="L159" s="21">
        <f t="shared" si="25"/>
        <v>1</v>
      </c>
      <c r="M159" s="25"/>
      <c r="N159" s="25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>
        <v>1</v>
      </c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</row>
    <row r="160" spans="1:142" x14ac:dyDescent="0.25">
      <c r="A160" s="19" t="s">
        <v>188</v>
      </c>
      <c r="B160" s="19"/>
      <c r="C160" s="40" t="s">
        <v>191</v>
      </c>
      <c r="D160" s="40"/>
      <c r="E160" s="19" t="s">
        <v>169</v>
      </c>
      <c r="F160" s="20"/>
      <c r="G160" s="19"/>
      <c r="H160" s="21"/>
      <c r="I160" s="19">
        <f t="shared" si="22"/>
        <v>0</v>
      </c>
      <c r="J160" s="19">
        <f t="shared" si="23"/>
        <v>1</v>
      </c>
      <c r="K160" s="19">
        <f t="shared" si="24"/>
        <v>0</v>
      </c>
      <c r="L160" s="21">
        <f t="shared" si="25"/>
        <v>1</v>
      </c>
      <c r="M160" s="25"/>
      <c r="N160" s="25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>
        <v>1</v>
      </c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</row>
    <row r="161" spans="1:142" x14ac:dyDescent="0.25">
      <c r="A161" s="25" t="s">
        <v>188</v>
      </c>
      <c r="B161" s="25"/>
      <c r="C161" s="41" t="s">
        <v>192</v>
      </c>
      <c r="D161" s="41"/>
      <c r="E161" s="19" t="s">
        <v>169</v>
      </c>
      <c r="F161" s="20"/>
      <c r="G161" s="19"/>
      <c r="H161" s="21"/>
      <c r="I161" s="19">
        <f t="shared" si="22"/>
        <v>0</v>
      </c>
      <c r="J161" s="19">
        <f t="shared" si="23"/>
        <v>1</v>
      </c>
      <c r="K161" s="19">
        <f t="shared" si="24"/>
        <v>0</v>
      </c>
      <c r="L161" s="21">
        <f t="shared" si="25"/>
        <v>1</v>
      </c>
      <c r="M161" s="25"/>
      <c r="N161" s="25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>
        <v>1</v>
      </c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</row>
    <row r="162" spans="1:142" x14ac:dyDescent="0.25">
      <c r="A162" s="25" t="s">
        <v>188</v>
      </c>
      <c r="B162" s="25"/>
      <c r="C162" s="41" t="s">
        <v>193</v>
      </c>
      <c r="D162" s="41"/>
      <c r="E162" s="19" t="s">
        <v>169</v>
      </c>
      <c r="F162" s="20"/>
      <c r="G162" s="19"/>
      <c r="H162" s="21"/>
      <c r="I162" s="19">
        <f t="shared" si="22"/>
        <v>0</v>
      </c>
      <c r="J162" s="19">
        <f t="shared" si="23"/>
        <v>1</v>
      </c>
      <c r="K162" s="19">
        <f t="shared" si="24"/>
        <v>0</v>
      </c>
      <c r="L162" s="21">
        <f t="shared" si="25"/>
        <v>1</v>
      </c>
      <c r="M162" s="25"/>
      <c r="N162" s="25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25">
        <v>1</v>
      </c>
      <c r="EF162" s="19"/>
      <c r="EG162" s="19"/>
      <c r="EH162" s="19"/>
      <c r="EI162" s="19"/>
      <c r="EJ162" s="19"/>
      <c r="EK162" s="19"/>
      <c r="EL162" s="19"/>
    </row>
    <row r="163" spans="1:142" x14ac:dyDescent="0.25">
      <c r="A163" s="19" t="s">
        <v>188</v>
      </c>
      <c r="B163" s="19"/>
      <c r="C163" s="40" t="s">
        <v>194</v>
      </c>
      <c r="D163" s="40"/>
      <c r="E163" s="19" t="s">
        <v>169</v>
      </c>
      <c r="F163" s="20"/>
      <c r="G163" s="19"/>
      <c r="H163" s="21"/>
      <c r="I163" s="19">
        <f t="shared" si="22"/>
        <v>0</v>
      </c>
      <c r="J163" s="19">
        <f t="shared" si="23"/>
        <v>1</v>
      </c>
      <c r="K163" s="19">
        <f t="shared" si="24"/>
        <v>0</v>
      </c>
      <c r="L163" s="21">
        <f t="shared" si="25"/>
        <v>1</v>
      </c>
      <c r="M163" s="25"/>
      <c r="N163" s="25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>
        <v>1</v>
      </c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</row>
    <row r="164" spans="1:142" x14ac:dyDescent="0.25">
      <c r="A164" s="25" t="s">
        <v>188</v>
      </c>
      <c r="B164" s="25"/>
      <c r="C164" s="41" t="s">
        <v>195</v>
      </c>
      <c r="D164" s="41"/>
      <c r="E164" s="19" t="s">
        <v>169</v>
      </c>
      <c r="F164" s="20"/>
      <c r="G164" s="19"/>
      <c r="H164" s="21"/>
      <c r="I164" s="19">
        <f t="shared" si="22"/>
        <v>1</v>
      </c>
      <c r="J164" s="19">
        <f t="shared" si="23"/>
        <v>0</v>
      </c>
      <c r="K164" s="19">
        <f t="shared" si="24"/>
        <v>0</v>
      </c>
      <c r="L164" s="21">
        <f t="shared" si="25"/>
        <v>1</v>
      </c>
      <c r="M164" s="25"/>
      <c r="N164" s="25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25">
        <v>1</v>
      </c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</row>
    <row r="165" spans="1:142" x14ac:dyDescent="0.25">
      <c r="A165" s="19" t="s">
        <v>188</v>
      </c>
      <c r="B165" s="19"/>
      <c r="C165" s="40" t="s">
        <v>196</v>
      </c>
      <c r="D165" s="40"/>
      <c r="E165" s="19" t="s">
        <v>169</v>
      </c>
      <c r="F165" s="20"/>
      <c r="G165" s="19"/>
      <c r="H165" s="21"/>
      <c r="I165" s="19">
        <f t="shared" si="22"/>
        <v>2</v>
      </c>
      <c r="J165" s="19">
        <f t="shared" si="23"/>
        <v>0</v>
      </c>
      <c r="K165" s="19">
        <f t="shared" si="24"/>
        <v>0</v>
      </c>
      <c r="L165" s="21">
        <f t="shared" si="25"/>
        <v>2</v>
      </c>
      <c r="M165" s="25"/>
      <c r="N165" s="25"/>
      <c r="O165" s="19">
        <v>1</v>
      </c>
      <c r="P165" s="19">
        <v>1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</row>
    <row r="166" spans="1:142" x14ac:dyDescent="0.25">
      <c r="A166" s="19" t="s">
        <v>188</v>
      </c>
      <c r="B166" s="19"/>
      <c r="C166" s="40" t="s">
        <v>197</v>
      </c>
      <c r="D166" s="40"/>
      <c r="E166" s="19" t="s">
        <v>169</v>
      </c>
      <c r="F166" s="20"/>
      <c r="G166" s="19"/>
      <c r="H166" s="21"/>
      <c r="I166" s="19">
        <f t="shared" si="22"/>
        <v>0</v>
      </c>
      <c r="J166" s="19">
        <f t="shared" si="23"/>
        <v>0</v>
      </c>
      <c r="K166" s="19">
        <f t="shared" si="24"/>
        <v>1</v>
      </c>
      <c r="L166" s="21">
        <f t="shared" si="25"/>
        <v>1</v>
      </c>
      <c r="M166" s="25"/>
      <c r="N166" s="25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>
        <v>1</v>
      </c>
      <c r="EI166" s="19"/>
      <c r="EJ166" s="19"/>
      <c r="EK166" s="19"/>
      <c r="EL166" s="19"/>
    </row>
    <row r="167" spans="1:142" x14ac:dyDescent="0.25">
      <c r="A167" s="19" t="s">
        <v>188</v>
      </c>
      <c r="B167" s="19"/>
      <c r="C167" s="40" t="s">
        <v>198</v>
      </c>
      <c r="D167" s="40"/>
      <c r="E167" s="19" t="s">
        <v>169</v>
      </c>
      <c r="F167" s="20"/>
      <c r="G167" s="19"/>
      <c r="H167" s="21"/>
      <c r="I167" s="19">
        <f t="shared" si="22"/>
        <v>0</v>
      </c>
      <c r="J167" s="19">
        <f t="shared" si="23"/>
        <v>2</v>
      </c>
      <c r="K167" s="19">
        <f t="shared" si="24"/>
        <v>0</v>
      </c>
      <c r="L167" s="21">
        <f t="shared" si="25"/>
        <v>2</v>
      </c>
      <c r="M167" s="25"/>
      <c r="N167" s="25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>
        <v>1</v>
      </c>
      <c r="CB167" s="19">
        <v>1</v>
      </c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</row>
    <row r="168" spans="1:142" x14ac:dyDescent="0.25">
      <c r="A168" s="19" t="s">
        <v>188</v>
      </c>
      <c r="B168" s="19"/>
      <c r="C168" s="40" t="s">
        <v>199</v>
      </c>
      <c r="D168" s="40"/>
      <c r="E168" s="19" t="s">
        <v>169</v>
      </c>
      <c r="F168" s="20"/>
      <c r="G168" s="19"/>
      <c r="H168" s="21"/>
      <c r="I168" s="19">
        <f t="shared" si="22"/>
        <v>0</v>
      </c>
      <c r="J168" s="19">
        <f t="shared" si="23"/>
        <v>1</v>
      </c>
      <c r="K168" s="19">
        <f t="shared" si="24"/>
        <v>1</v>
      </c>
      <c r="L168" s="21">
        <f t="shared" si="25"/>
        <v>2</v>
      </c>
      <c r="M168" s="25"/>
      <c r="N168" s="25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>
        <v>1</v>
      </c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>
        <v>1</v>
      </c>
      <c r="EI168" s="19"/>
      <c r="EJ168" s="19"/>
      <c r="EK168" s="19"/>
      <c r="EL168" s="19"/>
    </row>
    <row r="169" spans="1:142" x14ac:dyDescent="0.25">
      <c r="A169" s="19" t="s">
        <v>188</v>
      </c>
      <c r="B169" s="19"/>
      <c r="C169" s="40" t="s">
        <v>200</v>
      </c>
      <c r="D169" s="40"/>
      <c r="E169" s="19" t="s">
        <v>169</v>
      </c>
      <c r="F169" s="20"/>
      <c r="G169" s="19"/>
      <c r="H169" s="21"/>
      <c r="I169" s="19">
        <f t="shared" si="22"/>
        <v>0</v>
      </c>
      <c r="J169" s="19">
        <f t="shared" si="23"/>
        <v>1</v>
      </c>
      <c r="K169" s="19">
        <f t="shared" si="24"/>
        <v>0</v>
      </c>
      <c r="L169" s="21">
        <f t="shared" si="25"/>
        <v>1</v>
      </c>
      <c r="M169" s="25"/>
      <c r="N169" s="25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>
        <v>1</v>
      </c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</row>
    <row r="170" spans="1:142" x14ac:dyDescent="0.25">
      <c r="A170" s="19" t="s">
        <v>188</v>
      </c>
      <c r="B170" s="19"/>
      <c r="C170" s="40" t="s">
        <v>183</v>
      </c>
      <c r="D170" s="40"/>
      <c r="E170" s="19" t="s">
        <v>169</v>
      </c>
      <c r="F170" s="20"/>
      <c r="G170" s="19"/>
      <c r="H170" s="21"/>
      <c r="I170" s="19">
        <f t="shared" si="22"/>
        <v>2</v>
      </c>
      <c r="J170" s="19">
        <f t="shared" si="23"/>
        <v>0</v>
      </c>
      <c r="K170" s="19">
        <f t="shared" si="24"/>
        <v>1</v>
      </c>
      <c r="L170" s="21">
        <f t="shared" si="25"/>
        <v>3</v>
      </c>
      <c r="M170" s="32">
        <v>1</v>
      </c>
      <c r="N170" s="19"/>
      <c r="O170" s="19"/>
      <c r="P170" s="19"/>
      <c r="Q170" s="19"/>
      <c r="R170" s="19"/>
      <c r="S170" s="19">
        <v>1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>
        <v>1</v>
      </c>
      <c r="EG170" s="19"/>
      <c r="EH170" s="19"/>
      <c r="EI170" s="19"/>
      <c r="EJ170" s="19"/>
      <c r="EK170" s="19"/>
      <c r="EL170" s="19"/>
    </row>
    <row r="171" spans="1:142" x14ac:dyDescent="0.25">
      <c r="A171" s="25" t="s">
        <v>188</v>
      </c>
      <c r="B171" s="25"/>
      <c r="C171" s="41" t="s">
        <v>201</v>
      </c>
      <c r="D171" s="41"/>
      <c r="E171" s="19" t="s">
        <v>169</v>
      </c>
      <c r="F171" s="20"/>
      <c r="G171" s="19"/>
      <c r="H171" s="21"/>
      <c r="I171" s="19">
        <f t="shared" si="22"/>
        <v>0</v>
      </c>
      <c r="J171" s="19">
        <f t="shared" si="23"/>
        <v>1</v>
      </c>
      <c r="K171" s="19">
        <f t="shared" si="24"/>
        <v>0</v>
      </c>
      <c r="L171" s="21">
        <f t="shared" si="25"/>
        <v>1</v>
      </c>
      <c r="M171" s="32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>
        <v>1</v>
      </c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</row>
    <row r="172" spans="1:142" x14ac:dyDescent="0.25">
      <c r="A172" s="19" t="s">
        <v>202</v>
      </c>
      <c r="B172" s="19"/>
      <c r="C172" s="40" t="s">
        <v>203</v>
      </c>
      <c r="D172" s="40"/>
      <c r="E172" s="19" t="s">
        <v>169</v>
      </c>
      <c r="F172" s="20"/>
      <c r="G172" s="19"/>
      <c r="H172" s="21"/>
      <c r="I172" s="19">
        <f t="shared" si="22"/>
        <v>4</v>
      </c>
      <c r="J172" s="19">
        <f t="shared" si="23"/>
        <v>9</v>
      </c>
      <c r="K172" s="19">
        <f t="shared" si="24"/>
        <v>0</v>
      </c>
      <c r="L172" s="21">
        <f t="shared" si="25"/>
        <v>13</v>
      </c>
      <c r="M172" s="32"/>
      <c r="N172" s="19"/>
      <c r="O172" s="19"/>
      <c r="P172" s="19"/>
      <c r="Q172" s="19"/>
      <c r="R172" s="19"/>
      <c r="S172" s="19"/>
      <c r="T172" s="19"/>
      <c r="U172" s="19"/>
      <c r="V172" s="19"/>
      <c r="W172" s="19">
        <v>1</v>
      </c>
      <c r="X172" s="19"/>
      <c r="Y172" s="19"/>
      <c r="Z172" s="19"/>
      <c r="AA172" s="19"/>
      <c r="AB172" s="19"/>
      <c r="AC172" s="19"/>
      <c r="AD172" s="19"/>
      <c r="AE172" s="19"/>
      <c r="AF172" s="19">
        <v>1</v>
      </c>
      <c r="AG172" s="19"/>
      <c r="AH172" s="19"/>
      <c r="AI172" s="19"/>
      <c r="AJ172" s="19"/>
      <c r="AK172" s="19"/>
      <c r="AL172" s="19"/>
      <c r="AM172" s="19"/>
      <c r="AN172" s="19">
        <v>1</v>
      </c>
      <c r="AO172" s="19">
        <v>1</v>
      </c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>
        <v>1</v>
      </c>
      <c r="BF172" s="19">
        <v>1</v>
      </c>
      <c r="BG172" s="19">
        <v>1</v>
      </c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>
        <v>1</v>
      </c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>
        <v>1</v>
      </c>
      <c r="DA172" s="19">
        <v>1</v>
      </c>
      <c r="DB172" s="19"/>
      <c r="DC172" s="19"/>
      <c r="DD172" s="19"/>
      <c r="DE172" s="19"/>
      <c r="DF172" s="19"/>
      <c r="DG172" s="19"/>
      <c r="DH172" s="19">
        <v>1</v>
      </c>
      <c r="DI172" s="19"/>
      <c r="DJ172" s="19"/>
      <c r="DK172" s="19"/>
      <c r="DL172" s="19"/>
      <c r="DM172" s="19"/>
      <c r="DN172" s="19"/>
      <c r="DO172" s="19">
        <v>1</v>
      </c>
      <c r="DP172" s="19">
        <v>1</v>
      </c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</row>
    <row r="173" spans="1:142" x14ac:dyDescent="0.25">
      <c r="A173" s="19" t="s">
        <v>202</v>
      </c>
      <c r="B173" s="19"/>
      <c r="C173" s="40" t="s">
        <v>204</v>
      </c>
      <c r="D173" s="40"/>
      <c r="E173" s="19" t="s">
        <v>169</v>
      </c>
      <c r="F173" s="20"/>
      <c r="G173" s="19"/>
      <c r="H173" s="21"/>
      <c r="I173" s="19">
        <f t="shared" si="22"/>
        <v>2</v>
      </c>
      <c r="J173" s="19">
        <f t="shared" si="23"/>
        <v>4</v>
      </c>
      <c r="K173" s="19">
        <f t="shared" si="24"/>
        <v>0</v>
      </c>
      <c r="L173" s="21">
        <f t="shared" si="25"/>
        <v>6</v>
      </c>
      <c r="M173" s="32"/>
      <c r="N173" s="19"/>
      <c r="O173" s="19"/>
      <c r="P173" s="19"/>
      <c r="Q173" s="19"/>
      <c r="R173" s="19"/>
      <c r="S173" s="19"/>
      <c r="T173" s="19"/>
      <c r="U173" s="19">
        <v>1</v>
      </c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>
        <v>1</v>
      </c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>
        <v>1</v>
      </c>
      <c r="BB173" s="19">
        <v>1</v>
      </c>
      <c r="BC173" s="19">
        <v>1</v>
      </c>
      <c r="BD173" s="19">
        <v>1</v>
      </c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</row>
    <row r="174" spans="1:142" x14ac:dyDescent="0.25">
      <c r="A174" s="19" t="s">
        <v>202</v>
      </c>
      <c r="B174" s="19"/>
      <c r="C174" s="40" t="s">
        <v>205</v>
      </c>
      <c r="D174" s="40"/>
      <c r="E174" s="19" t="s">
        <v>169</v>
      </c>
      <c r="F174" s="20"/>
      <c r="G174" s="19"/>
      <c r="H174" s="21"/>
      <c r="I174" s="19">
        <f t="shared" si="22"/>
        <v>0</v>
      </c>
      <c r="J174" s="19">
        <f t="shared" si="23"/>
        <v>1</v>
      </c>
      <c r="K174" s="19">
        <f t="shared" si="24"/>
        <v>0</v>
      </c>
      <c r="L174" s="21">
        <f t="shared" si="25"/>
        <v>1</v>
      </c>
      <c r="M174" s="32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>
        <v>1</v>
      </c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</row>
    <row r="175" spans="1:142" x14ac:dyDescent="0.25">
      <c r="A175" s="19" t="s">
        <v>202</v>
      </c>
      <c r="B175" s="19"/>
      <c r="C175" s="40" t="s">
        <v>206</v>
      </c>
      <c r="D175" s="40"/>
      <c r="E175" s="19" t="s">
        <v>169</v>
      </c>
      <c r="F175" s="20"/>
      <c r="G175" s="19"/>
      <c r="H175" s="21"/>
      <c r="I175" s="19">
        <f t="shared" si="22"/>
        <v>5</v>
      </c>
      <c r="J175" s="19">
        <f t="shared" si="23"/>
        <v>11</v>
      </c>
      <c r="K175" s="19">
        <f t="shared" si="24"/>
        <v>0</v>
      </c>
      <c r="L175" s="21">
        <f t="shared" si="25"/>
        <v>16</v>
      </c>
      <c r="M175" s="32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>
        <v>1</v>
      </c>
      <c r="AO175" s="19"/>
      <c r="AP175" s="19"/>
      <c r="AQ175" s="19">
        <v>1</v>
      </c>
      <c r="AR175" s="19">
        <v>1</v>
      </c>
      <c r="AS175" s="19">
        <v>1</v>
      </c>
      <c r="AT175" s="19">
        <v>1</v>
      </c>
      <c r="AU175" s="19"/>
      <c r="AV175" s="19"/>
      <c r="AW175" s="19">
        <v>1</v>
      </c>
      <c r="AX175" s="19">
        <v>1</v>
      </c>
      <c r="AY175" s="19">
        <v>1</v>
      </c>
      <c r="AZ175" s="19">
        <v>1</v>
      </c>
      <c r="BA175" s="19">
        <v>1</v>
      </c>
      <c r="BB175" s="19">
        <v>1</v>
      </c>
      <c r="BC175" s="19">
        <v>1</v>
      </c>
      <c r="BD175" s="19">
        <v>1</v>
      </c>
      <c r="BE175" s="19"/>
      <c r="BF175" s="19"/>
      <c r="BG175" s="19">
        <v>1</v>
      </c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>
        <v>1</v>
      </c>
      <c r="CI175" s="19">
        <v>1</v>
      </c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</row>
    <row r="176" spans="1:142" x14ac:dyDescent="0.25">
      <c r="A176" s="19" t="s">
        <v>202</v>
      </c>
      <c r="B176" s="19"/>
      <c r="C176" s="40" t="s">
        <v>207</v>
      </c>
      <c r="D176" s="40"/>
      <c r="E176" s="19" t="s">
        <v>169</v>
      </c>
      <c r="F176" s="20"/>
      <c r="G176" s="19"/>
      <c r="H176" s="21"/>
      <c r="I176" s="19">
        <f t="shared" si="22"/>
        <v>0</v>
      </c>
      <c r="J176" s="19">
        <f t="shared" si="23"/>
        <v>3</v>
      </c>
      <c r="K176" s="19">
        <f t="shared" si="24"/>
        <v>0</v>
      </c>
      <c r="L176" s="21">
        <f t="shared" si="25"/>
        <v>3</v>
      </c>
      <c r="M176" s="32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>
        <v>1</v>
      </c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>
        <v>1</v>
      </c>
      <c r="CG176" s="19">
        <v>1</v>
      </c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</row>
    <row r="177" spans="1:142" x14ac:dyDescent="0.25">
      <c r="A177" s="19" t="s">
        <v>202</v>
      </c>
      <c r="B177" s="19"/>
      <c r="C177" s="40" t="s">
        <v>208</v>
      </c>
      <c r="D177" s="40"/>
      <c r="E177" s="19" t="s">
        <v>169</v>
      </c>
      <c r="F177" s="20"/>
      <c r="G177" s="19"/>
      <c r="H177" s="21"/>
      <c r="I177" s="19">
        <f t="shared" si="22"/>
        <v>0</v>
      </c>
      <c r="J177" s="19">
        <f t="shared" si="23"/>
        <v>2</v>
      </c>
      <c r="K177" s="19">
        <f t="shared" si="24"/>
        <v>0</v>
      </c>
      <c r="L177" s="21">
        <f t="shared" si="25"/>
        <v>2</v>
      </c>
      <c r="M177" s="32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25">
        <v>1</v>
      </c>
      <c r="DM177" s="25">
        <v>1</v>
      </c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</row>
    <row r="178" spans="1:142" x14ac:dyDescent="0.25">
      <c r="A178" s="19" t="s">
        <v>202</v>
      </c>
      <c r="B178" s="19"/>
      <c r="C178" s="40" t="s">
        <v>209</v>
      </c>
      <c r="D178" s="40"/>
      <c r="E178" s="19" t="s">
        <v>169</v>
      </c>
      <c r="F178" s="20"/>
      <c r="G178" s="19"/>
      <c r="H178" s="21"/>
      <c r="I178" s="19">
        <f t="shared" si="22"/>
        <v>0</v>
      </c>
      <c r="J178" s="19">
        <f t="shared" si="23"/>
        <v>6</v>
      </c>
      <c r="K178" s="19">
        <f t="shared" si="24"/>
        <v>0</v>
      </c>
      <c r="L178" s="21">
        <f t="shared" si="25"/>
        <v>6</v>
      </c>
      <c r="M178" s="32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>
        <v>1</v>
      </c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>
        <v>1</v>
      </c>
      <c r="CQ178" s="19">
        <v>1</v>
      </c>
      <c r="CR178" s="19">
        <v>1</v>
      </c>
      <c r="CS178" s="19"/>
      <c r="CT178" s="19"/>
      <c r="CU178" s="19"/>
      <c r="CV178" s="19"/>
      <c r="CW178" s="19"/>
      <c r="CX178" s="19">
        <v>1</v>
      </c>
      <c r="CY178" s="19"/>
      <c r="CZ178" s="19"/>
      <c r="DA178" s="19"/>
      <c r="DB178" s="19"/>
      <c r="DC178" s="19"/>
      <c r="DD178" s="19"/>
      <c r="DE178" s="19"/>
      <c r="DF178" s="19"/>
      <c r="DG178" s="19">
        <v>1</v>
      </c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</row>
    <row r="179" spans="1:142" x14ac:dyDescent="0.25">
      <c r="A179" s="19" t="s">
        <v>210</v>
      </c>
      <c r="B179" s="19"/>
      <c r="C179" s="24">
        <v>1600</v>
      </c>
      <c r="D179" s="24">
        <v>500</v>
      </c>
      <c r="E179" s="19" t="s">
        <v>169</v>
      </c>
      <c r="F179" s="20"/>
      <c r="G179" s="19"/>
      <c r="H179" s="21"/>
      <c r="I179" s="19">
        <f t="shared" si="22"/>
        <v>2</v>
      </c>
      <c r="J179" s="19">
        <f t="shared" si="23"/>
        <v>4</v>
      </c>
      <c r="K179" s="19">
        <f t="shared" si="24"/>
        <v>0</v>
      </c>
      <c r="L179" s="21">
        <f t="shared" si="25"/>
        <v>6</v>
      </c>
      <c r="M179" s="32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>
        <v>1</v>
      </c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>
        <v>1</v>
      </c>
      <c r="AU179" s="19"/>
      <c r="AV179" s="19"/>
      <c r="AW179" s="19"/>
      <c r="AX179" s="19"/>
      <c r="AY179" s="19"/>
      <c r="AZ179" s="19">
        <v>1</v>
      </c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>
        <v>1</v>
      </c>
      <c r="CH179" s="19"/>
      <c r="CI179" s="19"/>
      <c r="CJ179" s="19"/>
      <c r="CK179" s="19"/>
      <c r="CL179" s="19"/>
      <c r="CM179" s="19"/>
      <c r="CN179" s="19">
        <v>1</v>
      </c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>
        <v>1</v>
      </c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</row>
    <row r="180" spans="1:142" x14ac:dyDescent="0.25">
      <c r="A180" s="19" t="s">
        <v>210</v>
      </c>
      <c r="B180" s="19"/>
      <c r="C180" s="24">
        <v>1400</v>
      </c>
      <c r="D180" s="24">
        <v>630</v>
      </c>
      <c r="E180" s="19" t="s">
        <v>169</v>
      </c>
      <c r="F180" s="20"/>
      <c r="G180" s="19"/>
      <c r="H180" s="21"/>
      <c r="I180" s="19">
        <f t="shared" si="22"/>
        <v>1</v>
      </c>
      <c r="J180" s="19">
        <f t="shared" si="23"/>
        <v>0</v>
      </c>
      <c r="K180" s="19">
        <f t="shared" si="24"/>
        <v>0</v>
      </c>
      <c r="L180" s="21">
        <f t="shared" si="25"/>
        <v>1</v>
      </c>
      <c r="M180" s="32"/>
      <c r="N180" s="19"/>
      <c r="O180" s="19"/>
      <c r="P180" s="19"/>
      <c r="Q180" s="19"/>
      <c r="R180" s="19"/>
      <c r="S180" s="19"/>
      <c r="T180" s="19"/>
      <c r="U180" s="19"/>
      <c r="V180" s="19"/>
      <c r="W180" s="19">
        <v>1</v>
      </c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</row>
    <row r="181" spans="1:142" x14ac:dyDescent="0.25">
      <c r="A181" s="19" t="s">
        <v>210</v>
      </c>
      <c r="B181" s="19"/>
      <c r="C181" s="24">
        <v>1400</v>
      </c>
      <c r="D181" s="24">
        <v>500</v>
      </c>
      <c r="E181" s="19" t="s">
        <v>169</v>
      </c>
      <c r="F181" s="20"/>
      <c r="G181" s="19"/>
      <c r="H181" s="21"/>
      <c r="I181" s="19">
        <f t="shared" si="22"/>
        <v>2</v>
      </c>
      <c r="J181" s="19">
        <f t="shared" si="23"/>
        <v>3</v>
      </c>
      <c r="K181" s="19">
        <f t="shared" si="24"/>
        <v>0</v>
      </c>
      <c r="L181" s="21">
        <f t="shared" si="25"/>
        <v>5</v>
      </c>
      <c r="M181" s="32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>
        <v>1</v>
      </c>
      <c r="AR181" s="19">
        <v>1</v>
      </c>
      <c r="AS181" s="19"/>
      <c r="AT181" s="19"/>
      <c r="AU181" s="19"/>
      <c r="AV181" s="19"/>
      <c r="AW181" s="19">
        <v>1</v>
      </c>
      <c r="AX181" s="19">
        <v>1</v>
      </c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>
        <v>1</v>
      </c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</row>
    <row r="182" spans="1:142" x14ac:dyDescent="0.25">
      <c r="A182" s="19" t="s">
        <v>210</v>
      </c>
      <c r="B182" s="19"/>
      <c r="C182" s="24">
        <v>1250</v>
      </c>
      <c r="D182" s="24">
        <v>630</v>
      </c>
      <c r="E182" s="19" t="s">
        <v>169</v>
      </c>
      <c r="F182" s="20"/>
      <c r="G182" s="19"/>
      <c r="H182" s="21"/>
      <c r="I182" s="19">
        <f t="shared" si="22"/>
        <v>1</v>
      </c>
      <c r="J182" s="19">
        <f t="shared" si="23"/>
        <v>0</v>
      </c>
      <c r="K182" s="19">
        <f t="shared" si="24"/>
        <v>0</v>
      </c>
      <c r="L182" s="21">
        <f t="shared" si="25"/>
        <v>1</v>
      </c>
      <c r="M182" s="32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>
        <v>1</v>
      </c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</row>
    <row r="183" spans="1:142" x14ac:dyDescent="0.25">
      <c r="A183" s="19" t="s">
        <v>210</v>
      </c>
      <c r="B183" s="19"/>
      <c r="C183" s="24">
        <v>1000</v>
      </c>
      <c r="D183" s="24">
        <v>800</v>
      </c>
      <c r="E183" s="19" t="s">
        <v>169</v>
      </c>
      <c r="F183" s="20"/>
      <c r="G183" s="19"/>
      <c r="H183" s="21"/>
      <c r="I183" s="19">
        <f t="shared" si="22"/>
        <v>0</v>
      </c>
      <c r="J183" s="19">
        <f t="shared" si="23"/>
        <v>1</v>
      </c>
      <c r="K183" s="19">
        <f t="shared" si="24"/>
        <v>0</v>
      </c>
      <c r="L183" s="21">
        <f t="shared" si="25"/>
        <v>1</v>
      </c>
      <c r="M183" s="32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>
        <v>1</v>
      </c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</row>
    <row r="184" spans="1:142" x14ac:dyDescent="0.25">
      <c r="A184" s="19" t="s">
        <v>210</v>
      </c>
      <c r="B184" s="19"/>
      <c r="C184" s="24">
        <v>1000</v>
      </c>
      <c r="D184" s="24">
        <v>500</v>
      </c>
      <c r="E184" s="19" t="s">
        <v>169</v>
      </c>
      <c r="F184" s="20"/>
      <c r="G184" s="19"/>
      <c r="H184" s="21"/>
      <c r="I184" s="19">
        <f t="shared" si="22"/>
        <v>0</v>
      </c>
      <c r="J184" s="19">
        <f t="shared" si="23"/>
        <v>1</v>
      </c>
      <c r="K184" s="19">
        <f t="shared" si="24"/>
        <v>0</v>
      </c>
      <c r="L184" s="21">
        <f t="shared" si="25"/>
        <v>1</v>
      </c>
      <c r="M184" s="32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>
        <v>1</v>
      </c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</row>
    <row r="185" spans="1:142" x14ac:dyDescent="0.25">
      <c r="A185" s="19" t="s">
        <v>210</v>
      </c>
      <c r="B185" s="19"/>
      <c r="C185" s="24">
        <v>1000</v>
      </c>
      <c r="D185" s="24">
        <v>400</v>
      </c>
      <c r="E185" s="19" t="s">
        <v>169</v>
      </c>
      <c r="F185" s="20"/>
      <c r="G185" s="19"/>
      <c r="H185" s="21"/>
      <c r="I185" s="19">
        <f t="shared" si="22"/>
        <v>0</v>
      </c>
      <c r="J185" s="19">
        <f t="shared" si="23"/>
        <v>1</v>
      </c>
      <c r="K185" s="19">
        <f t="shared" si="24"/>
        <v>0</v>
      </c>
      <c r="L185" s="21">
        <f t="shared" si="25"/>
        <v>1</v>
      </c>
      <c r="M185" s="32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>
        <v>1</v>
      </c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</row>
    <row r="186" spans="1:142" x14ac:dyDescent="0.25">
      <c r="A186" s="19" t="s">
        <v>210</v>
      </c>
      <c r="B186" s="19"/>
      <c r="C186" s="24">
        <v>800</v>
      </c>
      <c r="D186" s="24">
        <v>500</v>
      </c>
      <c r="E186" s="19" t="s">
        <v>169</v>
      </c>
      <c r="F186" s="20"/>
      <c r="G186" s="19"/>
      <c r="H186" s="21"/>
      <c r="I186" s="19">
        <f t="shared" si="22"/>
        <v>0</v>
      </c>
      <c r="J186" s="19">
        <f t="shared" si="23"/>
        <v>1</v>
      </c>
      <c r="K186" s="19">
        <f t="shared" si="24"/>
        <v>0</v>
      </c>
      <c r="L186" s="21">
        <f t="shared" si="25"/>
        <v>1</v>
      </c>
      <c r="M186" s="32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>
        <v>1</v>
      </c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</row>
    <row r="187" spans="1:142" x14ac:dyDescent="0.25">
      <c r="A187" s="19" t="s">
        <v>210</v>
      </c>
      <c r="B187" s="19"/>
      <c r="C187" s="24">
        <v>800</v>
      </c>
      <c r="D187" s="24">
        <v>400</v>
      </c>
      <c r="E187" s="19" t="s">
        <v>169</v>
      </c>
      <c r="F187" s="20"/>
      <c r="G187" s="19"/>
      <c r="H187" s="21"/>
      <c r="I187" s="19">
        <f t="shared" si="22"/>
        <v>0</v>
      </c>
      <c r="J187" s="19">
        <f t="shared" si="23"/>
        <v>1</v>
      </c>
      <c r="K187" s="19">
        <f t="shared" si="24"/>
        <v>0</v>
      </c>
      <c r="L187" s="21">
        <f t="shared" si="25"/>
        <v>1</v>
      </c>
      <c r="M187" s="32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>
        <v>1</v>
      </c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</row>
    <row r="188" spans="1:142" ht="56" x14ac:dyDescent="0.25">
      <c r="A188" s="19" t="s">
        <v>211</v>
      </c>
      <c r="B188" s="19"/>
      <c r="C188" s="24" t="s">
        <v>159</v>
      </c>
      <c r="D188" s="19">
        <v>200</v>
      </c>
      <c r="E188" s="19" t="s">
        <v>169</v>
      </c>
      <c r="F188" s="20" t="s">
        <v>212</v>
      </c>
      <c r="G188" s="19"/>
      <c r="H188" s="21"/>
      <c r="I188" s="19">
        <f t="shared" si="22"/>
        <v>1</v>
      </c>
      <c r="J188" s="19">
        <f t="shared" si="23"/>
        <v>11</v>
      </c>
      <c r="K188" s="19">
        <f t="shared" si="24"/>
        <v>1</v>
      </c>
      <c r="L188" s="21">
        <f t="shared" si="25"/>
        <v>13</v>
      </c>
      <c r="M188" s="32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>
        <v>1</v>
      </c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>
        <v>10</v>
      </c>
      <c r="BV188" s="19">
        <v>1</v>
      </c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>
        <v>1</v>
      </c>
      <c r="EK188" s="19"/>
      <c r="EL188" s="19"/>
    </row>
    <row r="189" spans="1:142" x14ac:dyDescent="0.25">
      <c r="A189" s="19" t="s">
        <v>213</v>
      </c>
      <c r="B189" s="19"/>
      <c r="C189" s="19">
        <v>2000</v>
      </c>
      <c r="D189" s="19">
        <v>800</v>
      </c>
      <c r="E189" s="19" t="s">
        <v>169</v>
      </c>
      <c r="F189" s="36" t="s">
        <v>214</v>
      </c>
      <c r="G189" s="19"/>
      <c r="H189" s="21"/>
      <c r="I189" s="19">
        <f t="shared" si="22"/>
        <v>0</v>
      </c>
      <c r="J189" s="19">
        <f t="shared" si="23"/>
        <v>2</v>
      </c>
      <c r="K189" s="19">
        <f t="shared" si="24"/>
        <v>0</v>
      </c>
      <c r="L189" s="21">
        <f t="shared" si="25"/>
        <v>2</v>
      </c>
      <c r="M189" s="32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>
        <v>2</v>
      </c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</row>
    <row r="190" spans="1:142" x14ac:dyDescent="0.25">
      <c r="A190" s="19" t="s">
        <v>213</v>
      </c>
      <c r="B190" s="19"/>
      <c r="C190" s="19">
        <v>1400</v>
      </c>
      <c r="D190" s="19">
        <v>800</v>
      </c>
      <c r="E190" s="19" t="s">
        <v>169</v>
      </c>
      <c r="F190" s="37"/>
      <c r="G190" s="19"/>
      <c r="H190" s="21"/>
      <c r="I190" s="19">
        <f t="shared" si="22"/>
        <v>0</v>
      </c>
      <c r="J190" s="19">
        <f t="shared" si="23"/>
        <v>1</v>
      </c>
      <c r="K190" s="19">
        <f t="shared" si="24"/>
        <v>0</v>
      </c>
      <c r="L190" s="21">
        <f t="shared" si="25"/>
        <v>1</v>
      </c>
      <c r="M190" s="32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>
        <v>1</v>
      </c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</row>
    <row r="191" spans="1:142" x14ac:dyDescent="0.25">
      <c r="A191" s="19" t="s">
        <v>213</v>
      </c>
      <c r="B191" s="19"/>
      <c r="C191" s="19">
        <v>1400</v>
      </c>
      <c r="D191" s="19">
        <v>500</v>
      </c>
      <c r="E191" s="19" t="s">
        <v>169</v>
      </c>
      <c r="F191" s="37"/>
      <c r="G191" s="19"/>
      <c r="H191" s="21"/>
      <c r="I191" s="19">
        <f t="shared" si="22"/>
        <v>11</v>
      </c>
      <c r="J191" s="19">
        <f t="shared" si="23"/>
        <v>12</v>
      </c>
      <c r="K191" s="19">
        <f t="shared" si="24"/>
        <v>0</v>
      </c>
      <c r="L191" s="21">
        <f t="shared" si="25"/>
        <v>23</v>
      </c>
      <c r="M191" s="32"/>
      <c r="N191" s="19"/>
      <c r="O191" s="19"/>
      <c r="P191" s="19"/>
      <c r="Q191" s="19"/>
      <c r="R191" s="19"/>
      <c r="S191" s="19"/>
      <c r="T191" s="19"/>
      <c r="U191" s="19">
        <v>1</v>
      </c>
      <c r="V191" s="19"/>
      <c r="W191" s="19"/>
      <c r="X191" s="19"/>
      <c r="Y191" s="19"/>
      <c r="Z191" s="19"/>
      <c r="AA191" s="19">
        <v>1</v>
      </c>
      <c r="AB191" s="19"/>
      <c r="AC191" s="19"/>
      <c r="AD191" s="19"/>
      <c r="AE191" s="19"/>
      <c r="AF191" s="19"/>
      <c r="AG191" s="19"/>
      <c r="AH191" s="19">
        <v>3</v>
      </c>
      <c r="AI191" s="19"/>
      <c r="AJ191" s="19">
        <v>2</v>
      </c>
      <c r="AK191" s="19"/>
      <c r="AL191" s="19">
        <v>1</v>
      </c>
      <c r="AM191" s="19">
        <v>1</v>
      </c>
      <c r="AN191" s="19"/>
      <c r="AO191" s="19"/>
      <c r="AP191" s="19"/>
      <c r="AQ191" s="19">
        <v>1</v>
      </c>
      <c r="AR191" s="19">
        <v>1</v>
      </c>
      <c r="AS191" s="19"/>
      <c r="AT191" s="19"/>
      <c r="AU191" s="19"/>
      <c r="AV191" s="19"/>
      <c r="AW191" s="19">
        <v>1</v>
      </c>
      <c r="AX191" s="19">
        <v>1</v>
      </c>
      <c r="AY191" s="19"/>
      <c r="AZ191" s="19"/>
      <c r="BA191" s="19">
        <v>1</v>
      </c>
      <c r="BB191" s="19">
        <v>1</v>
      </c>
      <c r="BC191" s="19">
        <v>1</v>
      </c>
      <c r="BD191" s="19">
        <v>1</v>
      </c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>
        <v>1</v>
      </c>
      <c r="CG191" s="19">
        <v>1</v>
      </c>
      <c r="CH191" s="19"/>
      <c r="CI191" s="19"/>
      <c r="CJ191" s="19"/>
      <c r="CK191" s="19"/>
      <c r="CL191" s="19"/>
      <c r="CM191" s="19"/>
      <c r="CN191" s="19">
        <v>1</v>
      </c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>
        <v>1</v>
      </c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>
        <v>2</v>
      </c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</row>
    <row r="192" spans="1:142" x14ac:dyDescent="0.25">
      <c r="A192" s="19" t="s">
        <v>213</v>
      </c>
      <c r="B192" s="19"/>
      <c r="C192" s="19">
        <v>1250</v>
      </c>
      <c r="D192" s="19">
        <v>800</v>
      </c>
      <c r="E192" s="19" t="s">
        <v>169</v>
      </c>
      <c r="F192" s="37"/>
      <c r="G192" s="19"/>
      <c r="H192" s="21"/>
      <c r="I192" s="19">
        <f t="shared" si="22"/>
        <v>0</v>
      </c>
      <c r="J192" s="19">
        <f t="shared" si="23"/>
        <v>5</v>
      </c>
      <c r="K192" s="19">
        <f t="shared" si="24"/>
        <v>0</v>
      </c>
      <c r="L192" s="21">
        <f t="shared" si="25"/>
        <v>5</v>
      </c>
      <c r="M192" s="32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>
        <v>3</v>
      </c>
      <c r="DU192" s="19">
        <v>1</v>
      </c>
      <c r="DV192" s="19">
        <v>1</v>
      </c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</row>
    <row r="193" spans="1:142" x14ac:dyDescent="0.25">
      <c r="A193" s="19" t="s">
        <v>213</v>
      </c>
      <c r="B193" s="19"/>
      <c r="C193" s="19">
        <v>1250</v>
      </c>
      <c r="D193" s="19">
        <v>630</v>
      </c>
      <c r="E193" s="19" t="s">
        <v>169</v>
      </c>
      <c r="F193" s="37"/>
      <c r="G193" s="19"/>
      <c r="H193" s="21"/>
      <c r="I193" s="19">
        <f t="shared" si="22"/>
        <v>2</v>
      </c>
      <c r="J193" s="19">
        <f t="shared" si="23"/>
        <v>10</v>
      </c>
      <c r="K193" s="19">
        <f t="shared" si="24"/>
        <v>0</v>
      </c>
      <c r="L193" s="21">
        <f t="shared" si="25"/>
        <v>12</v>
      </c>
      <c r="M193" s="32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>
        <v>1</v>
      </c>
      <c r="AR193" s="19">
        <v>1</v>
      </c>
      <c r="AS193" s="19"/>
      <c r="AT193" s="19"/>
      <c r="AU193" s="19"/>
      <c r="AV193" s="19"/>
      <c r="AW193" s="19">
        <v>1</v>
      </c>
      <c r="AX193" s="19">
        <v>1</v>
      </c>
      <c r="AY193" s="19"/>
      <c r="AZ193" s="19"/>
      <c r="BA193" s="19">
        <v>1</v>
      </c>
      <c r="BB193" s="19">
        <v>1</v>
      </c>
      <c r="BC193" s="19">
        <v>1</v>
      </c>
      <c r="BD193" s="19">
        <v>1</v>
      </c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>
        <v>2</v>
      </c>
      <c r="CI193" s="19">
        <v>2</v>
      </c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</row>
    <row r="194" spans="1:142" x14ac:dyDescent="0.25">
      <c r="A194" s="19" t="s">
        <v>213</v>
      </c>
      <c r="B194" s="19"/>
      <c r="C194" s="19">
        <v>1250</v>
      </c>
      <c r="D194" s="19">
        <v>500</v>
      </c>
      <c r="E194" s="19" t="s">
        <v>169</v>
      </c>
      <c r="F194" s="37"/>
      <c r="G194" s="19"/>
      <c r="H194" s="21"/>
      <c r="I194" s="19">
        <f t="shared" si="22"/>
        <v>0</v>
      </c>
      <c r="J194" s="19">
        <f t="shared" si="23"/>
        <v>1</v>
      </c>
      <c r="K194" s="19">
        <f t="shared" si="24"/>
        <v>0</v>
      </c>
      <c r="L194" s="21">
        <f t="shared" si="25"/>
        <v>1</v>
      </c>
      <c r="M194" s="32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>
        <v>1</v>
      </c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</row>
    <row r="195" spans="1:142" x14ac:dyDescent="0.25">
      <c r="A195" s="19" t="s">
        <v>213</v>
      </c>
      <c r="B195" s="19"/>
      <c r="C195" s="19">
        <v>1000</v>
      </c>
      <c r="D195" s="19">
        <v>800</v>
      </c>
      <c r="E195" s="19" t="s">
        <v>169</v>
      </c>
      <c r="F195" s="37"/>
      <c r="G195" s="19"/>
      <c r="H195" s="21"/>
      <c r="I195" s="19">
        <f t="shared" si="22"/>
        <v>0</v>
      </c>
      <c r="J195" s="19">
        <f t="shared" si="23"/>
        <v>2</v>
      </c>
      <c r="K195" s="19">
        <f t="shared" si="24"/>
        <v>0</v>
      </c>
      <c r="L195" s="21">
        <f t="shared" si="25"/>
        <v>2</v>
      </c>
      <c r="M195" s="32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>
        <v>1</v>
      </c>
      <c r="CG195" s="19">
        <v>1</v>
      </c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</row>
    <row r="196" spans="1:142" x14ac:dyDescent="0.25">
      <c r="A196" s="19" t="s">
        <v>213</v>
      </c>
      <c r="B196" s="19"/>
      <c r="C196" s="19">
        <v>1000</v>
      </c>
      <c r="D196" s="19">
        <v>630</v>
      </c>
      <c r="E196" s="19" t="s">
        <v>169</v>
      </c>
      <c r="F196" s="37"/>
      <c r="G196" s="19"/>
      <c r="H196" s="21"/>
      <c r="I196" s="19">
        <f t="shared" si="22"/>
        <v>1</v>
      </c>
      <c r="J196" s="19">
        <f t="shared" ref="J196:J259" si="26">SUM(AW196:EE196)</f>
        <v>2</v>
      </c>
      <c r="K196" s="19">
        <f t="shared" ref="K196:K259" si="27">SUM(EF196:EM196)</f>
        <v>0</v>
      </c>
      <c r="L196" s="21">
        <f t="shared" ref="L196:L259" si="28">SUM(M196:EM196)</f>
        <v>3</v>
      </c>
      <c r="M196" s="32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>
        <v>1</v>
      </c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>
        <v>2</v>
      </c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</row>
    <row r="197" spans="1:142" x14ac:dyDescent="0.25">
      <c r="A197" s="19" t="s">
        <v>213</v>
      </c>
      <c r="B197" s="19"/>
      <c r="C197" s="19">
        <v>1000</v>
      </c>
      <c r="D197" s="19">
        <v>500</v>
      </c>
      <c r="E197" s="19" t="s">
        <v>169</v>
      </c>
      <c r="F197" s="37"/>
      <c r="G197" s="19"/>
      <c r="H197" s="21"/>
      <c r="I197" s="19">
        <f t="shared" ref="I197:I259" si="29">SUM(M197:AV197)</f>
        <v>2</v>
      </c>
      <c r="J197" s="19">
        <f t="shared" si="26"/>
        <v>9</v>
      </c>
      <c r="K197" s="19">
        <f t="shared" si="27"/>
        <v>0</v>
      </c>
      <c r="L197" s="21">
        <f t="shared" si="28"/>
        <v>11</v>
      </c>
      <c r="M197" s="32"/>
      <c r="N197" s="19"/>
      <c r="O197" s="19"/>
      <c r="P197" s="19"/>
      <c r="Q197" s="19"/>
      <c r="R197" s="19"/>
      <c r="S197" s="19"/>
      <c r="T197" s="19"/>
      <c r="U197" s="25">
        <v>1</v>
      </c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>
        <v>1</v>
      </c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>
        <v>1</v>
      </c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>
        <v>1</v>
      </c>
      <c r="CW197" s="19">
        <v>1</v>
      </c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25">
        <v>1</v>
      </c>
      <c r="DM197" s="25">
        <v>1</v>
      </c>
      <c r="DN197" s="19">
        <v>2</v>
      </c>
      <c r="DO197" s="19"/>
      <c r="DP197" s="19"/>
      <c r="DQ197" s="19"/>
      <c r="DR197" s="19"/>
      <c r="DS197" s="19">
        <v>2</v>
      </c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</row>
    <row r="198" spans="1:142" x14ac:dyDescent="0.25">
      <c r="A198" s="19" t="s">
        <v>213</v>
      </c>
      <c r="B198" s="19"/>
      <c r="C198" s="19">
        <v>1000</v>
      </c>
      <c r="D198" s="19">
        <v>400</v>
      </c>
      <c r="E198" s="19" t="s">
        <v>169</v>
      </c>
      <c r="F198" s="37"/>
      <c r="G198" s="19"/>
      <c r="H198" s="21"/>
      <c r="I198" s="19">
        <f t="shared" si="29"/>
        <v>0</v>
      </c>
      <c r="J198" s="19">
        <f t="shared" si="26"/>
        <v>3</v>
      </c>
      <c r="K198" s="19">
        <f t="shared" si="27"/>
        <v>0</v>
      </c>
      <c r="L198" s="21">
        <f t="shared" si="28"/>
        <v>3</v>
      </c>
      <c r="M198" s="32"/>
      <c r="N198" s="19"/>
      <c r="O198" s="19"/>
      <c r="P198" s="19"/>
      <c r="Q198" s="19"/>
      <c r="R198" s="19"/>
      <c r="S198" s="19"/>
      <c r="T198" s="19"/>
      <c r="U198" s="25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>
        <v>1</v>
      </c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>
        <v>2</v>
      </c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</row>
    <row r="199" spans="1:142" x14ac:dyDescent="0.25">
      <c r="A199" s="19" t="s">
        <v>213</v>
      </c>
      <c r="B199" s="19"/>
      <c r="C199" s="19">
        <v>800</v>
      </c>
      <c r="D199" s="19">
        <v>1000</v>
      </c>
      <c r="E199" s="19" t="s">
        <v>169</v>
      </c>
      <c r="F199" s="37"/>
      <c r="G199" s="19"/>
      <c r="H199" s="21"/>
      <c r="I199" s="19">
        <f t="shared" si="29"/>
        <v>0</v>
      </c>
      <c r="J199" s="19">
        <f t="shared" si="26"/>
        <v>1</v>
      </c>
      <c r="K199" s="19">
        <f t="shared" si="27"/>
        <v>0</v>
      </c>
      <c r="L199" s="21">
        <f t="shared" si="28"/>
        <v>1</v>
      </c>
      <c r="M199" s="32"/>
      <c r="N199" s="19"/>
      <c r="O199" s="19"/>
      <c r="P199" s="19"/>
      <c r="Q199" s="19"/>
      <c r="R199" s="19"/>
      <c r="S199" s="19"/>
      <c r="T199" s="19"/>
      <c r="U199" s="25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>
        <v>1</v>
      </c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</row>
    <row r="200" spans="1:142" x14ac:dyDescent="0.25">
      <c r="A200" s="19" t="s">
        <v>213</v>
      </c>
      <c r="B200" s="19"/>
      <c r="C200" s="19">
        <v>800</v>
      </c>
      <c r="D200" s="19">
        <v>800</v>
      </c>
      <c r="E200" s="19" t="s">
        <v>169</v>
      </c>
      <c r="F200" s="37"/>
      <c r="G200" s="19"/>
      <c r="H200" s="21"/>
      <c r="I200" s="19">
        <f t="shared" si="29"/>
        <v>0</v>
      </c>
      <c r="J200" s="19">
        <f t="shared" si="26"/>
        <v>1</v>
      </c>
      <c r="K200" s="19">
        <f t="shared" si="27"/>
        <v>0</v>
      </c>
      <c r="L200" s="21">
        <f t="shared" si="28"/>
        <v>1</v>
      </c>
      <c r="M200" s="32"/>
      <c r="N200" s="19"/>
      <c r="O200" s="19"/>
      <c r="P200" s="19"/>
      <c r="Q200" s="19"/>
      <c r="R200" s="19"/>
      <c r="S200" s="19"/>
      <c r="T200" s="19"/>
      <c r="U200" s="25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>
        <v>1</v>
      </c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</row>
    <row r="201" spans="1:142" x14ac:dyDescent="0.25">
      <c r="A201" s="19" t="s">
        <v>213</v>
      </c>
      <c r="B201" s="19"/>
      <c r="C201" s="19">
        <v>800</v>
      </c>
      <c r="D201" s="19">
        <v>500</v>
      </c>
      <c r="E201" s="19" t="s">
        <v>169</v>
      </c>
      <c r="F201" s="37"/>
      <c r="G201" s="19"/>
      <c r="H201" s="21"/>
      <c r="I201" s="19">
        <f t="shared" si="29"/>
        <v>6</v>
      </c>
      <c r="J201" s="19">
        <f t="shared" si="26"/>
        <v>14</v>
      </c>
      <c r="K201" s="19">
        <f t="shared" si="27"/>
        <v>3</v>
      </c>
      <c r="L201" s="21">
        <f t="shared" si="28"/>
        <v>23</v>
      </c>
      <c r="M201" s="25">
        <f>1+1</f>
        <v>2</v>
      </c>
      <c r="N201" s="25">
        <v>1</v>
      </c>
      <c r="O201" s="19"/>
      <c r="P201" s="19"/>
      <c r="Q201" s="19"/>
      <c r="R201" s="19"/>
      <c r="S201" s="25">
        <v>2</v>
      </c>
      <c r="T201" s="25">
        <v>1</v>
      </c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>
        <v>1</v>
      </c>
      <c r="BX201" s="19">
        <v>1</v>
      </c>
      <c r="BY201" s="19"/>
      <c r="BZ201" s="19"/>
      <c r="CA201" s="19"/>
      <c r="CB201" s="19"/>
      <c r="CC201" s="19">
        <v>3</v>
      </c>
      <c r="CD201" s="19">
        <v>1</v>
      </c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>
        <v>2</v>
      </c>
      <c r="DG201" s="19"/>
      <c r="DH201" s="19"/>
      <c r="DI201" s="19"/>
      <c r="DJ201" s="19"/>
      <c r="DK201" s="19">
        <v>3</v>
      </c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>
        <v>1</v>
      </c>
      <c r="EA201" s="19">
        <v>2</v>
      </c>
      <c r="EB201" s="19"/>
      <c r="EC201" s="19"/>
      <c r="ED201" s="19"/>
      <c r="EE201" s="19"/>
      <c r="EF201" s="19">
        <v>2</v>
      </c>
      <c r="EG201" s="19">
        <v>1</v>
      </c>
      <c r="EH201" s="19"/>
      <c r="EI201" s="19"/>
      <c r="EJ201" s="19"/>
      <c r="EK201" s="19"/>
      <c r="EL201" s="19"/>
    </row>
    <row r="202" spans="1:142" x14ac:dyDescent="0.25">
      <c r="A202" s="19" t="s">
        <v>213</v>
      </c>
      <c r="B202" s="19"/>
      <c r="C202" s="19">
        <v>800</v>
      </c>
      <c r="D202" s="19">
        <v>400</v>
      </c>
      <c r="E202" s="19" t="s">
        <v>169</v>
      </c>
      <c r="F202" s="37"/>
      <c r="G202" s="19"/>
      <c r="H202" s="21"/>
      <c r="I202" s="19">
        <f t="shared" si="29"/>
        <v>0</v>
      </c>
      <c r="J202" s="19">
        <f t="shared" si="26"/>
        <v>15</v>
      </c>
      <c r="K202" s="19">
        <f t="shared" si="27"/>
        <v>0</v>
      </c>
      <c r="L202" s="21">
        <f t="shared" si="28"/>
        <v>15</v>
      </c>
      <c r="M202" s="25"/>
      <c r="N202" s="25"/>
      <c r="O202" s="19"/>
      <c r="P202" s="19"/>
      <c r="Q202" s="19"/>
      <c r="R202" s="19"/>
      <c r="S202" s="25"/>
      <c r="T202" s="25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>
        <v>2</v>
      </c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>
        <v>1</v>
      </c>
      <c r="CK202" s="19"/>
      <c r="CL202" s="19">
        <v>1</v>
      </c>
      <c r="CM202" s="19"/>
      <c r="CN202" s="19"/>
      <c r="CO202" s="19"/>
      <c r="CP202" s="19">
        <v>2</v>
      </c>
      <c r="CQ202" s="19">
        <v>2</v>
      </c>
      <c r="CR202" s="19">
        <v>2</v>
      </c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>
        <v>1</v>
      </c>
      <c r="EC202" s="19">
        <v>4</v>
      </c>
      <c r="ED202" s="19"/>
      <c r="EE202" s="19"/>
      <c r="EF202" s="19"/>
      <c r="EG202" s="19"/>
      <c r="EH202" s="19"/>
      <c r="EI202" s="19"/>
      <c r="EJ202" s="19"/>
      <c r="EK202" s="19"/>
      <c r="EL202" s="19"/>
    </row>
    <row r="203" spans="1:142" x14ac:dyDescent="0.25">
      <c r="A203" s="19" t="s">
        <v>213</v>
      </c>
      <c r="B203" s="19"/>
      <c r="C203" s="19">
        <v>800</v>
      </c>
      <c r="D203" s="19">
        <v>320</v>
      </c>
      <c r="E203" s="19" t="s">
        <v>169</v>
      </c>
      <c r="F203" s="37"/>
      <c r="G203" s="19"/>
      <c r="H203" s="21"/>
      <c r="I203" s="19">
        <f t="shared" si="29"/>
        <v>2</v>
      </c>
      <c r="J203" s="19">
        <f t="shared" si="26"/>
        <v>0</v>
      </c>
      <c r="K203" s="19">
        <f t="shared" si="27"/>
        <v>0</v>
      </c>
      <c r="L203" s="21">
        <f t="shared" si="28"/>
        <v>2</v>
      </c>
      <c r="M203" s="25"/>
      <c r="N203" s="25"/>
      <c r="O203" s="19"/>
      <c r="P203" s="19"/>
      <c r="Q203" s="19"/>
      <c r="R203" s="19"/>
      <c r="S203" s="25"/>
      <c r="T203" s="25"/>
      <c r="U203" s="19"/>
      <c r="V203" s="19"/>
      <c r="W203" s="19"/>
      <c r="X203" s="19"/>
      <c r="Y203" s="19"/>
      <c r="Z203" s="19"/>
      <c r="AA203" s="19"/>
      <c r="AB203" s="19">
        <v>1</v>
      </c>
      <c r="AC203" s="19"/>
      <c r="AD203" s="19"/>
      <c r="AE203" s="19"/>
      <c r="AF203" s="19"/>
      <c r="AG203" s="19"/>
      <c r="AH203" s="19"/>
      <c r="AI203" s="19"/>
      <c r="AJ203" s="19"/>
      <c r="AK203" s="19">
        <v>1</v>
      </c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</row>
    <row r="204" spans="1:142" x14ac:dyDescent="0.25">
      <c r="A204" s="19" t="s">
        <v>213</v>
      </c>
      <c r="B204" s="19"/>
      <c r="C204" s="19">
        <v>800</v>
      </c>
      <c r="D204" s="19">
        <v>250</v>
      </c>
      <c r="E204" s="19" t="s">
        <v>169</v>
      </c>
      <c r="F204" s="37"/>
      <c r="G204" s="19"/>
      <c r="H204" s="21"/>
      <c r="I204" s="19">
        <f t="shared" si="29"/>
        <v>0</v>
      </c>
      <c r="J204" s="19">
        <f t="shared" si="26"/>
        <v>2</v>
      </c>
      <c r="K204" s="19">
        <f t="shared" si="27"/>
        <v>0</v>
      </c>
      <c r="L204" s="21">
        <f t="shared" si="28"/>
        <v>2</v>
      </c>
      <c r="M204" s="25"/>
      <c r="N204" s="25"/>
      <c r="O204" s="19"/>
      <c r="P204" s="19"/>
      <c r="Q204" s="19"/>
      <c r="R204" s="19"/>
      <c r="S204" s="25"/>
      <c r="T204" s="25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>
        <v>1</v>
      </c>
      <c r="BZ204" s="19">
        <v>1</v>
      </c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</row>
    <row r="205" spans="1:142" x14ac:dyDescent="0.25">
      <c r="A205" s="19" t="s">
        <v>213</v>
      </c>
      <c r="B205" s="19"/>
      <c r="C205" s="19">
        <v>630</v>
      </c>
      <c r="D205" s="19">
        <v>320</v>
      </c>
      <c r="E205" s="19" t="s">
        <v>169</v>
      </c>
      <c r="F205" s="37"/>
      <c r="G205" s="19"/>
      <c r="H205" s="21"/>
      <c r="I205" s="19">
        <f t="shared" si="29"/>
        <v>3</v>
      </c>
      <c r="J205" s="19">
        <f t="shared" si="26"/>
        <v>4</v>
      </c>
      <c r="K205" s="19">
        <f t="shared" si="27"/>
        <v>0</v>
      </c>
      <c r="L205" s="21">
        <f t="shared" si="28"/>
        <v>7</v>
      </c>
      <c r="M205" s="25"/>
      <c r="N205" s="25"/>
      <c r="O205" s="19"/>
      <c r="P205" s="19"/>
      <c r="Q205" s="19">
        <v>1</v>
      </c>
      <c r="R205" s="19">
        <v>1</v>
      </c>
      <c r="S205" s="19"/>
      <c r="T205" s="19"/>
      <c r="U205" s="19"/>
      <c r="V205" s="19">
        <v>1</v>
      </c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>
        <v>2</v>
      </c>
      <c r="BJ205" s="19"/>
      <c r="BK205" s="19"/>
      <c r="BL205" s="19">
        <v>2</v>
      </c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</row>
    <row r="206" spans="1:142" x14ac:dyDescent="0.25">
      <c r="A206" s="19" t="s">
        <v>213</v>
      </c>
      <c r="B206" s="19"/>
      <c r="C206" s="19">
        <v>600</v>
      </c>
      <c r="D206" s="19">
        <v>320</v>
      </c>
      <c r="E206" s="19" t="s">
        <v>169</v>
      </c>
      <c r="F206" s="37"/>
      <c r="G206" s="19"/>
      <c r="H206" s="21"/>
      <c r="I206" s="19">
        <f t="shared" si="29"/>
        <v>0</v>
      </c>
      <c r="J206" s="19">
        <f t="shared" si="26"/>
        <v>1</v>
      </c>
      <c r="K206" s="19">
        <f t="shared" si="27"/>
        <v>0</v>
      </c>
      <c r="L206" s="21">
        <f t="shared" si="28"/>
        <v>1</v>
      </c>
      <c r="M206" s="25"/>
      <c r="N206" s="25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>
        <v>1</v>
      </c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</row>
    <row r="207" spans="1:142" x14ac:dyDescent="0.25">
      <c r="A207" s="19" t="s">
        <v>213</v>
      </c>
      <c r="B207" s="19"/>
      <c r="C207" s="19">
        <v>500</v>
      </c>
      <c r="D207" s="19">
        <v>320</v>
      </c>
      <c r="E207" s="19" t="s">
        <v>169</v>
      </c>
      <c r="F207" s="37"/>
      <c r="G207" s="19"/>
      <c r="H207" s="21"/>
      <c r="I207" s="19">
        <f t="shared" si="29"/>
        <v>0</v>
      </c>
      <c r="J207" s="19">
        <f t="shared" si="26"/>
        <v>10</v>
      </c>
      <c r="K207" s="19">
        <f t="shared" si="27"/>
        <v>0</v>
      </c>
      <c r="L207" s="21">
        <f t="shared" si="28"/>
        <v>10</v>
      </c>
      <c r="M207" s="25"/>
      <c r="N207" s="25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>
        <v>3</v>
      </c>
      <c r="BN207" s="19"/>
      <c r="BO207" s="19">
        <v>2</v>
      </c>
      <c r="BP207" s="19"/>
      <c r="BQ207" s="19">
        <v>3</v>
      </c>
      <c r="BR207" s="19"/>
      <c r="BS207" s="19">
        <v>1</v>
      </c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>
        <v>1</v>
      </c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</row>
    <row r="208" spans="1:142" x14ac:dyDescent="0.25">
      <c r="A208" s="19" t="s">
        <v>213</v>
      </c>
      <c r="B208" s="19"/>
      <c r="C208" s="19">
        <v>500</v>
      </c>
      <c r="D208" s="19">
        <v>200</v>
      </c>
      <c r="E208" s="19" t="s">
        <v>169</v>
      </c>
      <c r="F208" s="37"/>
      <c r="G208" s="19"/>
      <c r="H208" s="21"/>
      <c r="I208" s="19">
        <f t="shared" si="29"/>
        <v>0</v>
      </c>
      <c r="J208" s="19">
        <f t="shared" si="26"/>
        <v>4</v>
      </c>
      <c r="K208" s="19">
        <f t="shared" si="27"/>
        <v>0</v>
      </c>
      <c r="L208" s="21">
        <f t="shared" si="28"/>
        <v>4</v>
      </c>
      <c r="M208" s="25"/>
      <c r="N208" s="25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>
        <v>2</v>
      </c>
      <c r="DR208" s="19"/>
      <c r="DS208" s="19"/>
      <c r="DT208" s="19"/>
      <c r="DU208" s="19"/>
      <c r="DV208" s="19"/>
      <c r="DW208" s="19"/>
      <c r="DX208" s="19">
        <v>2</v>
      </c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</row>
    <row r="209" spans="1:142" x14ac:dyDescent="0.25">
      <c r="A209" s="19" t="s">
        <v>213</v>
      </c>
      <c r="B209" s="19"/>
      <c r="C209" s="19">
        <v>400</v>
      </c>
      <c r="D209" s="19">
        <v>250</v>
      </c>
      <c r="E209" s="19" t="s">
        <v>169</v>
      </c>
      <c r="F209" s="37"/>
      <c r="G209" s="19"/>
      <c r="H209" s="21"/>
      <c r="I209" s="19">
        <f t="shared" si="29"/>
        <v>0</v>
      </c>
      <c r="J209" s="19">
        <f t="shared" si="26"/>
        <v>4</v>
      </c>
      <c r="K209" s="19">
        <f t="shared" si="27"/>
        <v>0</v>
      </c>
      <c r="L209" s="21">
        <f t="shared" si="28"/>
        <v>4</v>
      </c>
      <c r="M209" s="25"/>
      <c r="N209" s="25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>
        <v>3</v>
      </c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>
        <v>1</v>
      </c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</row>
    <row r="210" spans="1:142" x14ac:dyDescent="0.25">
      <c r="A210" s="19" t="s">
        <v>213</v>
      </c>
      <c r="B210" s="19"/>
      <c r="C210" s="19">
        <v>320</v>
      </c>
      <c r="D210" s="19">
        <v>160</v>
      </c>
      <c r="E210" s="19" t="s">
        <v>169</v>
      </c>
      <c r="F210" s="37"/>
      <c r="G210" s="19"/>
      <c r="H210" s="21"/>
      <c r="I210" s="19">
        <f t="shared" si="29"/>
        <v>1</v>
      </c>
      <c r="J210" s="19">
        <f t="shared" si="26"/>
        <v>0</v>
      </c>
      <c r="K210" s="19">
        <f t="shared" si="27"/>
        <v>0</v>
      </c>
      <c r="L210" s="21">
        <f t="shared" si="28"/>
        <v>1</v>
      </c>
      <c r="M210" s="25"/>
      <c r="N210" s="25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>
        <v>1</v>
      </c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</row>
    <row r="211" spans="1:142" x14ac:dyDescent="0.25">
      <c r="A211" s="19" t="s">
        <v>213</v>
      </c>
      <c r="B211" s="19"/>
      <c r="C211" s="19">
        <v>320</v>
      </c>
      <c r="D211" s="19">
        <v>120</v>
      </c>
      <c r="E211" s="19" t="s">
        <v>169</v>
      </c>
      <c r="F211" s="38"/>
      <c r="G211" s="19"/>
      <c r="H211" s="21"/>
      <c r="I211" s="19">
        <f t="shared" si="29"/>
        <v>1</v>
      </c>
      <c r="J211" s="19">
        <f t="shared" si="26"/>
        <v>0</v>
      </c>
      <c r="K211" s="19">
        <f t="shared" si="27"/>
        <v>0</v>
      </c>
      <c r="L211" s="21">
        <f t="shared" si="28"/>
        <v>1</v>
      </c>
      <c r="M211" s="25"/>
      <c r="N211" s="25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>
        <v>1</v>
      </c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</row>
    <row r="212" spans="1:142" x14ac:dyDescent="0.25">
      <c r="A212" s="19" t="s">
        <v>215</v>
      </c>
      <c r="B212" s="19"/>
      <c r="C212" s="19">
        <v>1600</v>
      </c>
      <c r="D212" s="19">
        <v>500</v>
      </c>
      <c r="E212" s="19" t="s">
        <v>169</v>
      </c>
      <c r="F212" s="36" t="s">
        <v>216</v>
      </c>
      <c r="G212" s="19"/>
      <c r="H212" s="21"/>
      <c r="I212" s="19">
        <f t="shared" si="29"/>
        <v>10</v>
      </c>
      <c r="J212" s="19">
        <f t="shared" si="26"/>
        <v>20</v>
      </c>
      <c r="K212" s="19">
        <f t="shared" si="27"/>
        <v>0</v>
      </c>
      <c r="L212" s="21">
        <f t="shared" si="28"/>
        <v>30</v>
      </c>
      <c r="M212" s="25"/>
      <c r="N212" s="25"/>
      <c r="O212" s="19"/>
      <c r="P212" s="19"/>
      <c r="Q212" s="19"/>
      <c r="R212" s="19"/>
      <c r="S212" s="19"/>
      <c r="T212" s="19"/>
      <c r="U212" s="19"/>
      <c r="V212" s="19"/>
      <c r="W212" s="19">
        <v>1</v>
      </c>
      <c r="X212" s="19"/>
      <c r="Y212" s="19">
        <v>1</v>
      </c>
      <c r="Z212" s="19"/>
      <c r="AA212" s="19"/>
      <c r="AB212" s="19"/>
      <c r="AC212" s="19"/>
      <c r="AD212" s="19"/>
      <c r="AE212" s="19">
        <v>1</v>
      </c>
      <c r="AF212" s="19">
        <v>2</v>
      </c>
      <c r="AG212" s="19"/>
      <c r="AH212" s="19"/>
      <c r="AI212" s="19"/>
      <c r="AJ212" s="19"/>
      <c r="AK212" s="19"/>
      <c r="AL212" s="19"/>
      <c r="AM212" s="19"/>
      <c r="AN212" s="19">
        <v>2</v>
      </c>
      <c r="AO212" s="19">
        <v>1</v>
      </c>
      <c r="AP212" s="19"/>
      <c r="AQ212" s="19"/>
      <c r="AR212" s="19"/>
      <c r="AS212" s="19">
        <v>1</v>
      </c>
      <c r="AT212" s="19">
        <v>1</v>
      </c>
      <c r="AU212" s="19"/>
      <c r="AV212" s="19"/>
      <c r="AW212" s="19"/>
      <c r="AX212" s="19"/>
      <c r="AY212" s="19">
        <v>1</v>
      </c>
      <c r="AZ212" s="19">
        <v>1</v>
      </c>
      <c r="BA212" s="19"/>
      <c r="BB212" s="19"/>
      <c r="BC212" s="19"/>
      <c r="BD212" s="19"/>
      <c r="BE212" s="19">
        <v>1</v>
      </c>
      <c r="BF212" s="19">
        <v>1</v>
      </c>
      <c r="BG212" s="19">
        <v>1</v>
      </c>
      <c r="BH212" s="19">
        <v>1</v>
      </c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>
        <v>1</v>
      </c>
      <c r="CN212" s="19">
        <v>1</v>
      </c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>
        <v>2</v>
      </c>
      <c r="DA212" s="19">
        <v>2</v>
      </c>
      <c r="DB212" s="19"/>
      <c r="DC212" s="19"/>
      <c r="DD212" s="19"/>
      <c r="DE212" s="19"/>
      <c r="DF212" s="19"/>
      <c r="DG212" s="19"/>
      <c r="DH212" s="19">
        <v>2</v>
      </c>
      <c r="DI212" s="19">
        <v>1</v>
      </c>
      <c r="DJ212" s="19"/>
      <c r="DK212" s="19"/>
      <c r="DL212" s="19"/>
      <c r="DM212" s="19"/>
      <c r="DN212" s="19"/>
      <c r="DO212" s="19">
        <v>2</v>
      </c>
      <c r="DP212" s="19">
        <v>2</v>
      </c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>
        <v>1</v>
      </c>
      <c r="EF212" s="19"/>
      <c r="EG212" s="19"/>
      <c r="EH212" s="19"/>
      <c r="EI212" s="19"/>
      <c r="EJ212" s="19"/>
      <c r="EK212" s="19"/>
      <c r="EL212" s="19"/>
    </row>
    <row r="213" spans="1:142" x14ac:dyDescent="0.25">
      <c r="A213" s="19" t="s">
        <v>215</v>
      </c>
      <c r="B213" s="19"/>
      <c r="C213" s="19">
        <v>1400</v>
      </c>
      <c r="D213" s="19">
        <v>630</v>
      </c>
      <c r="E213" s="19" t="s">
        <v>169</v>
      </c>
      <c r="F213" s="37"/>
      <c r="G213" s="19"/>
      <c r="H213" s="21"/>
      <c r="I213" s="19">
        <f t="shared" si="29"/>
        <v>2</v>
      </c>
      <c r="J213" s="19">
        <f t="shared" si="26"/>
        <v>0</v>
      </c>
      <c r="K213" s="19">
        <f t="shared" si="27"/>
        <v>0</v>
      </c>
      <c r="L213" s="21">
        <f t="shared" si="28"/>
        <v>2</v>
      </c>
      <c r="M213" s="25"/>
      <c r="N213" s="25"/>
      <c r="O213" s="19"/>
      <c r="P213" s="19"/>
      <c r="Q213" s="19"/>
      <c r="R213" s="19"/>
      <c r="S213" s="19"/>
      <c r="T213" s="19"/>
      <c r="U213" s="19"/>
      <c r="V213" s="19"/>
      <c r="W213" s="19">
        <v>1</v>
      </c>
      <c r="X213" s="19"/>
      <c r="Y213" s="19">
        <v>1</v>
      </c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</row>
    <row r="214" spans="1:142" x14ac:dyDescent="0.25">
      <c r="A214" s="19" t="s">
        <v>215</v>
      </c>
      <c r="B214" s="19"/>
      <c r="C214" s="19">
        <v>1400</v>
      </c>
      <c r="D214" s="19">
        <v>500</v>
      </c>
      <c r="E214" s="19" t="s">
        <v>169</v>
      </c>
      <c r="F214" s="37"/>
      <c r="G214" s="19"/>
      <c r="H214" s="21"/>
      <c r="I214" s="19">
        <f t="shared" si="29"/>
        <v>1</v>
      </c>
      <c r="J214" s="19">
        <f t="shared" si="26"/>
        <v>1</v>
      </c>
      <c r="K214" s="19">
        <f t="shared" si="27"/>
        <v>0</v>
      </c>
      <c r="L214" s="21">
        <f t="shared" si="28"/>
        <v>2</v>
      </c>
      <c r="M214" s="25"/>
      <c r="N214" s="25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>
        <v>1</v>
      </c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>
        <v>1</v>
      </c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</row>
    <row r="215" spans="1:142" x14ac:dyDescent="0.25">
      <c r="A215" s="19" t="s">
        <v>215</v>
      </c>
      <c r="B215" s="19"/>
      <c r="C215" s="19">
        <v>1250</v>
      </c>
      <c r="D215" s="19">
        <v>630</v>
      </c>
      <c r="E215" s="19" t="s">
        <v>169</v>
      </c>
      <c r="F215" s="37"/>
      <c r="G215" s="19"/>
      <c r="H215" s="21"/>
      <c r="I215" s="19">
        <f t="shared" si="29"/>
        <v>4</v>
      </c>
      <c r="J215" s="19">
        <f t="shared" si="26"/>
        <v>5</v>
      </c>
      <c r="K215" s="19">
        <f t="shared" si="27"/>
        <v>0</v>
      </c>
      <c r="L215" s="21">
        <f t="shared" si="28"/>
        <v>9</v>
      </c>
      <c r="M215" s="25"/>
      <c r="N215" s="25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>
        <v>1</v>
      </c>
      <c r="AO215" s="19">
        <v>1</v>
      </c>
      <c r="AP215" s="19"/>
      <c r="AQ215" s="19"/>
      <c r="AR215" s="19"/>
      <c r="AS215" s="19">
        <v>1</v>
      </c>
      <c r="AT215" s="19">
        <v>1</v>
      </c>
      <c r="AU215" s="19"/>
      <c r="AV215" s="19"/>
      <c r="AW215" s="19"/>
      <c r="AX215" s="19"/>
      <c r="AY215" s="19">
        <v>1</v>
      </c>
      <c r="AZ215" s="19">
        <v>1</v>
      </c>
      <c r="BA215" s="19"/>
      <c r="BB215" s="19"/>
      <c r="BC215" s="19"/>
      <c r="BD215" s="19"/>
      <c r="BE215" s="19"/>
      <c r="BF215" s="19"/>
      <c r="BG215" s="19">
        <v>1</v>
      </c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>
        <v>1</v>
      </c>
      <c r="DI215" s="19">
        <v>1</v>
      </c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</row>
    <row r="216" spans="1:142" x14ac:dyDescent="0.25">
      <c r="A216" s="19" t="s">
        <v>215</v>
      </c>
      <c r="B216" s="19"/>
      <c r="C216" s="19">
        <v>1250</v>
      </c>
      <c r="D216" s="19">
        <v>500</v>
      </c>
      <c r="E216" s="19" t="s">
        <v>169</v>
      </c>
      <c r="F216" s="37"/>
      <c r="G216" s="19"/>
      <c r="H216" s="21"/>
      <c r="I216" s="19">
        <f t="shared" si="29"/>
        <v>0</v>
      </c>
      <c r="J216" s="19">
        <f t="shared" si="26"/>
        <v>3</v>
      </c>
      <c r="K216" s="19">
        <f t="shared" si="27"/>
        <v>1</v>
      </c>
      <c r="L216" s="21">
        <f t="shared" si="28"/>
        <v>4</v>
      </c>
      <c r="M216" s="25"/>
      <c r="N216" s="25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>
        <v>2</v>
      </c>
      <c r="DK216" s="19"/>
      <c r="DL216" s="19"/>
      <c r="DM216" s="19"/>
      <c r="DN216" s="19"/>
      <c r="DO216" s="19"/>
      <c r="DP216" s="19">
        <v>1</v>
      </c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>
        <v>1</v>
      </c>
      <c r="EI216" s="19"/>
      <c r="EJ216" s="19"/>
      <c r="EK216" s="19"/>
      <c r="EL216" s="19"/>
    </row>
    <row r="217" spans="1:142" x14ac:dyDescent="0.25">
      <c r="A217" s="19" t="s">
        <v>215</v>
      </c>
      <c r="B217" s="19"/>
      <c r="C217" s="19">
        <v>1250</v>
      </c>
      <c r="D217" s="19">
        <v>400</v>
      </c>
      <c r="E217" s="19" t="s">
        <v>169</v>
      </c>
      <c r="F217" s="37"/>
      <c r="G217" s="19"/>
      <c r="H217" s="21"/>
      <c r="I217" s="19">
        <f t="shared" si="29"/>
        <v>2</v>
      </c>
      <c r="J217" s="19">
        <f t="shared" si="26"/>
        <v>0</v>
      </c>
      <c r="K217" s="19">
        <f t="shared" si="27"/>
        <v>0</v>
      </c>
      <c r="L217" s="21">
        <f t="shared" si="28"/>
        <v>2</v>
      </c>
      <c r="M217" s="25"/>
      <c r="N217" s="25"/>
      <c r="O217" s="19">
        <v>1</v>
      </c>
      <c r="P217" s="19">
        <v>1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</row>
    <row r="218" spans="1:142" x14ac:dyDescent="0.25">
      <c r="A218" s="25" t="s">
        <v>215</v>
      </c>
      <c r="B218" s="25"/>
      <c r="C218" s="25">
        <v>1250</v>
      </c>
      <c r="D218" s="25">
        <v>320</v>
      </c>
      <c r="E218" s="25" t="s">
        <v>169</v>
      </c>
      <c r="F218" s="37"/>
      <c r="G218" s="25"/>
      <c r="H218" s="28"/>
      <c r="I218" s="19">
        <f t="shared" si="29"/>
        <v>0</v>
      </c>
      <c r="J218" s="19">
        <f t="shared" si="26"/>
        <v>1</v>
      </c>
      <c r="K218" s="19">
        <f t="shared" si="27"/>
        <v>0</v>
      </c>
      <c r="L218" s="21">
        <f t="shared" si="28"/>
        <v>1</v>
      </c>
      <c r="M218" s="25"/>
      <c r="N218" s="25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25">
        <v>1</v>
      </c>
      <c r="EF218" s="19"/>
      <c r="EG218" s="19"/>
      <c r="EH218" s="19"/>
      <c r="EI218" s="19"/>
      <c r="EJ218" s="19"/>
      <c r="EK218"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    <v>800</v>
      </c>
      <c r="E219" s="19" t="s">
        <v>169</v>
      </c>
      <c r="F219" s="37"/>
      <c r="G219" s="19"/>
      <c r="H219" s="21"/>
      <c r="I219" s="19">
        <f t="shared" si="29"/>
        <v>0</v>
      </c>
      <c r="J219" s="19">
        <f t="shared" si="26"/>
        <v>3</v>
      </c>
      <c r="K219" s="19">
        <f t="shared" si="27"/>
        <v>0</v>
      </c>
      <c r="L219" s="21">
        <f t="shared" si="28"/>
        <v>3</v>
      </c>
      <c r="M219" s="25"/>
      <c r="N219" s="25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>
        <v>1</v>
      </c>
      <c r="BF219" s="19">
        <v>1</v>
      </c>
      <c r="BG219" s="19"/>
      <c r="BH219" s="19">
        <v>1</v>
      </c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</row>
    <row r="220" spans="1:142" x14ac:dyDescent="0.25">
      <c r="A220" s="19" t="s">
        <v>215</v>
      </c>
      <c r="B220" s="19"/>
      <c r="C220" s="19">
        <v>1000</v>
      </c>
      <c r="D220" s="19">
        <v>630</v>
      </c>
      <c r="E220" s="19" t="s">
        <v>169</v>
      </c>
      <c r="F220" s="37"/>
      <c r="G220" s="19"/>
      <c r="H220" s="21"/>
      <c r="I220" s="19">
        <f t="shared" si="29"/>
        <v>0</v>
      </c>
      <c r="J220" s="19">
        <f t="shared" si="26"/>
        <v>3</v>
      </c>
      <c r="K220" s="19">
        <f t="shared" si="27"/>
        <v>1</v>
      </c>
      <c r="L220" s="21">
        <f t="shared" si="28"/>
        <v>4</v>
      </c>
      <c r="M220" s="25"/>
      <c r="N220" s="25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>
        <v>1</v>
      </c>
      <c r="CB220" s="19">
        <v>1</v>
      </c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>
        <v>1</v>
      </c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>
        <v>1</v>
      </c>
      <c r="EI220" s="19"/>
      <c r="EJ220" s="19"/>
      <c r="EK220" s="19"/>
      <c r="EL220" s="19"/>
    </row>
    <row r="221" spans="1:142" x14ac:dyDescent="0.25">
      <c r="A221" s="19" t="s">
        <v>215</v>
      </c>
      <c r="B221" s="19"/>
      <c r="C221" s="19">
        <v>1000</v>
      </c>
      <c r="D221" s="19">
        <v>550</v>
      </c>
      <c r="E221" s="19" t="s">
        <v>169</v>
      </c>
      <c r="F221" s="37"/>
      <c r="G221" s="19"/>
      <c r="H221" s="21"/>
      <c r="I221" s="19">
        <f t="shared" si="29"/>
        <v>0</v>
      </c>
      <c r="J221" s="19">
        <f t="shared" si="26"/>
        <v>4</v>
      </c>
      <c r="K221" s="19">
        <f t="shared" si="27"/>
        <v>0</v>
      </c>
      <c r="L221" s="21">
        <f t="shared" si="28"/>
        <v>4</v>
      </c>
      <c r="M221" s="25"/>
      <c r="N221" s="25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>
        <v>4</v>
      </c>
      <c r="EE221" s="19"/>
      <c r="EF221" s="19"/>
      <c r="EG221" s="19"/>
      <c r="EH221" s="19"/>
      <c r="EI221" s="19"/>
      <c r="EJ221" s="19"/>
      <c r="EK221" s="19"/>
      <c r="EL221" s="19"/>
    </row>
    <row r="222" spans="1:142" x14ac:dyDescent="0.25">
      <c r="A222" s="19" t="s">
        <v>215</v>
      </c>
      <c r="B222" s="19"/>
      <c r="C222" s="19">
        <v>1000</v>
      </c>
      <c r="D222" s="19">
        <v>500</v>
      </c>
      <c r="E222" s="19" t="s">
        <v>169</v>
      </c>
      <c r="F222" s="37"/>
      <c r="G222" s="19"/>
      <c r="H222" s="21"/>
      <c r="I222" s="19">
        <f t="shared" si="29"/>
        <v>2</v>
      </c>
      <c r="J222" s="19">
        <f t="shared" si="26"/>
        <v>2</v>
      </c>
      <c r="K222" s="19">
        <f t="shared" si="27"/>
        <v>0</v>
      </c>
      <c r="L222" s="21">
        <f t="shared" si="28"/>
        <v>4</v>
      </c>
      <c r="M222" s="25"/>
      <c r="N222" s="25"/>
      <c r="O222" s="19">
        <v>1</v>
      </c>
      <c r="P222" s="19">
        <v>1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>
        <v>1</v>
      </c>
      <c r="CB222" s="19">
        <v>1</v>
      </c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</row>
    <row r="223" spans="1:142" x14ac:dyDescent="0.25">
      <c r="A223" s="19" t="s">
        <v>215</v>
      </c>
      <c r="B223" s="19"/>
      <c r="C223" s="19">
        <v>1000</v>
      </c>
      <c r="D223" s="19">
        <v>400</v>
      </c>
      <c r="E223" s="19" t="s">
        <v>169</v>
      </c>
      <c r="F223" s="37"/>
      <c r="G223" s="19"/>
      <c r="H223" s="21"/>
      <c r="I223" s="19">
        <f t="shared" si="29"/>
        <v>3</v>
      </c>
      <c r="J223" s="19">
        <f t="shared" si="26"/>
        <v>3</v>
      </c>
      <c r="K223" s="19">
        <f t="shared" si="27"/>
        <v>3</v>
      </c>
      <c r="L223" s="21">
        <f t="shared" si="28"/>
        <v>9</v>
      </c>
      <c r="M223" s="25"/>
      <c r="N223" s="25"/>
      <c r="O223" s="19">
        <v>3</v>
      </c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>
        <v>1</v>
      </c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>
        <v>2</v>
      </c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>
        <v>3</v>
      </c>
      <c r="EI223" s="19"/>
      <c r="EJ223" s="19"/>
      <c r="EK223" s="19"/>
      <c r="EL223" s="19"/>
    </row>
    <row r="224" spans="1:142" x14ac:dyDescent="0.25">
      <c r="A224" s="19" t="s">
        <v>215</v>
      </c>
      <c r="B224" s="19"/>
      <c r="C224" s="19">
        <v>1000</v>
      </c>
      <c r="D224" s="19">
        <v>320</v>
      </c>
      <c r="E224" s="19" t="s">
        <v>169</v>
      </c>
      <c r="F224" s="37"/>
      <c r="G224" s="19"/>
      <c r="H224" s="21"/>
      <c r="I224" s="19">
        <f t="shared" si="29"/>
        <v>0</v>
      </c>
      <c r="J224" s="19">
        <f t="shared" si="26"/>
        <v>22</v>
      </c>
      <c r="K224" s="19">
        <f t="shared" si="27"/>
        <v>0</v>
      </c>
      <c r="L224" s="21">
        <f t="shared" si="28"/>
        <v>22</v>
      </c>
      <c r="M224" s="25"/>
      <c r="N224" s="25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>
        <v>3</v>
      </c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>
        <v>2</v>
      </c>
      <c r="DK224" s="19"/>
      <c r="DL224" s="19"/>
      <c r="DM224" s="19"/>
      <c r="DN224" s="19"/>
      <c r="DO224" s="19">
        <v>9</v>
      </c>
      <c r="DP224" s="19">
        <v>6</v>
      </c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>
        <v>2</v>
      </c>
      <c r="EE224" s="19"/>
      <c r="EF224" s="19"/>
      <c r="EG224" s="19"/>
      <c r="EH224" s="19"/>
      <c r="EI224" s="19"/>
      <c r="EJ224" s="19"/>
      <c r="EK224" s="19"/>
      <c r="EL224" s="19"/>
    </row>
    <row r="225" spans="1:142" x14ac:dyDescent="0.25">
      <c r="A225" s="19" t="s">
        <v>215</v>
      </c>
      <c r="B225" s="19"/>
      <c r="C225" s="24" t="s">
        <v>159</v>
      </c>
      <c r="D225" s="19">
        <v>1000</v>
      </c>
      <c r="E225" s="19" t="s">
        <v>169</v>
      </c>
      <c r="F225" s="37"/>
      <c r="G225" s="19"/>
      <c r="H225" s="21"/>
      <c r="I225" s="19">
        <f t="shared" si="29"/>
        <v>1</v>
      </c>
      <c r="J225" s="19">
        <f t="shared" si="26"/>
        <v>0</v>
      </c>
      <c r="K225" s="19">
        <f t="shared" si="27"/>
        <v>0</v>
      </c>
      <c r="L225" s="21">
        <f t="shared" si="28"/>
        <v>1</v>
      </c>
      <c r="M225" s="25"/>
      <c r="N225" s="25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>
        <v>1</v>
      </c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</row>
    <row r="226" spans="1:142" x14ac:dyDescent="0.25">
      <c r="A226" s="19" t="s">
        <v>215</v>
      </c>
      <c r="B226" s="19"/>
      <c r="C226" s="19">
        <v>800</v>
      </c>
      <c r="D226" s="19">
        <v>400</v>
      </c>
      <c r="E226" s="19" t="s">
        <v>169</v>
      </c>
      <c r="F226" s="38"/>
      <c r="G226" s="19"/>
      <c r="H226" s="21"/>
      <c r="I226" s="19">
        <f t="shared" si="29"/>
        <v>4</v>
      </c>
      <c r="J226" s="19">
        <f t="shared" si="26"/>
        <v>13</v>
      </c>
      <c r="K226" s="19">
        <f t="shared" si="27"/>
        <v>0</v>
      </c>
      <c r="L226" s="21">
        <f t="shared" si="28"/>
        <v>17</v>
      </c>
      <c r="M226" s="25"/>
      <c r="N226" s="25"/>
      <c r="O226" s="19"/>
      <c r="P226" s="19">
        <v>4</v>
      </c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>
        <v>2</v>
      </c>
      <c r="BS226" s="19"/>
      <c r="BT226" s="19"/>
      <c r="BU226" s="19"/>
      <c r="BV226" s="19"/>
      <c r="BW226" s="19"/>
      <c r="BX226" s="19"/>
      <c r="BY226" s="19"/>
      <c r="BZ226" s="19"/>
      <c r="CA226" s="19"/>
      <c r="CB226" s="19">
        <v>4</v>
      </c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>
        <v>3</v>
      </c>
      <c r="CP226" s="19"/>
      <c r="CQ226" s="19"/>
      <c r="CR226" s="19"/>
      <c r="CS226" s="19"/>
      <c r="CT226" s="19"/>
      <c r="CU226" s="19"/>
      <c r="CV226" s="19"/>
      <c r="CW226" s="19"/>
      <c r="CX226" s="19">
        <v>2</v>
      </c>
      <c r="CY226" s="19"/>
      <c r="CZ226" s="19"/>
      <c r="DA226" s="19"/>
      <c r="DB226" s="19"/>
      <c r="DC226" s="19"/>
      <c r="DD226" s="19"/>
      <c r="DE226" s="19"/>
      <c r="DF226" s="19"/>
      <c r="DG226" s="19">
        <v>2</v>
      </c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</row>
    <row r="227" spans="1:142" ht="29" customHeight="1" x14ac:dyDescent="0.25">
      <c r="A227" s="19" t="s">
        <v>217</v>
      </c>
      <c r="B227" s="19"/>
      <c r="C227" s="19">
        <v>1600</v>
      </c>
      <c r="D227" s="19">
        <v>500</v>
      </c>
      <c r="E227" s="19" t="s">
        <v>169</v>
      </c>
      <c r="F227" s="36" t="s">
        <v>218</v>
      </c>
      <c r="G227" s="19"/>
      <c r="H227" s="21"/>
      <c r="I227" s="19">
        <f t="shared" si="29"/>
        <v>2</v>
      </c>
      <c r="J227" s="19">
        <f t="shared" si="26"/>
        <v>6</v>
      </c>
      <c r="K227" s="19">
        <f t="shared" si="27"/>
        <v>0</v>
      </c>
      <c r="L227" s="21">
        <f t="shared" si="28"/>
        <v>8</v>
      </c>
      <c r="M227" s="25"/>
      <c r="N227" s="25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>
        <v>1</v>
      </c>
      <c r="AT227" s="19">
        <v>1</v>
      </c>
      <c r="AU227" s="19"/>
      <c r="AV227" s="19"/>
      <c r="AW227" s="19"/>
      <c r="AX227" s="19"/>
      <c r="AY227" s="19">
        <v>1</v>
      </c>
      <c r="AZ227" s="19">
        <v>1</v>
      </c>
      <c r="BA227" s="19"/>
      <c r="BB227" s="19"/>
      <c r="BC227" s="19"/>
      <c r="BD227" s="19"/>
      <c r="BE227" s="19"/>
      <c r="BF227" s="19"/>
      <c r="BG227" s="19">
        <v>1</v>
      </c>
      <c r="BH227" s="19">
        <v>1</v>
      </c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>
        <v>1</v>
      </c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>
        <v>1</v>
      </c>
      <c r="EF227" s="19"/>
      <c r="EG227" s="19"/>
      <c r="EH227" s="19"/>
      <c r="EI227" s="19"/>
      <c r="EJ227" s="19"/>
      <c r="EK227" s="19"/>
      <c r="EL227" s="19"/>
    </row>
    <row r="228" spans="1:142" ht="29" customHeight="1" x14ac:dyDescent="0.25">
      <c r="A228" s="19" t="s">
        <v>217</v>
      </c>
      <c r="B228" s="19"/>
      <c r="C228" s="19">
        <v>1400</v>
      </c>
      <c r="D228" s="19">
        <v>400</v>
      </c>
      <c r="E228" s="19" t="s">
        <v>169</v>
      </c>
      <c r="F228" s="37"/>
      <c r="G228" s="19"/>
      <c r="H228" s="21"/>
      <c r="I228" s="19">
        <f t="shared" si="29"/>
        <v>0</v>
      </c>
      <c r="J228" s="19">
        <f t="shared" si="26"/>
        <v>2</v>
      </c>
      <c r="K228" s="19">
        <f t="shared" si="27"/>
        <v>0</v>
      </c>
      <c r="L228" s="21">
        <f t="shared" si="28"/>
        <v>2</v>
      </c>
      <c r="M228" s="25"/>
      <c r="N228" s="25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>
        <v>1</v>
      </c>
      <c r="BF228" s="19">
        <v>1</v>
      </c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</row>
    <row r="229" spans="1:142" ht="29" customHeight="1" x14ac:dyDescent="0.25">
      <c r="A229" s="19" t="s">
        <v>217</v>
      </c>
      <c r="B229" s="19"/>
      <c r="C229" s="19">
        <v>1000</v>
      </c>
      <c r="D229" s="19">
        <v>400</v>
      </c>
      <c r="E229" s="19" t="s">
        <v>169</v>
      </c>
      <c r="F229" s="37"/>
      <c r="G229" s="19"/>
      <c r="H229" s="21"/>
      <c r="I229" s="19">
        <f t="shared" si="29"/>
        <v>0</v>
      </c>
      <c r="J229" s="19">
        <f t="shared" si="26"/>
        <v>2</v>
      </c>
      <c r="K229" s="19">
        <f t="shared" si="27"/>
        <v>0</v>
      </c>
      <c r="L229" s="21">
        <f t="shared" si="28"/>
        <v>2</v>
      </c>
      <c r="M229" s="25"/>
      <c r="N229" s="25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>
        <v>2</v>
      </c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</row>
    <row r="230" spans="1:142" ht="29" customHeight="1" x14ac:dyDescent="0.25">
      <c r="A230" s="19" t="s">
        <v>217</v>
      </c>
      <c r="B230" s="19"/>
      <c r="C230" s="19">
        <v>1000</v>
      </c>
      <c r="D230" s="19">
        <v>320</v>
      </c>
      <c r="E230" s="19" t="s">
        <v>169</v>
      </c>
      <c r="F230" s="38"/>
      <c r="G230" s="19"/>
      <c r="H230" s="21"/>
      <c r="I230" s="19">
        <f t="shared" si="29"/>
        <v>0</v>
      </c>
      <c r="J230" s="19">
        <f t="shared" si="26"/>
        <v>22</v>
      </c>
      <c r="K230" s="19">
        <f t="shared" si="27"/>
        <v>0</v>
      </c>
      <c r="L230" s="21">
        <f t="shared" si="28"/>
        <v>22</v>
      </c>
      <c r="M230" s="25"/>
      <c r="N230" s="25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>
        <v>3</v>
      </c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>
        <v>2</v>
      </c>
      <c r="DK230" s="19"/>
      <c r="DL230" s="19"/>
      <c r="DM230" s="19"/>
      <c r="DN230" s="19"/>
      <c r="DO230" s="19">
        <v>9</v>
      </c>
      <c r="DP230" s="19">
        <v>6</v>
      </c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>
        <v>2</v>
      </c>
      <c r="EE230" s="19"/>
      <c r="EF230" s="19"/>
      <c r="EG230" s="19"/>
      <c r="EH230" s="19"/>
      <c r="EI230" s="19"/>
      <c r="EJ230" s="19"/>
      <c r="EK230" s="19"/>
      <c r="EL230" s="19"/>
    </row>
    <row r="231" spans="1:142" x14ac:dyDescent="0.25">
      <c r="A231" s="19" t="s">
        <v>219</v>
      </c>
      <c r="B231" s="19"/>
      <c r="C231" s="19">
        <v>1600</v>
      </c>
      <c r="D231" s="19">
        <v>500</v>
      </c>
      <c r="E231" s="19" t="s">
        <v>169</v>
      </c>
      <c r="F231" s="36" t="s">
        <v>220</v>
      </c>
      <c r="G231" s="19"/>
      <c r="H231" s="21"/>
      <c r="I231" s="19">
        <f t="shared" si="29"/>
        <v>5</v>
      </c>
      <c r="J231" s="19">
        <f t="shared" si="26"/>
        <v>12</v>
      </c>
      <c r="K231" s="19">
        <f t="shared" si="27"/>
        <v>0</v>
      </c>
      <c r="L231" s="21">
        <f t="shared" si="28"/>
        <v>17</v>
      </c>
      <c r="M231" s="25"/>
      <c r="N231" s="25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>
        <v>1</v>
      </c>
      <c r="AG231" s="19"/>
      <c r="AH231" s="19"/>
      <c r="AI231" s="19"/>
      <c r="AJ231" s="19"/>
      <c r="AK231" s="19"/>
      <c r="AL231" s="19"/>
      <c r="AM231" s="19"/>
      <c r="AN231" s="19">
        <v>1</v>
      </c>
      <c r="AO231" s="19">
        <v>1</v>
      </c>
      <c r="AP231" s="19"/>
      <c r="AQ231" s="19"/>
      <c r="AR231" s="19"/>
      <c r="AS231" s="19">
        <v>1</v>
      </c>
      <c r="AT231" s="19">
        <v>1</v>
      </c>
      <c r="AU231" s="19"/>
      <c r="AV231" s="19"/>
      <c r="AW231" s="19"/>
      <c r="AX231" s="19"/>
      <c r="AY231" s="19">
        <v>1</v>
      </c>
      <c r="AZ231" s="19">
        <v>1</v>
      </c>
      <c r="BA231" s="19"/>
      <c r="BB231" s="19"/>
      <c r="BC231" s="19"/>
      <c r="BD231" s="19"/>
      <c r="BE231" s="19">
        <v>1</v>
      </c>
      <c r="BF231" s="19">
        <v>1</v>
      </c>
      <c r="BG231" s="19">
        <v>1</v>
      </c>
      <c r="BH231" s="19">
        <v>1</v>
      </c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>
        <v>1</v>
      </c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>
        <v>1</v>
      </c>
      <c r="DA231" s="19">
        <v>1</v>
      </c>
      <c r="DB231" s="19"/>
      <c r="DC231" s="19"/>
      <c r="DD231" s="19"/>
      <c r="DE231" s="19"/>
      <c r="DF231" s="19"/>
      <c r="DG231" s="19"/>
      <c r="DH231" s="19">
        <v>1</v>
      </c>
      <c r="DI231" s="19">
        <v>1</v>
      </c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>
        <v>1</v>
      </c>
      <c r="EF231" s="19"/>
      <c r="EG231" s="19"/>
      <c r="EH231" s="19"/>
      <c r="EI231" s="19"/>
      <c r="EJ231" s="19"/>
      <c r="EK231" s="19"/>
      <c r="EL231" s="19"/>
    </row>
    <row r="232" spans="1:142" x14ac:dyDescent="0.25">
      <c r="A232" s="19" t="s">
        <v>219</v>
      </c>
      <c r="B232" s="19"/>
      <c r="C232" s="19">
        <v>800</v>
      </c>
      <c r="D232" s="19">
        <v>250</v>
      </c>
      <c r="E232" s="19" t="s">
        <v>169</v>
      </c>
      <c r="F232" s="37"/>
      <c r="G232" s="19"/>
      <c r="H232" s="21"/>
      <c r="I232" s="19">
        <f t="shared" si="29"/>
        <v>0</v>
      </c>
      <c r="J232" s="19">
        <f t="shared" si="26"/>
        <v>1</v>
      </c>
      <c r="K232" s="19">
        <f t="shared" si="27"/>
        <v>0</v>
      </c>
      <c r="L232" s="21">
        <f t="shared" si="28"/>
        <v>1</v>
      </c>
      <c r="M232" s="25"/>
      <c r="N232" s="25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>
        <v>1</v>
      </c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</row>
    <row r="233" spans="1:142" x14ac:dyDescent="0.25">
      <c r="A233" s="19" t="s">
        <v>219</v>
      </c>
      <c r="B233" s="19"/>
      <c r="C233" s="19">
        <v>630</v>
      </c>
      <c r="D233" s="19">
        <v>320</v>
      </c>
      <c r="E233" s="19" t="s">
        <v>169</v>
      </c>
      <c r="F233" s="37"/>
      <c r="G233" s="19"/>
      <c r="H233" s="21"/>
      <c r="I233" s="19">
        <f t="shared" si="29"/>
        <v>1</v>
      </c>
      <c r="J233" s="19">
        <f t="shared" si="26"/>
        <v>0</v>
      </c>
      <c r="K233" s="19">
        <f t="shared" si="27"/>
        <v>1</v>
      </c>
      <c r="L233" s="21">
        <f t="shared" si="28"/>
        <v>2</v>
      </c>
      <c r="M233" s="25"/>
      <c r="N233" s="25"/>
      <c r="O233" s="19">
        <v>1</v>
      </c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>
        <v>1</v>
      </c>
      <c r="EJ233" s="19"/>
      <c r="EK233" s="19"/>
      <c r="EL233" s="19"/>
    </row>
    <row r="234" spans="1:142" x14ac:dyDescent="0.25">
      <c r="A234" s="19" t="s">
        <v>219</v>
      </c>
      <c r="B234" s="19"/>
      <c r="C234" s="19">
        <v>500</v>
      </c>
      <c r="D234" s="19">
        <v>320</v>
      </c>
      <c r="E234" s="19" t="s">
        <v>169</v>
      </c>
      <c r="F234" s="37"/>
      <c r="G234" s="19"/>
      <c r="H234" s="21"/>
      <c r="I234" s="19">
        <f t="shared" si="29"/>
        <v>2</v>
      </c>
      <c r="J234" s="19">
        <f t="shared" si="26"/>
        <v>2</v>
      </c>
      <c r="K234" s="19">
        <f t="shared" si="27"/>
        <v>0</v>
      </c>
      <c r="L234" s="21">
        <f t="shared" si="28"/>
        <v>4</v>
      </c>
      <c r="M234" s="25"/>
      <c r="N234" s="25"/>
      <c r="O234" s="19"/>
      <c r="P234" s="19">
        <v>2</v>
      </c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>
        <v>2</v>
      </c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</row>
    <row r="235" spans="1:142" x14ac:dyDescent="0.25">
      <c r="A235" s="19" t="s">
        <v>219</v>
      </c>
      <c r="B235" s="19"/>
      <c r="C235" s="19">
        <v>400</v>
      </c>
      <c r="D235" s="19">
        <v>320</v>
      </c>
      <c r="E235" s="19" t="s">
        <v>169</v>
      </c>
      <c r="F235" s="38"/>
      <c r="G235" s="19"/>
      <c r="H235" s="21"/>
      <c r="I235" s="19">
        <f t="shared" si="29"/>
        <v>1</v>
      </c>
      <c r="J235" s="19">
        <f t="shared" si="26"/>
        <v>0</v>
      </c>
      <c r="K235" s="19">
        <f t="shared" si="27"/>
        <v>0</v>
      </c>
      <c r="L235" s="21">
        <f t="shared" si="28"/>
        <v>1</v>
      </c>
      <c r="M235" s="25"/>
      <c r="N235" s="25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25">
        <v>1</v>
      </c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</row>
    <row r="236" spans="1:142" x14ac:dyDescent="0.25">
      <c r="A236" s="19" t="s">
        <v>221</v>
      </c>
      <c r="B236" s="19"/>
      <c r="C236" s="19">
        <v>800</v>
      </c>
      <c r="D236" s="19">
        <v>800</v>
      </c>
      <c r="E236" s="19" t="s">
        <v>169</v>
      </c>
      <c r="F236" s="36" t="s">
        <v>222</v>
      </c>
      <c r="G236" s="19"/>
      <c r="H236" s="21"/>
      <c r="I236" s="19">
        <f t="shared" si="29"/>
        <v>0</v>
      </c>
      <c r="J236" s="19">
        <f t="shared" si="26"/>
        <v>3</v>
      </c>
      <c r="K236" s="19">
        <f t="shared" si="27"/>
        <v>0</v>
      </c>
      <c r="L236" s="21">
        <f t="shared" si="28"/>
        <v>3</v>
      </c>
      <c r="M236" s="25"/>
      <c r="N236" s="25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25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>
        <v>1</v>
      </c>
      <c r="CT236" s="19">
        <v>2</v>
      </c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</row>
    <row r="237" spans="1:142" x14ac:dyDescent="0.25">
      <c r="A237" s="19" t="s">
        <v>221</v>
      </c>
      <c r="B237" s="19"/>
      <c r="C237" s="19">
        <v>800</v>
      </c>
      <c r="D237" s="19">
        <v>500</v>
      </c>
      <c r="E237" s="19" t="s">
        <v>169</v>
      </c>
      <c r="F237" s="37"/>
      <c r="G237" s="19"/>
      <c r="H237" s="21"/>
      <c r="I237" s="19">
        <f t="shared" si="29"/>
        <v>0</v>
      </c>
      <c r="J237" s="19">
        <f t="shared" si="26"/>
        <v>6</v>
      </c>
      <c r="K237" s="19">
        <f t="shared" si="27"/>
        <v>0</v>
      </c>
      <c r="L237" s="21">
        <f t="shared" si="28"/>
        <v>6</v>
      </c>
      <c r="M237" s="25"/>
      <c r="N237" s="25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25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>
        <v>1</v>
      </c>
      <c r="DF237" s="19">
        <v>2</v>
      </c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>
        <v>2</v>
      </c>
      <c r="DZ237" s="19">
        <v>1</v>
      </c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</row>
    <row r="238" spans="1:142" x14ac:dyDescent="0.25">
      <c r="A238" s="19" t="s">
        <v>221</v>
      </c>
      <c r="B238" s="19"/>
      <c r="C238" s="19">
        <v>800</v>
      </c>
      <c r="D238" s="19">
        <v>400</v>
      </c>
      <c r="E238" s="19" t="s">
        <v>169</v>
      </c>
      <c r="F238" s="38"/>
      <c r="G238" s="19"/>
      <c r="H238" s="21"/>
      <c r="I238" s="19">
        <f t="shared" si="29"/>
        <v>0</v>
      </c>
      <c r="J238" s="19">
        <f t="shared" si="26"/>
        <v>5</v>
      </c>
      <c r="K238" s="19">
        <f t="shared" si="27"/>
        <v>0</v>
      </c>
      <c r="L238" s="21">
        <f t="shared" si="28"/>
        <v>5</v>
      </c>
      <c r="M238" s="25"/>
      <c r="N238" s="25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25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>
        <v>1</v>
      </c>
      <c r="BO238" s="19"/>
      <c r="BP238" s="19">
        <v>1</v>
      </c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>
        <v>1</v>
      </c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>
        <v>1</v>
      </c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>
        <v>1</v>
      </c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</row>
    <row r="239" spans="1:142" x14ac:dyDescent="0.25">
      <c r="A239" s="19" t="s">
        <v>223</v>
      </c>
      <c r="B239" s="19"/>
      <c r="C239" s="19">
        <v>1600</v>
      </c>
      <c r="D239" s="19">
        <v>500</v>
      </c>
      <c r="E239" s="19" t="s">
        <v>169</v>
      </c>
      <c r="F239" s="36"/>
      <c r="G239" s="19"/>
      <c r="H239" s="21"/>
      <c r="I239" s="19">
        <f t="shared" si="29"/>
        <v>1</v>
      </c>
      <c r="J239" s="19">
        <f t="shared" si="26"/>
        <v>4</v>
      </c>
      <c r="K239" s="19">
        <f t="shared" si="27"/>
        <v>0</v>
      </c>
      <c r="L239" s="21">
        <f t="shared" si="28"/>
        <v>5</v>
      </c>
      <c r="M239" s="25"/>
      <c r="N239" s="25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25"/>
      <c r="AF239" s="19">
        <v>1</v>
      </c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>
        <v>1</v>
      </c>
      <c r="DA239" s="19">
        <v>1</v>
      </c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>
        <v>1</v>
      </c>
      <c r="DP239" s="19">
        <v>1</v>
      </c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</row>
    <row r="240" spans="1:142" x14ac:dyDescent="0.25">
      <c r="A240" s="19" t="s">
        <v>223</v>
      </c>
      <c r="B240" s="19"/>
      <c r="C240" s="19">
        <v>1400</v>
      </c>
      <c r="D240" s="19">
        <v>630</v>
      </c>
      <c r="E240" s="19" t="s">
        <v>169</v>
      </c>
      <c r="F240" s="37"/>
      <c r="G240" s="19"/>
      <c r="H240" s="21"/>
      <c r="I240" s="19">
        <f t="shared" si="29"/>
        <v>2</v>
      </c>
      <c r="J240" s="19">
        <f t="shared" si="26"/>
        <v>0</v>
      </c>
      <c r="K240" s="19">
        <f t="shared" si="27"/>
        <v>0</v>
      </c>
      <c r="L240" s="21">
        <f t="shared" si="28"/>
        <v>2</v>
      </c>
      <c r="M240" s="25"/>
      <c r="N240" s="25"/>
      <c r="O240" s="19"/>
      <c r="P240" s="19"/>
      <c r="Q240" s="19"/>
      <c r="R240" s="19"/>
      <c r="S240" s="19"/>
      <c r="T240" s="19"/>
      <c r="U240" s="19"/>
      <c r="V240" s="19"/>
      <c r="W240" s="19">
        <v>1</v>
      </c>
      <c r="X240" s="19"/>
      <c r="Y240" s="19">
        <v>1</v>
      </c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</row>
    <row r="241" spans="1:142" x14ac:dyDescent="0.25">
      <c r="A241" s="19" t="s">
        <v>223</v>
      </c>
      <c r="B241" s="19"/>
      <c r="C241" s="19">
        <v>1400</v>
      </c>
      <c r="D241" s="19">
        <v>500</v>
      </c>
      <c r="E241" s="19" t="s">
        <v>169</v>
      </c>
      <c r="F241" s="37"/>
      <c r="G241" s="19"/>
      <c r="H241" s="21"/>
      <c r="I241" s="19">
        <f t="shared" si="29"/>
        <v>8</v>
      </c>
      <c r="J241" s="19">
        <f t="shared" si="26"/>
        <v>13</v>
      </c>
      <c r="K241" s="19">
        <f t="shared" si="27"/>
        <v>0</v>
      </c>
      <c r="L241" s="21">
        <f t="shared" si="28"/>
        <v>21</v>
      </c>
      <c r="M241" s="25"/>
      <c r="N241" s="25"/>
      <c r="O241" s="19"/>
      <c r="P241" s="19"/>
      <c r="Q241" s="19"/>
      <c r="R241" s="19"/>
      <c r="S241" s="19"/>
      <c r="T241" s="19"/>
      <c r="U241" s="19">
        <v>1</v>
      </c>
      <c r="V241" s="19"/>
      <c r="W241" s="19"/>
      <c r="X241" s="19"/>
      <c r="Y241" s="19"/>
      <c r="Z241" s="19"/>
      <c r="AA241" s="19">
        <v>1</v>
      </c>
      <c r="AB241" s="19"/>
      <c r="AC241" s="19"/>
      <c r="AD241" s="19">
        <v>1</v>
      </c>
      <c r="AE241" s="19"/>
      <c r="AF241" s="19"/>
      <c r="AG241" s="19"/>
      <c r="AH241" s="19">
        <v>1</v>
      </c>
      <c r="AI241" s="19"/>
      <c r="AJ241" s="19">
        <v>2</v>
      </c>
      <c r="AK241" s="19"/>
      <c r="AL241" s="19"/>
      <c r="AM241" s="19"/>
      <c r="AN241" s="19"/>
      <c r="AO241" s="19"/>
      <c r="AP241" s="19"/>
      <c r="AQ241" s="19">
        <v>1</v>
      </c>
      <c r="AR241" s="19">
        <v>1</v>
      </c>
      <c r="AS241" s="19"/>
      <c r="AT241" s="19"/>
      <c r="AU241" s="19"/>
      <c r="AV241" s="19"/>
      <c r="AW241" s="19">
        <v>1</v>
      </c>
      <c r="AX241" s="19">
        <v>1</v>
      </c>
      <c r="AY241" s="19"/>
      <c r="AZ241" s="19"/>
      <c r="BA241" s="19">
        <v>1</v>
      </c>
      <c r="BB241" s="19">
        <v>1</v>
      </c>
      <c r="BC241" s="19">
        <v>1</v>
      </c>
      <c r="BD241" s="19">
        <v>1</v>
      </c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>
        <v>1</v>
      </c>
      <c r="CG241" s="19">
        <v>1</v>
      </c>
      <c r="CH241" s="19"/>
      <c r="CI241" s="19"/>
      <c r="CJ241" s="19"/>
      <c r="CK241" s="19"/>
      <c r="CL241" s="19"/>
      <c r="CM241" s="19">
        <v>1</v>
      </c>
      <c r="CN241" s="19">
        <v>1</v>
      </c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>
        <v>1</v>
      </c>
      <c r="DM241" s="19">
        <v>1</v>
      </c>
      <c r="DN241" s="19"/>
      <c r="DO241" s="19"/>
      <c r="DP241" s="19"/>
      <c r="DQ241" s="19"/>
      <c r="DR241" s="19"/>
      <c r="DS241" s="19"/>
      <c r="DT241" s="19"/>
      <c r="DU241" s="19"/>
      <c r="DV241" s="19"/>
      <c r="DW241" s="19">
        <v>1</v>
      </c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</row>
    <row r="242" spans="1:142" x14ac:dyDescent="0.25">
      <c r="A242" s="19" t="s">
        <v>223</v>
      </c>
      <c r="B242" s="19"/>
      <c r="C242" s="24">
        <v>1250</v>
      </c>
      <c r="D242" s="19">
        <v>800</v>
      </c>
      <c r="E242" s="19" t="s">
        <v>169</v>
      </c>
      <c r="F242" s="37"/>
      <c r="G242" s="19"/>
      <c r="H242" s="21"/>
      <c r="I242" s="19">
        <f t="shared" si="29"/>
        <v>0</v>
      </c>
      <c r="J242" s="19">
        <f t="shared" si="26"/>
        <v>3</v>
      </c>
      <c r="K242" s="19">
        <f t="shared" si="27"/>
        <v>0</v>
      </c>
      <c r="L242" s="21">
        <f t="shared" si="28"/>
        <v>3</v>
      </c>
      <c r="M242" s="25"/>
      <c r="N242" s="25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>
        <v>1</v>
      </c>
      <c r="DU242" s="19">
        <v>1</v>
      </c>
      <c r="DV242" s="19">
        <v>1</v>
      </c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</row>
    <row r="243" spans="1:142" x14ac:dyDescent="0.25">
      <c r="A243" s="19" t="s">
        <v>223</v>
      </c>
      <c r="B243" s="19"/>
      <c r="C243" s="24">
        <v>1250</v>
      </c>
      <c r="D243" s="19">
        <v>630</v>
      </c>
      <c r="E243" s="19" t="s">
        <v>169</v>
      </c>
      <c r="F243" s="37"/>
      <c r="G243" s="19"/>
      <c r="H243" s="21"/>
      <c r="I243" s="19">
        <f t="shared" si="29"/>
        <v>4</v>
      </c>
      <c r="J243" s="19">
        <f t="shared" si="26"/>
        <v>7</v>
      </c>
      <c r="K243" s="19">
        <f t="shared" si="27"/>
        <v>0</v>
      </c>
      <c r="L243" s="21">
        <f t="shared" si="28"/>
        <v>11</v>
      </c>
      <c r="M243" s="25"/>
      <c r="N243" s="25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>
        <v>1</v>
      </c>
      <c r="AO243" s="19">
        <v>1</v>
      </c>
      <c r="AP243" s="19"/>
      <c r="AQ243" s="19"/>
      <c r="AR243" s="19"/>
      <c r="AS243" s="19">
        <v>1</v>
      </c>
      <c r="AT243" s="19">
        <v>1</v>
      </c>
      <c r="AU243" s="19"/>
      <c r="AV243" s="19"/>
      <c r="AW243" s="19"/>
      <c r="AX243" s="19"/>
      <c r="AY243" s="19">
        <v>1</v>
      </c>
      <c r="AZ243" s="19">
        <v>1</v>
      </c>
      <c r="BA243" s="19"/>
      <c r="BB243" s="19"/>
      <c r="BC243" s="19"/>
      <c r="BD243" s="19"/>
      <c r="BE243" s="19"/>
      <c r="BF243" s="19"/>
      <c r="BG243" s="19">
        <v>1</v>
      </c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>
        <v>1</v>
      </c>
      <c r="CI243" s="19">
        <v>1</v>
      </c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>
        <v>1</v>
      </c>
      <c r="DI243" s="19">
        <v>1</v>
      </c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</row>
    <row r="244" spans="1:142" x14ac:dyDescent="0.25">
      <c r="A244" s="19" t="s">
        <v>223</v>
      </c>
      <c r="B244" s="19"/>
      <c r="C244" s="24">
        <v>1250</v>
      </c>
      <c r="D244" s="19">
        <v>500</v>
      </c>
      <c r="E244" s="19" t="s">
        <v>169</v>
      </c>
      <c r="F244" s="37"/>
      <c r="G244" s="19"/>
      <c r="H244" s="21"/>
      <c r="I244" s="19">
        <f t="shared" si="29"/>
        <v>0</v>
      </c>
      <c r="J244" s="19">
        <f t="shared" si="26"/>
        <v>2</v>
      </c>
      <c r="K244" s="19">
        <f t="shared" si="27"/>
        <v>0</v>
      </c>
      <c r="L244" s="21">
        <f t="shared" si="28"/>
        <v>2</v>
      </c>
      <c r="M244" s="25"/>
      <c r="N244" s="25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>
        <v>1</v>
      </c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>
        <v>1</v>
      </c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</row>
    <row r="245" spans="1:142" x14ac:dyDescent="0.25">
      <c r="A245" s="25" t="s">
        <v>223</v>
      </c>
      <c r="B245" s="25"/>
      <c r="C245" s="27">
        <v>1250</v>
      </c>
      <c r="D245" s="25">
        <v>320</v>
      </c>
      <c r="E245" s="25" t="s">
        <v>169</v>
      </c>
      <c r="F245" s="37"/>
      <c r="G245" s="25"/>
      <c r="H245" s="28"/>
      <c r="I245" s="19">
        <f t="shared" si="29"/>
        <v>0</v>
      </c>
      <c r="J245" s="19">
        <f t="shared" si="26"/>
        <v>1</v>
      </c>
      <c r="K245" s="19">
        <f t="shared" si="27"/>
        <v>0</v>
      </c>
      <c r="L245" s="21">
        <f t="shared" si="28"/>
        <v>1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>
        <v>1</v>
      </c>
      <c r="EF245" s="19"/>
      <c r="EG245" s="19"/>
      <c r="EH245" s="19"/>
      <c r="EI245" s="19"/>
      <c r="EJ245" s="19"/>
      <c r="EK245" s="25"/>
      <c r="EL245" s="19"/>
    </row>
    <row r="246" spans="1:142" x14ac:dyDescent="0.25">
      <c r="A246" s="19" t="s">
        <v>223</v>
      </c>
      <c r="B246" s="19"/>
      <c r="C246" s="24" t="s">
        <v>159</v>
      </c>
      <c r="D246" s="19">
        <v>1000</v>
      </c>
      <c r="E246" s="19" t="s">
        <v>169</v>
      </c>
      <c r="F246" s="37"/>
      <c r="G246" s="19"/>
      <c r="H246" s="21"/>
      <c r="I246" s="19">
        <f t="shared" si="29"/>
        <v>1</v>
      </c>
      <c r="J246" s="19">
        <f t="shared" si="26"/>
        <v>0</v>
      </c>
      <c r="K246" s="19">
        <f t="shared" si="27"/>
        <v>0</v>
      </c>
      <c r="L246" s="21">
        <f t="shared" si="28"/>
        <v>1</v>
      </c>
      <c r="M246" s="25"/>
      <c r="N246" s="25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>
        <v>1</v>
      </c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</row>
    <row r="247" spans="1:142" x14ac:dyDescent="0.25">
      <c r="A247" s="19" t="s">
        <v>223</v>
      </c>
      <c r="B247" s="19"/>
      <c r="C247" s="19">
        <v>1000</v>
      </c>
      <c r="D247" s="19">
        <v>800</v>
      </c>
      <c r="E247" s="19" t="s">
        <v>169</v>
      </c>
      <c r="F247" s="37"/>
      <c r="G247" s="19"/>
      <c r="H247" s="21"/>
      <c r="I247" s="19">
        <f t="shared" si="29"/>
        <v>0</v>
      </c>
      <c r="J247" s="19">
        <f t="shared" si="26"/>
        <v>3</v>
      </c>
      <c r="K247" s="19">
        <f t="shared" si="27"/>
        <v>0</v>
      </c>
      <c r="L247" s="21">
        <f t="shared" si="28"/>
        <v>3</v>
      </c>
      <c r="M247" s="25"/>
      <c r="N247" s="25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>
        <v>1</v>
      </c>
      <c r="BF247" s="19">
        <v>1</v>
      </c>
      <c r="BG247" s="19"/>
      <c r="BH247" s="19">
        <v>1</v>
      </c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</row>
    <row r="248" spans="1:142" x14ac:dyDescent="0.25">
      <c r="A248" s="19" t="s">
        <v>223</v>
      </c>
      <c r="B248" s="19"/>
      <c r="C248" s="19">
        <v>1000</v>
      </c>
      <c r="D248" s="19">
        <v>630</v>
      </c>
      <c r="E248" s="19" t="s">
        <v>169</v>
      </c>
      <c r="F248" s="37"/>
      <c r="G248" s="19"/>
      <c r="H248" s="21"/>
      <c r="I248" s="19">
        <f t="shared" si="29"/>
        <v>0</v>
      </c>
      <c r="J248" s="19">
        <f t="shared" si="26"/>
        <v>2</v>
      </c>
      <c r="K248" s="19">
        <f t="shared" si="27"/>
        <v>1</v>
      </c>
      <c r="L248" s="21">
        <f t="shared" si="28"/>
        <v>3</v>
      </c>
      <c r="M248" s="25"/>
      <c r="N248" s="25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>
        <v>1</v>
      </c>
      <c r="CB248" s="19">
        <v>1</v>
      </c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>
        <v>1</v>
      </c>
      <c r="EI248" s="19"/>
      <c r="EJ248" s="19"/>
      <c r="EK248" s="19"/>
      <c r="EL248" s="19"/>
    </row>
    <row r="249" spans="1:142" x14ac:dyDescent="0.25">
      <c r="A249" s="19" t="s">
        <v>223</v>
      </c>
      <c r="B249" s="19"/>
      <c r="C249" s="19">
        <v>1000</v>
      </c>
      <c r="D249" s="19">
        <v>550</v>
      </c>
      <c r="E249" s="19" t="s">
        <v>169</v>
      </c>
      <c r="F249" s="37"/>
      <c r="G249" s="19"/>
      <c r="H249" s="21"/>
      <c r="I249" s="19">
        <f t="shared" si="29"/>
        <v>0</v>
      </c>
      <c r="J249" s="19">
        <f t="shared" si="26"/>
        <v>1</v>
      </c>
      <c r="K249" s="19">
        <f t="shared" si="27"/>
        <v>0</v>
      </c>
      <c r="L249" s="21">
        <f t="shared" si="28"/>
        <v>1</v>
      </c>
      <c r="M249" s="25"/>
      <c r="N249" s="25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>
        <v>1</v>
      </c>
      <c r="EE249" s="19"/>
      <c r="EF249" s="19"/>
      <c r="EG249" s="19"/>
      <c r="EH249" s="19"/>
      <c r="EI249" s="19"/>
      <c r="EJ249" s="19"/>
      <c r="EK249" s="19"/>
      <c r="EL249" s="19"/>
    </row>
    <row r="250" spans="1:142" x14ac:dyDescent="0.25">
      <c r="A250" s="19" t="s">
        <v>223</v>
      </c>
      <c r="B250" s="19"/>
      <c r="C250" s="19">
        <v>1000</v>
      </c>
      <c r="D250" s="19">
        <v>500</v>
      </c>
      <c r="E250" s="19" t="s">
        <v>169</v>
      </c>
      <c r="F250" s="37"/>
      <c r="G250" s="19"/>
      <c r="H250" s="21"/>
      <c r="I250" s="19">
        <f t="shared" si="29"/>
        <v>5</v>
      </c>
      <c r="J250" s="19">
        <f t="shared" si="26"/>
        <v>5</v>
      </c>
      <c r="K250" s="19">
        <f t="shared" si="27"/>
        <v>0</v>
      </c>
      <c r="L250" s="21">
        <f t="shared" si="28"/>
        <v>10</v>
      </c>
      <c r="M250" s="25"/>
      <c r="N250" s="25"/>
      <c r="O250" s="19">
        <v>1</v>
      </c>
      <c r="P250" s="19">
        <v>1</v>
      </c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>
        <v>1</v>
      </c>
      <c r="AJ250" s="19"/>
      <c r="AK250" s="19"/>
      <c r="AL250" s="25">
        <v>1</v>
      </c>
      <c r="AM250" s="25">
        <v>1</v>
      </c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>
        <v>1</v>
      </c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>
        <v>1</v>
      </c>
      <c r="CW250" s="19">
        <v>1</v>
      </c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>
        <v>1</v>
      </c>
      <c r="DO250" s="19"/>
      <c r="DP250" s="19"/>
      <c r="DQ250" s="19"/>
      <c r="DR250" s="19"/>
      <c r="DS250" s="19">
        <v>1</v>
      </c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</row>
    <row r="251" spans="1:142" x14ac:dyDescent="0.25">
      <c r="A251" s="19" t="s">
        <v>223</v>
      </c>
      <c r="B251" s="19"/>
      <c r="C251" s="19">
        <v>1000</v>
      </c>
      <c r="D251" s="19">
        <v>400</v>
      </c>
      <c r="E251" s="19" t="s">
        <v>169</v>
      </c>
      <c r="F251" s="37"/>
      <c r="G251" s="19"/>
      <c r="H251" s="21"/>
      <c r="I251" s="19">
        <f t="shared" si="29"/>
        <v>0</v>
      </c>
      <c r="J251" s="19">
        <f t="shared" si="26"/>
        <v>2</v>
      </c>
      <c r="K251" s="19">
        <f t="shared" si="27"/>
        <v>0</v>
      </c>
      <c r="L251" s="21">
        <f t="shared" si="28"/>
        <v>2</v>
      </c>
      <c r="M251" s="25"/>
      <c r="N251" s="25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25"/>
      <c r="AM251" s="25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>
        <v>1</v>
      </c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>
        <v>1</v>
      </c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</row>
    <row r="252" spans="1:142" x14ac:dyDescent="0.25">
      <c r="A252" s="19" t="s">
        <v>223</v>
      </c>
      <c r="B252" s="19"/>
      <c r="C252" s="19">
        <v>800</v>
      </c>
      <c r="D252" s="19">
        <v>800</v>
      </c>
      <c r="E252" s="19" t="s">
        <v>169</v>
      </c>
      <c r="F252" s="37"/>
      <c r="G252" s="19"/>
      <c r="H252" s="21"/>
      <c r="I252" s="19">
        <f t="shared" si="29"/>
        <v>0</v>
      </c>
      <c r="J252" s="19">
        <f t="shared" si="26"/>
        <v>2</v>
      </c>
      <c r="K252" s="19">
        <f t="shared" si="27"/>
        <v>0</v>
      </c>
      <c r="L252" s="21">
        <f t="shared" si="28"/>
        <v>2</v>
      </c>
      <c r="M252" s="25"/>
      <c r="N252" s="25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25"/>
      <c r="AM252" s="25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>
        <v>1</v>
      </c>
      <c r="CT252" s="19">
        <v>1</v>
      </c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</row>
    <row r="253" spans="1:142" x14ac:dyDescent="0.25">
      <c r="A253" s="19" t="s">
        <v>223</v>
      </c>
      <c r="B253" s="19"/>
      <c r="C253" s="19">
        <v>800</v>
      </c>
      <c r="D253" s="19">
        <v>500</v>
      </c>
      <c r="E253" s="19" t="s">
        <v>169</v>
      </c>
      <c r="F253" s="37"/>
      <c r="G253" s="19"/>
      <c r="H253" s="21"/>
      <c r="I253" s="19">
        <f t="shared" si="29"/>
        <v>2</v>
      </c>
      <c r="J253" s="19">
        <f t="shared" si="26"/>
        <v>8</v>
      </c>
      <c r="K253" s="19">
        <f t="shared" si="27"/>
        <v>3</v>
      </c>
      <c r="L253" s="21">
        <f t="shared" si="28"/>
        <v>13</v>
      </c>
      <c r="M253" s="19">
        <v>1</v>
      </c>
      <c r="N253" s="19"/>
      <c r="O253" s="19"/>
      <c r="P253" s="19"/>
      <c r="Q253" s="19"/>
      <c r="R253" s="19"/>
      <c r="S253" s="19">
        <v>1</v>
      </c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>
        <v>1</v>
      </c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>
        <v>1</v>
      </c>
      <c r="DD253" s="19"/>
      <c r="DE253" s="19">
        <v>1</v>
      </c>
      <c r="DF253" s="19">
        <v>1</v>
      </c>
      <c r="DG253" s="19"/>
      <c r="DH253" s="19"/>
      <c r="DI253" s="19"/>
      <c r="DJ253" s="19"/>
      <c r="DK253" s="19">
        <v>1</v>
      </c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>
        <v>1</v>
      </c>
      <c r="DZ253" s="19">
        <v>1</v>
      </c>
      <c r="EA253" s="19">
        <v>1</v>
      </c>
      <c r="EB253" s="19"/>
      <c r="EC253" s="19"/>
      <c r="ED253" s="19"/>
      <c r="EE253" s="19"/>
      <c r="EF253" s="19">
        <v>2</v>
      </c>
      <c r="EG253" s="19">
        <v>1</v>
      </c>
      <c r="EH253" s="19"/>
      <c r="EI253" s="19"/>
      <c r="EJ253" s="19"/>
      <c r="EK253" s="19"/>
      <c r="EL253" s="19"/>
    </row>
    <row r="254" spans="1:142" x14ac:dyDescent="0.25">
      <c r="A254" s="19" t="s">
        <v>223</v>
      </c>
      <c r="B254" s="19"/>
      <c r="C254" s="19">
        <v>800</v>
      </c>
      <c r="D254" s="19">
        <v>400</v>
      </c>
      <c r="E254" s="19" t="s">
        <v>169</v>
      </c>
      <c r="F254" s="37"/>
      <c r="G254" s="19"/>
      <c r="H254" s="21"/>
      <c r="I254" s="19">
        <f t="shared" si="29"/>
        <v>0</v>
      </c>
      <c r="J254" s="19">
        <f t="shared" si="26"/>
        <v>10</v>
      </c>
      <c r="K254" s="19">
        <f t="shared" si="27"/>
        <v>0</v>
      </c>
      <c r="L254" s="21">
        <f t="shared" si="28"/>
        <v>10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>
        <v>1</v>
      </c>
      <c r="BO254" s="19"/>
      <c r="BP254" s="19">
        <v>1</v>
      </c>
      <c r="BQ254" s="19"/>
      <c r="BR254" s="19">
        <v>1</v>
      </c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>
        <v>1</v>
      </c>
      <c r="CM254" s="19"/>
      <c r="CN254" s="19"/>
      <c r="CO254" s="19">
        <v>1</v>
      </c>
      <c r="CP254" s="19">
        <v>1</v>
      </c>
      <c r="CQ254" s="19"/>
      <c r="CR254" s="19"/>
      <c r="CS254" s="19"/>
      <c r="CT254" s="19"/>
      <c r="CU254" s="19"/>
      <c r="CV254" s="19"/>
      <c r="CW254" s="19"/>
      <c r="CX254" s="19">
        <v>1</v>
      </c>
      <c r="CY254" s="19"/>
      <c r="CZ254" s="19"/>
      <c r="DA254" s="19"/>
      <c r="DB254" s="19"/>
      <c r="DC254" s="19"/>
      <c r="DD254" s="19"/>
      <c r="DE254" s="19"/>
      <c r="DF254" s="19"/>
      <c r="DG254" s="19">
        <v>1</v>
      </c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>
        <v>1</v>
      </c>
      <c r="EC254" s="19">
        <v>1</v>
      </c>
      <c r="ED254" s="19"/>
      <c r="EE254" s="19"/>
      <c r="EF254" s="19"/>
      <c r="EG254" s="19"/>
      <c r="EH254" s="19"/>
      <c r="EI254" s="19"/>
      <c r="EJ254" s="19"/>
      <c r="EK254" s="19"/>
      <c r="EL254" s="19"/>
    </row>
    <row r="255" spans="1:142" x14ac:dyDescent="0.25">
      <c r="A255" s="19" t="s">
        <v>223</v>
      </c>
      <c r="B255" s="19"/>
      <c r="C255" s="19">
        <v>800</v>
      </c>
      <c r="D255" s="19">
        <v>250</v>
      </c>
      <c r="E255" s="19" t="s">
        <v>169</v>
      </c>
      <c r="F255" s="37"/>
      <c r="G255" s="19"/>
      <c r="H255" s="21"/>
      <c r="I255" s="19">
        <f t="shared" si="29"/>
        <v>0</v>
      </c>
      <c r="J255" s="19">
        <f t="shared" si="26"/>
        <v>2</v>
      </c>
      <c r="K255" s="19">
        <f t="shared" si="27"/>
        <v>0</v>
      </c>
      <c r="L255" s="21">
        <f t="shared" si="28"/>
        <v>2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>
        <v>1</v>
      </c>
      <c r="BZ255" s="19">
        <v>1</v>
      </c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</row>
    <row r="256" spans="1:142" x14ac:dyDescent="0.25">
      <c r="A256" s="19" t="s">
        <v>223</v>
      </c>
      <c r="B256" s="19"/>
      <c r="C256" s="19">
        <v>630</v>
      </c>
      <c r="D256" s="19">
        <v>630</v>
      </c>
      <c r="E256" s="19" t="s">
        <v>169</v>
      </c>
      <c r="F256" s="37"/>
      <c r="G256" s="19"/>
      <c r="H256" s="21"/>
      <c r="I256" s="19">
        <f t="shared" si="29"/>
        <v>0</v>
      </c>
      <c r="J256" s="19">
        <f t="shared" si="26"/>
        <v>2</v>
      </c>
      <c r="K256" s="19">
        <f t="shared" si="27"/>
        <v>0</v>
      </c>
      <c r="L256" s="21">
        <f t="shared" si="28"/>
        <v>2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>
        <v>1</v>
      </c>
      <c r="DC256" s="19"/>
      <c r="DD256" s="19">
        <v>1</v>
      </c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</row>
    <row r="257" spans="1:142" x14ac:dyDescent="0.25">
      <c r="A257" s="19" t="s">
        <v>223</v>
      </c>
      <c r="B257" s="19"/>
      <c r="C257" s="19">
        <v>630</v>
      </c>
      <c r="D257" s="19">
        <v>320</v>
      </c>
      <c r="E257" s="19" t="s">
        <v>169</v>
      </c>
      <c r="F257" s="37"/>
      <c r="G257" s="19"/>
      <c r="H257" s="21"/>
      <c r="I257" s="19">
        <f t="shared" si="29"/>
        <v>2</v>
      </c>
      <c r="J257" s="19">
        <f t="shared" si="26"/>
        <v>2</v>
      </c>
      <c r="K257" s="19">
        <f t="shared" si="27"/>
        <v>0</v>
      </c>
      <c r="L257" s="21">
        <f t="shared" si="28"/>
        <v>4</v>
      </c>
      <c r="M257" s="19"/>
      <c r="N257" s="19"/>
      <c r="O257" s="19"/>
      <c r="P257" s="19"/>
      <c r="Q257" s="19">
        <v>1</v>
      </c>
      <c r="R257" s="19">
        <v>1</v>
      </c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>
        <v>1</v>
      </c>
      <c r="BJ257" s="19"/>
      <c r="BK257" s="19"/>
      <c r="BL257" s="19">
        <v>1</v>
      </c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</row>
    <row r="258" spans="1:142" x14ac:dyDescent="0.25">
      <c r="A258" s="19" t="s">
        <v>223</v>
      </c>
      <c r="B258" s="19"/>
      <c r="C258" s="19">
        <v>600</v>
      </c>
      <c r="D258" s="19">
        <v>320</v>
      </c>
      <c r="E258" s="19" t="s">
        <v>169</v>
      </c>
      <c r="F258" s="37"/>
      <c r="G258" s="19"/>
      <c r="H258" s="21"/>
      <c r="I258" s="19">
        <f t="shared" si="29"/>
        <v>0</v>
      </c>
      <c r="J258" s="19">
        <f t="shared" si="26"/>
        <v>1</v>
      </c>
      <c r="K258" s="19">
        <f t="shared" si="27"/>
        <v>0</v>
      </c>
      <c r="L258" s="21">
        <f t="shared" si="28"/>
        <v>1</v>
      </c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>
        <v>1</v>
      </c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</row>
    <row r="259" spans="1:142" x14ac:dyDescent="0.25">
      <c r="A259" s="19" t="s">
        <v>223</v>
      </c>
      <c r="B259" s="19"/>
      <c r="C259" s="19">
        <v>500</v>
      </c>
      <c r="D259" s="19">
        <v>320</v>
      </c>
      <c r="E259" s="19" t="s">
        <v>169</v>
      </c>
      <c r="F259" s="37"/>
      <c r="G259" s="19"/>
      <c r="H259" s="21"/>
      <c r="I259" s="19">
        <f t="shared" si="29"/>
        <v>0</v>
      </c>
      <c r="J259" s="19">
        <f t="shared" si="26"/>
        <v>4</v>
      </c>
      <c r="K259" s="19">
        <f t="shared" si="27"/>
        <v>0</v>
      </c>
      <c r="L259" s="21">
        <f t="shared" si="28"/>
        <v>4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>
        <v>1</v>
      </c>
      <c r="BN259" s="19"/>
      <c r="BO259" s="19">
        <v>1</v>
      </c>
      <c r="BP259" s="19"/>
      <c r="BQ259" s="19">
        <v>1</v>
      </c>
      <c r="BR259" s="19"/>
      <c r="BS259" s="19">
        <v>1</v>
      </c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</row>
    <row r="260" spans="1:142" x14ac:dyDescent="0.25">
      <c r="A260" s="19" t="s">
        <v>223</v>
      </c>
      <c r="B260" s="19"/>
      <c r="C260" s="19">
        <v>400</v>
      </c>
      <c r="D260" s="19">
        <v>250</v>
      </c>
      <c r="E260" s="19" t="s">
        <v>169</v>
      </c>
      <c r="F260" s="37"/>
      <c r="G260" s="19"/>
      <c r="H260" s="21"/>
      <c r="I260" s="19">
        <f t="shared" ref="I260:I273" si="30">SUM(M260:AV260)</f>
        <v>0</v>
      </c>
      <c r="J260" s="19">
        <f t="shared" ref="J260:J273" si="31">SUM(AW260:EE260)</f>
        <v>5</v>
      </c>
      <c r="K260" s="19">
        <f t="shared" ref="K260:K273" si="32">SUM(EF260:EM260)</f>
        <v>0</v>
      </c>
      <c r="L260" s="21">
        <f t="shared" ref="L260:L273" si="33">SUM(M260:EM260)</f>
        <v>5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>
        <v>1</v>
      </c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>
        <v>2</v>
      </c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>
        <v>2</v>
      </c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</row>
    <row r="261" spans="1:142" x14ac:dyDescent="0.25">
      <c r="A261" s="19" t="s">
        <v>223</v>
      </c>
      <c r="B261" s="19"/>
      <c r="C261" s="19">
        <v>320</v>
      </c>
      <c r="D261" s="19">
        <v>120</v>
      </c>
      <c r="E261" s="19" t="s">
        <v>169</v>
      </c>
      <c r="F261" s="38"/>
      <c r="G261" s="19"/>
      <c r="H261" s="21"/>
      <c r="I261" s="19">
        <f t="shared" si="30"/>
        <v>0</v>
      </c>
      <c r="J261" s="19">
        <f t="shared" si="31"/>
        <v>1</v>
      </c>
      <c r="K261" s="19">
        <f t="shared" si="32"/>
        <v>0</v>
      </c>
      <c r="L261" s="21">
        <f t="shared" si="33"/>
        <v>1</v>
      </c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>
        <v>1</v>
      </c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</row>
    <row r="262" spans="1:142" x14ac:dyDescent="0.25">
      <c r="A262" s="19" t="s">
        <v>224</v>
      </c>
      <c r="B262" s="19"/>
      <c r="C262" s="24">
        <v>1000</v>
      </c>
      <c r="D262" s="19">
        <v>250</v>
      </c>
      <c r="E262" s="19" t="s">
        <v>169</v>
      </c>
      <c r="F262" s="36"/>
      <c r="G262" s="19"/>
      <c r="H262" s="21"/>
      <c r="I262" s="19">
        <f t="shared" si="30"/>
        <v>1</v>
      </c>
      <c r="J262" s="19">
        <f t="shared" si="31"/>
        <v>0</v>
      </c>
      <c r="K262" s="19">
        <f t="shared" si="32"/>
        <v>0</v>
      </c>
      <c r="L262" s="21">
        <f t="shared" si="33"/>
        <v>1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>
        <v>1</v>
      </c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</row>
    <row r="263" spans="1:142" x14ac:dyDescent="0.25">
      <c r="A263" s="19" t="s">
        <v>224</v>
      </c>
      <c r="B263" s="19"/>
      <c r="C263" s="24" t="s">
        <v>159</v>
      </c>
      <c r="D263" s="19">
        <v>500</v>
      </c>
      <c r="E263" s="19" t="s">
        <v>169</v>
      </c>
      <c r="F263" s="37"/>
      <c r="G263" s="19"/>
      <c r="H263" s="21"/>
      <c r="I263" s="19">
        <f t="shared" si="30"/>
        <v>2</v>
      </c>
      <c r="J263" s="19">
        <f t="shared" si="31"/>
        <v>0</v>
      </c>
      <c r="K263" s="19">
        <f t="shared" si="32"/>
        <v>0</v>
      </c>
      <c r="L263" s="21">
        <f t="shared" si="33"/>
        <v>2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>
        <v>1</v>
      </c>
      <c r="AC263" s="19"/>
      <c r="AD263" s="19"/>
      <c r="AE263" s="19"/>
      <c r="AF263" s="19"/>
      <c r="AG263" s="19"/>
      <c r="AH263" s="19"/>
      <c r="AI263" s="19"/>
      <c r="AJ263" s="19"/>
      <c r="AK263" s="19">
        <v>1</v>
      </c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</row>
    <row r="264" spans="1:142" x14ac:dyDescent="0.25">
      <c r="A264" s="19" t="s">
        <v>224</v>
      </c>
      <c r="B264" s="19"/>
      <c r="C264" s="24" t="s">
        <v>159</v>
      </c>
      <c r="D264" s="19">
        <v>400</v>
      </c>
      <c r="E264" s="19" t="s">
        <v>169</v>
      </c>
      <c r="F264" s="37"/>
      <c r="G264" s="19"/>
      <c r="H264" s="21"/>
      <c r="I264" s="19">
        <f t="shared" si="30"/>
        <v>1</v>
      </c>
      <c r="J264" s="19">
        <f t="shared" si="31"/>
        <v>0</v>
      </c>
      <c r="K264" s="19">
        <f t="shared" si="32"/>
        <v>0</v>
      </c>
      <c r="L264" s="21">
        <f t="shared" si="33"/>
        <v>1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>
        <v>1</v>
      </c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</row>
    <row r="265" spans="1:142" x14ac:dyDescent="0.25">
      <c r="A265" s="19" t="s">
        <v>224</v>
      </c>
      <c r="B265" s="19"/>
      <c r="C265" s="19">
        <v>320</v>
      </c>
      <c r="D265" s="19">
        <v>320</v>
      </c>
      <c r="E265" s="19" t="s">
        <v>169</v>
      </c>
      <c r="F265" s="37"/>
      <c r="G265" s="19"/>
      <c r="H265" s="21"/>
      <c r="I265" s="19">
        <f t="shared" si="30"/>
        <v>1</v>
      </c>
      <c r="J265" s="19">
        <f t="shared" si="31"/>
        <v>0</v>
      </c>
      <c r="K265" s="19">
        <f t="shared" si="32"/>
        <v>0</v>
      </c>
      <c r="L265" s="21">
        <f t="shared" si="33"/>
        <v>1</v>
      </c>
      <c r="M265" s="19"/>
      <c r="N265" s="19"/>
      <c r="O265" s="19">
        <v>1</v>
      </c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</row>
    <row r="266" spans="1:142" x14ac:dyDescent="0.25">
      <c r="A266" s="19" t="s">
        <v>224</v>
      </c>
      <c r="B266" s="19"/>
      <c r="C266" s="19">
        <v>320</v>
      </c>
      <c r="D266" s="19">
        <v>250</v>
      </c>
      <c r="E266" s="19" t="s">
        <v>169</v>
      </c>
      <c r="F266" s="37"/>
      <c r="G266" s="19"/>
      <c r="H266" s="21"/>
      <c r="I266" s="19">
        <f t="shared" si="30"/>
        <v>0</v>
      </c>
      <c r="J266" s="19">
        <f t="shared" si="31"/>
        <v>1</v>
      </c>
      <c r="K266" s="19">
        <f t="shared" si="32"/>
        <v>0</v>
      </c>
      <c r="L266" s="21">
        <f t="shared" si="33"/>
        <v>1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>
        <v>1</v>
      </c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</row>
    <row r="267" spans="1:142" x14ac:dyDescent="0.25">
      <c r="A267" s="19" t="s">
        <v>224</v>
      </c>
      <c r="B267" s="19"/>
      <c r="C267" s="24" t="s">
        <v>159</v>
      </c>
      <c r="D267" s="19">
        <v>200</v>
      </c>
      <c r="E267" s="19" t="s">
        <v>169</v>
      </c>
      <c r="F267" s="38"/>
      <c r="G267" s="19"/>
      <c r="H267" s="21"/>
      <c r="I267" s="19">
        <f t="shared" si="30"/>
        <v>19</v>
      </c>
      <c r="J267" s="19">
        <f t="shared" si="31"/>
        <v>0</v>
      </c>
      <c r="K267" s="19">
        <f t="shared" si="32"/>
        <v>0</v>
      </c>
      <c r="L267" s="21">
        <f t="shared" si="33"/>
        <v>19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>
        <f>1*5</f>
        <v>5</v>
      </c>
      <c r="W267" s="19"/>
      <c r="X267" s="19"/>
      <c r="Y267" s="19"/>
      <c r="Z267" s="19"/>
      <c r="AA267" s="19"/>
      <c r="AB267" s="19">
        <v>7</v>
      </c>
      <c r="AC267" s="19"/>
      <c r="AD267" s="19"/>
      <c r="AE267" s="19"/>
      <c r="AF267" s="19"/>
      <c r="AG267" s="19"/>
      <c r="AH267" s="19"/>
      <c r="AI267" s="19"/>
      <c r="AJ267" s="19"/>
      <c r="AK267" s="19">
        <v>7</v>
      </c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</row>
    <row r="268" spans="1:142" x14ac:dyDescent="0.25">
      <c r="A268" s="25" t="s">
        <v>225</v>
      </c>
      <c r="B268" s="25"/>
      <c r="C268" s="24">
        <v>1250</v>
      </c>
      <c r="D268" s="19">
        <v>500</v>
      </c>
      <c r="E268" s="19" t="s">
        <v>169</v>
      </c>
      <c r="F268" s="36"/>
      <c r="G268" s="19"/>
      <c r="H268" s="21"/>
      <c r="I268" s="19">
        <f t="shared" si="30"/>
        <v>0</v>
      </c>
      <c r="J268" s="19">
        <f t="shared" si="31"/>
        <v>2</v>
      </c>
      <c r="K268" s="19">
        <f t="shared" si="32"/>
        <v>0</v>
      </c>
      <c r="L268" s="21">
        <f t="shared" si="33"/>
        <v>2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>
        <v>2</v>
      </c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</row>
    <row r="269" spans="1:142" x14ac:dyDescent="0.25">
      <c r="A269" s="25" t="s">
        <v>225</v>
      </c>
      <c r="B269" s="25"/>
      <c r="C269" s="24">
        <v>1000</v>
      </c>
      <c r="D269" s="19">
        <v>500</v>
      </c>
      <c r="E269" s="19" t="s">
        <v>169</v>
      </c>
      <c r="F269" s="37"/>
      <c r="G269" s="19"/>
      <c r="H269" s="21"/>
      <c r="I269" s="19">
        <f t="shared" si="30"/>
        <v>0</v>
      </c>
      <c r="J269" s="19">
        <f t="shared" si="31"/>
        <v>3</v>
      </c>
      <c r="K269" s="19">
        <f t="shared" si="32"/>
        <v>0</v>
      </c>
      <c r="L269" s="21">
        <f t="shared" si="33"/>
        <v>3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25">
        <v>1</v>
      </c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>
        <v>1</v>
      </c>
      <c r="CW269" s="19">
        <v>1</v>
      </c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</row>
    <row r="270" spans="1:142" x14ac:dyDescent="0.25">
      <c r="A270" s="25" t="s">
        <v>225</v>
      </c>
      <c r="B270" s="25"/>
      <c r="C270" s="24">
        <v>1000</v>
      </c>
      <c r="D270" s="19">
        <v>800</v>
      </c>
      <c r="E270" s="19" t="s">
        <v>169</v>
      </c>
      <c r="F270" s="37"/>
      <c r="G270" s="19"/>
      <c r="H270" s="21"/>
      <c r="I270" s="19">
        <f t="shared" si="30"/>
        <v>0</v>
      </c>
      <c r="J270" s="19">
        <f t="shared" si="31"/>
        <v>2</v>
      </c>
      <c r="K270" s="19">
        <f t="shared" si="32"/>
        <v>0</v>
      </c>
      <c r="L270" s="21">
        <f t="shared" si="33"/>
        <v>2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25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>
        <v>2</v>
      </c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</row>
    <row r="271" spans="1:142" x14ac:dyDescent="0.25">
      <c r="A271" s="25" t="s">
        <v>225</v>
      </c>
      <c r="B271" s="25"/>
      <c r="C271" s="24">
        <v>800</v>
      </c>
      <c r="D271" s="19">
        <v>1000</v>
      </c>
      <c r="E271" s="19" t="s">
        <v>169</v>
      </c>
      <c r="F271" s="37"/>
      <c r="G271" s="19"/>
      <c r="H271" s="21"/>
      <c r="I271" s="19">
        <f t="shared" si="30"/>
        <v>0</v>
      </c>
      <c r="J271" s="19">
        <f t="shared" si="31"/>
        <v>1</v>
      </c>
      <c r="K271" s="19">
        <f t="shared" si="32"/>
        <v>0</v>
      </c>
      <c r="L271" s="21">
        <f t="shared" si="33"/>
        <v>1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>
        <v>1</v>
      </c>
      <c r="CK271" s="25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</row>
    <row r="272" spans="1:142" x14ac:dyDescent="0.25">
      <c r="A272" s="25" t="s">
        <v>225</v>
      </c>
      <c r="B272" s="25"/>
      <c r="C272" s="24">
        <v>800</v>
      </c>
      <c r="D272" s="19">
        <v>500</v>
      </c>
      <c r="E272" s="19" t="s">
        <v>169</v>
      </c>
      <c r="F272" s="37"/>
      <c r="G272" s="19"/>
      <c r="H272" s="21"/>
      <c r="I272" s="19">
        <f t="shared" si="30"/>
        <v>0</v>
      </c>
      <c r="J272" s="19">
        <f t="shared" si="31"/>
        <v>1</v>
      </c>
      <c r="K272" s="19">
        <f t="shared" si="32"/>
        <v>0</v>
      </c>
      <c r="L272" s="21">
        <f t="shared" si="33"/>
        <v>1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25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>
        <v>1</v>
      </c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</row>
    <row r="273" spans="1:142" x14ac:dyDescent="0.25">
      <c r="A273" s="25" t="s">
        <v>225</v>
      </c>
      <c r="B273" s="25"/>
      <c r="C273" s="24">
        <v>630</v>
      </c>
      <c r="D273" s="19">
        <v>630</v>
      </c>
      <c r="E273" s="19" t="s">
        <v>169</v>
      </c>
      <c r="F273" s="38"/>
      <c r="G273" s="19"/>
      <c r="H273" s="21"/>
      <c r="I273" s="19">
        <f t="shared" si="30"/>
        <v>0</v>
      </c>
      <c r="J273" s="19">
        <f t="shared" si="31"/>
        <v>2</v>
      </c>
      <c r="K273" s="19">
        <f t="shared" si="32"/>
        <v>0</v>
      </c>
      <c r="L273" s="21">
        <f t="shared" si="33"/>
        <v>2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25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>
        <v>1</v>
      </c>
      <c r="DC273" s="19"/>
      <c r="DD273" s="19">
        <v>1</v>
      </c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</row>
    <row r="274" spans="1:142" x14ac:dyDescent="0.25">
      <c r="A274" s="19" t="s">
        <v>226</v>
      </c>
      <c r="B274" s="19"/>
      <c r="C274" s="24" t="s">
        <v>159</v>
      </c>
      <c r="D274" s="19">
        <v>800</v>
      </c>
      <c r="E274" s="19" t="s">
        <v>169</v>
      </c>
      <c r="F274" s="36"/>
      <c r="G274" s="19"/>
      <c r="H274" s="21"/>
      <c r="I274" s="19">
        <f t="shared" ref="I274:I318" si="34">SUM(M274:AV274)</f>
        <v>1</v>
      </c>
      <c r="J274" s="19">
        <f t="shared" ref="J274:J318" si="35">SUM(AW274:EE274)</f>
        <v>0</v>
      </c>
      <c r="K274" s="19">
        <f t="shared" ref="K274:K318" si="36">SUM(EF274:EM274)</f>
        <v>0</v>
      </c>
      <c r="L274" s="21">
        <f t="shared" ref="L274:L318" si="37">SUM(M274:EM274)</f>
        <v>1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>
        <v>1</v>
      </c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</row>
    <row r="275" spans="1:142" x14ac:dyDescent="0.25">
      <c r="A275" s="19" t="s">
        <v>226</v>
      </c>
      <c r="B275" s="19"/>
      <c r="C275" s="24" t="s">
        <v>159</v>
      </c>
      <c r="D275" s="19">
        <v>600</v>
      </c>
      <c r="E275" s="19" t="s">
        <v>169</v>
      </c>
      <c r="F275" s="37"/>
      <c r="G275" s="19"/>
      <c r="H275" s="21"/>
      <c r="I275" s="19">
        <f t="shared" si="34"/>
        <v>1</v>
      </c>
      <c r="J275" s="19">
        <f t="shared" si="35"/>
        <v>0</v>
      </c>
      <c r="K275" s="19">
        <f t="shared" si="36"/>
        <v>0</v>
      </c>
      <c r="L275" s="21">
        <f t="shared" si="37"/>
        <v>1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>
        <v>1</v>
      </c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</row>
    <row r="276" spans="1:142" x14ac:dyDescent="0.25">
      <c r="A276" s="19" t="s">
        <v>226</v>
      </c>
      <c r="B276" s="19"/>
      <c r="C276" s="24" t="s">
        <v>159</v>
      </c>
      <c r="D276" s="19">
        <v>500</v>
      </c>
      <c r="E276" s="19" t="s">
        <v>169</v>
      </c>
      <c r="F276" s="37"/>
      <c r="G276" s="19"/>
      <c r="H276" s="21"/>
      <c r="I276" s="19">
        <f t="shared" si="34"/>
        <v>1</v>
      </c>
      <c r="J276" s="19">
        <f t="shared" si="35"/>
        <v>0</v>
      </c>
      <c r="K276" s="19">
        <f t="shared" si="36"/>
        <v>0</v>
      </c>
      <c r="L276" s="21">
        <f t="shared" si="37"/>
        <v>1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>
        <v>1</v>
      </c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</row>
    <row r="277" spans="1:142" x14ac:dyDescent="0.25">
      <c r="A277" s="19" t="s">
        <v>226</v>
      </c>
      <c r="B277" s="19"/>
      <c r="C277" s="24" t="s">
        <v>159</v>
      </c>
      <c r="D277" s="19">
        <v>400</v>
      </c>
      <c r="E277" s="19" t="s">
        <v>169</v>
      </c>
      <c r="F277" s="38"/>
      <c r="G277" s="19"/>
      <c r="H277" s="21"/>
      <c r="I277" s="19">
        <f t="shared" si="34"/>
        <v>1</v>
      </c>
      <c r="J277" s="19">
        <f t="shared" si="35"/>
        <v>0</v>
      </c>
      <c r="K277" s="19">
        <f t="shared" si="36"/>
        <v>0</v>
      </c>
      <c r="L277" s="21">
        <f t="shared" si="37"/>
        <v>1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>
        <v>1</v>
      </c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</row>
    <row r="278" spans="1:142" x14ac:dyDescent="0.25">
      <c r="A278" s="19" t="s">
        <v>227</v>
      </c>
      <c r="B278" s="19"/>
      <c r="C278" s="24" t="s">
        <v>159</v>
      </c>
      <c r="D278" s="19">
        <v>1000</v>
      </c>
      <c r="E278" s="19" t="s">
        <v>169</v>
      </c>
      <c r="F278" s="36"/>
      <c r="G278" s="19"/>
      <c r="H278" s="21"/>
      <c r="I278" s="19">
        <f t="shared" si="34"/>
        <v>2</v>
      </c>
      <c r="J278" s="19">
        <f t="shared" si="35"/>
        <v>0</v>
      </c>
      <c r="K278" s="19">
        <f t="shared" si="36"/>
        <v>0</v>
      </c>
      <c r="L278" s="21">
        <f t="shared" si="37"/>
        <v>2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>
        <v>2</v>
      </c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</row>
    <row r="279" spans="1:142" x14ac:dyDescent="0.25">
      <c r="A279" s="19" t="s">
        <v>227</v>
      </c>
      <c r="B279" s="19"/>
      <c r="C279" s="24" t="s">
        <v>159</v>
      </c>
      <c r="D279" s="19">
        <v>800</v>
      </c>
      <c r="E279" s="19" t="s">
        <v>169</v>
      </c>
      <c r="F279" s="37"/>
      <c r="G279" s="19"/>
      <c r="H279" s="21"/>
      <c r="I279" s="19">
        <f t="shared" si="34"/>
        <v>2</v>
      </c>
      <c r="J279" s="19">
        <f t="shared" si="35"/>
        <v>0</v>
      </c>
      <c r="K279" s="19">
        <f t="shared" si="36"/>
        <v>0</v>
      </c>
      <c r="L279" s="21">
        <f t="shared" si="37"/>
        <v>2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>
        <v>2</v>
      </c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</row>
    <row r="280" spans="1:142" x14ac:dyDescent="0.25">
      <c r="A280" s="19" t="s">
        <v>227</v>
      </c>
      <c r="B280" s="19"/>
      <c r="C280" s="24" t="s">
        <v>159</v>
      </c>
      <c r="D280" s="19">
        <v>600</v>
      </c>
      <c r="E280" s="19" t="s">
        <v>169</v>
      </c>
      <c r="F280" s="37"/>
      <c r="G280" s="19"/>
      <c r="H280" s="21"/>
      <c r="I280" s="19">
        <f t="shared" si="34"/>
        <v>10</v>
      </c>
      <c r="J280" s="19">
        <f t="shared" si="35"/>
        <v>0</v>
      </c>
      <c r="K280" s="19">
        <f t="shared" si="36"/>
        <v>0</v>
      </c>
      <c r="L280" s="21">
        <f t="shared" si="37"/>
        <v>10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>
        <v>3</v>
      </c>
      <c r="AA280" s="19"/>
      <c r="AB280" s="19">
        <v>2</v>
      </c>
      <c r="AC280" s="19"/>
      <c r="AD280" s="19"/>
      <c r="AE280" s="19"/>
      <c r="AF280" s="19"/>
      <c r="AG280" s="19">
        <v>3</v>
      </c>
      <c r="AH280" s="19"/>
      <c r="AI280" s="19"/>
      <c r="AJ280" s="19"/>
      <c r="AK280" s="19">
        <v>2</v>
      </c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</row>
    <row r="281" spans="1:142" x14ac:dyDescent="0.25">
      <c r="A281" s="19" t="s">
        <v>227</v>
      </c>
      <c r="B281" s="19"/>
      <c r="C281" s="24" t="s">
        <v>159</v>
      </c>
      <c r="D281" s="19">
        <v>500</v>
      </c>
      <c r="E281" s="19" t="s">
        <v>169</v>
      </c>
      <c r="F281" s="37"/>
      <c r="G281" s="19"/>
      <c r="H281" s="21"/>
      <c r="I281" s="19">
        <f t="shared" si="34"/>
        <v>9</v>
      </c>
      <c r="J281" s="19">
        <f t="shared" si="35"/>
        <v>0</v>
      </c>
      <c r="K281" s="19">
        <f t="shared" si="36"/>
        <v>0</v>
      </c>
      <c r="L281" s="21">
        <f t="shared" si="37"/>
        <v>9</v>
      </c>
      <c r="M281" s="19"/>
      <c r="N281" s="19"/>
      <c r="O281" s="19"/>
      <c r="P281" s="19"/>
      <c r="Q281" s="19"/>
      <c r="R281" s="19"/>
      <c r="S281" s="19"/>
      <c r="T281" s="19"/>
      <c r="U281" s="19"/>
      <c r="V281" s="19">
        <v>2</v>
      </c>
      <c r="W281" s="19"/>
      <c r="X281" s="19">
        <v>3</v>
      </c>
      <c r="Y281" s="19"/>
      <c r="Z281" s="19"/>
      <c r="AA281" s="19"/>
      <c r="AB281" s="19">
        <v>2</v>
      </c>
      <c r="AC281" s="19"/>
      <c r="AD281" s="19"/>
      <c r="AE281" s="19"/>
      <c r="AF281" s="19"/>
      <c r="AG281" s="19"/>
      <c r="AH281" s="19"/>
      <c r="AI281" s="19"/>
      <c r="AJ281" s="19"/>
      <c r="AK281" s="19">
        <v>2</v>
      </c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</row>
    <row r="282" spans="1:142" x14ac:dyDescent="0.25">
      <c r="A282" s="19" t="s">
        <v>227</v>
      </c>
      <c r="B282" s="19"/>
      <c r="C282" s="24" t="s">
        <v>159</v>
      </c>
      <c r="D282" s="19">
        <v>400</v>
      </c>
      <c r="E282" s="19" t="s">
        <v>169</v>
      </c>
      <c r="F282" s="38"/>
      <c r="G282" s="19"/>
      <c r="H282" s="21"/>
      <c r="I282" s="19">
        <f t="shared" si="34"/>
        <v>2</v>
      </c>
      <c r="J282" s="19">
        <f t="shared" si="35"/>
        <v>0</v>
      </c>
      <c r="K282" s="19">
        <f t="shared" si="36"/>
        <v>0</v>
      </c>
      <c r="L282" s="21">
        <f t="shared" si="37"/>
        <v>2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>
        <v>2</v>
      </c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</row>
    <row r="283" spans="1:142" x14ac:dyDescent="0.25">
      <c r="A283" s="19" t="s">
        <v>228</v>
      </c>
      <c r="B283" s="19"/>
      <c r="C283" s="24" t="s">
        <v>159</v>
      </c>
      <c r="D283" s="19">
        <v>1000</v>
      </c>
      <c r="E283" s="19" t="s">
        <v>169</v>
      </c>
      <c r="F283" s="36"/>
      <c r="G283" s="19"/>
      <c r="H283" s="21"/>
      <c r="I283" s="19">
        <f t="shared" si="34"/>
        <v>1</v>
      </c>
      <c r="J283" s="19">
        <f t="shared" si="35"/>
        <v>0</v>
      </c>
      <c r="K283" s="19">
        <f t="shared" si="36"/>
        <v>0</v>
      </c>
      <c r="L283" s="21">
        <f t="shared" si="37"/>
        <v>1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>
        <v>1</v>
      </c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</row>
    <row r="284" spans="1:142" x14ac:dyDescent="0.25">
      <c r="A284" s="19" t="s">
        <v>228</v>
      </c>
      <c r="B284" s="19"/>
      <c r="C284" s="24" t="s">
        <v>159</v>
      </c>
      <c r="D284" s="19">
        <v>800</v>
      </c>
      <c r="E284" s="19" t="s">
        <v>169</v>
      </c>
      <c r="F284" s="37"/>
      <c r="G284" s="19"/>
      <c r="H284" s="21"/>
      <c r="I284" s="19">
        <f t="shared" si="34"/>
        <v>1</v>
      </c>
      <c r="J284" s="19">
        <f t="shared" si="35"/>
        <v>0</v>
      </c>
      <c r="K284" s="19">
        <f t="shared" si="36"/>
        <v>0</v>
      </c>
      <c r="L284" s="21">
        <f t="shared" si="37"/>
        <v>1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>
        <v>1</v>
      </c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</row>
    <row r="285" spans="1:142" x14ac:dyDescent="0.25">
      <c r="A285" s="19" t="s">
        <v>228</v>
      </c>
      <c r="B285" s="19"/>
      <c r="C285" s="24" t="s">
        <v>159</v>
      </c>
      <c r="D285" s="19">
        <v>600</v>
      </c>
      <c r="E285" s="19" t="s">
        <v>169</v>
      </c>
      <c r="F285" s="37"/>
      <c r="G285" s="19"/>
      <c r="H285" s="21"/>
      <c r="I285" s="19">
        <f t="shared" si="34"/>
        <v>11</v>
      </c>
      <c r="J285" s="19">
        <f t="shared" si="35"/>
        <v>0</v>
      </c>
      <c r="K285" s="19">
        <f t="shared" si="36"/>
        <v>0</v>
      </c>
      <c r="L285" s="21">
        <f t="shared" si="37"/>
        <v>11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>
        <v>3</v>
      </c>
      <c r="AA285" s="19"/>
      <c r="AB285" s="19">
        <v>3</v>
      </c>
      <c r="AC285" s="19"/>
      <c r="AD285" s="19"/>
      <c r="AE285" s="19"/>
      <c r="AF285" s="19"/>
      <c r="AG285" s="19">
        <v>2</v>
      </c>
      <c r="AH285" s="19"/>
      <c r="AI285" s="19"/>
      <c r="AJ285" s="19"/>
      <c r="AK285" s="19">
        <v>3</v>
      </c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</row>
    <row r="286" spans="1:142" x14ac:dyDescent="0.25">
      <c r="A286" s="19" t="s">
        <v>228</v>
      </c>
      <c r="B286" s="19"/>
      <c r="C286" s="24" t="s">
        <v>159</v>
      </c>
      <c r="D286" s="19">
        <v>500</v>
      </c>
      <c r="E286" s="19" t="s">
        <v>169</v>
      </c>
      <c r="F286" s="37"/>
      <c r="G286" s="19"/>
      <c r="H286" s="21"/>
      <c r="I286" s="19">
        <f t="shared" si="34"/>
        <v>6</v>
      </c>
      <c r="J286" s="19">
        <f t="shared" si="35"/>
        <v>0</v>
      </c>
      <c r="K286" s="19">
        <f t="shared" si="36"/>
        <v>0</v>
      </c>
      <c r="L286" s="21">
        <f t="shared" si="37"/>
        <v>6</v>
      </c>
      <c r="M286" s="19"/>
      <c r="N286" s="19"/>
      <c r="O286" s="19"/>
      <c r="P286" s="19"/>
      <c r="Q286" s="19"/>
      <c r="R286" s="19"/>
      <c r="S286" s="19"/>
      <c r="T286" s="19"/>
      <c r="U286" s="19"/>
      <c r="V286" s="19">
        <v>3</v>
      </c>
      <c r="W286" s="19"/>
      <c r="X286" s="19">
        <v>1</v>
      </c>
      <c r="Y286" s="19"/>
      <c r="Z286" s="19"/>
      <c r="AA286" s="19"/>
      <c r="AB286" s="19">
        <v>1</v>
      </c>
      <c r="AC286" s="19"/>
      <c r="AD286" s="19"/>
      <c r="AE286" s="19"/>
      <c r="AF286" s="19"/>
      <c r="AG286" s="19"/>
      <c r="AH286" s="19"/>
      <c r="AI286" s="19"/>
      <c r="AJ286" s="19"/>
      <c r="AK286" s="19">
        <v>1</v>
      </c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</row>
    <row r="287" spans="1:142" x14ac:dyDescent="0.25">
      <c r="A287" s="19" t="s">
        <v>228</v>
      </c>
      <c r="B287" s="19"/>
      <c r="C287" s="24" t="s">
        <v>159</v>
      </c>
      <c r="D287" s="19">
        <v>400</v>
      </c>
      <c r="E287" s="19" t="s">
        <v>169</v>
      </c>
      <c r="F287" s="38"/>
      <c r="G287" s="19"/>
      <c r="H287" s="21"/>
      <c r="I287" s="19">
        <f t="shared" si="34"/>
        <v>1</v>
      </c>
      <c r="J287" s="19">
        <f t="shared" si="35"/>
        <v>0</v>
      </c>
      <c r="K287" s="19">
        <f t="shared" si="36"/>
        <v>0</v>
      </c>
      <c r="L287" s="21">
        <f t="shared" si="37"/>
        <v>1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>
        <v>1</v>
      </c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</row>
    <row r="288" spans="1:142" x14ac:dyDescent="0.25">
      <c r="A288" s="19" t="s">
        <v>229</v>
      </c>
      <c r="B288" s="19"/>
      <c r="C288" s="24"/>
      <c r="D288" s="19"/>
      <c r="E288" s="19" t="s">
        <v>169</v>
      </c>
      <c r="F288" s="20"/>
      <c r="G288" s="19"/>
      <c r="H288" s="21"/>
      <c r="I288" s="19">
        <f t="shared" si="34"/>
        <v>6</v>
      </c>
      <c r="J288" s="19">
        <f t="shared" si="35"/>
        <v>0</v>
      </c>
      <c r="K288" s="19">
        <f t="shared" si="36"/>
        <v>0</v>
      </c>
      <c r="L288" s="21">
        <f t="shared" si="37"/>
        <v>6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>
        <v>2</v>
      </c>
      <c r="Y288" s="19"/>
      <c r="Z288" s="19">
        <v>2</v>
      </c>
      <c r="AA288" s="19"/>
      <c r="AB288" s="19"/>
      <c r="AC288" s="19"/>
      <c r="AD288" s="19"/>
      <c r="AE288" s="19"/>
      <c r="AF288" s="19"/>
      <c r="AG288" s="19">
        <v>2</v>
      </c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</row>
    <row r="289" spans="1:142" x14ac:dyDescent="0.25">
      <c r="A289" s="19" t="s">
        <v>148</v>
      </c>
      <c r="B289" s="19"/>
      <c r="C289" s="24">
        <v>1000</v>
      </c>
      <c r="D289" s="19">
        <v>500</v>
      </c>
      <c r="E289" s="19" t="s">
        <v>169</v>
      </c>
      <c r="F289" s="36"/>
      <c r="G289" s="19"/>
      <c r="H289" s="21"/>
      <c r="I289" s="19">
        <f t="shared" si="34"/>
        <v>0</v>
      </c>
      <c r="J289" s="19">
        <f t="shared" si="35"/>
        <v>0</v>
      </c>
      <c r="K289" s="19">
        <f t="shared" si="36"/>
        <v>2</v>
      </c>
      <c r="L289" s="21">
        <f t="shared" si="37"/>
        <v>2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>
        <v>2</v>
      </c>
    </row>
    <row r="290" spans="1:142" x14ac:dyDescent="0.25">
      <c r="A290" s="19" t="s">
        <v>148</v>
      </c>
      <c r="B290" s="19"/>
      <c r="C290" s="24">
        <v>1000</v>
      </c>
      <c r="D290" s="19">
        <v>400</v>
      </c>
      <c r="E290" s="19" t="s">
        <v>169</v>
      </c>
      <c r="F290" s="38"/>
      <c r="G290" s="19"/>
      <c r="H290" s="21"/>
      <c r="I290" s="19">
        <f t="shared" si="34"/>
        <v>0</v>
      </c>
      <c r="J290" s="19">
        <f t="shared" si="35"/>
        <v>0</v>
      </c>
      <c r="K290" s="19">
        <f t="shared" si="36"/>
        <v>2</v>
      </c>
      <c r="L290" s="21">
        <f t="shared" si="37"/>
        <v>2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>
        <v>2</v>
      </c>
    </row>
    <row r="291" spans="1:142" x14ac:dyDescent="0.25">
      <c r="A291" s="19" t="s">
        <v>230</v>
      </c>
      <c r="B291" s="19"/>
      <c r="C291" s="19">
        <v>1250</v>
      </c>
      <c r="D291" s="19">
        <v>1250</v>
      </c>
      <c r="E291" s="19" t="s">
        <v>169</v>
      </c>
      <c r="F291" s="20"/>
      <c r="G291" s="19"/>
      <c r="H291" s="21"/>
      <c r="I291" s="19">
        <f t="shared" si="34"/>
        <v>0</v>
      </c>
      <c r="J291" s="19">
        <f t="shared" si="35"/>
        <v>3</v>
      </c>
      <c r="K291" s="19">
        <f t="shared" si="36"/>
        <v>0</v>
      </c>
      <c r="L291" s="21">
        <f t="shared" si="37"/>
        <v>3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>
        <v>3</v>
      </c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</row>
    <row r="292" spans="1:142" x14ac:dyDescent="0.25">
      <c r="A292" s="19" t="s">
        <v>230</v>
      </c>
      <c r="B292" s="19"/>
      <c r="C292" s="19">
        <v>1250</v>
      </c>
      <c r="D292" s="19">
        <v>800</v>
      </c>
      <c r="E292" s="19" t="s">
        <v>169</v>
      </c>
      <c r="F292" s="20"/>
      <c r="G292" s="19"/>
      <c r="H292" s="21"/>
      <c r="I292" s="19">
        <f t="shared" si="34"/>
        <v>0</v>
      </c>
      <c r="J292" s="19">
        <f t="shared" si="35"/>
        <v>8</v>
      </c>
      <c r="K292" s="19">
        <f t="shared" si="36"/>
        <v>0</v>
      </c>
      <c r="L292" s="21">
        <f t="shared" si="37"/>
        <v>8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>
        <v>8</v>
      </c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</row>
    <row r="293" spans="1:142" x14ac:dyDescent="0.25">
      <c r="A293" s="19" t="s">
        <v>230</v>
      </c>
      <c r="B293" s="19"/>
      <c r="C293" s="19">
        <v>1200</v>
      </c>
      <c r="D293" s="19">
        <v>1100</v>
      </c>
      <c r="E293" s="19" t="s">
        <v>169</v>
      </c>
      <c r="F293" s="20"/>
      <c r="G293" s="19"/>
      <c r="H293" s="21"/>
      <c r="I293" s="19">
        <f t="shared" si="34"/>
        <v>0</v>
      </c>
      <c r="J293" s="19">
        <f t="shared" si="35"/>
        <v>1</v>
      </c>
      <c r="K293" s="19">
        <f t="shared" si="36"/>
        <v>0</v>
      </c>
      <c r="L293" s="21">
        <f t="shared" si="37"/>
        <v>1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>
        <v>1</v>
      </c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</row>
    <row r="294" spans="1:142" x14ac:dyDescent="0.25">
      <c r="A294" s="19" t="s">
        <v>230</v>
      </c>
      <c r="B294" s="19"/>
      <c r="C294" s="19">
        <v>1000</v>
      </c>
      <c r="D294" s="19">
        <v>1000</v>
      </c>
      <c r="E294" s="19" t="s">
        <v>169</v>
      </c>
      <c r="F294" s="20"/>
      <c r="G294" s="19"/>
      <c r="H294" s="21"/>
      <c r="I294" s="19">
        <f t="shared" si="34"/>
        <v>0</v>
      </c>
      <c r="J294" s="19">
        <f t="shared" si="35"/>
        <v>6</v>
      </c>
      <c r="K294" s="19">
        <f t="shared" si="36"/>
        <v>0</v>
      </c>
      <c r="L294" s="21">
        <f t="shared" si="37"/>
        <v>6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>
        <v>1</v>
      </c>
      <c r="DP294" s="19">
        <v>5</v>
      </c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</row>
    <row r="295" spans="1:142" x14ac:dyDescent="0.25">
      <c r="A295" s="19" t="s">
        <v>230</v>
      </c>
      <c r="B295" s="19"/>
      <c r="C295" s="19">
        <v>1000</v>
      </c>
      <c r="D295" s="19">
        <v>850</v>
      </c>
      <c r="E295" s="19" t="s">
        <v>169</v>
      </c>
      <c r="F295" s="20"/>
      <c r="G295" s="19"/>
      <c r="H295" s="21"/>
      <c r="I295" s="19">
        <f t="shared" si="34"/>
        <v>12</v>
      </c>
      <c r="J295" s="19">
        <f t="shared" si="35"/>
        <v>33</v>
      </c>
      <c r="K295" s="19">
        <f t="shared" si="36"/>
        <v>0</v>
      </c>
      <c r="L295" s="21">
        <f t="shared" si="37"/>
        <v>45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>
        <v>3</v>
      </c>
      <c r="AO295" s="19">
        <v>3</v>
      </c>
      <c r="AP295" s="19"/>
      <c r="AQ295" s="19"/>
      <c r="AR295" s="19"/>
      <c r="AS295" s="19">
        <v>3</v>
      </c>
      <c r="AT295" s="19">
        <v>3</v>
      </c>
      <c r="AU295" s="19"/>
      <c r="AV295" s="19"/>
      <c r="AW295" s="19"/>
      <c r="AX295" s="19"/>
      <c r="AY295" s="19">
        <v>3</v>
      </c>
      <c r="AZ295" s="19">
        <v>3</v>
      </c>
      <c r="BA295" s="19"/>
      <c r="BB295" s="19"/>
      <c r="BC295" s="19"/>
      <c r="BD295" s="19"/>
      <c r="BE295" s="19"/>
      <c r="BF295" s="19"/>
      <c r="BG295" s="19">
        <v>3</v>
      </c>
      <c r="BH295" s="19">
        <v>3</v>
      </c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>
        <v>3</v>
      </c>
      <c r="CN295" s="19">
        <v>3</v>
      </c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>
        <v>3</v>
      </c>
      <c r="DA295" s="19">
        <v>3</v>
      </c>
      <c r="DB295" s="19"/>
      <c r="DC295" s="19"/>
      <c r="DD295" s="19"/>
      <c r="DE295" s="19"/>
      <c r="DF295" s="19"/>
      <c r="DG295" s="19"/>
      <c r="DH295" s="19">
        <v>3</v>
      </c>
      <c r="DI295" s="19">
        <v>3</v>
      </c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>
        <v>3</v>
      </c>
      <c r="EF295" s="19"/>
      <c r="EG295" s="19"/>
      <c r="EH295" s="19"/>
      <c r="EI295" s="19"/>
      <c r="EJ295" s="19"/>
      <c r="EK295" s="19"/>
      <c r="EL295" s="19"/>
    </row>
    <row r="296" spans="1:142" x14ac:dyDescent="0.25">
      <c r="A296" s="19" t="s">
        <v>230</v>
      </c>
      <c r="B296" s="19"/>
      <c r="C296" s="19">
        <v>1000</v>
      </c>
      <c r="D296" s="19">
        <v>800</v>
      </c>
      <c r="E296" s="19" t="s">
        <v>169</v>
      </c>
      <c r="F296" s="20"/>
      <c r="G296" s="19"/>
      <c r="H296" s="21"/>
      <c r="I296" s="19">
        <f t="shared" si="34"/>
        <v>3</v>
      </c>
      <c r="J296" s="19">
        <f t="shared" si="35"/>
        <v>26</v>
      </c>
      <c r="K296" s="19">
        <f t="shared" si="36"/>
        <v>0</v>
      </c>
      <c r="L296" s="21">
        <f t="shared" si="37"/>
        <v>29</v>
      </c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>
        <v>3</v>
      </c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>
        <v>3</v>
      </c>
      <c r="BF296" s="19">
        <v>3</v>
      </c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>
        <v>3</v>
      </c>
      <c r="CI296" s="19">
        <v>3</v>
      </c>
      <c r="CJ296" s="19"/>
      <c r="CK296" s="19">
        <v>2</v>
      </c>
      <c r="CL296" s="19">
        <v>1</v>
      </c>
      <c r="CM296" s="19"/>
      <c r="CN296" s="19"/>
      <c r="CO296" s="19"/>
      <c r="CP296" s="19"/>
      <c r="CQ296" s="19"/>
      <c r="CR296" s="19"/>
      <c r="CS296" s="19"/>
      <c r="CT296" s="19"/>
      <c r="CU296" s="19">
        <v>2</v>
      </c>
      <c r="CV296" s="19">
        <v>2</v>
      </c>
      <c r="CW296" s="19">
        <v>2</v>
      </c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>
        <v>2</v>
      </c>
      <c r="DK296" s="19"/>
      <c r="DL296" s="19"/>
      <c r="DM296" s="19"/>
      <c r="DN296" s="19"/>
      <c r="DO296" s="19"/>
      <c r="DP296" s="19">
        <v>1</v>
      </c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>
        <v>2</v>
      </c>
      <c r="EE296" s="19"/>
      <c r="EF296" s="19"/>
      <c r="EG296" s="19"/>
      <c r="EH296" s="19"/>
      <c r="EI296" s="19"/>
      <c r="EJ296" s="19"/>
      <c r="EK296" s="19"/>
      <c r="EL296" s="19"/>
    </row>
    <row r="297" spans="1:142" x14ac:dyDescent="0.25">
      <c r="A297" s="19" t="s">
        <v>230</v>
      </c>
      <c r="B297" s="19"/>
      <c r="C297" s="19">
        <v>1000</v>
      </c>
      <c r="D297" s="19">
        <v>750</v>
      </c>
      <c r="E297" s="19" t="s">
        <v>169</v>
      </c>
      <c r="F297" s="20"/>
      <c r="G297" s="19"/>
      <c r="H297" s="21"/>
      <c r="I297" s="19">
        <f t="shared" si="34"/>
        <v>0</v>
      </c>
      <c r="J297" s="19">
        <f t="shared" si="35"/>
        <v>2</v>
      </c>
      <c r="K297" s="19">
        <f t="shared" si="36"/>
        <v>0</v>
      </c>
      <c r="L297" s="21">
        <f t="shared" si="37"/>
        <v>2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>
        <v>2</v>
      </c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</row>
    <row r="298" spans="1:142" x14ac:dyDescent="0.25">
      <c r="A298" s="19" t="s">
        <v>230</v>
      </c>
      <c r="B298" s="19"/>
      <c r="C298" s="19">
        <v>1000</v>
      </c>
      <c r="D298" s="19">
        <v>630</v>
      </c>
      <c r="E298" s="19" t="s">
        <v>169</v>
      </c>
      <c r="F298" s="20"/>
      <c r="G298" s="19"/>
      <c r="H298" s="21"/>
      <c r="I298" s="19">
        <f t="shared" si="34"/>
        <v>36</v>
      </c>
      <c r="J298" s="19">
        <f t="shared" si="35"/>
        <v>65</v>
      </c>
      <c r="K298" s="19">
        <f t="shared" si="36"/>
        <v>0</v>
      </c>
      <c r="L298" s="21">
        <f t="shared" si="37"/>
        <v>101</v>
      </c>
      <c r="M298" s="19">
        <v>2</v>
      </c>
      <c r="N298" s="19"/>
      <c r="O298" s="19"/>
      <c r="P298" s="19"/>
      <c r="Q298" s="19"/>
      <c r="R298" s="19"/>
      <c r="S298" s="25">
        <v>2</v>
      </c>
      <c r="T298" s="19"/>
      <c r="U298" s="19">
        <v>4</v>
      </c>
      <c r="V298" s="19"/>
      <c r="W298" s="19"/>
      <c r="X298" s="19"/>
      <c r="Y298" s="19"/>
      <c r="Z298" s="19"/>
      <c r="AA298" s="19">
        <v>4</v>
      </c>
      <c r="AB298" s="19"/>
      <c r="AC298" s="19"/>
      <c r="AD298" s="19"/>
      <c r="AE298" s="19"/>
      <c r="AF298" s="19"/>
      <c r="AG298" s="19"/>
      <c r="AH298" s="19">
        <v>4</v>
      </c>
      <c r="AI298" s="19"/>
      <c r="AJ298" s="19">
        <v>4</v>
      </c>
      <c r="AK298" s="19"/>
      <c r="AL298" s="19">
        <v>4</v>
      </c>
      <c r="AM298" s="19">
        <v>4</v>
      </c>
      <c r="AN298" s="19"/>
      <c r="AO298" s="19"/>
      <c r="AP298" s="19"/>
      <c r="AQ298" s="19">
        <v>4</v>
      </c>
      <c r="AR298" s="19">
        <v>4</v>
      </c>
      <c r="AS298" s="19"/>
      <c r="AT298" s="19"/>
      <c r="AU298" s="19"/>
      <c r="AV298" s="19"/>
      <c r="AW298" s="19">
        <v>4</v>
      </c>
      <c r="AX298" s="19">
        <v>4</v>
      </c>
      <c r="AY298" s="19"/>
      <c r="AZ298" s="19"/>
      <c r="BA298" s="19">
        <v>4</v>
      </c>
      <c r="BB298" s="19">
        <v>4</v>
      </c>
      <c r="BC298" s="19">
        <v>4</v>
      </c>
      <c r="BD298" s="19">
        <v>4</v>
      </c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>
        <v>2</v>
      </c>
      <c r="BX298" s="19"/>
      <c r="BY298" s="19"/>
      <c r="BZ298" s="19"/>
      <c r="CA298" s="19"/>
      <c r="CB298" s="19"/>
      <c r="CC298" s="19">
        <v>2</v>
      </c>
      <c r="CD298" s="19"/>
      <c r="CE298" s="19"/>
      <c r="CF298" s="19">
        <v>4</v>
      </c>
      <c r="CG298" s="19">
        <v>4</v>
      </c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>
        <v>2</v>
      </c>
      <c r="CT298" s="19">
        <v>2</v>
      </c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>
        <v>1</v>
      </c>
      <c r="DF298" s="19">
        <v>2</v>
      </c>
      <c r="DG298" s="19"/>
      <c r="DH298" s="19"/>
      <c r="DI298" s="19"/>
      <c r="DJ298" s="19"/>
      <c r="DK298" s="19">
        <v>2</v>
      </c>
      <c r="DL298" s="19">
        <v>4</v>
      </c>
      <c r="DM298" s="19">
        <v>4</v>
      </c>
      <c r="DN298" s="19"/>
      <c r="DO298" s="19"/>
      <c r="DP298" s="19">
        <v>4</v>
      </c>
      <c r="DQ298" s="19"/>
      <c r="DR298" s="19"/>
      <c r="DS298" s="19"/>
      <c r="DT298" s="19"/>
      <c r="DU298" s="19"/>
      <c r="DV298" s="19"/>
      <c r="DW298" s="19">
        <v>4</v>
      </c>
      <c r="DX298" s="19"/>
      <c r="DY298" s="19">
        <v>2</v>
      </c>
      <c r="DZ298" s="19">
        <v>1</v>
      </c>
      <c r="EA298" s="19"/>
      <c r="EB298" s="19"/>
      <c r="EC298" s="19">
        <v>1</v>
      </c>
      <c r="ED298" s="19"/>
      <c r="EE298" s="19"/>
      <c r="EF298" s="19"/>
      <c r="EG298" s="19"/>
      <c r="EH298" s="19"/>
      <c r="EI298" s="19"/>
      <c r="EJ298" s="19"/>
      <c r="EK298" s="19"/>
      <c r="EL298" s="19"/>
    </row>
    <row r="299" spans="1:142" x14ac:dyDescent="0.25">
      <c r="A299" s="19" t="s">
        <v>230</v>
      </c>
      <c r="B299" s="19"/>
      <c r="C299" s="19">
        <v>1000</v>
      </c>
      <c r="D299" s="19">
        <v>500</v>
      </c>
      <c r="E299" s="19" t="s">
        <v>169</v>
      </c>
      <c r="F299" s="20"/>
      <c r="G299" s="19"/>
      <c r="H299" s="21"/>
      <c r="I299" s="19">
        <f t="shared" si="34"/>
        <v>25</v>
      </c>
      <c r="J299" s="19">
        <f t="shared" si="35"/>
        <v>24</v>
      </c>
      <c r="K299" s="19">
        <f t="shared" si="36"/>
        <v>0</v>
      </c>
      <c r="L299" s="21">
        <f t="shared" si="37"/>
        <v>49</v>
      </c>
      <c r="M299" s="19"/>
      <c r="N299" s="19"/>
      <c r="O299" s="19"/>
      <c r="P299" s="19"/>
      <c r="Q299" s="19"/>
      <c r="R299" s="19"/>
      <c r="S299" s="25"/>
      <c r="T299" s="19"/>
      <c r="U299" s="19"/>
      <c r="V299" s="19"/>
      <c r="W299" s="19">
        <v>4</v>
      </c>
      <c r="X299" s="19"/>
      <c r="Y299" s="19">
        <v>5</v>
      </c>
      <c r="Z299" s="19"/>
      <c r="AA299" s="19"/>
      <c r="AB299" s="19"/>
      <c r="AC299" s="19"/>
      <c r="AD299" s="19"/>
      <c r="AE299" s="19">
        <v>4</v>
      </c>
      <c r="AF299" s="19"/>
      <c r="AG299" s="19"/>
      <c r="AH299" s="19"/>
      <c r="AI299" s="19"/>
      <c r="AJ299" s="19"/>
      <c r="AK299" s="19"/>
      <c r="AL299" s="19"/>
      <c r="AM299" s="19"/>
      <c r="AN299" s="19">
        <v>4</v>
      </c>
      <c r="AO299" s="19">
        <v>4</v>
      </c>
      <c r="AP299" s="19"/>
      <c r="AQ299" s="19"/>
      <c r="AR299" s="19"/>
      <c r="AS299" s="19"/>
      <c r="AT299" s="19">
        <v>4</v>
      </c>
      <c r="AU299" s="19"/>
      <c r="AV299" s="19"/>
      <c r="AW299" s="19"/>
      <c r="AX299" s="19"/>
      <c r="AY299" s="19"/>
      <c r="AZ299" s="19">
        <v>4</v>
      </c>
      <c r="BA299" s="19"/>
      <c r="BB299" s="19"/>
      <c r="BC299" s="19"/>
      <c r="BD299" s="19"/>
      <c r="BE299" s="19"/>
      <c r="BF299" s="19"/>
      <c r="BG299" s="19">
        <v>4</v>
      </c>
      <c r="BH299" s="19">
        <v>4</v>
      </c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>
        <v>4</v>
      </c>
      <c r="DI299" s="19">
        <v>4</v>
      </c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>
        <v>4</v>
      </c>
      <c r="EF299" s="19"/>
      <c r="EG299" s="19"/>
      <c r="EH299" s="19"/>
      <c r="EI299" s="19"/>
      <c r="EJ299" s="19"/>
      <c r="EK299" s="19"/>
      <c r="EL299" s="19"/>
    </row>
    <row r="300" spans="1:142" x14ac:dyDescent="0.25">
      <c r="A300" s="19" t="s">
        <v>230</v>
      </c>
      <c r="B300" s="19"/>
      <c r="C300" s="19">
        <v>900</v>
      </c>
      <c r="D300" s="19">
        <v>500</v>
      </c>
      <c r="E300" s="19" t="s">
        <v>169</v>
      </c>
      <c r="F300" s="20"/>
      <c r="G300" s="19"/>
      <c r="H300" s="21"/>
      <c r="I300" s="19">
        <f t="shared" si="34"/>
        <v>0</v>
      </c>
      <c r="J300" s="19">
        <f t="shared" si="35"/>
        <v>3</v>
      </c>
      <c r="K300" s="19">
        <f t="shared" si="36"/>
        <v>0</v>
      </c>
      <c r="L300" s="21">
        <f t="shared" si="37"/>
        <v>3</v>
      </c>
      <c r="M300" s="19"/>
      <c r="N300" s="19"/>
      <c r="O300" s="19"/>
      <c r="P300" s="19"/>
      <c r="Q300" s="19"/>
      <c r="R300" s="19"/>
      <c r="S300" s="25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>
        <v>1</v>
      </c>
      <c r="BM300" s="19"/>
      <c r="BN300" s="19"/>
      <c r="BO300" s="19"/>
      <c r="BP300" s="19"/>
      <c r="BQ300" s="19"/>
      <c r="BR300" s="19">
        <v>2</v>
      </c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</row>
    <row r="301" spans="1:142" x14ac:dyDescent="0.25">
      <c r="A301" s="19" t="s">
        <v>230</v>
      </c>
      <c r="B301" s="19"/>
      <c r="C301" s="19">
        <v>800</v>
      </c>
      <c r="D301" s="19">
        <v>800</v>
      </c>
      <c r="E301" s="19" t="s">
        <v>169</v>
      </c>
      <c r="F301" s="20"/>
      <c r="G301" s="19"/>
      <c r="H301" s="21"/>
      <c r="I301" s="19">
        <f t="shared" si="34"/>
        <v>0</v>
      </c>
      <c r="J301" s="19">
        <f t="shared" si="35"/>
        <v>6</v>
      </c>
      <c r="K301" s="19">
        <f t="shared" si="36"/>
        <v>0</v>
      </c>
      <c r="L301" s="21">
        <f t="shared" si="37"/>
        <v>6</v>
      </c>
      <c r="M301" s="19"/>
      <c r="N301" s="19"/>
      <c r="O301" s="19"/>
      <c r="P301" s="19"/>
      <c r="Q301" s="19"/>
      <c r="R301" s="19"/>
      <c r="S301" s="25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>
        <v>3</v>
      </c>
      <c r="DO301" s="19"/>
      <c r="DP301" s="19"/>
      <c r="DQ301" s="19"/>
      <c r="DR301" s="19"/>
      <c r="DS301" s="19">
        <v>3</v>
      </c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</row>
    <row r="302" spans="1:142" x14ac:dyDescent="0.25">
      <c r="A302" s="19" t="s">
        <v>230</v>
      </c>
      <c r="B302" s="19"/>
      <c r="C302" s="19">
        <v>800</v>
      </c>
      <c r="D302" s="19">
        <v>630</v>
      </c>
      <c r="E302" s="19" t="s">
        <v>169</v>
      </c>
      <c r="F302" s="20"/>
      <c r="G302" s="19"/>
      <c r="H302" s="21"/>
      <c r="I302" s="19">
        <f t="shared" si="34"/>
        <v>0</v>
      </c>
      <c r="J302" s="19">
        <f t="shared" si="35"/>
        <v>16</v>
      </c>
      <c r="K302" s="19">
        <f t="shared" si="36"/>
        <v>2</v>
      </c>
      <c r="L302" s="21">
        <f t="shared" si="37"/>
        <v>18</v>
      </c>
      <c r="M302" s="19"/>
      <c r="N302" s="19"/>
      <c r="O302" s="19"/>
      <c r="P302" s="19"/>
      <c r="Q302" s="19"/>
      <c r="R302" s="19"/>
      <c r="S302" s="25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>
        <v>2</v>
      </c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>
        <v>6</v>
      </c>
      <c r="CB302" s="19">
        <v>6</v>
      </c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>
        <v>2</v>
      </c>
      <c r="EC302" s="19"/>
      <c r="ED302" s="19"/>
      <c r="EE302" s="19"/>
      <c r="EF302" s="19">
        <v>2</v>
      </c>
      <c r="EG302" s="19"/>
      <c r="EH302" s="19"/>
      <c r="EI302" s="19"/>
      <c r="EJ302" s="19"/>
      <c r="EK302" s="19"/>
      <c r="EL302" s="19"/>
    </row>
    <row r="303" spans="1:142" x14ac:dyDescent="0.25">
      <c r="A303" s="19" t="s">
        <v>230</v>
      </c>
      <c r="B303" s="19"/>
      <c r="C303" s="19">
        <v>800</v>
      </c>
      <c r="D303" s="19">
        <v>500</v>
      </c>
      <c r="E303" s="19" t="s">
        <v>169</v>
      </c>
      <c r="F303" s="20"/>
      <c r="G303" s="19"/>
      <c r="H303" s="21"/>
      <c r="I303" s="19">
        <f t="shared" si="34"/>
        <v>9</v>
      </c>
      <c r="J303" s="19">
        <f t="shared" si="35"/>
        <v>22</v>
      </c>
      <c r="K303" s="19">
        <f t="shared" si="36"/>
        <v>0</v>
      </c>
      <c r="L303" s="21">
        <f t="shared" si="37"/>
        <v>31</v>
      </c>
      <c r="M303" s="19"/>
      <c r="N303" s="19"/>
      <c r="O303" s="19"/>
      <c r="P303" s="19"/>
      <c r="Q303" s="19"/>
      <c r="R303" s="19"/>
      <c r="S303" s="25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>
        <v>4</v>
      </c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>
        <v>5</v>
      </c>
      <c r="AT303" s="19"/>
      <c r="AU303" s="19"/>
      <c r="AV303" s="19"/>
      <c r="AW303" s="19"/>
      <c r="AX303" s="19"/>
      <c r="AY303" s="19">
        <v>4</v>
      </c>
      <c r="AZ303" s="19"/>
      <c r="BA303" s="19"/>
      <c r="BB303" s="19"/>
      <c r="BC303" s="19"/>
      <c r="BD303" s="19"/>
      <c r="BE303" s="19">
        <v>4</v>
      </c>
      <c r="BF303" s="19">
        <v>4</v>
      </c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>
        <v>5</v>
      </c>
      <c r="CN303" s="19">
        <v>5</v>
      </c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</row>
    <row r="304" spans="1:142" x14ac:dyDescent="0.25">
      <c r="A304" s="19" t="s">
        <v>230</v>
      </c>
      <c r="B304" s="19"/>
      <c r="C304" s="19">
        <v>700</v>
      </c>
      <c r="D304" s="19">
        <v>900</v>
      </c>
      <c r="E304" s="19" t="s">
        <v>169</v>
      </c>
      <c r="F304" s="20"/>
      <c r="G304" s="19"/>
      <c r="H304" s="21"/>
      <c r="I304" s="19">
        <f t="shared" si="34"/>
        <v>0</v>
      </c>
      <c r="J304" s="19">
        <f t="shared" si="35"/>
        <v>1</v>
      </c>
      <c r="K304" s="19">
        <f t="shared" si="36"/>
        <v>0</v>
      </c>
      <c r="L304" s="21">
        <f t="shared" si="37"/>
        <v>1</v>
      </c>
      <c r="M304" s="19"/>
      <c r="N304" s="19"/>
      <c r="O304" s="19"/>
      <c r="P304" s="19"/>
      <c r="Q304" s="19"/>
      <c r="R304" s="19"/>
      <c r="S304" s="25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>
        <v>1</v>
      </c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</row>
    <row r="305" spans="1:142" x14ac:dyDescent="0.25">
      <c r="A305" s="19" t="s">
        <v>230</v>
      </c>
      <c r="B305" s="19"/>
      <c r="C305" s="19">
        <v>630</v>
      </c>
      <c r="D305" s="19">
        <v>630</v>
      </c>
      <c r="E305" s="19" t="s">
        <v>169</v>
      </c>
      <c r="F305" s="20"/>
      <c r="G305" s="19"/>
      <c r="H305" s="21"/>
      <c r="I305" s="19">
        <f t="shared" si="34"/>
        <v>4</v>
      </c>
      <c r="J305" s="19">
        <f t="shared" si="35"/>
        <v>0</v>
      </c>
      <c r="K305" s="19">
        <f t="shared" si="36"/>
        <v>0</v>
      </c>
      <c r="L305" s="21">
        <f t="shared" si="37"/>
        <v>4</v>
      </c>
      <c r="M305" s="19"/>
      <c r="N305" s="19"/>
      <c r="O305" s="19"/>
      <c r="P305" s="19"/>
      <c r="Q305" s="19"/>
      <c r="R305" s="19"/>
      <c r="S305" s="25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>
        <v>4</v>
      </c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</row>
    <row r="306" spans="1:142" x14ac:dyDescent="0.25">
      <c r="A306" s="19" t="s">
        <v>230</v>
      </c>
      <c r="B306" s="19"/>
      <c r="C306" s="19">
        <v>630</v>
      </c>
      <c r="D306" s="19">
        <v>500</v>
      </c>
      <c r="E306" s="19" t="s">
        <v>169</v>
      </c>
      <c r="F306" s="20"/>
      <c r="G306" s="19"/>
      <c r="H306" s="21"/>
      <c r="I306" s="19">
        <f t="shared" si="34"/>
        <v>0</v>
      </c>
      <c r="J306" s="19">
        <f t="shared" si="35"/>
        <v>14</v>
      </c>
      <c r="K306" s="19">
        <f t="shared" si="36"/>
        <v>0</v>
      </c>
      <c r="L306" s="21">
        <f t="shared" si="37"/>
        <v>14</v>
      </c>
      <c r="M306" s="19"/>
      <c r="N306" s="19"/>
      <c r="O306" s="19"/>
      <c r="P306" s="19"/>
      <c r="Q306" s="19"/>
      <c r="R306" s="19"/>
      <c r="S306" s="25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>
        <v>7</v>
      </c>
      <c r="DA306" s="19">
        <v>7</v>
      </c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</row>
    <row r="307" spans="1:142" x14ac:dyDescent="0.25">
      <c r="A307" s="19" t="s">
        <v>230</v>
      </c>
      <c r="B307" s="19"/>
      <c r="C307" s="19">
        <v>630</v>
      </c>
      <c r="D307" s="19">
        <v>400</v>
      </c>
      <c r="E307" s="19" t="s">
        <v>169</v>
      </c>
      <c r="F307" s="20"/>
      <c r="G307" s="19"/>
      <c r="H307" s="21"/>
      <c r="I307" s="19">
        <f t="shared" si="34"/>
        <v>0</v>
      </c>
      <c r="J307" s="19">
        <f t="shared" si="35"/>
        <v>12</v>
      </c>
      <c r="K307" s="19">
        <f t="shared" si="36"/>
        <v>0</v>
      </c>
      <c r="L307" s="21">
        <f t="shared" si="37"/>
        <v>12</v>
      </c>
      <c r="M307" s="19"/>
      <c r="N307" s="19"/>
      <c r="O307" s="19"/>
      <c r="P307" s="19"/>
      <c r="Q307" s="19"/>
      <c r="R307" s="19"/>
      <c r="S307" s="25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>
        <v>2</v>
      </c>
      <c r="BJ307" s="19"/>
      <c r="BK307" s="19">
        <v>2</v>
      </c>
      <c r="BL307" s="19"/>
      <c r="BM307" s="19">
        <v>2</v>
      </c>
      <c r="BN307" s="19"/>
      <c r="BO307" s="19">
        <v>2</v>
      </c>
      <c r="BP307" s="19"/>
      <c r="BQ307" s="19">
        <v>2</v>
      </c>
      <c r="BR307" s="19"/>
      <c r="BS307" s="19">
        <v>2</v>
      </c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</row>
    <row r="308" spans="1:142" x14ac:dyDescent="0.25">
      <c r="A308" s="19" t="s">
        <v>230</v>
      </c>
      <c r="B308" s="19"/>
      <c r="C308" s="19">
        <v>500</v>
      </c>
      <c r="D308" s="19">
        <v>400</v>
      </c>
      <c r="E308" s="19" t="s">
        <v>169</v>
      </c>
      <c r="F308" s="20"/>
      <c r="G308" s="19"/>
      <c r="H308" s="21"/>
      <c r="I308" s="19">
        <f t="shared" si="34"/>
        <v>8</v>
      </c>
      <c r="J308" s="19">
        <f t="shared" si="35"/>
        <v>0</v>
      </c>
      <c r="K308" s="19">
        <f t="shared" si="36"/>
        <v>0</v>
      </c>
      <c r="L308" s="21">
        <f t="shared" si="37"/>
        <v>8</v>
      </c>
      <c r="M308" s="19"/>
      <c r="N308" s="19"/>
      <c r="O308" s="19"/>
      <c r="P308" s="19"/>
      <c r="Q308" s="19"/>
      <c r="R308" s="19"/>
      <c r="S308" s="25"/>
      <c r="T308" s="19"/>
      <c r="U308" s="19"/>
      <c r="V308" s="19"/>
      <c r="W308" s="19"/>
      <c r="X308" s="19"/>
      <c r="Y308" s="19"/>
      <c r="Z308" s="19">
        <v>4</v>
      </c>
      <c r="AA308" s="19"/>
      <c r="AB308" s="19"/>
      <c r="AC308" s="19"/>
      <c r="AD308" s="19"/>
      <c r="AE308" s="19"/>
      <c r="AF308" s="19"/>
      <c r="AG308" s="19">
        <v>4</v>
      </c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</row>
    <row r="309" spans="1:142" x14ac:dyDescent="0.25">
      <c r="A309" s="19" t="s">
        <v>230</v>
      </c>
      <c r="B309" s="19"/>
      <c r="C309" s="19">
        <v>500</v>
      </c>
      <c r="D309" s="19">
        <v>320</v>
      </c>
      <c r="E309" s="19" t="s">
        <v>169</v>
      </c>
      <c r="F309" s="20"/>
      <c r="G309" s="19"/>
      <c r="H309" s="21"/>
      <c r="I309" s="19">
        <f t="shared" si="34"/>
        <v>4</v>
      </c>
      <c r="J309" s="19">
        <f t="shared" si="35"/>
        <v>2</v>
      </c>
      <c r="K309" s="19">
        <f t="shared" si="36"/>
        <v>0</v>
      </c>
      <c r="L309" s="21">
        <f t="shared" si="37"/>
        <v>6</v>
      </c>
      <c r="M309" s="19"/>
      <c r="N309" s="19"/>
      <c r="O309" s="19"/>
      <c r="P309" s="19"/>
      <c r="Q309" s="19"/>
      <c r="R309" s="19"/>
      <c r="S309" s="25"/>
      <c r="T309" s="19"/>
      <c r="U309" s="19"/>
      <c r="V309" s="19"/>
      <c r="W309" s="19"/>
      <c r="X309" s="19">
        <v>4</v>
      </c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>
        <v>2</v>
      </c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</row>
    <row r="310" spans="1:142" x14ac:dyDescent="0.25">
      <c r="A310" s="19" t="s">
        <v>230</v>
      </c>
      <c r="B310" s="19"/>
      <c r="C310" s="19">
        <v>500</v>
      </c>
      <c r="D310" s="19">
        <v>250</v>
      </c>
      <c r="E310" s="19" t="s">
        <v>169</v>
      </c>
      <c r="F310" s="20"/>
      <c r="G310" s="19"/>
      <c r="H310" s="21"/>
      <c r="I310" s="19">
        <f t="shared" si="34"/>
        <v>11</v>
      </c>
      <c r="J310" s="19">
        <f t="shared" si="35"/>
        <v>9</v>
      </c>
      <c r="K310" s="19">
        <f t="shared" si="36"/>
        <v>4</v>
      </c>
      <c r="L310" s="21">
        <f t="shared" si="37"/>
        <v>24</v>
      </c>
      <c r="M310" s="19"/>
      <c r="N310" s="19"/>
      <c r="O310" s="19">
        <v>5</v>
      </c>
      <c r="P310" s="19">
        <v>6</v>
      </c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>
        <v>5</v>
      </c>
      <c r="CB310" s="19">
        <v>4</v>
      </c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>
        <v>4</v>
      </c>
      <c r="EJ310" s="19"/>
      <c r="EK310" s="19"/>
      <c r="EL310" s="19"/>
    </row>
    <row r="311" spans="1:142" x14ac:dyDescent="0.25">
      <c r="A311" s="19" t="s">
        <v>230</v>
      </c>
      <c r="B311" s="19"/>
      <c r="C311" s="19">
        <v>400</v>
      </c>
      <c r="D311" s="19">
        <v>400</v>
      </c>
      <c r="E311" s="19" t="s">
        <v>169</v>
      </c>
      <c r="F311" s="20"/>
      <c r="G311" s="19"/>
      <c r="H311" s="21"/>
      <c r="I311" s="19">
        <f t="shared" si="34"/>
        <v>0</v>
      </c>
      <c r="J311" s="19">
        <f t="shared" si="35"/>
        <v>2</v>
      </c>
      <c r="K311" s="19">
        <f t="shared" si="36"/>
        <v>0</v>
      </c>
      <c r="L311" s="21">
        <f t="shared" si="37"/>
        <v>2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>
        <v>1</v>
      </c>
      <c r="DR311" s="19"/>
      <c r="DS311" s="19"/>
      <c r="DT311" s="19"/>
      <c r="DU311" s="19"/>
      <c r="DV311" s="19"/>
      <c r="DW311" s="19"/>
      <c r="DX311" s="19">
        <v>1</v>
      </c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</row>
    <row r="312" spans="1:142" x14ac:dyDescent="0.25">
      <c r="A312" s="19" t="s">
        <v>230</v>
      </c>
      <c r="B312" s="19"/>
      <c r="C312" s="19">
        <v>400</v>
      </c>
      <c r="D312" s="19">
        <v>320</v>
      </c>
      <c r="E312" s="19" t="s">
        <v>169</v>
      </c>
      <c r="F312" s="20"/>
      <c r="G312" s="19"/>
      <c r="H312" s="21"/>
      <c r="I312" s="19">
        <f t="shared" si="34"/>
        <v>1</v>
      </c>
      <c r="J312" s="19">
        <f t="shared" si="35"/>
        <v>3</v>
      </c>
      <c r="K312" s="19">
        <f t="shared" si="36"/>
        <v>0</v>
      </c>
      <c r="L312" s="21">
        <f t="shared" si="37"/>
        <v>4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>
        <v>1</v>
      </c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25">
        <v>3</v>
      </c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</row>
    <row r="313" spans="1:142" x14ac:dyDescent="0.25">
      <c r="A313" s="25" t="s">
        <v>230</v>
      </c>
      <c r="B313" s="25"/>
      <c r="C313" s="25">
        <v>400</v>
      </c>
      <c r="D313" s="25">
        <v>300</v>
      </c>
      <c r="E313" s="25" t="s">
        <v>169</v>
      </c>
      <c r="F313" s="26"/>
      <c r="G313" s="25"/>
      <c r="H313" s="28"/>
      <c r="I313" s="19">
        <f t="shared" si="34"/>
        <v>0</v>
      </c>
      <c r="J313" s="19">
        <f t="shared" si="35"/>
        <v>2</v>
      </c>
      <c r="K313" s="19">
        <f t="shared" si="36"/>
        <v>0</v>
      </c>
      <c r="L313" s="21">
        <f t="shared" si="37"/>
        <v>2</v>
      </c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25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>
        <v>2</v>
      </c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</row>
    <row r="314" spans="1:142" x14ac:dyDescent="0.25">
      <c r="A314" s="19" t="s">
        <v>230</v>
      </c>
      <c r="B314" s="19"/>
      <c r="C314" s="19">
        <v>320</v>
      </c>
      <c r="D314" s="19">
        <v>200</v>
      </c>
      <c r="E314" s="19" t="s">
        <v>169</v>
      </c>
      <c r="F314" s="20"/>
      <c r="G314" s="19"/>
      <c r="H314" s="21"/>
      <c r="I314" s="19">
        <f t="shared" si="34"/>
        <v>30</v>
      </c>
      <c r="J314" s="19">
        <f t="shared" si="35"/>
        <v>0</v>
      </c>
      <c r="K314" s="19">
        <f t="shared" si="36"/>
        <v>0</v>
      </c>
      <c r="L314" s="21">
        <f t="shared" si="37"/>
        <v>30</v>
      </c>
      <c r="M314" s="19"/>
      <c r="N314" s="19"/>
      <c r="O314" s="19"/>
      <c r="P314" s="19"/>
      <c r="Q314" s="19"/>
      <c r="R314" s="19"/>
      <c r="S314" s="19"/>
      <c r="T314" s="19"/>
      <c r="U314" s="19"/>
      <c r="V314" s="19">
        <v>10</v>
      </c>
      <c r="W314" s="19"/>
      <c r="X314" s="19"/>
      <c r="Y314" s="19"/>
      <c r="Z314" s="19"/>
      <c r="AA314" s="19"/>
      <c r="AB314" s="19">
        <v>20</v>
      </c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</row>
    <row r="315" spans="1:142" ht="112" x14ac:dyDescent="0.25">
      <c r="A315" s="19" t="s">
        <v>231</v>
      </c>
      <c r="B315" s="19"/>
      <c r="C315" s="39" t="s">
        <v>232</v>
      </c>
      <c r="D315" s="39"/>
      <c r="E315" s="19" t="s">
        <v>169</v>
      </c>
      <c r="F315" s="20" t="s">
        <v>233</v>
      </c>
      <c r="G315" s="19"/>
      <c r="H315" s="21"/>
      <c r="I315" s="19">
        <f t="shared" si="34"/>
        <v>0</v>
      </c>
      <c r="J315" s="19">
        <f t="shared" si="35"/>
        <v>3</v>
      </c>
      <c r="K315" s="19">
        <f t="shared" si="36"/>
        <v>0</v>
      </c>
      <c r="L315" s="21">
        <f t="shared" si="37"/>
        <v>3</v>
      </c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>
        <v>1</v>
      </c>
      <c r="CP315" s="19"/>
      <c r="CQ315" s="19"/>
      <c r="CR315" s="19"/>
      <c r="CS315" s="19"/>
      <c r="CT315" s="19"/>
      <c r="CU315" s="19"/>
      <c r="CV315" s="19"/>
      <c r="CW315" s="19"/>
      <c r="CX315" s="19">
        <v>1</v>
      </c>
      <c r="CY315" s="19"/>
      <c r="CZ315" s="19"/>
      <c r="DA315" s="19"/>
      <c r="DB315" s="19"/>
      <c r="DC315" s="19"/>
      <c r="DD315" s="19"/>
      <c r="DE315" s="19"/>
      <c r="DF315" s="19"/>
      <c r="DG315" s="19">
        <v>1</v>
      </c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</row>
    <row r="316" spans="1:142" ht="52" customHeight="1" x14ac:dyDescent="0.25">
      <c r="A316" s="19" t="s">
        <v>234</v>
      </c>
      <c r="B316" s="19"/>
      <c r="C316" s="39" t="s">
        <v>232</v>
      </c>
      <c r="D316" s="39"/>
      <c r="E316" s="19" t="s">
        <v>169</v>
      </c>
      <c r="F316" s="36" t="s">
        <v>235</v>
      </c>
      <c r="G316" s="19"/>
      <c r="H316" s="21"/>
      <c r="I316" s="19">
        <f t="shared" si="34"/>
        <v>0</v>
      </c>
      <c r="J316" s="19">
        <f t="shared" si="35"/>
        <v>1</v>
      </c>
      <c r="K316" s="19">
        <f t="shared" si="36"/>
        <v>0</v>
      </c>
      <c r="L316" s="21">
        <f t="shared" si="37"/>
        <v>1</v>
      </c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>
        <v>1</v>
      </c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</row>
    <row r="317" spans="1:142" ht="52" customHeight="1" x14ac:dyDescent="0.25">
      <c r="A317" s="19" t="s">
        <v>234</v>
      </c>
      <c r="B317" s="19"/>
      <c r="C317" s="39" t="s">
        <v>236</v>
      </c>
      <c r="D317" s="39"/>
      <c r="E317" s="19" t="s">
        <v>169</v>
      </c>
      <c r="F317" s="38"/>
      <c r="G317" s="19"/>
      <c r="H317" s="21"/>
      <c r="I317" s="19">
        <f t="shared" si="34"/>
        <v>7</v>
      </c>
      <c r="J317" s="19">
        <f t="shared" si="35"/>
        <v>0</v>
      </c>
      <c r="K317" s="19">
        <f t="shared" si="36"/>
        <v>8</v>
      </c>
      <c r="L317" s="21">
        <f t="shared" si="37"/>
        <v>15</v>
      </c>
      <c r="M317" s="19"/>
      <c r="N317" s="19"/>
      <c r="O317" s="19">
        <v>3</v>
      </c>
      <c r="P317" s="19">
        <v>4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>
        <v>8</v>
      </c>
      <c r="EI317" s="19"/>
      <c r="EJ317" s="19"/>
      <c r="EK317" s="19"/>
      <c r="EL317" s="19"/>
    </row>
    <row r="318" spans="1:142" x14ac:dyDescent="0.25">
      <c r="A318" s="19" t="s">
        <v>237</v>
      </c>
      <c r="B318" s="19"/>
      <c r="C318" s="19">
        <v>1000</v>
      </c>
      <c r="D318" s="19">
        <v>800</v>
      </c>
      <c r="E318" s="19" t="s">
        <v>169</v>
      </c>
      <c r="F318" s="20"/>
      <c r="G318" s="19"/>
      <c r="H318" s="21"/>
      <c r="I318" s="19">
        <f t="shared" si="34"/>
        <v>0</v>
      </c>
      <c r="J318" s="19">
        <f t="shared" si="35"/>
        <v>6</v>
      </c>
      <c r="K318" s="19">
        <f t="shared" si="36"/>
        <v>0</v>
      </c>
      <c r="L318" s="21">
        <f t="shared" si="37"/>
        <v>6</v>
      </c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>
        <v>1</v>
      </c>
      <c r="CD318" s="19"/>
      <c r="CE318" s="19"/>
      <c r="CF318" s="19"/>
      <c r="CG318" s="19"/>
      <c r="CH318" s="19"/>
      <c r="CI318" s="19"/>
      <c r="CJ318" s="19">
        <v>1</v>
      </c>
      <c r="CK318" s="19"/>
      <c r="CL318" s="19"/>
      <c r="CM318" s="19"/>
      <c r="CN318" s="19"/>
      <c r="CO318" s="19"/>
      <c r="CP318" s="19">
        <v>1</v>
      </c>
      <c r="CQ318" s="19">
        <v>1</v>
      </c>
      <c r="CR318" s="19">
        <v>1</v>
      </c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>
        <v>1</v>
      </c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</row>
    <row r="319" spans="1:142" x14ac:dyDescent="0.25">
      <c r="A319" s="19" t="s">
        <v>86</v>
      </c>
      <c r="B319" s="19"/>
      <c r="C319" s="19">
        <v>500</v>
      </c>
      <c r="D319" s="19">
        <v>400</v>
      </c>
      <c r="E319" s="19" t="s">
        <v>169</v>
      </c>
      <c r="F319" s="20"/>
      <c r="G319" s="19"/>
      <c r="H319" s="21"/>
      <c r="I319" s="19">
        <f>SUM(M319:AV319)</f>
        <v>0</v>
      </c>
      <c r="J319" s="19">
        <f>SUM(AW319:EE319)</f>
        <v>1</v>
      </c>
      <c r="K319" s="19">
        <f>SUM(EF319:EM319)</f>
        <v>0</v>
      </c>
      <c r="L319" s="21">
        <f>SUM(M319:EM319)</f>
        <v>1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>
        <v>1</v>
      </c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</row>
    <row r="320" spans="1:142" x14ac:dyDescent="0.25">
      <c r="A320" s="19" t="s">
        <v>238</v>
      </c>
      <c r="B320" s="19"/>
      <c r="C320" s="24" t="s">
        <v>159</v>
      </c>
      <c r="D320" s="19">
        <v>400</v>
      </c>
      <c r="E320" s="19" t="s">
        <v>169</v>
      </c>
      <c r="F320" s="20"/>
      <c r="G320" s="19"/>
      <c r="H320" s="21"/>
      <c r="I320" s="19">
        <f>SUM(M320:AV320)</f>
        <v>1</v>
      </c>
      <c r="J320" s="19">
        <f>SUM(AW320:EE320)</f>
        <v>0</v>
      </c>
      <c r="K320" s="19">
        <f>SUM(EF320:EM320)</f>
        <v>0</v>
      </c>
      <c r="L320" s="21">
        <f>SUM(M320:EM320)</f>
        <v>1</v>
      </c>
      <c r="M320" s="19"/>
      <c r="N320" s="19"/>
      <c r="O320" s="19"/>
      <c r="P320" s="19"/>
      <c r="Q320" s="19"/>
      <c r="R320" s="19"/>
      <c r="S320" s="19"/>
      <c r="T320" s="19"/>
      <c r="U320" s="19"/>
      <c r="V320" s="19">
        <v>1</v>
      </c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</row>
    <row r="321" spans="1:142" x14ac:dyDescent="0.25">
      <c r="A321" s="19" t="s">
        <v>238</v>
      </c>
      <c r="B321" s="19"/>
      <c r="C321" s="24" t="s">
        <v>159</v>
      </c>
      <c r="D321" s="19">
        <v>300</v>
      </c>
      <c r="E321" s="19" t="s">
        <v>169</v>
      </c>
      <c r="F321" s="20"/>
      <c r="G321" s="19"/>
      <c r="H321" s="21"/>
      <c r="I321" s="19">
        <f>SUM(M321:AV321)</f>
        <v>1</v>
      </c>
      <c r="J321" s="19">
        <f t="shared" ref="J321:J359" si="38">SUM(AW321:EE321)</f>
        <v>0</v>
      </c>
      <c r="K321" s="19">
        <f t="shared" ref="K321:K359" si="39">SUM(EF321:EM321)</f>
        <v>0</v>
      </c>
      <c r="L321" s="21">
        <f t="shared" ref="L321:L359" si="40">SUM(M321:EM321)</f>
        <v>1</v>
      </c>
      <c r="M321" s="19"/>
      <c r="N321" s="19"/>
      <c r="O321" s="19"/>
      <c r="P321" s="19"/>
      <c r="Q321" s="19"/>
      <c r="R321" s="19"/>
      <c r="S321" s="19"/>
      <c r="T321" s="19"/>
      <c r="U321" s="19"/>
      <c r="V321" s="19">
        <v>1</v>
      </c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</row>
    <row r="322" spans="1:142" x14ac:dyDescent="0.25">
      <c r="A322" s="19" t="s">
        <v>239</v>
      </c>
      <c r="B322" s="19"/>
      <c r="C322" s="19">
        <v>2100</v>
      </c>
      <c r="D322" s="19">
        <v>900</v>
      </c>
      <c r="E322" s="19" t="s">
        <v>169</v>
      </c>
      <c r="F322" s="20"/>
      <c r="G322" s="19"/>
      <c r="H322" s="21"/>
      <c r="I322" s="19">
        <f t="shared" ref="I322:I359" si="41">SUM(M322:AV322)</f>
        <v>0</v>
      </c>
      <c r="J322" s="19">
        <f t="shared" si="38"/>
        <v>1</v>
      </c>
      <c r="K322" s="19">
        <f t="shared" si="39"/>
        <v>0</v>
      </c>
      <c r="L322" s="21">
        <f t="shared" si="40"/>
        <v>1</v>
      </c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>
        <v>1</v>
      </c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</row>
    <row r="323" spans="1:142" x14ac:dyDescent="0.25">
      <c r="A323" s="19" t="s">
        <v>239</v>
      </c>
      <c r="B323" s="19"/>
      <c r="C323" s="19">
        <v>1700</v>
      </c>
      <c r="D323" s="19">
        <v>600</v>
      </c>
      <c r="E323" s="19" t="s">
        <v>169</v>
      </c>
      <c r="F323" s="20"/>
      <c r="G323" s="19"/>
      <c r="H323" s="21"/>
      <c r="I323" s="19">
        <f t="shared" si="41"/>
        <v>8</v>
      </c>
      <c r="J323" s="19">
        <f t="shared" si="38"/>
        <v>20</v>
      </c>
      <c r="K323" s="19">
        <f t="shared" si="39"/>
        <v>0</v>
      </c>
      <c r="L323" s="21">
        <f t="shared" si="40"/>
        <v>28</v>
      </c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>
        <v>1</v>
      </c>
      <c r="X323" s="19"/>
      <c r="Y323" s="19">
        <v>1</v>
      </c>
      <c r="Z323" s="19"/>
      <c r="AA323" s="19"/>
      <c r="AB323" s="19"/>
      <c r="AC323" s="19"/>
      <c r="AD323" s="19"/>
      <c r="AE323" s="19">
        <v>1</v>
      </c>
      <c r="AF323" s="19">
        <v>1</v>
      </c>
      <c r="AG323" s="19"/>
      <c r="AH323" s="19"/>
      <c r="AI323" s="19"/>
      <c r="AJ323" s="19"/>
      <c r="AK323" s="19"/>
      <c r="AL323" s="19"/>
      <c r="AM323" s="19"/>
      <c r="AN323" s="19">
        <v>1</v>
      </c>
      <c r="AO323" s="19">
        <v>1</v>
      </c>
      <c r="AP323" s="19"/>
      <c r="AQ323" s="19"/>
      <c r="AR323" s="19"/>
      <c r="AS323" s="19">
        <v>1</v>
      </c>
      <c r="AT323" s="19">
        <v>1</v>
      </c>
      <c r="AU323" s="19"/>
      <c r="AV323" s="19"/>
      <c r="AW323" s="19"/>
      <c r="AX323" s="19"/>
      <c r="AY323" s="19">
        <v>1</v>
      </c>
      <c r="AZ323" s="19">
        <v>1</v>
      </c>
      <c r="BA323" s="19"/>
      <c r="BB323" s="19"/>
      <c r="BC323" s="19"/>
      <c r="BD323" s="19"/>
      <c r="BE323" s="19">
        <v>1</v>
      </c>
      <c r="BF323" s="19">
        <v>1</v>
      </c>
      <c r="BG323" s="19">
        <v>1</v>
      </c>
      <c r="BH323" s="19">
        <v>1</v>
      </c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>
        <v>1</v>
      </c>
      <c r="CN323" s="19">
        <v>1</v>
      </c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>
        <v>2</v>
      </c>
      <c r="DA323" s="19">
        <v>2</v>
      </c>
      <c r="DB323" s="19"/>
      <c r="DC323" s="19"/>
      <c r="DD323" s="19"/>
      <c r="DE323" s="19"/>
      <c r="DF323" s="19"/>
      <c r="DG323" s="19"/>
      <c r="DH323" s="19">
        <v>2</v>
      </c>
      <c r="DI323" s="19">
        <v>1</v>
      </c>
      <c r="DJ323" s="19"/>
      <c r="DK323" s="19"/>
      <c r="DL323" s="19"/>
      <c r="DM323" s="19"/>
      <c r="DN323" s="19"/>
      <c r="DO323" s="19">
        <v>2</v>
      </c>
      <c r="DP323" s="19">
        <v>2</v>
      </c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>
        <v>1</v>
      </c>
      <c r="EF323" s="19"/>
      <c r="EG323" s="19"/>
      <c r="EH323" s="19"/>
      <c r="EI323" s="19"/>
      <c r="EJ323" s="19"/>
      <c r="EK323" s="19"/>
      <c r="EL323" s="19"/>
    </row>
    <row r="324" spans="1:142" x14ac:dyDescent="0.25">
      <c r="A324" s="19" t="s">
        <v>239</v>
      </c>
      <c r="B324" s="19"/>
      <c r="C324" s="19">
        <v>1500</v>
      </c>
      <c r="D324" s="19">
        <v>1100</v>
      </c>
      <c r="E324" s="19" t="s">
        <v>169</v>
      </c>
      <c r="F324" s="20"/>
      <c r="G324" s="19"/>
      <c r="H324" s="21"/>
      <c r="I324" s="19">
        <f t="shared" si="41"/>
        <v>1</v>
      </c>
      <c r="J324" s="19">
        <f t="shared" si="38"/>
        <v>0</v>
      </c>
      <c r="K324" s="19">
        <f t="shared" si="39"/>
        <v>0</v>
      </c>
      <c r="L324" s="21">
        <f t="shared" si="40"/>
        <v>1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>
        <v>1</v>
      </c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</row>
    <row r="325" spans="1:142" x14ac:dyDescent="0.25">
      <c r="A325" s="19" t="s">
        <v>239</v>
      </c>
      <c r="B325" s="19"/>
      <c r="C325" s="19">
        <v>1500</v>
      </c>
      <c r="D325" s="19">
        <v>900</v>
      </c>
      <c r="E325" s="19" t="s">
        <v>169</v>
      </c>
      <c r="F325" s="20"/>
      <c r="G325" s="19"/>
      <c r="H325" s="21"/>
      <c r="I325" s="19">
        <f t="shared" si="41"/>
        <v>0</v>
      </c>
      <c r="J325" s="19">
        <f t="shared" si="38"/>
        <v>1</v>
      </c>
      <c r="K325" s="19">
        <f t="shared" si="39"/>
        <v>0</v>
      </c>
      <c r="L325" s="21">
        <f t="shared" si="40"/>
        <v>1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>
        <v>1</v>
      </c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</row>
    <row r="326" spans="1:142" x14ac:dyDescent="0.25">
      <c r="A326" s="19" t="s">
        <v>239</v>
      </c>
      <c r="B326" s="19"/>
      <c r="C326" s="19">
        <v>1500</v>
      </c>
      <c r="D326" s="19">
        <v>730</v>
      </c>
      <c r="E326" s="19" t="s">
        <v>169</v>
      </c>
      <c r="F326" s="20"/>
      <c r="G326" s="19"/>
      <c r="H326" s="21"/>
      <c r="I326" s="19">
        <f t="shared" si="41"/>
        <v>2</v>
      </c>
      <c r="J326" s="19">
        <f t="shared" si="38"/>
        <v>0</v>
      </c>
      <c r="K326" s="19">
        <f t="shared" si="39"/>
        <v>0</v>
      </c>
      <c r="L326" s="21">
        <f t="shared" si="40"/>
        <v>2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>
        <v>1</v>
      </c>
      <c r="X326" s="19"/>
      <c r="Y326" s="19">
        <v>1</v>
      </c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</row>
    <row r="327" spans="1:142" x14ac:dyDescent="0.25">
      <c r="A327" s="19" t="s">
        <v>239</v>
      </c>
      <c r="B327" s="19"/>
      <c r="C327" s="19">
        <v>1500</v>
      </c>
      <c r="D327" s="19">
        <v>600</v>
      </c>
      <c r="E327" s="19" t="s">
        <v>169</v>
      </c>
      <c r="F327" s="20"/>
      <c r="G327" s="19"/>
      <c r="H327" s="21"/>
      <c r="I327" s="19">
        <f t="shared" si="41"/>
        <v>12</v>
      </c>
      <c r="J327" s="19">
        <f t="shared" si="38"/>
        <v>14</v>
      </c>
      <c r="K327" s="19">
        <f t="shared" si="39"/>
        <v>0</v>
      </c>
      <c r="L327" s="21">
        <f t="shared" si="40"/>
        <v>26</v>
      </c>
      <c r="M327" s="19"/>
      <c r="N327" s="19"/>
      <c r="O327" s="19"/>
      <c r="P327" s="19"/>
      <c r="Q327" s="19"/>
      <c r="R327" s="19"/>
      <c r="S327" s="19"/>
      <c r="T327" s="19"/>
      <c r="U327" s="19">
        <v>1</v>
      </c>
      <c r="V327" s="19"/>
      <c r="W327" s="19"/>
      <c r="X327" s="19"/>
      <c r="Y327" s="19"/>
      <c r="Z327" s="19"/>
      <c r="AA327" s="19">
        <v>1</v>
      </c>
      <c r="AB327" s="19"/>
      <c r="AC327" s="19"/>
      <c r="AD327" s="19">
        <v>1</v>
      </c>
      <c r="AE327" s="19"/>
      <c r="AF327" s="19"/>
      <c r="AG327" s="19"/>
      <c r="AH327" s="19">
        <v>3</v>
      </c>
      <c r="AI327" s="19"/>
      <c r="AJ327" s="19">
        <v>2</v>
      </c>
      <c r="AK327" s="19"/>
      <c r="AL327" s="19">
        <v>1</v>
      </c>
      <c r="AM327" s="19">
        <v>1</v>
      </c>
      <c r="AN327" s="19"/>
      <c r="AO327" s="19"/>
      <c r="AP327" s="19"/>
      <c r="AQ327" s="19">
        <v>1</v>
      </c>
      <c r="AR327" s="19">
        <v>1</v>
      </c>
      <c r="AS327" s="19"/>
      <c r="AT327" s="19"/>
      <c r="AU327" s="19"/>
      <c r="AV327" s="19"/>
      <c r="AW327" s="19">
        <v>1</v>
      </c>
      <c r="AX327" s="19">
        <v>1</v>
      </c>
      <c r="AY327" s="19"/>
      <c r="AZ327" s="19"/>
      <c r="BA327" s="19">
        <v>1</v>
      </c>
      <c r="BB327" s="19">
        <v>1</v>
      </c>
      <c r="BC327" s="19">
        <v>1</v>
      </c>
      <c r="BD327" s="19">
        <v>1</v>
      </c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>
        <v>1</v>
      </c>
      <c r="CG327" s="19">
        <v>1</v>
      </c>
      <c r="CH327" s="19"/>
      <c r="CI327" s="19"/>
      <c r="CJ327" s="19"/>
      <c r="CK327" s="19"/>
      <c r="CL327" s="19"/>
      <c r="CM327" s="19">
        <v>1</v>
      </c>
      <c r="CN327" s="19">
        <v>1</v>
      </c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>
        <v>1</v>
      </c>
      <c r="DM327" s="19">
        <v>1</v>
      </c>
      <c r="DN327" s="19"/>
      <c r="DO327" s="19"/>
      <c r="DP327" s="19"/>
      <c r="DQ327" s="19"/>
      <c r="DR327" s="19"/>
      <c r="DS327" s="19"/>
      <c r="DT327" s="19"/>
      <c r="DU327" s="19"/>
      <c r="DV327" s="19"/>
      <c r="DW327" s="19">
        <v>2</v>
      </c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</row>
    <row r="328" spans="1:142" x14ac:dyDescent="0.25">
      <c r="A328" s="19" t="s">
        <v>239</v>
      </c>
      <c r="B328" s="19"/>
      <c r="C328" s="19">
        <v>1350</v>
      </c>
      <c r="D328" s="19">
        <v>900</v>
      </c>
      <c r="E328" s="19" t="s">
        <v>169</v>
      </c>
      <c r="F328" s="20"/>
      <c r="G328" s="19"/>
      <c r="H328" s="21"/>
      <c r="I328" s="19">
        <f t="shared" si="41"/>
        <v>0</v>
      </c>
      <c r="J328" s="19">
        <f t="shared" si="38"/>
        <v>4</v>
      </c>
      <c r="K328" s="19">
        <f t="shared" si="39"/>
        <v>0</v>
      </c>
      <c r="L328" s="21">
        <f t="shared" si="40"/>
        <v>4</v>
      </c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>
        <v>2</v>
      </c>
      <c r="DU328" s="19">
        <v>1</v>
      </c>
      <c r="DV328" s="19">
        <v>1</v>
      </c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</row>
    <row r="329" spans="1:142" x14ac:dyDescent="0.25">
      <c r="A329" s="19" t="s">
        <v>239</v>
      </c>
      <c r="B329" s="19"/>
      <c r="C329" s="19">
        <v>1350</v>
      </c>
      <c r="D329" s="19">
        <v>730</v>
      </c>
      <c r="E329" s="19" t="s">
        <v>169</v>
      </c>
      <c r="F329" s="20"/>
      <c r="G329" s="19"/>
      <c r="H329" s="21"/>
      <c r="I329" s="19">
        <f t="shared" si="41"/>
        <v>6</v>
      </c>
      <c r="J329" s="19">
        <f t="shared" si="38"/>
        <v>15</v>
      </c>
      <c r="K329" s="19">
        <f t="shared" si="39"/>
        <v>0</v>
      </c>
      <c r="L329" s="21">
        <f t="shared" si="40"/>
        <v>21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>
        <v>1</v>
      </c>
      <c r="AO329" s="19">
        <v>1</v>
      </c>
      <c r="AP329" s="19"/>
      <c r="AQ329" s="19">
        <v>1</v>
      </c>
      <c r="AR329" s="19">
        <v>1</v>
      </c>
      <c r="AS329" s="19">
        <v>1</v>
      </c>
      <c r="AT329" s="19">
        <v>1</v>
      </c>
      <c r="AU329" s="19"/>
      <c r="AV329" s="19"/>
      <c r="AW329" s="19">
        <v>1</v>
      </c>
      <c r="AX329" s="19">
        <v>1</v>
      </c>
      <c r="AY329" s="19">
        <v>1</v>
      </c>
      <c r="AZ329" s="19">
        <v>1</v>
      </c>
      <c r="BA329" s="19">
        <v>1</v>
      </c>
      <c r="BB329" s="19">
        <v>1</v>
      </c>
      <c r="BC329" s="19">
        <v>1</v>
      </c>
      <c r="BD329" s="19">
        <v>1</v>
      </c>
      <c r="BE329" s="19"/>
      <c r="BF329" s="19"/>
      <c r="BG329" s="19">
        <v>1</v>
      </c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>
        <v>2</v>
      </c>
      <c r="CI329" s="19">
        <v>2</v>
      </c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>
        <v>1</v>
      </c>
      <c r="DI329" s="19">
        <v>1</v>
      </c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</row>
    <row r="330" spans="1:142" x14ac:dyDescent="0.25">
      <c r="A330" s="19" t="s">
        <v>239</v>
      </c>
      <c r="B330" s="19"/>
      <c r="C330" s="19">
        <v>1350</v>
      </c>
      <c r="D330" s="19">
        <v>600</v>
      </c>
      <c r="E330" s="19" t="s">
        <v>169</v>
      </c>
      <c r="F330" s="20"/>
      <c r="G330" s="19"/>
      <c r="H330" s="21"/>
      <c r="I330" s="19">
        <f t="shared" si="41"/>
        <v>0</v>
      </c>
      <c r="J330" s="19">
        <f t="shared" si="38"/>
        <v>4</v>
      </c>
      <c r="K330" s="19">
        <f t="shared" si="39"/>
        <v>1</v>
      </c>
      <c r="L330" s="21">
        <f t="shared" si="40"/>
        <v>5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>
        <v>1</v>
      </c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>
        <v>2</v>
      </c>
      <c r="DK330" s="19"/>
      <c r="DL330" s="19"/>
      <c r="DM330" s="19"/>
      <c r="DN330" s="19"/>
      <c r="DO330" s="19"/>
      <c r="DP330" s="19">
        <v>1</v>
      </c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>
        <v>1</v>
      </c>
      <c r="EI330" s="19"/>
      <c r="EJ330" s="19"/>
      <c r="EK330" s="19"/>
      <c r="EL330" s="19"/>
    </row>
    <row r="331" spans="1:142" x14ac:dyDescent="0.25">
      <c r="A331" s="19" t="s">
        <v>239</v>
      </c>
      <c r="B331" s="19"/>
      <c r="C331" s="19">
        <v>1350</v>
      </c>
      <c r="D331" s="19">
        <v>500</v>
      </c>
      <c r="E331" s="19" t="s">
        <v>169</v>
      </c>
      <c r="F331" s="20"/>
      <c r="G331" s="19"/>
      <c r="H331" s="21"/>
      <c r="I331" s="19">
        <f t="shared" si="41"/>
        <v>2</v>
      </c>
      <c r="J331" s="19">
        <f t="shared" si="38"/>
        <v>0</v>
      </c>
      <c r="K331" s="19">
        <f t="shared" si="39"/>
        <v>0</v>
      </c>
      <c r="L331" s="21">
        <f t="shared" si="40"/>
        <v>2</v>
      </c>
      <c r="M331" s="19"/>
      <c r="N331" s="19"/>
      <c r="O331" s="19">
        <v>1</v>
      </c>
      <c r="P331" s="19">
        <v>1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</row>
    <row r="332" spans="1:142" x14ac:dyDescent="0.25">
      <c r="A332" s="19" t="s">
        <v>239</v>
      </c>
      <c r="B332" s="19"/>
      <c r="C332" s="19">
        <v>1350</v>
      </c>
      <c r="D332" s="19">
        <v>420</v>
      </c>
      <c r="E332" s="19" t="s">
        <v>169</v>
      </c>
      <c r="F332" s="20"/>
      <c r="G332" s="19"/>
      <c r="H332" s="21"/>
      <c r="I332" s="19">
        <f t="shared" si="41"/>
        <v>0</v>
      </c>
      <c r="J332" s="19">
        <f t="shared" si="38"/>
        <v>1</v>
      </c>
      <c r="K332" s="19">
        <f t="shared" si="39"/>
        <v>0</v>
      </c>
      <c r="L332" s="21">
        <f t="shared" si="40"/>
        <v>1</v>
      </c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25">
        <v>1</v>
      </c>
      <c r="EF332" s="19"/>
      <c r="EG332" s="19"/>
      <c r="EH332" s="19"/>
      <c r="EI332" s="19"/>
      <c r="EJ332" s="19"/>
      <c r="EK332" s="19"/>
      <c r="EL332" s="19"/>
    </row>
    <row r="333" spans="1:142" x14ac:dyDescent="0.25">
      <c r="A333" s="19" t="s">
        <v>239</v>
      </c>
      <c r="B333" s="19"/>
      <c r="C333" s="19">
        <v>1100</v>
      </c>
      <c r="D333" s="19">
        <v>900</v>
      </c>
      <c r="E333" s="19" t="s">
        <v>169</v>
      </c>
      <c r="F333" s="20"/>
      <c r="G333" s="19"/>
      <c r="H333" s="21"/>
      <c r="I333" s="19">
        <f t="shared" si="41"/>
        <v>0</v>
      </c>
      <c r="J333" s="19">
        <f t="shared" si="38"/>
        <v>5</v>
      </c>
      <c r="K333" s="19">
        <f t="shared" si="39"/>
        <v>0</v>
      </c>
      <c r="L333" s="21">
        <f t="shared" si="40"/>
        <v>5</v>
      </c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>
        <v>1</v>
      </c>
      <c r="BF333" s="19">
        <v>1</v>
      </c>
      <c r="BG333" s="19"/>
      <c r="BH333" s="19">
        <v>1</v>
      </c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>
        <v>1</v>
      </c>
      <c r="CG333" s="19">
        <v>1</v>
      </c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</row>
    <row r="334" spans="1:142" x14ac:dyDescent="0.25">
      <c r="A334" s="19" t="s">
        <v>239</v>
      </c>
      <c r="B334" s="19"/>
      <c r="C334" s="19">
        <v>1100</v>
      </c>
      <c r="D334" s="19">
        <v>730</v>
      </c>
      <c r="E334" s="19" t="s">
        <v>169</v>
      </c>
      <c r="F334" s="20"/>
      <c r="G334" s="19"/>
      <c r="H334" s="21"/>
      <c r="I334" s="19">
        <f t="shared" si="41"/>
        <v>1</v>
      </c>
      <c r="J334" s="19">
        <f t="shared" si="38"/>
        <v>3</v>
      </c>
      <c r="K334" s="19">
        <f t="shared" si="39"/>
        <v>1</v>
      </c>
      <c r="L334" s="21">
        <f t="shared" si="40"/>
        <v>5</v>
      </c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>
        <v>1</v>
      </c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>
        <v>1</v>
      </c>
      <c r="CB334" s="19">
        <v>1</v>
      </c>
      <c r="CC334" s="19"/>
      <c r="CD334" s="19"/>
      <c r="CE334" s="19"/>
      <c r="CF334" s="19"/>
      <c r="CG334" s="19"/>
      <c r="CH334" s="19"/>
      <c r="CI334" s="19"/>
      <c r="CJ334" s="19">
        <v>1</v>
      </c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>
        <v>1</v>
      </c>
      <c r="EI334" s="19"/>
      <c r="EJ334" s="19"/>
      <c r="EK334" s="19"/>
      <c r="EL334" s="19"/>
    </row>
    <row r="335" spans="1:142" x14ac:dyDescent="0.25">
      <c r="A335" s="19" t="s">
        <v>239</v>
      </c>
      <c r="B335" s="19"/>
      <c r="C335" s="19">
        <v>1100</v>
      </c>
      <c r="D335" s="19">
        <v>650</v>
      </c>
      <c r="E335" s="19" t="s">
        <v>169</v>
      </c>
      <c r="F335" s="20"/>
      <c r="G335" s="19"/>
      <c r="H335" s="21"/>
      <c r="I335" s="19">
        <f t="shared" si="41"/>
        <v>0</v>
      </c>
      <c r="J335" s="19">
        <f t="shared" si="38"/>
        <v>4</v>
      </c>
      <c r="K335" s="19">
        <f t="shared" si="39"/>
        <v>0</v>
      </c>
      <c r="L335" s="21">
        <f t="shared" si="40"/>
        <v>4</v>
      </c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>
        <v>4</v>
      </c>
      <c r="EE335" s="19"/>
      <c r="EF335" s="19"/>
      <c r="EG335" s="19"/>
      <c r="EH335" s="19"/>
      <c r="EI335" s="19"/>
      <c r="EJ335" s="19"/>
      <c r="EK335" s="19"/>
      <c r="EL335" s="19"/>
    </row>
    <row r="336" spans="1:142" x14ac:dyDescent="0.25">
      <c r="A336" s="19" t="s">
        <v>239</v>
      </c>
      <c r="B336" s="19"/>
      <c r="C336" s="19">
        <v>1100</v>
      </c>
      <c r="D336" s="19">
        <v>600</v>
      </c>
      <c r="E336" s="19" t="s">
        <v>169</v>
      </c>
      <c r="F336" s="20"/>
      <c r="G336" s="19"/>
      <c r="H336" s="21"/>
      <c r="I336" s="19">
        <f t="shared" si="41"/>
        <v>4</v>
      </c>
      <c r="J336" s="19">
        <f t="shared" si="38"/>
        <v>11</v>
      </c>
      <c r="K336" s="19">
        <f t="shared" si="39"/>
        <v>0</v>
      </c>
      <c r="L336" s="21">
        <f t="shared" si="40"/>
        <v>15</v>
      </c>
      <c r="M336" s="19"/>
      <c r="N336" s="19"/>
      <c r="O336" s="19">
        <v>1</v>
      </c>
      <c r="P336" s="19">
        <v>1</v>
      </c>
      <c r="Q336" s="19"/>
      <c r="R336" s="19"/>
      <c r="S336" s="19"/>
      <c r="T336" s="19"/>
      <c r="U336" s="25">
        <v>1</v>
      </c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>
        <v>1</v>
      </c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>
        <v>1</v>
      </c>
      <c r="CB336" s="19">
        <v>1</v>
      </c>
      <c r="CC336" s="19"/>
      <c r="CD336" s="19"/>
      <c r="CE336" s="19"/>
      <c r="CF336" s="19"/>
      <c r="CG336" s="19"/>
      <c r="CH336" s="19"/>
      <c r="CI336" s="19"/>
      <c r="CJ336" s="19"/>
      <c r="CK336" s="19">
        <v>1</v>
      </c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>
        <v>1</v>
      </c>
      <c r="CW336" s="19">
        <v>1</v>
      </c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25">
        <v>1</v>
      </c>
      <c r="DM336" s="25">
        <v>1</v>
      </c>
      <c r="DN336" s="19">
        <v>2</v>
      </c>
      <c r="DO336" s="19"/>
      <c r="DP336" s="19"/>
      <c r="DQ336" s="19"/>
      <c r="DR336" s="19"/>
      <c r="DS336" s="19">
        <v>2</v>
      </c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</row>
    <row r="337" spans="1:142" x14ac:dyDescent="0.25">
      <c r="A337" s="19" t="s">
        <v>239</v>
      </c>
      <c r="B337" s="19"/>
      <c r="C337" s="19">
        <v>1100</v>
      </c>
      <c r="D337" s="19">
        <v>500</v>
      </c>
      <c r="E337" s="19" t="s">
        <v>169</v>
      </c>
      <c r="F337" s="20"/>
      <c r="G337" s="19"/>
      <c r="H337" s="21"/>
      <c r="I337" s="19">
        <f t="shared" si="41"/>
        <v>0</v>
      </c>
      <c r="J337" s="19">
        <f t="shared" si="38"/>
        <v>7</v>
      </c>
      <c r="K337" s="19">
        <f t="shared" si="39"/>
        <v>0</v>
      </c>
      <c r="L337" s="21">
        <f t="shared" si="40"/>
        <v>7</v>
      </c>
      <c r="M337" s="19"/>
      <c r="N337" s="19"/>
      <c r="O337" s="19"/>
      <c r="P337" s="19"/>
      <c r="Q337" s="19"/>
      <c r="R337" s="19"/>
      <c r="S337" s="19"/>
      <c r="T337" s="19"/>
      <c r="U337" s="25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>
        <v>1</v>
      </c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>
        <v>2</v>
      </c>
      <c r="CP337" s="19"/>
      <c r="CQ337" s="19"/>
      <c r="CR337" s="19"/>
      <c r="CS337" s="19"/>
      <c r="CT337" s="19"/>
      <c r="CU337" s="19">
        <v>2</v>
      </c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>
        <v>2</v>
      </c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</row>
    <row r="338" spans="1:142" x14ac:dyDescent="0.25">
      <c r="A338" s="19" t="s">
        <v>239</v>
      </c>
      <c r="B338" s="19"/>
      <c r="C338" s="19">
        <v>1100</v>
      </c>
      <c r="D338" s="19">
        <v>420</v>
      </c>
      <c r="E338" s="19" t="s">
        <v>169</v>
      </c>
      <c r="F338" s="20"/>
      <c r="G338" s="19"/>
      <c r="H338" s="21"/>
      <c r="I338" s="19">
        <f t="shared" si="41"/>
        <v>0</v>
      </c>
      <c r="J338" s="19">
        <f t="shared" si="38"/>
        <v>2</v>
      </c>
      <c r="K338" s="19">
        <f t="shared" si="39"/>
        <v>0</v>
      </c>
      <c r="L338" s="21">
        <f t="shared" si="40"/>
        <v>2</v>
      </c>
      <c r="M338" s="19"/>
      <c r="N338" s="19"/>
      <c r="O338" s="19"/>
      <c r="P338" s="19"/>
      <c r="Q338" s="19"/>
      <c r="R338" s="19"/>
      <c r="S338" s="19"/>
      <c r="T338" s="19"/>
      <c r="U338" s="25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>
        <v>2</v>
      </c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</row>
    <row r="339" spans="1:142" x14ac:dyDescent="0.25">
      <c r="A339" s="19" t="s">
        <v>239</v>
      </c>
      <c r="B339" s="19"/>
      <c r="C339" s="24" t="s">
        <v>159</v>
      </c>
      <c r="D339" s="19">
        <v>1000</v>
      </c>
      <c r="E339" s="19" t="s">
        <v>169</v>
      </c>
      <c r="F339" s="20"/>
      <c r="G339" s="19"/>
      <c r="H339" s="21"/>
      <c r="I339" s="19">
        <f t="shared" si="41"/>
        <v>1</v>
      </c>
      <c r="J339" s="19">
        <f t="shared" si="38"/>
        <v>0</v>
      </c>
      <c r="K339" s="19">
        <f t="shared" si="39"/>
        <v>0</v>
      </c>
      <c r="L339" s="21">
        <f t="shared" si="40"/>
        <v>1</v>
      </c>
      <c r="M339" s="19"/>
      <c r="N339" s="19"/>
      <c r="O339" s="19"/>
      <c r="P339" s="19"/>
      <c r="Q339" s="19"/>
      <c r="R339" s="19"/>
      <c r="S339" s="19"/>
      <c r="T339" s="19"/>
      <c r="U339" s="25"/>
      <c r="V339" s="19"/>
      <c r="W339" s="19"/>
      <c r="X339" s="19"/>
      <c r="Y339" s="19"/>
      <c r="Z339" s="19"/>
      <c r="AA339" s="19"/>
      <c r="AB339" s="19"/>
      <c r="AC339" s="19"/>
      <c r="AD339" s="19"/>
      <c r="AE339" s="19">
        <v>1</v>
      </c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</row>
    <row r="340" spans="1:142" x14ac:dyDescent="0.25">
      <c r="A340" s="19" t="s">
        <v>239</v>
      </c>
      <c r="B340" s="19"/>
      <c r="C340" s="24" t="s">
        <v>159</v>
      </c>
      <c r="D340" s="19">
        <v>900</v>
      </c>
      <c r="E340" s="19" t="s">
        <v>169</v>
      </c>
      <c r="F340" s="20"/>
      <c r="G340" s="19"/>
      <c r="H340" s="21"/>
      <c r="I340" s="19">
        <f t="shared" si="41"/>
        <v>1</v>
      </c>
      <c r="J340" s="19">
        <f t="shared" si="38"/>
        <v>0</v>
      </c>
      <c r="K340" s="19">
        <f t="shared" si="39"/>
        <v>0</v>
      </c>
      <c r="L340" s="21">
        <f t="shared" si="40"/>
        <v>1</v>
      </c>
      <c r="M340" s="19"/>
      <c r="N340" s="19"/>
      <c r="O340" s="19"/>
      <c r="P340" s="19"/>
      <c r="Q340" s="19"/>
      <c r="R340" s="19"/>
      <c r="S340" s="19"/>
      <c r="T340" s="19"/>
      <c r="U340" s="25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>
        <v>1</v>
      </c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</row>
    <row r="341" spans="1:142" x14ac:dyDescent="0.25">
      <c r="A341" s="19" t="s">
        <v>239</v>
      </c>
      <c r="B341" s="19"/>
      <c r="C341" s="19">
        <v>900</v>
      </c>
      <c r="D341" s="19">
        <v>900</v>
      </c>
      <c r="E341" s="19" t="s">
        <v>169</v>
      </c>
      <c r="F341" s="20"/>
      <c r="G341" s="19"/>
      <c r="H341" s="21"/>
      <c r="I341" s="19">
        <f t="shared" si="41"/>
        <v>0</v>
      </c>
      <c r="J341" s="19">
        <f t="shared" si="38"/>
        <v>3</v>
      </c>
      <c r="K341" s="19">
        <f t="shared" si="39"/>
        <v>0</v>
      </c>
      <c r="L341" s="21">
        <f t="shared" si="40"/>
        <v>3</v>
      </c>
      <c r="M341" s="19"/>
      <c r="N341" s="19"/>
      <c r="O341" s="19"/>
      <c r="P341" s="19"/>
      <c r="Q341" s="19"/>
      <c r="R341" s="19"/>
      <c r="S341" s="19"/>
      <c r="T341" s="19"/>
      <c r="U341" s="25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>
        <v>1</v>
      </c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>
        <v>1</v>
      </c>
      <c r="CT341" s="19">
        <v>1</v>
      </c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</row>
    <row r="342" spans="1:142" x14ac:dyDescent="0.25">
      <c r="A342" s="19" t="s">
        <v>239</v>
      </c>
      <c r="B342" s="19"/>
      <c r="C342" s="19">
        <v>900</v>
      </c>
      <c r="D342" s="19">
        <v>600</v>
      </c>
      <c r="E342" s="19" t="s">
        <v>169</v>
      </c>
      <c r="F342" s="20"/>
      <c r="G342" s="19"/>
      <c r="H342" s="21"/>
      <c r="I342" s="19">
        <f t="shared" si="41"/>
        <v>6</v>
      </c>
      <c r="J342" s="19">
        <f t="shared" si="38"/>
        <v>17</v>
      </c>
      <c r="K342" s="19">
        <f t="shared" si="39"/>
        <v>2</v>
      </c>
      <c r="L342" s="21">
        <f t="shared" si="40"/>
        <v>25</v>
      </c>
      <c r="M342" s="25">
        <v>2</v>
      </c>
      <c r="N342" s="25">
        <v>1</v>
      </c>
      <c r="O342" s="19"/>
      <c r="P342" s="19"/>
      <c r="Q342" s="19"/>
      <c r="R342" s="19"/>
      <c r="S342" s="25">
        <v>2</v>
      </c>
      <c r="T342" s="25">
        <v>1</v>
      </c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>
        <v>1</v>
      </c>
      <c r="BX342" s="19">
        <v>1</v>
      </c>
      <c r="BY342" s="19"/>
      <c r="BZ342" s="19"/>
      <c r="CA342" s="19"/>
      <c r="CB342" s="19"/>
      <c r="CC342" s="19">
        <v>3</v>
      </c>
      <c r="CD342" s="19">
        <v>1</v>
      </c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>
        <v>1</v>
      </c>
      <c r="DF342" s="19">
        <v>3</v>
      </c>
      <c r="DG342" s="19"/>
      <c r="DH342" s="19"/>
      <c r="DI342" s="19"/>
      <c r="DJ342" s="19"/>
      <c r="DK342" s="19">
        <v>3</v>
      </c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>
        <v>2</v>
      </c>
      <c r="DZ342" s="19"/>
      <c r="EA342" s="19">
        <v>2</v>
      </c>
      <c r="EB342" s="19"/>
      <c r="EC342" s="19"/>
      <c r="ED342" s="19"/>
      <c r="EE342" s="19"/>
      <c r="EF342" s="19">
        <v>1</v>
      </c>
      <c r="EG342" s="19">
        <v>1</v>
      </c>
      <c r="EH342" s="19"/>
      <c r="EI342" s="19"/>
      <c r="EJ342" s="19"/>
      <c r="EK342" s="19"/>
      <c r="EL342" s="19"/>
    </row>
    <row r="343" spans="1:142" x14ac:dyDescent="0.25">
      <c r="A343" s="19" t="s">
        <v>239</v>
      </c>
      <c r="B343" s="19"/>
      <c r="C343" s="19">
        <v>900</v>
      </c>
      <c r="D343" s="19">
        <v>500</v>
      </c>
      <c r="E343" s="19" t="s">
        <v>169</v>
      </c>
      <c r="F343" s="20"/>
      <c r="G343" s="19"/>
      <c r="H343" s="21"/>
      <c r="I343" s="19">
        <f t="shared" si="41"/>
        <v>0</v>
      </c>
      <c r="J343" s="19">
        <f t="shared" si="38"/>
        <v>27</v>
      </c>
      <c r="K343" s="19">
        <f t="shared" si="39"/>
        <v>0</v>
      </c>
      <c r="L343" s="21">
        <f t="shared" si="40"/>
        <v>27</v>
      </c>
      <c r="M343" s="25"/>
      <c r="N343" s="25"/>
      <c r="O343" s="19"/>
      <c r="P343" s="19"/>
      <c r="Q343" s="19"/>
      <c r="R343" s="19"/>
      <c r="S343" s="25"/>
      <c r="T343" s="25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>
        <v>1</v>
      </c>
      <c r="BO343" s="19"/>
      <c r="BP343" s="19">
        <v>3</v>
      </c>
      <c r="BQ343" s="19"/>
      <c r="BR343" s="19">
        <v>2</v>
      </c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>
        <v>1</v>
      </c>
      <c r="CK343" s="19"/>
      <c r="CL343" s="19">
        <v>1</v>
      </c>
      <c r="CM343" s="19"/>
      <c r="CN343" s="19"/>
      <c r="CO343" s="19">
        <v>1</v>
      </c>
      <c r="CP343" s="19">
        <v>1</v>
      </c>
      <c r="CQ343" s="19">
        <v>3</v>
      </c>
      <c r="CR343" s="19">
        <v>3</v>
      </c>
      <c r="CS343" s="19"/>
      <c r="CT343" s="19">
        <v>1</v>
      </c>
      <c r="CU343" s="19"/>
      <c r="CV343" s="19"/>
      <c r="CW343" s="19"/>
      <c r="CX343" s="19">
        <v>2</v>
      </c>
      <c r="CY343" s="19"/>
      <c r="CZ343" s="19"/>
      <c r="DA343" s="19"/>
      <c r="DB343" s="19"/>
      <c r="DC343" s="19"/>
      <c r="DD343" s="19"/>
      <c r="DE343" s="19"/>
      <c r="DF343" s="19"/>
      <c r="DG343" s="19">
        <v>2</v>
      </c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>
        <v>1</v>
      </c>
      <c r="DZ343" s="19">
        <v>2</v>
      </c>
      <c r="EA343" s="19"/>
      <c r="EB343" s="19">
        <v>1</v>
      </c>
      <c r="EC343" s="19">
        <v>2</v>
      </c>
      <c r="ED343" s="19"/>
      <c r="EE343" s="19"/>
      <c r="EF343" s="19"/>
      <c r="EG343" s="19"/>
      <c r="EH343" s="19"/>
      <c r="EI343" s="19"/>
      <c r="EJ343" s="19"/>
      <c r="EK343" s="19"/>
      <c r="EL343" s="19"/>
    </row>
    <row r="344" spans="1:142" x14ac:dyDescent="0.25">
      <c r="A344" s="19" t="s">
        <v>239</v>
      </c>
      <c r="B344" s="19"/>
      <c r="C344" s="19">
        <v>900</v>
      </c>
      <c r="D344" s="19">
        <v>420</v>
      </c>
      <c r="E344" s="19" t="s">
        <v>169</v>
      </c>
      <c r="F344" s="20"/>
      <c r="G344" s="19"/>
      <c r="H344" s="21"/>
      <c r="I344" s="19">
        <f t="shared" si="41"/>
        <v>2</v>
      </c>
      <c r="J344" s="19">
        <f t="shared" si="38"/>
        <v>0</v>
      </c>
      <c r="K344" s="19">
        <f t="shared" si="39"/>
        <v>0</v>
      </c>
      <c r="L344" s="21">
        <f t="shared" si="40"/>
        <v>2</v>
      </c>
      <c r="M344" s="25"/>
      <c r="N344" s="25"/>
      <c r="O344" s="19"/>
      <c r="P344" s="19"/>
      <c r="Q344" s="19"/>
      <c r="R344" s="19"/>
      <c r="S344" s="25"/>
      <c r="T344" s="25"/>
      <c r="U344" s="19"/>
      <c r="V344" s="19"/>
      <c r="W344" s="19"/>
      <c r="X344" s="19"/>
      <c r="Y344" s="19"/>
      <c r="Z344" s="19"/>
      <c r="AA344" s="19"/>
      <c r="AB344" s="19">
        <v>1</v>
      </c>
      <c r="AC344" s="19"/>
      <c r="AD344" s="19"/>
      <c r="AE344" s="19"/>
      <c r="AF344" s="19"/>
      <c r="AG344" s="19"/>
      <c r="AH344" s="19"/>
      <c r="AI344" s="19"/>
      <c r="AJ344" s="19"/>
      <c r="AK344" s="19">
        <v>1</v>
      </c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</row>
    <row r="345" spans="1:142" x14ac:dyDescent="0.25">
      <c r="A345" s="19" t="s">
        <v>239</v>
      </c>
      <c r="B345" s="19"/>
      <c r="C345" s="19">
        <v>900</v>
      </c>
      <c r="D345" s="19">
        <v>350</v>
      </c>
      <c r="E345" s="19" t="s">
        <v>169</v>
      </c>
      <c r="F345" s="20"/>
      <c r="G345" s="19"/>
      <c r="H345" s="21"/>
      <c r="I345" s="19">
        <f t="shared" si="41"/>
        <v>0</v>
      </c>
      <c r="J345" s="19">
        <f t="shared" si="38"/>
        <v>3</v>
      </c>
      <c r="K345" s="19">
        <f t="shared" si="39"/>
        <v>0</v>
      </c>
      <c r="L345" s="21">
        <f t="shared" si="40"/>
        <v>3</v>
      </c>
      <c r="M345" s="25"/>
      <c r="N345" s="25"/>
      <c r="O345" s="19"/>
      <c r="P345" s="19"/>
      <c r="Q345" s="19"/>
      <c r="R345" s="19"/>
      <c r="S345" s="25"/>
      <c r="T345" s="25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>
        <v>1</v>
      </c>
      <c r="BZ345" s="19">
        <v>1</v>
      </c>
      <c r="CA345" s="19">
        <v>1</v>
      </c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</row>
    <row r="346" spans="1:142" x14ac:dyDescent="0.25">
      <c r="A346" s="19" t="s">
        <v>239</v>
      </c>
      <c r="B346" s="19"/>
      <c r="C346" s="19">
        <v>730</v>
      </c>
      <c r="D346" s="19">
        <v>420</v>
      </c>
      <c r="E346" s="19" t="s">
        <v>169</v>
      </c>
      <c r="F346" s="20"/>
      <c r="G346" s="19"/>
      <c r="H346" s="21"/>
      <c r="I346" s="19">
        <f t="shared" si="41"/>
        <v>3</v>
      </c>
      <c r="J346" s="19">
        <f t="shared" si="38"/>
        <v>3</v>
      </c>
      <c r="K346" s="19">
        <f t="shared" si="39"/>
        <v>0</v>
      </c>
      <c r="L346" s="21">
        <f t="shared" si="40"/>
        <v>6</v>
      </c>
      <c r="M346" s="19"/>
      <c r="N346" s="19"/>
      <c r="O346" s="19"/>
      <c r="P346" s="19"/>
      <c r="Q346" s="19">
        <v>1</v>
      </c>
      <c r="R346" s="19">
        <v>1</v>
      </c>
      <c r="S346" s="19"/>
      <c r="T346" s="19"/>
      <c r="U346" s="19"/>
      <c r="V346" s="19">
        <v>1</v>
      </c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>
        <v>1</v>
      </c>
      <c r="BJ346" s="19"/>
      <c r="BK346" s="19"/>
      <c r="BL346" s="19">
        <f>2</f>
        <v>2</v>
      </c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</row>
    <row r="347" spans="1:142" x14ac:dyDescent="0.25">
      <c r="A347" s="19" t="s">
        <v>239</v>
      </c>
      <c r="B347" s="19"/>
      <c r="C347" s="19">
        <v>700</v>
      </c>
      <c r="D347" s="19">
        <v>500</v>
      </c>
      <c r="E347" s="19" t="s">
        <v>169</v>
      </c>
      <c r="F347" s="20"/>
      <c r="G347" s="19"/>
      <c r="H347" s="21"/>
      <c r="I347" s="19">
        <f t="shared" si="41"/>
        <v>1</v>
      </c>
      <c r="J347" s="19">
        <f t="shared" si="38"/>
        <v>0</v>
      </c>
      <c r="K347" s="19">
        <f t="shared" si="39"/>
        <v>0</v>
      </c>
      <c r="L347" s="21">
        <f t="shared" si="40"/>
        <v>1</v>
      </c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>
        <v>1</v>
      </c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</row>
    <row r="348" spans="1:142" x14ac:dyDescent="0.25">
      <c r="A348" s="19" t="s">
        <v>239</v>
      </c>
      <c r="B348" s="19"/>
      <c r="C348" s="19">
        <v>700</v>
      </c>
      <c r="D348" s="19">
        <v>420</v>
      </c>
      <c r="E348" s="19" t="s">
        <v>169</v>
      </c>
      <c r="F348" s="20"/>
      <c r="G348" s="19"/>
      <c r="H348" s="21"/>
      <c r="I348" s="19">
        <f t="shared" si="41"/>
        <v>0</v>
      </c>
      <c r="J348" s="19">
        <f t="shared" si="38"/>
        <v>1</v>
      </c>
      <c r="K348" s="19">
        <f t="shared" si="39"/>
        <v>0</v>
      </c>
      <c r="L348" s="21">
        <f t="shared" si="40"/>
        <v>1</v>
      </c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>
        <v>1</v>
      </c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</row>
    <row r="349" spans="1:142" x14ac:dyDescent="0.25">
      <c r="A349" s="19" t="s">
        <v>239</v>
      </c>
      <c r="B349" s="19"/>
      <c r="C349" s="24" t="s">
        <v>159</v>
      </c>
      <c r="D349" s="19">
        <v>700</v>
      </c>
      <c r="E349" s="19" t="s">
        <v>169</v>
      </c>
      <c r="F349" s="20"/>
      <c r="G349" s="19"/>
      <c r="H349" s="21"/>
      <c r="I349" s="19">
        <f t="shared" si="41"/>
        <v>9</v>
      </c>
      <c r="J349" s="19">
        <f t="shared" si="38"/>
        <v>0</v>
      </c>
      <c r="K349" s="19">
        <f t="shared" si="39"/>
        <v>0</v>
      </c>
      <c r="L349" s="21">
        <f t="shared" si="40"/>
        <v>9</v>
      </c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>
        <v>2</v>
      </c>
      <c r="AA349" s="19"/>
      <c r="AB349" s="19">
        <v>2</v>
      </c>
      <c r="AC349" s="19"/>
      <c r="AD349" s="19"/>
      <c r="AE349" s="19"/>
      <c r="AF349" s="19"/>
      <c r="AG349" s="19">
        <v>2</v>
      </c>
      <c r="AH349" s="19"/>
      <c r="AI349" s="19"/>
      <c r="AJ349" s="19"/>
      <c r="AK349" s="19">
        <v>3</v>
      </c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</row>
    <row r="350" spans="1:142" x14ac:dyDescent="0.25">
      <c r="A350" s="19" t="s">
        <v>239</v>
      </c>
      <c r="B350" s="19"/>
      <c r="C350" s="24">
        <v>600</v>
      </c>
      <c r="D350" s="19">
        <v>420</v>
      </c>
      <c r="E350" s="19" t="s">
        <v>169</v>
      </c>
      <c r="F350" s="20"/>
      <c r="G350" s="19"/>
      <c r="H350" s="21"/>
      <c r="I350" s="19">
        <f t="shared" si="41"/>
        <v>0</v>
      </c>
      <c r="J350" s="19">
        <f t="shared" si="38"/>
        <v>8</v>
      </c>
      <c r="K350" s="19">
        <f t="shared" si="39"/>
        <v>0</v>
      </c>
      <c r="L350" s="21">
        <f t="shared" si="40"/>
        <v>8</v>
      </c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>
        <v>3</v>
      </c>
      <c r="BN350" s="19"/>
      <c r="BO350" s="19">
        <v>1</v>
      </c>
      <c r="BP350" s="19"/>
      <c r="BQ350" s="19">
        <v>3</v>
      </c>
      <c r="BR350" s="19"/>
      <c r="BS350" s="19">
        <v>1</v>
      </c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</row>
    <row r="351" spans="1:142" x14ac:dyDescent="0.25">
      <c r="A351" s="19" t="s">
        <v>239</v>
      </c>
      <c r="B351" s="19"/>
      <c r="C351" s="24">
        <v>600</v>
      </c>
      <c r="D351" s="19">
        <v>300</v>
      </c>
      <c r="E351" s="19" t="s">
        <v>169</v>
      </c>
      <c r="F351" s="20"/>
      <c r="G351" s="19"/>
      <c r="H351" s="21"/>
      <c r="I351" s="19">
        <f t="shared" si="41"/>
        <v>0</v>
      </c>
      <c r="J351" s="19">
        <f t="shared" si="38"/>
        <v>2</v>
      </c>
      <c r="K351" s="19">
        <f t="shared" si="39"/>
        <v>0</v>
      </c>
      <c r="L351" s="21">
        <f t="shared" si="40"/>
        <v>2</v>
      </c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>
        <v>2</v>
      </c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</row>
    <row r="352" spans="1:142" x14ac:dyDescent="0.25">
      <c r="A352" s="19" t="s">
        <v>239</v>
      </c>
      <c r="B352" s="19"/>
      <c r="C352" s="24" t="s">
        <v>159</v>
      </c>
      <c r="D352" s="19">
        <v>600</v>
      </c>
      <c r="E352" s="19" t="s">
        <v>169</v>
      </c>
      <c r="F352" s="20"/>
      <c r="G352" s="19"/>
      <c r="H352" s="21"/>
      <c r="I352" s="19">
        <f t="shared" si="41"/>
        <v>10</v>
      </c>
      <c r="J352" s="19">
        <f t="shared" si="38"/>
        <v>0</v>
      </c>
      <c r="K352" s="19">
        <f t="shared" si="39"/>
        <v>0</v>
      </c>
      <c r="L352" s="21">
        <f t="shared" si="40"/>
        <v>10</v>
      </c>
      <c r="M352" s="19"/>
      <c r="N352" s="19"/>
      <c r="O352" s="19"/>
      <c r="P352" s="19"/>
      <c r="Q352" s="19"/>
      <c r="R352" s="19"/>
      <c r="S352" s="19"/>
      <c r="T352" s="19"/>
      <c r="U352" s="19"/>
      <c r="V352" s="19">
        <v>3</v>
      </c>
      <c r="W352" s="19"/>
      <c r="X352" s="19">
        <v>4</v>
      </c>
      <c r="Y352" s="19"/>
      <c r="Z352" s="19"/>
      <c r="AA352" s="19"/>
      <c r="AB352" s="19">
        <v>1</v>
      </c>
      <c r="AC352" s="19"/>
      <c r="AD352" s="19"/>
      <c r="AE352" s="19"/>
      <c r="AF352" s="19"/>
      <c r="AG352" s="19"/>
      <c r="AH352" s="19"/>
      <c r="AI352" s="19"/>
      <c r="AJ352" s="19"/>
      <c r="AK352" s="19">
        <v>2</v>
      </c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</row>
    <row r="353" spans="1:142" x14ac:dyDescent="0.25">
      <c r="A353" s="19" t="s">
        <v>239</v>
      </c>
      <c r="B353" s="19"/>
      <c r="C353" s="24" t="s">
        <v>159</v>
      </c>
      <c r="D353" s="19">
        <v>500</v>
      </c>
      <c r="E353" s="19" t="s">
        <v>169</v>
      </c>
      <c r="F353" s="20"/>
      <c r="G353" s="19"/>
      <c r="H353" s="21"/>
      <c r="I353" s="19">
        <f t="shared" si="41"/>
        <v>1</v>
      </c>
      <c r="J353" s="19">
        <f t="shared" si="38"/>
        <v>0</v>
      </c>
      <c r="K353" s="19">
        <f t="shared" si="39"/>
        <v>0</v>
      </c>
      <c r="L353" s="21">
        <f t="shared" si="40"/>
        <v>1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9">
        <v>1</v>
      </c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</row>
    <row r="354" spans="1:142" x14ac:dyDescent="0.25">
      <c r="A354" s="19" t="s">
        <v>239</v>
      </c>
      <c r="B354" s="19"/>
      <c r="C354" s="19">
        <v>500</v>
      </c>
      <c r="D354" s="19">
        <v>420</v>
      </c>
      <c r="E354" s="19" t="s">
        <v>169</v>
      </c>
      <c r="F354" s="20"/>
      <c r="G354" s="19"/>
      <c r="H354" s="21"/>
      <c r="I354" s="19">
        <f t="shared" si="41"/>
        <v>0</v>
      </c>
      <c r="J354" s="19">
        <f t="shared" si="38"/>
        <v>1</v>
      </c>
      <c r="K354" s="19">
        <f t="shared" si="39"/>
        <v>0</v>
      </c>
      <c r="L354" s="21">
        <f t="shared" si="40"/>
        <v>1</v>
      </c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>
        <v>1</v>
      </c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</row>
    <row r="355" spans="1:142" x14ac:dyDescent="0.25">
      <c r="A355" s="19" t="s">
        <v>239</v>
      </c>
      <c r="B355" s="19"/>
      <c r="C355" s="19">
        <v>500</v>
      </c>
      <c r="D355" s="19">
        <v>350</v>
      </c>
      <c r="E355" s="19" t="s">
        <v>169</v>
      </c>
      <c r="F355" s="20"/>
      <c r="G355" s="19"/>
      <c r="H355" s="21"/>
      <c r="I355" s="19">
        <f t="shared" si="41"/>
        <v>0</v>
      </c>
      <c r="J355" s="19">
        <f t="shared" si="38"/>
        <v>12</v>
      </c>
      <c r="K355" s="19">
        <f t="shared" si="39"/>
        <v>0</v>
      </c>
      <c r="L355" s="21">
        <f t="shared" si="40"/>
        <v>12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>
        <v>3</v>
      </c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>
        <v>4</v>
      </c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>
        <v>5</v>
      </c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</row>
    <row r="356" spans="1:142" x14ac:dyDescent="0.25">
      <c r="A356" s="19" t="s">
        <v>239</v>
      </c>
      <c r="B356" s="19"/>
      <c r="C356" s="19">
        <v>500</v>
      </c>
      <c r="D356" s="19">
        <v>300</v>
      </c>
      <c r="E356" s="19" t="s">
        <v>169</v>
      </c>
      <c r="F356" s="20"/>
      <c r="G356" s="19"/>
      <c r="H356" s="21"/>
      <c r="I356" s="19">
        <f t="shared" si="41"/>
        <v>0</v>
      </c>
      <c r="J356" s="19">
        <f t="shared" si="38"/>
        <v>2</v>
      </c>
      <c r="K356" s="19">
        <f t="shared" si="39"/>
        <v>0</v>
      </c>
      <c r="L356" s="21">
        <f t="shared" si="40"/>
        <v>2</v>
      </c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>
        <v>2</v>
      </c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</row>
    <row r="357" spans="1:142" x14ac:dyDescent="0.25">
      <c r="A357" s="19" t="s">
        <v>239</v>
      </c>
      <c r="B357" s="19"/>
      <c r="C357" s="19">
        <v>420</v>
      </c>
      <c r="D357" s="19">
        <v>260</v>
      </c>
      <c r="E357" s="19" t="s">
        <v>169</v>
      </c>
      <c r="F357" s="20"/>
      <c r="G357" s="19"/>
      <c r="H357" s="21"/>
      <c r="I357" s="19">
        <f t="shared" si="41"/>
        <v>2</v>
      </c>
      <c r="J357" s="19">
        <f t="shared" si="38"/>
        <v>0</v>
      </c>
      <c r="K357" s="19">
        <f t="shared" si="39"/>
        <v>0</v>
      </c>
      <c r="L357" s="21">
        <f t="shared" si="40"/>
        <v>2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9">
        <v>1</v>
      </c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>
        <v>1</v>
      </c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</row>
    <row r="358" spans="1:142" x14ac:dyDescent="0.25">
      <c r="A358" s="19" t="s">
        <v>239</v>
      </c>
      <c r="B358" s="19"/>
      <c r="C358" s="19">
        <v>420</v>
      </c>
      <c r="D358" s="19">
        <v>220</v>
      </c>
      <c r="E358" s="19" t="s">
        <v>169</v>
      </c>
      <c r="F358" s="20"/>
      <c r="G358" s="19"/>
      <c r="H358" s="21"/>
      <c r="I358" s="19">
        <f t="shared" si="41"/>
        <v>1</v>
      </c>
      <c r="J358" s="19">
        <f t="shared" si="38"/>
        <v>1</v>
      </c>
      <c r="K358" s="19">
        <f t="shared" si="39"/>
        <v>0</v>
      </c>
      <c r="L358" s="21">
        <f t="shared" si="40"/>
        <v>2</v>
      </c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>
        <v>1</v>
      </c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>
        <v>1</v>
      </c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</row>
    <row r="359" spans="1:142" x14ac:dyDescent="0.25">
      <c r="A359" s="19" t="s">
        <v>239</v>
      </c>
      <c r="B359" s="19"/>
      <c r="C359" s="24" t="s">
        <v>159</v>
      </c>
      <c r="D359" s="19">
        <v>300</v>
      </c>
      <c r="E359" s="19" t="s">
        <v>169</v>
      </c>
      <c r="F359" s="20"/>
      <c r="G359" s="19"/>
      <c r="H359" s="21"/>
      <c r="I359" s="19">
        <f t="shared" si="41"/>
        <v>1</v>
      </c>
      <c r="J359" s="19">
        <f t="shared" si="38"/>
        <v>11</v>
      </c>
      <c r="K359" s="19">
        <f t="shared" si="39"/>
        <v>0</v>
      </c>
      <c r="L359" s="21">
        <f t="shared" si="40"/>
        <v>12</v>
      </c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>
        <v>1</v>
      </c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>
        <v>10</v>
      </c>
      <c r="BV359" s="19">
        <v>1</v>
      </c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</row>
  </sheetData>
  <autoFilter ref="C1:C359" xr:uid="{00000000-0001-0000-0000-000000000000}"/>
  <customSheetViews>
    <customSheetView guid="{387918E5-7B77-4020-A141-306F5AFCED74}">
      <pane xSplit="11" ySplit="3" topLeftCell="EC4" activePane="bottomRight" state="frozen"/>
      <selection pane="bottomRight" activeCell="F30" sqref="F30"/>
      <pageMargins left="0.75" right="0.75" top="1" bottom="1" header="0.5" footer="0.5"/>
    </customSheetView>
  </customSheetViews>
  <mergeCells count="54">
    <mergeCell ref="M2:N2"/>
    <mergeCell ref="S2:T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315:D315"/>
    <mergeCell ref="C316:D316"/>
    <mergeCell ref="C317:D317"/>
    <mergeCell ref="F189:F211"/>
    <mergeCell ref="F212:F226"/>
    <mergeCell ref="F227:F230"/>
    <mergeCell ref="F231:F235"/>
    <mergeCell ref="F236:F238"/>
    <mergeCell ref="F239:F261"/>
    <mergeCell ref="F262:F267"/>
    <mergeCell ref="F268:F273"/>
    <mergeCell ref="F274:F277"/>
    <mergeCell ref="F278:F282"/>
    <mergeCell ref="F283:F287"/>
    <mergeCell ref="F289:F290"/>
    <mergeCell ref="F316:F317"/>
  </mergeCells>
  <phoneticPr fontId="1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261"/>
  <sheetViews>
    <sheetView workbookViewId="0">
      <pane xSplit="14" topLeftCell="O1" activePane="topRight" state="frozen"/>
      <selection pane="topRight" sqref="A1:DG1048576"/>
    </sheetView>
  </sheetViews>
  <sheetFormatPr defaultColWidth="9" defaultRowHeight="14" x14ac:dyDescent="0.25"/>
  <cols>
    <col min="1" max="1" width="22.7265625" style="12" customWidth="1"/>
    <col min="2" max="2" width="9.08984375" style="12" customWidth="1"/>
    <col min="3" max="5" width="9" style="12" customWidth="1"/>
    <col min="6" max="6" width="9" style="6" customWidth="1"/>
    <col min="7" max="7" width="9" style="18" customWidth="1"/>
    <col min="8" max="8" width="10.36328125" style="18" customWidth="1"/>
    <col min="9" max="87" width="9" style="12" customWidth="1"/>
    <col min="88" max="91" width="13.453125" style="12" customWidth="1"/>
    <col min="92" max="120" width="9" style="12" customWidth="1"/>
    <col min="121" max="121" width="12.7265625" style="12" customWidth="1"/>
    <col min="122" max="124" width="9" style="12" customWidth="1"/>
    <col min="125" max="127" width="11.453125" style="12" customWidth="1"/>
    <col min="128" max="132" width="9" style="12" customWidth="1"/>
    <col min="133" max="133" width="11.90625" style="12" customWidth="1"/>
    <col min="134" max="162" width="9" style="12" customWidth="1"/>
    <col min="163" max="16384" width="9" style="12"/>
  </cols>
  <sheetData>
    <row r="1" spans="1:164" x14ac:dyDescent="0.25">
      <c r="A1" s="19"/>
      <c r="B1" s="19"/>
      <c r="C1" s="19"/>
      <c r="D1" s="19"/>
      <c r="E1" s="19"/>
      <c r="F1" s="20"/>
      <c r="G1" s="21"/>
      <c r="H1" s="21"/>
      <c r="I1" s="19"/>
      <c r="J1" s="19"/>
      <c r="K1" s="19"/>
      <c r="L1" s="19"/>
      <c r="M1" s="19"/>
      <c r="N1" s="19"/>
      <c r="O1" s="44" t="s">
        <v>240</v>
      </c>
      <c r="P1" s="44"/>
      <c r="Q1" s="44"/>
      <c r="R1" s="44"/>
      <c r="S1" s="43" t="s">
        <v>241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5" t="s">
        <v>242</v>
      </c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6" t="s">
        <v>243</v>
      </c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7" t="s">
        <v>244</v>
      </c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3" t="s">
        <v>245</v>
      </c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</row>
    <row r="2" spans="1:164" x14ac:dyDescent="0.25">
      <c r="A2" s="19"/>
      <c r="B2" s="19"/>
      <c r="C2" s="19"/>
      <c r="D2" s="19"/>
      <c r="E2" s="19"/>
      <c r="F2" s="20"/>
      <c r="G2" s="21"/>
      <c r="H2" s="21"/>
      <c r="I2" s="19"/>
      <c r="J2" s="19"/>
      <c r="K2" s="19"/>
      <c r="L2" s="19"/>
      <c r="M2" s="19"/>
      <c r="N2" s="19"/>
      <c r="O2" s="19" t="s">
        <v>246</v>
      </c>
      <c r="P2" s="19" t="s">
        <v>247</v>
      </c>
      <c r="Q2" s="19" t="s">
        <v>248</v>
      </c>
      <c r="R2" s="19"/>
      <c r="S2" s="19" t="s">
        <v>249</v>
      </c>
      <c r="T2" s="19" t="s">
        <v>250</v>
      </c>
      <c r="U2" s="19" t="s">
        <v>251</v>
      </c>
      <c r="V2" s="19" t="s">
        <v>252</v>
      </c>
      <c r="W2" s="19" t="s">
        <v>253</v>
      </c>
      <c r="X2" s="19" t="s">
        <v>254</v>
      </c>
      <c r="Y2" s="19" t="s">
        <v>255</v>
      </c>
      <c r="Z2" s="19" t="s">
        <v>256</v>
      </c>
      <c r="AA2" s="19" t="s">
        <v>257</v>
      </c>
      <c r="AB2" s="19" t="s">
        <v>258</v>
      </c>
      <c r="AC2" s="19" t="s">
        <v>259</v>
      </c>
      <c r="AD2" s="19" t="s">
        <v>260</v>
      </c>
      <c r="AE2" s="19" t="s">
        <v>261</v>
      </c>
      <c r="AF2" s="19"/>
      <c r="AG2" s="19"/>
      <c r="AH2" s="19"/>
      <c r="AI2" s="19"/>
      <c r="AJ2" s="19"/>
      <c r="AK2" s="19"/>
      <c r="AL2" s="19" t="s">
        <v>262</v>
      </c>
      <c r="AM2" s="19" t="s">
        <v>263</v>
      </c>
      <c r="AN2" s="19" t="s">
        <v>264</v>
      </c>
      <c r="AO2" s="19" t="s">
        <v>265</v>
      </c>
      <c r="AP2" s="19" t="s">
        <v>266</v>
      </c>
      <c r="AQ2" s="19" t="s">
        <v>267</v>
      </c>
      <c r="AR2" s="19" t="s">
        <v>268</v>
      </c>
      <c r="AS2" s="19" t="s">
        <v>269</v>
      </c>
      <c r="AT2" s="19" t="s">
        <v>270</v>
      </c>
      <c r="AU2" s="19"/>
      <c r="AV2" s="19"/>
      <c r="AW2" s="19"/>
      <c r="AX2" s="19"/>
      <c r="AY2" s="19"/>
      <c r="AZ2" s="19"/>
      <c r="BA2" s="19" t="s">
        <v>271</v>
      </c>
      <c r="BB2" s="19" t="s">
        <v>272</v>
      </c>
      <c r="BC2" s="19" t="s">
        <v>273</v>
      </c>
      <c r="BD2" s="19" t="s">
        <v>274</v>
      </c>
      <c r="BE2" s="19"/>
      <c r="BF2" s="19" t="s">
        <v>275</v>
      </c>
      <c r="BG2" s="19" t="s">
        <v>276</v>
      </c>
      <c r="BH2" s="19" t="s">
        <v>277</v>
      </c>
      <c r="BI2" s="19" t="s">
        <v>278</v>
      </c>
      <c r="BJ2" s="19" t="s">
        <v>279</v>
      </c>
      <c r="BK2" s="19" t="s">
        <v>280</v>
      </c>
      <c r="BL2" s="19" t="s">
        <v>281</v>
      </c>
      <c r="BM2" s="19" t="s">
        <v>282</v>
      </c>
      <c r="BN2" s="19" t="s">
        <v>283</v>
      </c>
      <c r="BO2" s="19"/>
      <c r="BP2" s="19"/>
      <c r="BQ2" s="19"/>
      <c r="BR2" s="19"/>
      <c r="BS2" s="19"/>
      <c r="BT2" s="19"/>
      <c r="BU2" s="19" t="s">
        <v>284</v>
      </c>
      <c r="BV2" s="19" t="s">
        <v>285</v>
      </c>
      <c r="BW2" s="19" t="s">
        <v>286</v>
      </c>
      <c r="BX2" s="19" t="s">
        <v>287</v>
      </c>
      <c r="BY2" s="19" t="s">
        <v>288</v>
      </c>
      <c r="BZ2" s="19" t="s">
        <v>289</v>
      </c>
      <c r="CA2" s="19" t="s">
        <v>290</v>
      </c>
      <c r="CB2" s="19" t="s">
        <v>291</v>
      </c>
      <c r="CC2" s="19" t="s">
        <v>292</v>
      </c>
      <c r="CD2" s="19"/>
      <c r="CE2" s="19"/>
      <c r="CF2" s="19"/>
      <c r="CG2" s="19"/>
      <c r="CH2" s="19"/>
      <c r="CI2" s="19"/>
      <c r="CJ2" s="19" t="s">
        <v>293</v>
      </c>
      <c r="CK2" s="19" t="s">
        <v>294</v>
      </c>
      <c r="CL2" s="19" t="s">
        <v>295</v>
      </c>
      <c r="CM2" s="19" t="s">
        <v>296</v>
      </c>
      <c r="CN2" s="19"/>
      <c r="CO2" s="19"/>
      <c r="CP2" s="19"/>
      <c r="CQ2" s="19"/>
      <c r="CR2" s="19"/>
      <c r="CS2" s="19"/>
      <c r="CT2" s="19"/>
      <c r="CU2" s="19" t="s">
        <v>293</v>
      </c>
      <c r="CV2" s="19" t="s">
        <v>294</v>
      </c>
      <c r="CW2" s="19" t="s">
        <v>295</v>
      </c>
      <c r="CX2" s="19" t="s">
        <v>296</v>
      </c>
      <c r="CY2" s="19" t="s">
        <v>297</v>
      </c>
      <c r="CZ2" s="19"/>
      <c r="DA2" s="19"/>
      <c r="DB2" s="19"/>
      <c r="DC2" s="19"/>
      <c r="DD2" s="19"/>
      <c r="DE2" s="19"/>
      <c r="DF2" s="19"/>
      <c r="DG2" s="39" t="s">
        <v>298</v>
      </c>
      <c r="DH2" s="39"/>
      <c r="DI2" s="39"/>
      <c r="DJ2" s="39"/>
      <c r="DK2" s="39"/>
      <c r="DL2" s="39"/>
      <c r="DM2" s="39"/>
      <c r="DN2" s="19"/>
      <c r="DO2" s="39" t="s">
        <v>299</v>
      </c>
      <c r="DP2" s="39"/>
      <c r="DQ2" s="39"/>
      <c r="DR2" s="39"/>
      <c r="DS2" s="39"/>
      <c r="DT2" s="39"/>
      <c r="DU2" s="39"/>
      <c r="DV2" s="39" t="s">
        <v>294</v>
      </c>
      <c r="DW2" s="39"/>
      <c r="DX2" s="39"/>
      <c r="DY2" s="39"/>
      <c r="DZ2" s="39"/>
      <c r="EA2" s="39"/>
      <c r="EB2" s="39"/>
      <c r="EC2" s="39" t="s">
        <v>295</v>
      </c>
      <c r="ED2" s="39"/>
      <c r="EE2" s="39"/>
      <c r="EF2" s="39" t="s">
        <v>296</v>
      </c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</row>
    <row r="3" spans="1:164" s="6" customFormat="1" ht="84" x14ac:dyDescent="0.25">
      <c r="A3" s="20" t="s">
        <v>6</v>
      </c>
      <c r="B3" s="20"/>
      <c r="C3" s="20"/>
      <c r="D3" s="20"/>
      <c r="E3" s="20"/>
      <c r="F3" s="20"/>
      <c r="G3" s="22"/>
      <c r="H3" s="22"/>
      <c r="I3" s="20"/>
      <c r="J3" s="20"/>
      <c r="K3" s="20"/>
      <c r="L3" s="20"/>
      <c r="M3" s="20"/>
      <c r="N3" s="20"/>
      <c r="O3" s="20" t="s">
        <v>300</v>
      </c>
      <c r="P3" s="20" t="s">
        <v>300</v>
      </c>
      <c r="Q3" s="20" t="s">
        <v>301</v>
      </c>
      <c r="R3" s="20" t="s">
        <v>302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 t="s">
        <v>303</v>
      </c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 t="s">
        <v>304</v>
      </c>
      <c r="CO3" s="20" t="s">
        <v>305</v>
      </c>
      <c r="CP3" s="20" t="s">
        <v>306</v>
      </c>
      <c r="CQ3" s="20" t="s">
        <v>307</v>
      </c>
      <c r="CR3" s="20" t="s">
        <v>308</v>
      </c>
      <c r="CS3" s="20" t="s">
        <v>308</v>
      </c>
      <c r="CT3" s="20" t="s">
        <v>309</v>
      </c>
      <c r="CU3" s="20" t="s">
        <v>310</v>
      </c>
      <c r="CV3" s="20" t="s">
        <v>310</v>
      </c>
      <c r="CW3" s="20" t="s">
        <v>310</v>
      </c>
      <c r="CX3" s="20" t="s">
        <v>310</v>
      </c>
      <c r="CY3" s="20"/>
      <c r="CZ3" s="20"/>
      <c r="DA3" s="20" t="s">
        <v>311</v>
      </c>
      <c r="DB3" s="20"/>
      <c r="DC3" s="26" t="s">
        <v>312</v>
      </c>
      <c r="DD3" s="20"/>
      <c r="DE3" s="26"/>
      <c r="DF3" s="20"/>
      <c r="DG3" s="20" t="s">
        <v>311</v>
      </c>
      <c r="DH3" s="20" t="s">
        <v>313</v>
      </c>
      <c r="DI3" s="20" t="s">
        <v>313</v>
      </c>
      <c r="DJ3" s="20" t="s">
        <v>313</v>
      </c>
      <c r="DK3" s="20" t="s">
        <v>314</v>
      </c>
      <c r="DL3" s="20" t="s">
        <v>311</v>
      </c>
      <c r="DM3" s="20" t="s">
        <v>314</v>
      </c>
      <c r="DN3" s="20"/>
      <c r="DO3" s="26" t="s">
        <v>315</v>
      </c>
      <c r="DP3" s="20" t="s">
        <v>316</v>
      </c>
      <c r="DQ3" s="26"/>
      <c r="DR3" s="20" t="s">
        <v>13</v>
      </c>
      <c r="DS3" s="20" t="s">
        <v>13</v>
      </c>
      <c r="DT3" s="20" t="s">
        <v>317</v>
      </c>
      <c r="DU3" s="20"/>
      <c r="DV3" s="26"/>
      <c r="DW3" s="20"/>
      <c r="DX3" s="20" t="s">
        <v>318</v>
      </c>
      <c r="DY3" s="20" t="s">
        <v>319</v>
      </c>
      <c r="DZ3" s="20"/>
      <c r="EA3" s="20"/>
      <c r="EB3" s="20" t="s">
        <v>320</v>
      </c>
      <c r="EC3" s="20"/>
      <c r="ED3" s="20"/>
      <c r="EE3" s="20" t="s">
        <v>321</v>
      </c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42" t="s">
        <v>322</v>
      </c>
      <c r="FD3" s="42"/>
      <c r="FE3" s="20"/>
      <c r="FF3" s="20"/>
      <c r="FG3" s="20"/>
      <c r="FH3" s="20"/>
    </row>
    <row r="4" spans="1:164" x14ac:dyDescent="0.25">
      <c r="A4" s="19" t="s">
        <v>27</v>
      </c>
      <c r="B4" s="19" t="s">
        <v>28</v>
      </c>
      <c r="C4" s="19" t="s">
        <v>29</v>
      </c>
      <c r="D4" s="19"/>
      <c r="E4" s="19" t="s">
        <v>30</v>
      </c>
      <c r="F4" s="20" t="s">
        <v>7</v>
      </c>
      <c r="G4" s="21" t="s">
        <v>31</v>
      </c>
      <c r="H4" s="21" t="s">
        <v>32</v>
      </c>
      <c r="I4" s="19" t="s">
        <v>35</v>
      </c>
      <c r="J4" s="19" t="s">
        <v>240</v>
      </c>
      <c r="K4" s="19" t="s">
        <v>323</v>
      </c>
      <c r="L4" s="19" t="s">
        <v>243</v>
      </c>
      <c r="M4" s="19" t="s">
        <v>244</v>
      </c>
      <c r="N4" s="19" t="s">
        <v>245</v>
      </c>
      <c r="O4" s="19" t="s">
        <v>324</v>
      </c>
      <c r="P4" s="19" t="s">
        <v>324</v>
      </c>
      <c r="Q4" s="19" t="s">
        <v>325</v>
      </c>
      <c r="R4" s="19" t="s">
        <v>326</v>
      </c>
      <c r="S4" s="19" t="s">
        <v>327</v>
      </c>
      <c r="T4" s="19" t="s">
        <v>327</v>
      </c>
      <c r="U4" s="19" t="s">
        <v>327</v>
      </c>
      <c r="V4" s="19" t="s">
        <v>327</v>
      </c>
      <c r="W4" s="19" t="s">
        <v>327</v>
      </c>
      <c r="X4" s="19" t="s">
        <v>327</v>
      </c>
      <c r="Y4" s="19" t="s">
        <v>327</v>
      </c>
      <c r="Z4" s="19" t="s">
        <v>327</v>
      </c>
      <c r="AA4" s="19" t="s">
        <v>327</v>
      </c>
      <c r="AB4" s="19" t="s">
        <v>327</v>
      </c>
      <c r="AC4" s="19" t="s">
        <v>327</v>
      </c>
      <c r="AD4" s="19" t="s">
        <v>327</v>
      </c>
      <c r="AE4" s="19" t="s">
        <v>328</v>
      </c>
      <c r="AF4" s="19" t="s">
        <v>329</v>
      </c>
      <c r="AG4" s="19" t="s">
        <v>330</v>
      </c>
      <c r="AH4" s="19" t="s">
        <v>331</v>
      </c>
      <c r="AI4" s="19" t="s">
        <v>329</v>
      </c>
      <c r="AJ4" s="19" t="s">
        <v>330</v>
      </c>
      <c r="AK4" s="19" t="s">
        <v>331</v>
      </c>
      <c r="AL4" s="19" t="s">
        <v>327</v>
      </c>
      <c r="AM4" s="19" t="s">
        <v>327</v>
      </c>
      <c r="AN4" s="19" t="s">
        <v>327</v>
      </c>
      <c r="AO4" s="19" t="s">
        <v>327</v>
      </c>
      <c r="AP4" s="19" t="s">
        <v>327</v>
      </c>
      <c r="AQ4" s="19" t="s">
        <v>327</v>
      </c>
      <c r="AR4" s="19" t="s">
        <v>327</v>
      </c>
      <c r="AS4" s="19" t="s">
        <v>327</v>
      </c>
      <c r="AT4" s="19" t="s">
        <v>328</v>
      </c>
      <c r="AU4" s="19" t="s">
        <v>329</v>
      </c>
      <c r="AV4" s="19" t="s">
        <v>330</v>
      </c>
      <c r="AW4" s="19" t="s">
        <v>331</v>
      </c>
      <c r="AX4" s="19" t="s">
        <v>329</v>
      </c>
      <c r="AY4" s="19" t="s">
        <v>330</v>
      </c>
      <c r="AZ4" s="19" t="s">
        <v>331</v>
      </c>
      <c r="BA4" s="19" t="s">
        <v>327</v>
      </c>
      <c r="BB4" s="19" t="s">
        <v>327</v>
      </c>
      <c r="BC4" s="19" t="s">
        <v>327</v>
      </c>
      <c r="BD4" s="19" t="s">
        <v>327</v>
      </c>
      <c r="BE4" s="19" t="s">
        <v>332</v>
      </c>
      <c r="BF4" s="19" t="s">
        <v>327</v>
      </c>
      <c r="BG4" s="19" t="s">
        <v>327</v>
      </c>
      <c r="BH4" s="19" t="s">
        <v>327</v>
      </c>
      <c r="BI4" s="19" t="s">
        <v>327</v>
      </c>
      <c r="BJ4" s="19" t="s">
        <v>327</v>
      </c>
      <c r="BK4" s="19" t="s">
        <v>327</v>
      </c>
      <c r="BL4" s="19" t="s">
        <v>327</v>
      </c>
      <c r="BM4" s="19" t="s">
        <v>327</v>
      </c>
      <c r="BN4" s="19" t="s">
        <v>328</v>
      </c>
      <c r="BO4" s="19" t="s">
        <v>329</v>
      </c>
      <c r="BP4" s="19" t="s">
        <v>330</v>
      </c>
      <c r="BQ4" s="19" t="s">
        <v>331</v>
      </c>
      <c r="BR4" s="19" t="s">
        <v>329</v>
      </c>
      <c r="BS4" s="19" t="s">
        <v>330</v>
      </c>
      <c r="BT4" s="19" t="s">
        <v>331</v>
      </c>
      <c r="BU4" s="19" t="s">
        <v>327</v>
      </c>
      <c r="BV4" s="19" t="s">
        <v>327</v>
      </c>
      <c r="BW4" s="19" t="s">
        <v>327</v>
      </c>
      <c r="BX4" s="19" t="s">
        <v>327</v>
      </c>
      <c r="BY4" s="19" t="s">
        <v>327</v>
      </c>
      <c r="BZ4" s="19" t="s">
        <v>327</v>
      </c>
      <c r="CA4" s="19" t="s">
        <v>327</v>
      </c>
      <c r="CB4" s="19" t="s">
        <v>327</v>
      </c>
      <c r="CC4" s="19" t="s">
        <v>328</v>
      </c>
      <c r="CD4" s="19" t="s">
        <v>329</v>
      </c>
      <c r="CE4" s="19" t="s">
        <v>330</v>
      </c>
      <c r="CF4" s="19" t="s">
        <v>331</v>
      </c>
      <c r="CG4" s="19" t="s">
        <v>329</v>
      </c>
      <c r="CH4" s="19" t="s">
        <v>330</v>
      </c>
      <c r="CI4" s="19" t="s">
        <v>331</v>
      </c>
      <c r="CJ4" s="19" t="s">
        <v>96</v>
      </c>
      <c r="CK4" s="19" t="s">
        <v>96</v>
      </c>
      <c r="CL4" s="19" t="s">
        <v>96</v>
      </c>
      <c r="CM4" s="19" t="s">
        <v>96</v>
      </c>
      <c r="CN4" s="19" t="s">
        <v>328</v>
      </c>
      <c r="CO4" s="19" t="s">
        <v>333</v>
      </c>
      <c r="CP4" s="19" t="s">
        <v>334</v>
      </c>
      <c r="CQ4" s="19" t="s">
        <v>329</v>
      </c>
      <c r="CR4" s="19" t="s">
        <v>330</v>
      </c>
      <c r="CS4" s="19" t="s">
        <v>331</v>
      </c>
      <c r="CT4" s="19" t="s">
        <v>335</v>
      </c>
      <c r="CU4" s="19" t="s">
        <v>336</v>
      </c>
      <c r="CV4" s="19" t="s">
        <v>336</v>
      </c>
      <c r="CW4" s="19" t="s">
        <v>336</v>
      </c>
      <c r="CX4" s="19" t="s">
        <v>336</v>
      </c>
      <c r="CY4" s="19" t="s">
        <v>328</v>
      </c>
      <c r="CZ4" s="19" t="s">
        <v>333</v>
      </c>
      <c r="DA4" s="19" t="s">
        <v>334</v>
      </c>
      <c r="DB4" s="19" t="s">
        <v>329</v>
      </c>
      <c r="DC4" s="19" t="s">
        <v>330</v>
      </c>
      <c r="DD4" s="19" t="s">
        <v>331</v>
      </c>
      <c r="DE4" s="19" t="s">
        <v>335</v>
      </c>
      <c r="DF4" s="19" t="s">
        <v>337</v>
      </c>
      <c r="DG4" s="19" t="s">
        <v>329</v>
      </c>
      <c r="DH4" s="19" t="s">
        <v>330</v>
      </c>
      <c r="DI4" s="19" t="s">
        <v>331</v>
      </c>
      <c r="DJ4" s="19" t="s">
        <v>335</v>
      </c>
      <c r="DK4" s="19" t="s">
        <v>338</v>
      </c>
      <c r="DL4" s="19" t="s">
        <v>339</v>
      </c>
      <c r="DM4" s="19" t="s">
        <v>340</v>
      </c>
      <c r="DN4" s="19" t="s">
        <v>333</v>
      </c>
      <c r="DO4" s="19" t="s">
        <v>341</v>
      </c>
      <c r="DP4" s="19" t="s">
        <v>342</v>
      </c>
      <c r="DQ4" s="19" t="s">
        <v>96</v>
      </c>
      <c r="DR4" s="19" t="s">
        <v>343</v>
      </c>
      <c r="DS4" s="19" t="s">
        <v>344</v>
      </c>
      <c r="DT4" s="19" t="s">
        <v>345</v>
      </c>
      <c r="DU4" s="19" t="s">
        <v>96</v>
      </c>
      <c r="DV4" s="19" t="s">
        <v>96</v>
      </c>
      <c r="DW4" s="19" t="s">
        <v>96</v>
      </c>
      <c r="DX4" s="19" t="s">
        <v>346</v>
      </c>
      <c r="DY4" s="19" t="s">
        <v>347</v>
      </c>
      <c r="DZ4" s="19" t="s">
        <v>348</v>
      </c>
      <c r="EA4" s="19" t="s">
        <v>349</v>
      </c>
      <c r="EB4" s="19" t="s">
        <v>350</v>
      </c>
      <c r="EC4" s="19" t="s">
        <v>96</v>
      </c>
      <c r="ED4" s="19" t="s">
        <v>351</v>
      </c>
      <c r="EE4" s="19" t="s">
        <v>352</v>
      </c>
      <c r="EF4" s="19" t="s">
        <v>353</v>
      </c>
      <c r="EG4" s="19" t="s">
        <v>354</v>
      </c>
      <c r="EH4" s="19" t="s">
        <v>355</v>
      </c>
      <c r="EI4" s="19" t="s">
        <v>356</v>
      </c>
      <c r="EJ4" s="19" t="s">
        <v>357</v>
      </c>
      <c r="EK4" s="19" t="s">
        <v>358</v>
      </c>
      <c r="EL4" s="19" t="s">
        <v>359</v>
      </c>
      <c r="EM4" s="19" t="s">
        <v>360</v>
      </c>
      <c r="EN4" s="19" t="s">
        <v>361</v>
      </c>
      <c r="EO4" s="19" t="s">
        <v>362</v>
      </c>
      <c r="EP4" s="19" t="s">
        <v>363</v>
      </c>
      <c r="EQ4" s="19" t="s">
        <v>364</v>
      </c>
      <c r="ER4" s="19" t="s">
        <v>365</v>
      </c>
      <c r="ES4" s="19" t="s">
        <v>366</v>
      </c>
      <c r="ET4" s="19" t="s">
        <v>367</v>
      </c>
      <c r="EU4" s="19" t="s">
        <v>368</v>
      </c>
      <c r="EV4" s="19" t="s">
        <v>369</v>
      </c>
      <c r="EW4" s="19" t="s">
        <v>370</v>
      </c>
      <c r="EX4" s="19" t="s">
        <v>371</v>
      </c>
      <c r="EY4" s="19" t="s">
        <v>372</v>
      </c>
      <c r="EZ4" s="19" t="s">
        <v>373</v>
      </c>
      <c r="FA4" s="19" t="s">
        <v>374</v>
      </c>
      <c r="FB4" s="19" t="s">
        <v>375</v>
      </c>
      <c r="FC4" s="19" t="s">
        <v>376</v>
      </c>
      <c r="FD4" s="19" t="s">
        <v>377</v>
      </c>
      <c r="FE4" s="19" t="s">
        <v>378</v>
      </c>
      <c r="FF4" s="19" t="s">
        <v>379</v>
      </c>
      <c r="FG4" s="19" t="s">
        <v>380</v>
      </c>
      <c r="FH4" s="19" t="s">
        <v>381</v>
      </c>
    </row>
    <row r="5" spans="1:164" x14ac:dyDescent="0.25">
      <c r="A5" s="19" t="s">
        <v>149</v>
      </c>
      <c r="B5" s="19"/>
      <c r="C5" s="19"/>
      <c r="D5" s="19"/>
      <c r="E5" s="19" t="s">
        <v>150</v>
      </c>
      <c r="F5" s="20"/>
      <c r="G5" s="21"/>
      <c r="H5" s="21"/>
      <c r="I5" s="19">
        <f>SUM(O5:FH5)</f>
        <v>95</v>
      </c>
      <c r="J5" s="19">
        <f>SUM(O5:R5)</f>
        <v>2</v>
      </c>
      <c r="K5" s="19">
        <f>SUM(S5:CI5)</f>
        <v>29</v>
      </c>
      <c r="L5" s="19">
        <f>SUM(CJ5:CT5)</f>
        <v>7</v>
      </c>
      <c r="M5" s="19">
        <f>SUM(CU5:DF5)</f>
        <v>8</v>
      </c>
      <c r="N5" s="19">
        <f>SUM(DG5:FH5)</f>
        <v>49</v>
      </c>
      <c r="O5" s="19"/>
      <c r="P5" s="19"/>
      <c r="Q5" s="19">
        <v>1</v>
      </c>
      <c r="R5" s="19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>
        <v>1</v>
      </c>
      <c r="AF5" s="19">
        <v>1</v>
      </c>
      <c r="AG5" s="19">
        <v>1</v>
      </c>
      <c r="AH5" s="19">
        <v>1</v>
      </c>
      <c r="AI5" s="19">
        <v>1</v>
      </c>
      <c r="AJ5" s="19">
        <v>1</v>
      </c>
      <c r="AK5" s="19">
        <v>1</v>
      </c>
      <c r="AL5" s="19"/>
      <c r="AM5" s="19"/>
      <c r="AN5" s="19"/>
      <c r="AO5" s="19"/>
      <c r="AP5" s="19"/>
      <c r="AQ5" s="19"/>
      <c r="AR5" s="19"/>
      <c r="AS5" s="19"/>
      <c r="AT5" s="19">
        <v>1</v>
      </c>
      <c r="AU5" s="19">
        <v>1</v>
      </c>
      <c r="AV5" s="19">
        <v>1</v>
      </c>
      <c r="AW5" s="19">
        <v>1</v>
      </c>
      <c r="AX5" s="19">
        <v>1</v>
      </c>
      <c r="AY5" s="19">
        <v>1</v>
      </c>
      <c r="AZ5" s="19">
        <v>1</v>
      </c>
      <c r="BA5" s="19"/>
      <c r="BB5" s="19"/>
      <c r="BC5" s="19"/>
      <c r="BD5" s="19"/>
      <c r="BE5" s="19">
        <v>1</v>
      </c>
      <c r="BF5" s="19"/>
      <c r="BG5" s="19"/>
      <c r="BH5" s="19"/>
      <c r="BI5" s="19"/>
      <c r="BJ5" s="19"/>
      <c r="BK5" s="19"/>
      <c r="BL5" s="19"/>
      <c r="BM5" s="19"/>
      <c r="BN5" s="19">
        <v>1</v>
      </c>
      <c r="BO5" s="19">
        <v>1</v>
      </c>
      <c r="BP5" s="19">
        <v>1</v>
      </c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>
        <v>1</v>
      </c>
      <c r="CD5" s="19">
        <v>1</v>
      </c>
      <c r="CE5" s="19">
        <v>1</v>
      </c>
      <c r="CF5" s="19">
        <v>1</v>
      </c>
      <c r="CG5" s="19">
        <v>1</v>
      </c>
      <c r="CH5" s="19">
        <v>1</v>
      </c>
      <c r="CI5" s="19">
        <v>1</v>
      </c>
      <c r="CJ5" s="19"/>
      <c r="CK5" s="19"/>
      <c r="CL5" s="19"/>
      <c r="CM5" s="19"/>
      <c r="CN5" s="19">
        <v>1</v>
      </c>
      <c r="CO5" s="19">
        <v>1</v>
      </c>
      <c r="CP5" s="19">
        <v>1</v>
      </c>
      <c r="CQ5" s="19">
        <v>1</v>
      </c>
      <c r="CR5" s="19">
        <v>1</v>
      </c>
      <c r="CS5" s="19">
        <v>1</v>
      </c>
      <c r="CT5" s="19">
        <v>1</v>
      </c>
      <c r="CU5" s="19"/>
      <c r="CV5" s="19"/>
      <c r="CW5" s="19"/>
      <c r="CX5" s="19"/>
      <c r="CY5" s="19">
        <v>1</v>
      </c>
      <c r="CZ5" s="19">
        <v>1</v>
      </c>
      <c r="DA5" s="19">
        <v>1</v>
      </c>
      <c r="DB5" s="19">
        <v>1</v>
      </c>
      <c r="DC5" s="19">
        <v>1</v>
      </c>
      <c r="DD5" s="19">
        <v>1</v>
      </c>
      <c r="DE5" s="19">
        <v>1</v>
      </c>
      <c r="DF5" s="19">
        <v>1</v>
      </c>
      <c r="DG5" s="19">
        <v>1</v>
      </c>
      <c r="DH5" s="19">
        <v>1</v>
      </c>
      <c r="DI5" s="19">
        <v>1</v>
      </c>
      <c r="DJ5" s="19">
        <v>1</v>
      </c>
      <c r="DK5" s="19">
        <v>1</v>
      </c>
      <c r="DL5" s="19">
        <v>1</v>
      </c>
      <c r="DM5" s="19">
        <v>1</v>
      </c>
      <c r="DN5" s="19">
        <v>1</v>
      </c>
      <c r="DO5" s="19">
        <v>1</v>
      </c>
      <c r="DP5" s="19">
        <v>1</v>
      </c>
      <c r="DQ5" s="19"/>
      <c r="DR5" s="19">
        <v>1</v>
      </c>
      <c r="DS5" s="19">
        <v>1</v>
      </c>
      <c r="DT5" s="19">
        <v>1</v>
      </c>
      <c r="DU5" s="19"/>
      <c r="DV5" s="19"/>
      <c r="DW5" s="19"/>
      <c r="DX5" s="19">
        <v>1</v>
      </c>
      <c r="DY5" s="19">
        <v>1</v>
      </c>
      <c r="DZ5" s="19">
        <v>1</v>
      </c>
      <c r="EA5" s="19">
        <v>1</v>
      </c>
      <c r="EB5" s="19">
        <v>1</v>
      </c>
      <c r="EC5" s="19"/>
      <c r="ED5" s="19">
        <v>1</v>
      </c>
      <c r="EE5" s="19">
        <v>1</v>
      </c>
      <c r="EF5" s="19">
        <v>1</v>
      </c>
      <c r="EG5" s="19">
        <v>1</v>
      </c>
      <c r="EH5" s="19">
        <v>1</v>
      </c>
      <c r="EI5" s="19">
        <v>1</v>
      </c>
      <c r="EJ5" s="19">
        <v>1</v>
      </c>
      <c r="EK5" s="19">
        <v>1</v>
      </c>
      <c r="EL5" s="19">
        <v>1</v>
      </c>
      <c r="EM5" s="19">
        <v>1</v>
      </c>
      <c r="EN5" s="19">
        <v>1</v>
      </c>
      <c r="EO5" s="19">
        <v>1</v>
      </c>
      <c r="EP5" s="19">
        <v>1</v>
      </c>
      <c r="EQ5" s="19">
        <v>1</v>
      </c>
      <c r="ER5" s="19">
        <v>1</v>
      </c>
      <c r="ES5" s="19">
        <v>1</v>
      </c>
      <c r="ET5" s="19">
        <v>1</v>
      </c>
      <c r="EU5" s="19">
        <v>1</v>
      </c>
      <c r="EV5" s="19">
        <v>1</v>
      </c>
      <c r="EW5" s="19">
        <v>1</v>
      </c>
      <c r="EX5" s="19">
        <v>1</v>
      </c>
      <c r="EY5" s="19">
        <v>1</v>
      </c>
      <c r="EZ5" s="19">
        <v>1</v>
      </c>
      <c r="FA5" s="19">
        <v>1</v>
      </c>
      <c r="FB5" s="19">
        <v>1</v>
      </c>
      <c r="FC5" s="19">
        <v>1</v>
      </c>
      <c r="FD5" s="19">
        <v>1</v>
      </c>
      <c r="FE5" s="19">
        <v>1</v>
      </c>
      <c r="FF5" s="19">
        <v>1</v>
      </c>
      <c r="FG5" s="19">
        <v>1</v>
      </c>
      <c r="FH5" s="19">
        <v>1</v>
      </c>
    </row>
    <row r="6" spans="1:164" x14ac:dyDescent="0.25">
      <c r="A6" s="19" t="s">
        <v>382</v>
      </c>
      <c r="B6" s="19"/>
      <c r="C6" s="19"/>
      <c r="D6" s="19"/>
      <c r="E6" s="19" t="s">
        <v>150</v>
      </c>
      <c r="F6" s="20"/>
      <c r="G6" s="21"/>
      <c r="H6" s="21"/>
      <c r="I6" s="19">
        <f t="shared" ref="I6:I69" si="0">SUM(O6:FH6)</f>
        <v>80</v>
      </c>
      <c r="J6" s="19">
        <f t="shared" ref="J6:J69" si="1">SUM(O6:R6)</f>
        <v>0</v>
      </c>
      <c r="K6" s="19">
        <f t="shared" ref="K6:K69" si="2">SUM(S6:CI6)</f>
        <v>80</v>
      </c>
      <c r="L6" s="19">
        <f t="shared" ref="L6:L69" si="3">SUM(CJ6:CT6)</f>
        <v>0</v>
      </c>
      <c r="M6" s="19">
        <f t="shared" ref="M6:M69" si="4">SUM(CU6:DF6)</f>
        <v>0</v>
      </c>
      <c r="N6" s="19">
        <f t="shared" ref="N6:N69" si="5">SUM(DG6:FH6)</f>
        <v>0</v>
      </c>
      <c r="O6" s="19"/>
      <c r="P6" s="19"/>
      <c r="Q6" s="19"/>
      <c r="R6" s="19"/>
      <c r="S6" s="19">
        <v>2</v>
      </c>
      <c r="T6" s="19">
        <v>2</v>
      </c>
      <c r="U6" s="19">
        <v>2</v>
      </c>
      <c r="V6" s="19">
        <v>2</v>
      </c>
      <c r="W6" s="19">
        <v>2</v>
      </c>
      <c r="X6" s="19">
        <v>2</v>
      </c>
      <c r="Y6" s="19">
        <v>2</v>
      </c>
      <c r="Z6" s="19">
        <v>2</v>
      </c>
      <c r="AA6" s="19">
        <v>2</v>
      </c>
      <c r="AB6" s="19">
        <v>2</v>
      </c>
      <c r="AC6" s="19">
        <v>2</v>
      </c>
      <c r="AD6" s="19">
        <v>2</v>
      </c>
      <c r="AE6" s="19"/>
      <c r="AF6" s="19"/>
      <c r="AG6" s="19"/>
      <c r="AH6" s="19"/>
      <c r="AI6" s="19"/>
      <c r="AJ6" s="19"/>
      <c r="AK6" s="19"/>
      <c r="AL6" s="19">
        <v>2</v>
      </c>
      <c r="AM6" s="19">
        <v>2</v>
      </c>
      <c r="AN6" s="19">
        <v>2</v>
      </c>
      <c r="AO6" s="19">
        <v>2</v>
      </c>
      <c r="AP6" s="19">
        <v>2</v>
      </c>
      <c r="AQ6" s="19">
        <v>2</v>
      </c>
      <c r="AR6" s="19">
        <v>2</v>
      </c>
      <c r="AS6" s="19">
        <v>2</v>
      </c>
      <c r="AT6" s="19"/>
      <c r="AU6" s="19"/>
      <c r="AV6" s="19"/>
      <c r="AW6" s="19"/>
      <c r="AX6" s="19"/>
      <c r="AY6" s="19"/>
      <c r="AZ6" s="19"/>
      <c r="BA6" s="19">
        <v>2</v>
      </c>
      <c r="BB6" s="19">
        <v>2</v>
      </c>
      <c r="BC6" s="19">
        <v>2</v>
      </c>
      <c r="BD6" s="19">
        <v>2</v>
      </c>
      <c r="BE6" s="19"/>
      <c r="BF6" s="19">
        <v>2</v>
      </c>
      <c r="BG6" s="19">
        <v>2</v>
      </c>
      <c r="BH6" s="19">
        <v>2</v>
      </c>
      <c r="BI6" s="19">
        <v>2</v>
      </c>
      <c r="BJ6" s="19">
        <v>2</v>
      </c>
      <c r="BK6" s="19">
        <v>2</v>
      </c>
      <c r="BL6" s="19">
        <v>2</v>
      </c>
      <c r="BM6" s="19">
        <v>2</v>
      </c>
      <c r="BN6" s="19"/>
      <c r="BO6" s="19"/>
      <c r="BP6" s="19"/>
      <c r="BQ6" s="19"/>
      <c r="BR6" s="19"/>
      <c r="BS6" s="19"/>
      <c r="BT6" s="19"/>
      <c r="BU6" s="19">
        <v>2</v>
      </c>
      <c r="BV6" s="19">
        <v>2</v>
      </c>
      <c r="BW6" s="19">
        <v>2</v>
      </c>
      <c r="BX6" s="19">
        <v>2</v>
      </c>
      <c r="BY6" s="19">
        <v>2</v>
      </c>
      <c r="BZ6" s="19">
        <v>2</v>
      </c>
      <c r="CA6" s="19">
        <v>2</v>
      </c>
      <c r="CB6" s="19">
        <v>2</v>
      </c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</row>
    <row r="7" spans="1:164" x14ac:dyDescent="0.25">
      <c r="A7" s="19" t="s">
        <v>383</v>
      </c>
      <c r="B7" s="19"/>
      <c r="C7" s="19"/>
      <c r="D7" s="19"/>
      <c r="E7" s="19" t="s">
        <v>150</v>
      </c>
      <c r="F7" s="20"/>
      <c r="G7" s="21"/>
      <c r="H7" s="21"/>
      <c r="I7" s="19">
        <f t="shared" si="0"/>
        <v>14</v>
      </c>
      <c r="J7" s="19">
        <f t="shared" si="1"/>
        <v>0</v>
      </c>
      <c r="K7" s="19">
        <f t="shared" si="2"/>
        <v>0</v>
      </c>
      <c r="L7" s="19">
        <f t="shared" si="3"/>
        <v>4</v>
      </c>
      <c r="M7" s="19">
        <f t="shared" si="4"/>
        <v>0</v>
      </c>
      <c r="N7" s="19">
        <f t="shared" si="5"/>
        <v>10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>
        <v>1</v>
      </c>
      <c r="CK7" s="19">
        <v>1</v>
      </c>
      <c r="CL7" s="19">
        <v>1</v>
      </c>
      <c r="CM7" s="19">
        <v>1</v>
      </c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>
        <v>2</v>
      </c>
      <c r="DR7" s="19"/>
      <c r="DS7" s="19"/>
      <c r="DT7" s="19"/>
      <c r="DU7" s="19">
        <v>2</v>
      </c>
      <c r="DV7" s="19">
        <v>2</v>
      </c>
      <c r="DW7" s="19">
        <v>2</v>
      </c>
      <c r="DX7" s="19"/>
      <c r="DY7" s="19"/>
      <c r="DZ7" s="19"/>
      <c r="EA7" s="19"/>
      <c r="EB7" s="19"/>
      <c r="EC7" s="19">
        <v>2</v>
      </c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</row>
    <row r="8" spans="1:164" x14ac:dyDescent="0.25">
      <c r="A8" s="19" t="s">
        <v>384</v>
      </c>
      <c r="B8" s="19"/>
      <c r="C8" s="19"/>
      <c r="D8" s="19"/>
      <c r="E8" s="19" t="s">
        <v>150</v>
      </c>
      <c r="F8" s="20"/>
      <c r="G8" s="21"/>
      <c r="H8" s="21"/>
      <c r="I8" s="19">
        <f t="shared" si="0"/>
        <v>12</v>
      </c>
      <c r="J8" s="19">
        <f t="shared" si="1"/>
        <v>0</v>
      </c>
      <c r="K8" s="19">
        <f t="shared" si="2"/>
        <v>0</v>
      </c>
      <c r="L8" s="19">
        <f t="shared" si="3"/>
        <v>0</v>
      </c>
      <c r="M8" s="19">
        <f t="shared" si="4"/>
        <v>0</v>
      </c>
      <c r="N8" s="19">
        <f t="shared" si="5"/>
        <v>12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>
        <v>1</v>
      </c>
      <c r="EI8" s="19"/>
      <c r="EJ8" s="19">
        <v>1</v>
      </c>
      <c r="EK8" s="19"/>
      <c r="EL8" s="19"/>
      <c r="EM8" s="19">
        <v>1</v>
      </c>
      <c r="EN8" s="19">
        <v>1</v>
      </c>
      <c r="EO8" s="19"/>
      <c r="EP8" s="19">
        <v>1</v>
      </c>
      <c r="EQ8" s="19"/>
      <c r="ER8" s="19">
        <v>1</v>
      </c>
      <c r="ES8" s="19"/>
      <c r="ET8" s="19">
        <v>1</v>
      </c>
      <c r="EU8" s="19"/>
      <c r="EV8" s="19"/>
      <c r="EW8" s="19">
        <v>1</v>
      </c>
      <c r="EX8" s="19"/>
      <c r="EY8" s="19"/>
      <c r="EZ8" s="19"/>
      <c r="FA8" s="19">
        <v>1</v>
      </c>
      <c r="FB8" s="19"/>
      <c r="FC8" s="19"/>
      <c r="FD8" s="19">
        <v>1</v>
      </c>
      <c r="FE8" s="19">
        <v>1</v>
      </c>
      <c r="FF8" s="19"/>
      <c r="FG8" s="19">
        <v>1</v>
      </c>
      <c r="FH8" s="19"/>
    </row>
    <row r="9" spans="1:164" x14ac:dyDescent="0.25">
      <c r="A9" s="19" t="s">
        <v>385</v>
      </c>
      <c r="B9" s="19"/>
      <c r="C9" s="19"/>
      <c r="D9" s="19"/>
      <c r="E9" s="19" t="s">
        <v>150</v>
      </c>
      <c r="F9" s="20"/>
      <c r="G9" s="21"/>
      <c r="H9" s="21"/>
      <c r="I9" s="19">
        <f t="shared" si="0"/>
        <v>2</v>
      </c>
      <c r="J9" s="19">
        <f t="shared" si="1"/>
        <v>0</v>
      </c>
      <c r="K9" s="19">
        <f t="shared" si="2"/>
        <v>0</v>
      </c>
      <c r="L9" s="19">
        <f t="shared" si="3"/>
        <v>0</v>
      </c>
      <c r="M9" s="19">
        <f t="shared" si="4"/>
        <v>0</v>
      </c>
      <c r="N9" s="19">
        <f t="shared" si="5"/>
        <v>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>
        <v>1</v>
      </c>
      <c r="EY9" s="19">
        <v>1</v>
      </c>
      <c r="EZ9" s="19"/>
      <c r="FA9" s="19"/>
      <c r="FB9" s="19"/>
      <c r="FC9" s="19"/>
      <c r="FD9" s="19"/>
      <c r="FE9" s="19"/>
      <c r="FF9" s="19"/>
      <c r="FG9" s="19"/>
      <c r="FH9" s="19"/>
    </row>
    <row r="10" spans="1:164" x14ac:dyDescent="0.25">
      <c r="A10" s="19" t="s">
        <v>386</v>
      </c>
      <c r="B10" s="19"/>
      <c r="C10" s="19"/>
      <c r="D10" s="19"/>
      <c r="E10" s="19" t="s">
        <v>150</v>
      </c>
      <c r="F10" s="20"/>
      <c r="G10" s="21"/>
      <c r="H10" s="21"/>
      <c r="I10" s="19">
        <f t="shared" si="0"/>
        <v>8</v>
      </c>
      <c r="J10" s="19">
        <f t="shared" si="1"/>
        <v>8</v>
      </c>
      <c r="K10" s="19">
        <f t="shared" si="2"/>
        <v>0</v>
      </c>
      <c r="L10" s="19">
        <f t="shared" si="3"/>
        <v>0</v>
      </c>
      <c r="M10" s="19">
        <f t="shared" si="4"/>
        <v>0</v>
      </c>
      <c r="N10" s="19">
        <f t="shared" si="5"/>
        <v>0</v>
      </c>
      <c r="O10" s="19">
        <v>4</v>
      </c>
      <c r="P10" s="19">
        <v>4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</row>
    <row r="11" spans="1:164" x14ac:dyDescent="0.25">
      <c r="A11" s="19" t="s">
        <v>336</v>
      </c>
      <c r="B11" s="19"/>
      <c r="C11" s="19"/>
      <c r="D11" s="19"/>
      <c r="E11" s="19" t="s">
        <v>150</v>
      </c>
      <c r="F11" s="20"/>
      <c r="G11" s="21"/>
      <c r="H11" s="21"/>
      <c r="I11" s="19">
        <f t="shared" si="0"/>
        <v>12</v>
      </c>
      <c r="J11" s="19">
        <f t="shared" si="1"/>
        <v>0</v>
      </c>
      <c r="K11" s="19">
        <f t="shared" si="2"/>
        <v>0</v>
      </c>
      <c r="L11" s="19">
        <f t="shared" si="3"/>
        <v>0</v>
      </c>
      <c r="M11" s="19">
        <f t="shared" si="4"/>
        <v>12</v>
      </c>
      <c r="N11" s="19">
        <f t="shared" si="5"/>
        <v>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>
        <v>3</v>
      </c>
      <c r="CV11" s="19">
        <v>3</v>
      </c>
      <c r="CW11" s="19">
        <v>3</v>
      </c>
      <c r="CX11" s="19">
        <v>3</v>
      </c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</row>
    <row r="12" spans="1:164" x14ac:dyDescent="0.25">
      <c r="A12" s="19" t="s">
        <v>160</v>
      </c>
      <c r="B12" s="19" t="s">
        <v>161</v>
      </c>
      <c r="C12" s="19">
        <v>2000</v>
      </c>
      <c r="D12" s="19">
        <v>800</v>
      </c>
      <c r="E12" s="19" t="s">
        <v>158</v>
      </c>
      <c r="F12" s="20"/>
      <c r="G12" s="23">
        <f>(C12/1000+D12/1000)*2</f>
        <v>5.6</v>
      </c>
      <c r="H12" s="21">
        <f>G12*I12</f>
        <v>4.1887999999999996</v>
      </c>
      <c r="I12" s="19">
        <f t="shared" si="0"/>
        <v>0.748</v>
      </c>
      <c r="J12" s="19">
        <f t="shared" si="1"/>
        <v>0</v>
      </c>
      <c r="K12" s="19">
        <f t="shared" si="2"/>
        <v>0</v>
      </c>
      <c r="L12" s="19">
        <f t="shared" si="3"/>
        <v>0.748</v>
      </c>
      <c r="M12" s="19">
        <f t="shared" si="4"/>
        <v>0</v>
      </c>
      <c r="N12" s="19">
        <f t="shared" si="5"/>
        <v>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>
        <f>0.948-0.2</f>
        <v>0.748</v>
      </c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</row>
    <row r="13" spans="1:164" x14ac:dyDescent="0.25">
      <c r="A13" s="19" t="s">
        <v>160</v>
      </c>
      <c r="B13" s="19" t="s">
        <v>161</v>
      </c>
      <c r="C13" s="19">
        <v>1700</v>
      </c>
      <c r="D13" s="19">
        <v>350</v>
      </c>
      <c r="E13" s="19" t="s">
        <v>158</v>
      </c>
      <c r="F13" s="20"/>
      <c r="G13" s="23">
        <f t="shared" ref="G13:G44" si="6">(C13/1000+D13/1000)*2</f>
        <v>4.0999999999999996</v>
      </c>
      <c r="H13" s="21">
        <f t="shared" ref="H13:H44" si="7">G13*I13</f>
        <v>7.38</v>
      </c>
      <c r="I13" s="19">
        <f t="shared" si="0"/>
        <v>1.8</v>
      </c>
      <c r="J13" s="19">
        <f t="shared" si="1"/>
        <v>0</v>
      </c>
      <c r="K13" s="19">
        <f t="shared" si="2"/>
        <v>0</v>
      </c>
      <c r="L13" s="19">
        <f t="shared" si="3"/>
        <v>0</v>
      </c>
      <c r="M13" s="19">
        <f t="shared" si="4"/>
        <v>1.8</v>
      </c>
      <c r="N13" s="19">
        <f t="shared" si="5"/>
        <v>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>
        <f>2-0.2</f>
        <v>1.8</v>
      </c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</row>
    <row r="14" spans="1:164" x14ac:dyDescent="0.25">
      <c r="A14" s="19" t="s">
        <v>160</v>
      </c>
      <c r="B14" s="19" t="s">
        <v>161</v>
      </c>
      <c r="C14" s="19">
        <v>1600</v>
      </c>
      <c r="D14" s="19">
        <v>630</v>
      </c>
      <c r="E14" s="19" t="s">
        <v>158</v>
      </c>
      <c r="F14" s="20"/>
      <c r="G14" s="23">
        <f t="shared" si="6"/>
        <v>4.46</v>
      </c>
      <c r="H14" s="21">
        <f t="shared" si="7"/>
        <v>4.46</v>
      </c>
      <c r="I14" s="19">
        <f t="shared" si="0"/>
        <v>1</v>
      </c>
      <c r="J14" s="19">
        <f t="shared" si="1"/>
        <v>0</v>
      </c>
      <c r="K14" s="19">
        <f t="shared" si="2"/>
        <v>0</v>
      </c>
      <c r="L14" s="19">
        <f t="shared" si="3"/>
        <v>0</v>
      </c>
      <c r="M14" s="19">
        <f t="shared" si="4"/>
        <v>0</v>
      </c>
      <c r="N14" s="19">
        <f t="shared" si="5"/>
        <v>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>
        <v>1</v>
      </c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</row>
    <row r="15" spans="1:164" x14ac:dyDescent="0.25">
      <c r="A15" s="19" t="s">
        <v>160</v>
      </c>
      <c r="B15" s="19" t="s">
        <v>161</v>
      </c>
      <c r="C15" s="19">
        <v>1600</v>
      </c>
      <c r="D15" s="19">
        <v>500</v>
      </c>
      <c r="E15" s="19" t="s">
        <v>158</v>
      </c>
      <c r="F15" s="20"/>
      <c r="G15" s="23">
        <f t="shared" si="6"/>
        <v>4.2</v>
      </c>
      <c r="H15" s="21">
        <f t="shared" si="7"/>
        <v>51.24</v>
      </c>
      <c r="I15" s="19">
        <f t="shared" si="0"/>
        <v>12.2</v>
      </c>
      <c r="J15" s="19">
        <f t="shared" si="1"/>
        <v>0</v>
      </c>
      <c r="K15" s="19">
        <f t="shared" si="2"/>
        <v>0</v>
      </c>
      <c r="L15" s="19">
        <f t="shared" si="3"/>
        <v>0</v>
      </c>
      <c r="M15" s="19">
        <f t="shared" si="4"/>
        <v>0</v>
      </c>
      <c r="N15" s="19">
        <f t="shared" si="5"/>
        <v>12.2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>
        <f>0.6*2</f>
        <v>1.2</v>
      </c>
      <c r="DL15" s="19"/>
      <c r="DM15" s="19"/>
      <c r="DN15" s="19">
        <f>15-4</f>
        <v>11</v>
      </c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</row>
    <row r="16" spans="1:164" x14ac:dyDescent="0.25">
      <c r="A16" s="19" t="s">
        <v>160</v>
      </c>
      <c r="B16" s="19" t="s">
        <v>161</v>
      </c>
      <c r="C16" s="19">
        <v>1600</v>
      </c>
      <c r="D16" s="19">
        <v>400</v>
      </c>
      <c r="E16" s="19" t="s">
        <v>158</v>
      </c>
      <c r="F16" s="20"/>
      <c r="G16" s="23">
        <f t="shared" si="6"/>
        <v>4</v>
      </c>
      <c r="H16" s="21">
        <f t="shared" si="7"/>
        <v>544.4799999999999</v>
      </c>
      <c r="I16" s="19">
        <f t="shared" si="0"/>
        <v>136.11999999999998</v>
      </c>
      <c r="J16" s="19">
        <f t="shared" si="1"/>
        <v>0</v>
      </c>
      <c r="K16" s="19">
        <f t="shared" si="2"/>
        <v>134.91999999999999</v>
      </c>
      <c r="L16" s="19">
        <f t="shared" si="3"/>
        <v>0</v>
      </c>
      <c r="M16" s="19">
        <f t="shared" si="4"/>
        <v>0</v>
      </c>
      <c r="N16" s="19">
        <f t="shared" si="5"/>
        <v>1.2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>
        <f>42.83+0.4-(8.7+0.8)</f>
        <v>33.729999999999997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>
        <f>42.83+0.4-(8.7+0.8)</f>
        <v>33.729999999999997</v>
      </c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>
        <f>42.83+0.4-(8.7+0.8)</f>
        <v>33.729999999999997</v>
      </c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>
        <f>42.83+0.4-(8.7+0.8)</f>
        <v>33.729999999999997</v>
      </c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>
        <f>0.6*2</f>
        <v>1.2</v>
      </c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</row>
    <row r="17" spans="1:164" x14ac:dyDescent="0.25">
      <c r="A17" s="19" t="s">
        <v>160</v>
      </c>
      <c r="B17" s="19" t="s">
        <v>162</v>
      </c>
      <c r="C17" s="19">
        <v>1500</v>
      </c>
      <c r="D17" s="19">
        <v>600</v>
      </c>
      <c r="E17" s="19" t="s">
        <v>158</v>
      </c>
      <c r="F17" s="20"/>
      <c r="G17" s="23">
        <f t="shared" si="6"/>
        <v>4.2</v>
      </c>
      <c r="H17" s="21">
        <f t="shared" si="7"/>
        <v>10.08</v>
      </c>
      <c r="I17" s="19">
        <f t="shared" si="0"/>
        <v>2.4</v>
      </c>
      <c r="J17" s="19">
        <f t="shared" si="1"/>
        <v>0</v>
      </c>
      <c r="K17" s="19">
        <f t="shared" si="2"/>
        <v>0</v>
      </c>
      <c r="L17" s="19">
        <f t="shared" si="3"/>
        <v>0</v>
      </c>
      <c r="M17" s="19">
        <f t="shared" si="4"/>
        <v>0</v>
      </c>
      <c r="N17" s="19">
        <f t="shared" si="5"/>
        <v>2.4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>
        <f>0.6*2</f>
        <v>1.2</v>
      </c>
      <c r="DH17" s="19">
        <f>0.6*2</f>
        <v>1.2</v>
      </c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</row>
    <row r="18" spans="1:164" x14ac:dyDescent="0.25">
      <c r="A18" s="19" t="s">
        <v>160</v>
      </c>
      <c r="B18" s="19" t="s">
        <v>162</v>
      </c>
      <c r="C18" s="19">
        <v>1350</v>
      </c>
      <c r="D18" s="19">
        <v>400</v>
      </c>
      <c r="E18" s="19" t="s">
        <v>158</v>
      </c>
      <c r="F18" s="20"/>
      <c r="G18" s="23">
        <f t="shared" si="6"/>
        <v>3.5</v>
      </c>
      <c r="H18" s="21">
        <f t="shared" si="7"/>
        <v>50.399999999999991</v>
      </c>
      <c r="I18" s="19">
        <f t="shared" si="0"/>
        <v>14.399999999999999</v>
      </c>
      <c r="J18" s="19">
        <f t="shared" si="1"/>
        <v>0</v>
      </c>
      <c r="K18" s="19">
        <f t="shared" si="2"/>
        <v>14.399999999999999</v>
      </c>
      <c r="L18" s="19">
        <f t="shared" si="3"/>
        <v>0</v>
      </c>
      <c r="M18" s="19">
        <f t="shared" si="4"/>
        <v>0</v>
      </c>
      <c r="N18" s="19">
        <f t="shared" si="5"/>
        <v>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>
        <f>0.3*12</f>
        <v>3.5999999999999996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>
        <f>0.3*12</f>
        <v>3.5999999999999996</v>
      </c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>
        <f>0.3*12</f>
        <v>3.5999999999999996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>
        <f>0.3*12</f>
        <v>3.5999999999999996</v>
      </c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</row>
    <row r="19" spans="1:164" x14ac:dyDescent="0.25">
      <c r="A19" s="19" t="s">
        <v>160</v>
      </c>
      <c r="B19" s="19" t="s">
        <v>162</v>
      </c>
      <c r="C19" s="19">
        <v>1300</v>
      </c>
      <c r="D19" s="19">
        <v>800</v>
      </c>
      <c r="E19" s="19" t="s">
        <v>158</v>
      </c>
      <c r="F19" s="20"/>
      <c r="G19" s="23">
        <f t="shared" si="6"/>
        <v>4.2</v>
      </c>
      <c r="H19" s="21">
        <f t="shared" si="7"/>
        <v>5.0819999999999999</v>
      </c>
      <c r="I19" s="19">
        <f t="shared" si="0"/>
        <v>1.21</v>
      </c>
      <c r="J19" s="19">
        <f t="shared" si="1"/>
        <v>0</v>
      </c>
      <c r="K19" s="19">
        <f t="shared" si="2"/>
        <v>0</v>
      </c>
      <c r="L19" s="19">
        <f t="shared" si="3"/>
        <v>0</v>
      </c>
      <c r="M19" s="19">
        <f t="shared" si="4"/>
        <v>0</v>
      </c>
      <c r="N19" s="19">
        <f t="shared" si="5"/>
        <v>1.21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>
        <f>0.61</f>
        <v>0.61</v>
      </c>
      <c r="DJ19" s="19"/>
      <c r="DK19" s="19"/>
      <c r="DL19" s="19"/>
      <c r="DM19" s="19">
        <f>0.6</f>
        <v>0.6</v>
      </c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</row>
    <row r="20" spans="1:164" x14ac:dyDescent="0.25">
      <c r="A20" s="19" t="s">
        <v>160</v>
      </c>
      <c r="B20" s="19" t="s">
        <v>162</v>
      </c>
      <c r="C20" s="19">
        <v>1250</v>
      </c>
      <c r="D20" s="19">
        <v>800</v>
      </c>
      <c r="E20" s="19" t="s">
        <v>158</v>
      </c>
      <c r="F20" s="20"/>
      <c r="G20" s="23">
        <f t="shared" si="6"/>
        <v>4.0999999999999996</v>
      </c>
      <c r="H20" s="21">
        <f t="shared" si="7"/>
        <v>9.4299999999999979</v>
      </c>
      <c r="I20" s="19">
        <f t="shared" si="0"/>
        <v>2.2999999999999998</v>
      </c>
      <c r="J20" s="19">
        <f t="shared" si="1"/>
        <v>2.2999999999999998</v>
      </c>
      <c r="K20" s="19">
        <f t="shared" si="2"/>
        <v>0</v>
      </c>
      <c r="L20" s="19">
        <f t="shared" si="3"/>
        <v>0</v>
      </c>
      <c r="M20" s="19">
        <f t="shared" si="4"/>
        <v>0</v>
      </c>
      <c r="N20" s="19">
        <f t="shared" si="5"/>
        <v>0</v>
      </c>
      <c r="O20" s="19"/>
      <c r="P20" s="19"/>
      <c r="Q20" s="19"/>
      <c r="R20" s="19">
        <f>2.3</f>
        <v>2.2999999999999998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</row>
    <row r="21" spans="1:164" x14ac:dyDescent="0.25">
      <c r="A21" s="19" t="s">
        <v>160</v>
      </c>
      <c r="B21" s="19" t="s">
        <v>162</v>
      </c>
      <c r="C21" s="19">
        <v>1250</v>
      </c>
      <c r="D21" s="19">
        <v>500</v>
      </c>
      <c r="E21" s="19" t="s">
        <v>158</v>
      </c>
      <c r="F21" s="20"/>
      <c r="G21" s="23">
        <f t="shared" si="6"/>
        <v>3.5</v>
      </c>
      <c r="H21" s="21">
        <f t="shared" si="7"/>
        <v>525.41999999999996</v>
      </c>
      <c r="I21" s="19">
        <f t="shared" si="0"/>
        <v>150.11999999999998</v>
      </c>
      <c r="J21" s="19">
        <f t="shared" si="1"/>
        <v>0</v>
      </c>
      <c r="K21" s="19">
        <f t="shared" si="2"/>
        <v>134.91999999999999</v>
      </c>
      <c r="L21" s="19">
        <f t="shared" si="3"/>
        <v>0</v>
      </c>
      <c r="M21" s="19">
        <f t="shared" si="4"/>
        <v>0</v>
      </c>
      <c r="N21" s="19">
        <f t="shared" si="5"/>
        <v>15.2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>
        <f>42.83+0.4-(8.7+0.8)</f>
        <v>33.729999999999997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>
        <f>42.83+0.4-(8.7+0.8)</f>
        <v>33.729999999999997</v>
      </c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>
        <f>42.83+0.4-(8.7+0.8)</f>
        <v>33.729999999999997</v>
      </c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>
        <f>42.83+0.4-(8.7+0.8)</f>
        <v>33.729999999999997</v>
      </c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>
        <f>(14.2+1)</f>
        <v>15.2</v>
      </c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</row>
    <row r="22" spans="1:164" x14ac:dyDescent="0.25">
      <c r="A22" s="19" t="s">
        <v>160</v>
      </c>
      <c r="B22" s="19" t="s">
        <v>162</v>
      </c>
      <c r="C22" s="19">
        <v>1250</v>
      </c>
      <c r="D22" s="19">
        <v>400</v>
      </c>
      <c r="E22" s="19" t="s">
        <v>158</v>
      </c>
      <c r="F22" s="20"/>
      <c r="G22" s="23">
        <f t="shared" si="6"/>
        <v>3.3</v>
      </c>
      <c r="H22" s="21">
        <f t="shared" si="7"/>
        <v>56.43</v>
      </c>
      <c r="I22" s="19">
        <f t="shared" si="0"/>
        <v>17.100000000000001</v>
      </c>
      <c r="J22" s="19">
        <f t="shared" si="1"/>
        <v>0</v>
      </c>
      <c r="K22" s="19">
        <f t="shared" si="2"/>
        <v>0</v>
      </c>
      <c r="L22" s="19">
        <f t="shared" si="3"/>
        <v>17.100000000000001</v>
      </c>
      <c r="M22" s="19">
        <f t="shared" si="4"/>
        <v>0</v>
      </c>
      <c r="N22" s="19">
        <f t="shared" si="5"/>
        <v>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>
        <v>17.100000000000001</v>
      </c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</row>
    <row r="23" spans="1:164" x14ac:dyDescent="0.25">
      <c r="A23" s="19" t="s">
        <v>160</v>
      </c>
      <c r="B23" s="19" t="s">
        <v>162</v>
      </c>
      <c r="C23" s="19">
        <v>1250</v>
      </c>
      <c r="D23" s="19">
        <v>300</v>
      </c>
      <c r="E23" s="19" t="s">
        <v>158</v>
      </c>
      <c r="F23" s="20"/>
      <c r="G23" s="23">
        <f t="shared" si="6"/>
        <v>3.1</v>
      </c>
      <c r="H23" s="21">
        <f t="shared" si="7"/>
        <v>106.02000000000001</v>
      </c>
      <c r="I23" s="19">
        <f t="shared" si="0"/>
        <v>34.200000000000003</v>
      </c>
      <c r="J23" s="19">
        <f t="shared" si="1"/>
        <v>0</v>
      </c>
      <c r="K23" s="19">
        <f t="shared" si="2"/>
        <v>0</v>
      </c>
      <c r="L23" s="19">
        <f t="shared" si="3"/>
        <v>0</v>
      </c>
      <c r="M23" s="19">
        <f t="shared" si="4"/>
        <v>34.200000000000003</v>
      </c>
      <c r="N23" s="19">
        <f t="shared" si="5"/>
        <v>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>
        <f>17.1</f>
        <v>17.100000000000001</v>
      </c>
      <c r="DC23" s="19"/>
      <c r="DD23" s="19"/>
      <c r="DE23" s="19">
        <f>17.1</f>
        <v>17.100000000000001</v>
      </c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</row>
    <row r="24" spans="1:164" x14ac:dyDescent="0.25">
      <c r="A24" s="19" t="s">
        <v>160</v>
      </c>
      <c r="B24" s="19" t="s">
        <v>162</v>
      </c>
      <c r="C24" s="19">
        <v>1200</v>
      </c>
      <c r="D24" s="19">
        <v>1000</v>
      </c>
      <c r="E24" s="19" t="s">
        <v>158</v>
      </c>
      <c r="F24" s="20"/>
      <c r="G24" s="23">
        <f t="shared" si="6"/>
        <v>4.4000000000000004</v>
      </c>
      <c r="H24" s="21">
        <f t="shared" si="7"/>
        <v>2.8160000000000003</v>
      </c>
      <c r="I24" s="19">
        <f t="shared" si="0"/>
        <v>0.64</v>
      </c>
      <c r="J24" s="19">
        <f t="shared" si="1"/>
        <v>0</v>
      </c>
      <c r="K24" s="19">
        <f t="shared" si="2"/>
        <v>0</v>
      </c>
      <c r="L24" s="19">
        <f t="shared" si="3"/>
        <v>0</v>
      </c>
      <c r="M24" s="19">
        <f t="shared" si="4"/>
        <v>0.64</v>
      </c>
      <c r="N24" s="19">
        <f t="shared" si="5"/>
        <v>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>
        <f>0.32</f>
        <v>0.32</v>
      </c>
      <c r="DD24" s="19">
        <f>0.32</f>
        <v>0.32</v>
      </c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</row>
    <row r="25" spans="1:164" x14ac:dyDescent="0.25">
      <c r="A25" s="19" t="s">
        <v>160</v>
      </c>
      <c r="B25" s="19" t="s">
        <v>162</v>
      </c>
      <c r="C25" s="19">
        <v>1200</v>
      </c>
      <c r="D25" s="19">
        <v>300</v>
      </c>
      <c r="E25" s="19" t="s">
        <v>158</v>
      </c>
      <c r="F25" s="20"/>
      <c r="G25" s="23">
        <f t="shared" si="6"/>
        <v>3</v>
      </c>
      <c r="H25" s="21">
        <f t="shared" si="7"/>
        <v>102.60000000000001</v>
      </c>
      <c r="I25" s="19">
        <f t="shared" si="0"/>
        <v>34.200000000000003</v>
      </c>
      <c r="J25" s="19">
        <f t="shared" si="1"/>
        <v>0</v>
      </c>
      <c r="K25" s="19">
        <f t="shared" si="2"/>
        <v>0</v>
      </c>
      <c r="L25" s="19">
        <f t="shared" si="3"/>
        <v>0</v>
      </c>
      <c r="M25" s="19">
        <f t="shared" si="4"/>
        <v>34.200000000000003</v>
      </c>
      <c r="N25" s="19">
        <f t="shared" si="5"/>
        <v>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>
        <f>17.1</f>
        <v>17.100000000000001</v>
      </c>
      <c r="DD25" s="19">
        <f>17.1</f>
        <v>17.100000000000001</v>
      </c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</row>
    <row r="26" spans="1:164" x14ac:dyDescent="0.25">
      <c r="A26" s="19" t="s">
        <v>160</v>
      </c>
      <c r="B26" s="19" t="s">
        <v>162</v>
      </c>
      <c r="C26" s="19">
        <v>1150</v>
      </c>
      <c r="D26" s="19">
        <v>400</v>
      </c>
      <c r="E26" s="19" t="s">
        <v>158</v>
      </c>
      <c r="F26" s="20"/>
      <c r="G26" s="23">
        <f t="shared" si="6"/>
        <v>3.0999999999999996</v>
      </c>
      <c r="H26" s="21">
        <f t="shared" si="7"/>
        <v>28.519999999999996</v>
      </c>
      <c r="I26" s="19">
        <f t="shared" si="0"/>
        <v>9.1999999999999993</v>
      </c>
      <c r="J26" s="19">
        <f t="shared" si="1"/>
        <v>0</v>
      </c>
      <c r="K26" s="19">
        <f t="shared" si="2"/>
        <v>0</v>
      </c>
      <c r="L26" s="19">
        <f t="shared" si="3"/>
        <v>0</v>
      </c>
      <c r="M26" s="19">
        <f t="shared" si="4"/>
        <v>9.1999999999999993</v>
      </c>
      <c r="N26" s="19">
        <f t="shared" si="5"/>
        <v>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>
        <f>6.6-2</f>
        <v>4.5999999999999996</v>
      </c>
      <c r="DD26" s="19">
        <f>6.6-2</f>
        <v>4.5999999999999996</v>
      </c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</row>
    <row r="27" spans="1:164" x14ac:dyDescent="0.25">
      <c r="A27" s="19" t="s">
        <v>160</v>
      </c>
      <c r="B27" s="19" t="s">
        <v>162</v>
      </c>
      <c r="C27" s="19">
        <v>1100</v>
      </c>
      <c r="D27" s="19">
        <v>1100</v>
      </c>
      <c r="E27" s="19" t="s">
        <v>158</v>
      </c>
      <c r="F27" s="20"/>
      <c r="G27" s="23">
        <f t="shared" si="6"/>
        <v>4.4000000000000004</v>
      </c>
      <c r="H27" s="21">
        <f t="shared" si="7"/>
        <v>29.920000000000005</v>
      </c>
      <c r="I27" s="19">
        <f t="shared" si="0"/>
        <v>6.8000000000000007</v>
      </c>
      <c r="J27" s="19">
        <f t="shared" si="1"/>
        <v>0</v>
      </c>
      <c r="K27" s="19">
        <f t="shared" si="2"/>
        <v>6.8000000000000007</v>
      </c>
      <c r="L27" s="19">
        <f t="shared" si="3"/>
        <v>0</v>
      </c>
      <c r="M27" s="19">
        <f t="shared" si="4"/>
        <v>0</v>
      </c>
      <c r="N27" s="19">
        <f t="shared" si="5"/>
        <v>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>
        <f>1.1-0.2</f>
        <v>0.90000000000000013</v>
      </c>
      <c r="AG27" s="19"/>
      <c r="AH27" s="19"/>
      <c r="AI27" s="19">
        <f>1-0.2</f>
        <v>0.8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>
        <f>1.1-0.2</f>
        <v>0.90000000000000013</v>
      </c>
      <c r="AV27" s="19"/>
      <c r="AW27" s="19"/>
      <c r="AX27" s="19">
        <f>1-0.2</f>
        <v>0.8</v>
      </c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>
        <f>1.1-0.2</f>
        <v>0.90000000000000013</v>
      </c>
      <c r="BP27" s="19"/>
      <c r="BQ27" s="19"/>
      <c r="BR27" s="19">
        <f>1-0.2</f>
        <v>0.8</v>
      </c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>
        <f>1.1-0.2</f>
        <v>0.90000000000000013</v>
      </c>
      <c r="CE27" s="19"/>
      <c r="CF27" s="19"/>
      <c r="CG27" s="19">
        <f>1-0.2</f>
        <v>0.8</v>
      </c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</row>
    <row r="28" spans="1:164" x14ac:dyDescent="0.25">
      <c r="A28" s="19" t="s">
        <v>160</v>
      </c>
      <c r="B28" s="19" t="s">
        <v>162</v>
      </c>
      <c r="C28" s="19">
        <v>1100</v>
      </c>
      <c r="D28" s="19">
        <v>800</v>
      </c>
      <c r="E28" s="19" t="s">
        <v>158</v>
      </c>
      <c r="F28" s="20"/>
      <c r="G28" s="23">
        <f t="shared" si="6"/>
        <v>3.8000000000000003</v>
      </c>
      <c r="H28" s="21">
        <f t="shared" si="7"/>
        <v>37.39200000000001</v>
      </c>
      <c r="I28" s="19">
        <f t="shared" si="0"/>
        <v>9.8400000000000016</v>
      </c>
      <c r="J28" s="19">
        <f t="shared" si="1"/>
        <v>0</v>
      </c>
      <c r="K28" s="19">
        <f t="shared" si="2"/>
        <v>9.8400000000000016</v>
      </c>
      <c r="L28" s="19">
        <f t="shared" si="3"/>
        <v>0</v>
      </c>
      <c r="M28" s="19">
        <f t="shared" si="4"/>
        <v>0</v>
      </c>
      <c r="N28" s="19">
        <f t="shared" si="5"/>
        <v>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>
        <f>1.049-0.2</f>
        <v>0.84899999999999998</v>
      </c>
      <c r="AH28" s="19">
        <f>1.055-0.2</f>
        <v>0.85499999999999998</v>
      </c>
      <c r="AI28" s="19"/>
      <c r="AJ28" s="19"/>
      <c r="AK28" s="19">
        <f>0.956-0.2</f>
        <v>0.75600000000000001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>
        <f>1.049-0.2</f>
        <v>0.84899999999999998</v>
      </c>
      <c r="AW28" s="19">
        <f>1.055-0.2</f>
        <v>0.85499999999999998</v>
      </c>
      <c r="AX28" s="19"/>
      <c r="AY28" s="19"/>
      <c r="AZ28" s="19">
        <f>0.956-0.2</f>
        <v>0.75600000000000001</v>
      </c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>
        <f>1.049-0.2</f>
        <v>0.84899999999999998</v>
      </c>
      <c r="BQ28" s="19">
        <f>1.055-0.2</f>
        <v>0.85499999999999998</v>
      </c>
      <c r="BR28" s="19"/>
      <c r="BS28" s="19"/>
      <c r="BT28" s="19">
        <f>0.956-0.2</f>
        <v>0.75600000000000001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>
        <f>1.049-0.2</f>
        <v>0.84899999999999998</v>
      </c>
      <c r="CF28" s="19">
        <f>1.055-0.2</f>
        <v>0.85499999999999998</v>
      </c>
      <c r="CG28" s="19"/>
      <c r="CH28" s="19"/>
      <c r="CI28" s="19">
        <f>0.956-0.2</f>
        <v>0.75600000000000001</v>
      </c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</row>
    <row r="29" spans="1:164" x14ac:dyDescent="0.25">
      <c r="A29" s="19" t="s">
        <v>160</v>
      </c>
      <c r="B29" s="19" t="s">
        <v>162</v>
      </c>
      <c r="C29" s="24" t="s">
        <v>159</v>
      </c>
      <c r="D29" s="19">
        <v>1100</v>
      </c>
      <c r="E29" s="19" t="s">
        <v>158</v>
      </c>
      <c r="F29" s="20"/>
      <c r="G29" s="23">
        <f>3.14*D29/1000</f>
        <v>3.4540000000000002</v>
      </c>
      <c r="H29" s="21">
        <f t="shared" si="7"/>
        <v>1.3816000000000002</v>
      </c>
      <c r="I29" s="19">
        <f t="shared" si="0"/>
        <v>0.4</v>
      </c>
      <c r="J29" s="19">
        <f t="shared" si="1"/>
        <v>0</v>
      </c>
      <c r="K29" s="19">
        <f t="shared" si="2"/>
        <v>0</v>
      </c>
      <c r="L29" s="19">
        <f t="shared" si="3"/>
        <v>0.4</v>
      </c>
      <c r="M29" s="19">
        <f t="shared" si="4"/>
        <v>0</v>
      </c>
      <c r="N29" s="19">
        <f t="shared" si="5"/>
        <v>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>
        <f>0.4</f>
        <v>0.4</v>
      </c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</row>
    <row r="30" spans="1:164" x14ac:dyDescent="0.25">
      <c r="A30" s="19" t="s">
        <v>160</v>
      </c>
      <c r="B30" s="19" t="s">
        <v>162</v>
      </c>
      <c r="C30" s="19">
        <v>1050</v>
      </c>
      <c r="D30" s="19">
        <v>630</v>
      </c>
      <c r="E30" s="19" t="s">
        <v>158</v>
      </c>
      <c r="F30" s="20"/>
      <c r="G30" s="23">
        <f t="shared" si="6"/>
        <v>3.3600000000000003</v>
      </c>
      <c r="H30" s="21">
        <f t="shared" si="7"/>
        <v>32.256000000000007</v>
      </c>
      <c r="I30" s="19">
        <f t="shared" si="0"/>
        <v>9.6000000000000014</v>
      </c>
      <c r="J30" s="19">
        <f t="shared" si="1"/>
        <v>0</v>
      </c>
      <c r="K30" s="19">
        <f t="shared" si="2"/>
        <v>9.6000000000000014</v>
      </c>
      <c r="L30" s="19">
        <f t="shared" si="3"/>
        <v>0</v>
      </c>
      <c r="M30" s="19">
        <f t="shared" si="4"/>
        <v>0</v>
      </c>
      <c r="N30" s="19">
        <f t="shared" si="5"/>
        <v>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>
        <f>0.2*12</f>
        <v>2.4000000000000004</v>
      </c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>
        <f>0.2*12</f>
        <v>2.4000000000000004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>
        <f>0.2*12</f>
        <v>2.4000000000000004</v>
      </c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>
        <f>0.2*12</f>
        <v>2.4000000000000004</v>
      </c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</row>
    <row r="31" spans="1:164" x14ac:dyDescent="0.25">
      <c r="A31" s="19" t="s">
        <v>160</v>
      </c>
      <c r="B31" s="19" t="s">
        <v>163</v>
      </c>
      <c r="C31" s="24" t="s">
        <v>159</v>
      </c>
      <c r="D31" s="19">
        <v>1000</v>
      </c>
      <c r="E31" s="19" t="s">
        <v>158</v>
      </c>
      <c r="F31" s="20"/>
      <c r="G31" s="23">
        <f>3.14*D31/1000</f>
        <v>3.14</v>
      </c>
      <c r="H31" s="21">
        <f t="shared" si="7"/>
        <v>7.3852800000000016</v>
      </c>
      <c r="I31" s="19">
        <f t="shared" si="0"/>
        <v>2.3520000000000003</v>
      </c>
      <c r="J31" s="19">
        <f t="shared" si="1"/>
        <v>0</v>
      </c>
      <c r="K31" s="19">
        <f t="shared" si="2"/>
        <v>0</v>
      </c>
      <c r="L31" s="19">
        <f t="shared" si="3"/>
        <v>0.752</v>
      </c>
      <c r="M31" s="19">
        <f t="shared" si="4"/>
        <v>0</v>
      </c>
      <c r="N31" s="19">
        <f t="shared" si="5"/>
        <v>1.6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>
        <f>0.252+0.5</f>
        <v>0.752</v>
      </c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>
        <f>0.8+0.8</f>
        <v>1.6</v>
      </c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</row>
    <row r="32" spans="1:164" x14ac:dyDescent="0.25">
      <c r="A32" s="19" t="s">
        <v>160</v>
      </c>
      <c r="B32" s="19" t="s">
        <v>163</v>
      </c>
      <c r="C32" s="19">
        <v>1000</v>
      </c>
      <c r="D32" s="19">
        <v>1000</v>
      </c>
      <c r="E32" s="19" t="s">
        <v>158</v>
      </c>
      <c r="F32" s="20"/>
      <c r="G32" s="23">
        <f t="shared" si="6"/>
        <v>4</v>
      </c>
      <c r="H32" s="21">
        <f t="shared" si="7"/>
        <v>51.344000000000001</v>
      </c>
      <c r="I32" s="19">
        <f t="shared" si="0"/>
        <v>12.836</v>
      </c>
      <c r="J32" s="19">
        <f t="shared" si="1"/>
        <v>0</v>
      </c>
      <c r="K32" s="19">
        <f t="shared" si="2"/>
        <v>0</v>
      </c>
      <c r="L32" s="19">
        <f t="shared" si="3"/>
        <v>12.836</v>
      </c>
      <c r="M32" s="19">
        <f t="shared" si="4"/>
        <v>0</v>
      </c>
      <c r="N32" s="19">
        <f t="shared" si="5"/>
        <v>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>
        <f>12.3+0.536</f>
        <v>12.836</v>
      </c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</row>
    <row r="33" spans="1:164" x14ac:dyDescent="0.25">
      <c r="A33" s="19" t="s">
        <v>160</v>
      </c>
      <c r="B33" s="19" t="s">
        <v>163</v>
      </c>
      <c r="C33" s="19">
        <v>1000</v>
      </c>
      <c r="D33" s="19">
        <v>800</v>
      </c>
      <c r="E33" s="19" t="s">
        <v>158</v>
      </c>
      <c r="F33" s="20"/>
      <c r="G33" s="23">
        <f t="shared" si="6"/>
        <v>3.6</v>
      </c>
      <c r="H33" s="21">
        <f t="shared" si="7"/>
        <v>18.327599999999997</v>
      </c>
      <c r="I33" s="19">
        <f t="shared" si="0"/>
        <v>5.0909999999999993</v>
      </c>
      <c r="J33" s="19">
        <f t="shared" si="1"/>
        <v>2.4350000000000001</v>
      </c>
      <c r="K33" s="19">
        <f t="shared" si="2"/>
        <v>2.6559999999999997</v>
      </c>
      <c r="L33" s="19">
        <f t="shared" si="3"/>
        <v>0</v>
      </c>
      <c r="M33" s="19">
        <f t="shared" si="4"/>
        <v>0</v>
      </c>
      <c r="N33" s="19">
        <f t="shared" si="5"/>
        <v>0</v>
      </c>
      <c r="O33" s="19"/>
      <c r="P33" s="19"/>
      <c r="Q33" s="19">
        <f>2.435</f>
        <v>2.4350000000000001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>
        <f>0.864-0.2</f>
        <v>0.66399999999999992</v>
      </c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>
        <f>0.864-0.2</f>
        <v>0.66399999999999992</v>
      </c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>
        <f>0.864-0.2</f>
        <v>0.66399999999999992</v>
      </c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>
        <f>0.864-0.2</f>
        <v>0.66399999999999992</v>
      </c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</row>
    <row r="34" spans="1:164" x14ac:dyDescent="0.25">
      <c r="A34" s="19" t="s">
        <v>160</v>
      </c>
      <c r="B34" s="19" t="s">
        <v>163</v>
      </c>
      <c r="C34" s="19">
        <v>1000</v>
      </c>
      <c r="D34" s="19">
        <v>630</v>
      </c>
      <c r="E34" s="19" t="s">
        <v>158</v>
      </c>
      <c r="F34" s="20"/>
      <c r="G34" s="23">
        <f t="shared" si="6"/>
        <v>3.26</v>
      </c>
      <c r="H34" s="21">
        <f t="shared" si="7"/>
        <v>164.59739999999996</v>
      </c>
      <c r="I34" s="19">
        <f t="shared" si="0"/>
        <v>50.489999999999995</v>
      </c>
      <c r="J34" s="19">
        <f t="shared" si="1"/>
        <v>0</v>
      </c>
      <c r="K34" s="19">
        <f t="shared" si="2"/>
        <v>0</v>
      </c>
      <c r="L34" s="19">
        <f t="shared" si="3"/>
        <v>0</v>
      </c>
      <c r="M34" s="19">
        <f t="shared" si="4"/>
        <v>0</v>
      </c>
      <c r="N34" s="19">
        <f t="shared" si="5"/>
        <v>50.489999999999995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>
        <f>2.842</f>
        <v>2.8420000000000001</v>
      </c>
      <c r="DH34" s="19">
        <f>1.637+4.152-0.4+(14.2+1)</f>
        <v>20.588999999999999</v>
      </c>
      <c r="DI34" s="19"/>
      <c r="DJ34" s="19">
        <f>3.098+7.256-0.2</f>
        <v>10.154</v>
      </c>
      <c r="DK34" s="19"/>
      <c r="DL34" s="19">
        <f>3.571+13.734-0.4</f>
        <v>16.905000000000001</v>
      </c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</row>
    <row r="35" spans="1:164" x14ac:dyDescent="0.25">
      <c r="A35" s="19" t="s">
        <v>160</v>
      </c>
      <c r="B35" s="19" t="s">
        <v>163</v>
      </c>
      <c r="C35" s="19">
        <v>1000</v>
      </c>
      <c r="D35" s="19">
        <v>500</v>
      </c>
      <c r="E35" s="19" t="s">
        <v>158</v>
      </c>
      <c r="F35" s="20"/>
      <c r="G35" s="23">
        <f t="shared" si="6"/>
        <v>3</v>
      </c>
      <c r="H35" s="21">
        <f t="shared" si="7"/>
        <v>737.63399999999979</v>
      </c>
      <c r="I35" s="19">
        <f t="shared" si="0"/>
        <v>245.87799999999993</v>
      </c>
      <c r="J35" s="19">
        <f t="shared" si="1"/>
        <v>0</v>
      </c>
      <c r="K35" s="19">
        <f t="shared" si="2"/>
        <v>216.00799999999998</v>
      </c>
      <c r="L35" s="19">
        <f t="shared" si="3"/>
        <v>2.516</v>
      </c>
      <c r="M35" s="19">
        <f t="shared" si="4"/>
        <v>11.065000000000001</v>
      </c>
      <c r="N35" s="19">
        <f t="shared" si="5"/>
        <v>16.289000000000001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>
        <f>0.351*2</f>
        <v>0.70199999999999996</v>
      </c>
      <c r="AH35" s="19"/>
      <c r="AI35" s="19"/>
      <c r="AJ35" s="19">
        <f>0.3*2</f>
        <v>0.6</v>
      </c>
      <c r="AK35" s="19">
        <f>42.85+0.4+9.95-0.5</f>
        <v>52.7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>
        <f>0.351*2</f>
        <v>0.70199999999999996</v>
      </c>
      <c r="AW35" s="19"/>
      <c r="AX35" s="19"/>
      <c r="AY35" s="19">
        <f>0.3*2</f>
        <v>0.6</v>
      </c>
      <c r="AZ35" s="19">
        <f>42.85+0.4+9.95-0.5</f>
        <v>52.7</v>
      </c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>
        <f>0.351*2</f>
        <v>0.70199999999999996</v>
      </c>
      <c r="BQ35" s="19"/>
      <c r="BR35" s="19"/>
      <c r="BS35" s="19">
        <f>0.3*2</f>
        <v>0.6</v>
      </c>
      <c r="BT35" s="19">
        <f>42.85+0.4+9.95-0.5</f>
        <v>52.7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>
        <f>0.351*2</f>
        <v>0.70199999999999996</v>
      </c>
      <c r="CF35" s="19"/>
      <c r="CG35" s="19"/>
      <c r="CH35" s="19">
        <f>0.3*2</f>
        <v>0.6</v>
      </c>
      <c r="CI35" s="19">
        <f>42.85+0.4+9.95-0.5</f>
        <v>52.7</v>
      </c>
      <c r="CJ35" s="19"/>
      <c r="CK35" s="19"/>
      <c r="CL35" s="19"/>
      <c r="CM35" s="19"/>
      <c r="CN35" s="19"/>
      <c r="CO35" s="19"/>
      <c r="CP35" s="19"/>
      <c r="CQ35" s="19">
        <f>0.35*2</f>
        <v>0.7</v>
      </c>
      <c r="CR35" s="19">
        <f>0.558</f>
        <v>0.55800000000000005</v>
      </c>
      <c r="CS35" s="19">
        <f>0.558</f>
        <v>0.55800000000000005</v>
      </c>
      <c r="CT35" s="19">
        <f>0.35*2</f>
        <v>0.7</v>
      </c>
      <c r="CU35" s="19"/>
      <c r="CV35" s="19"/>
      <c r="CW35" s="19"/>
      <c r="CX35" s="19"/>
      <c r="CY35" s="19"/>
      <c r="CZ35" s="19"/>
      <c r="DA35" s="19"/>
      <c r="DB35" s="19">
        <f>2+1.691-0.4</f>
        <v>3.2909999999999999</v>
      </c>
      <c r="DC35" s="19">
        <f>2.051-0.4+1.31</f>
        <v>2.9610000000000003</v>
      </c>
      <c r="DD35" s="19">
        <f>2.779-0.4</f>
        <v>2.379</v>
      </c>
      <c r="DE35" s="19">
        <f>2.834-0.4</f>
        <v>2.4340000000000002</v>
      </c>
      <c r="DF35" s="19"/>
      <c r="DG35" s="19"/>
      <c r="DH35" s="19"/>
      <c r="DI35" s="19"/>
      <c r="DJ35" s="19"/>
      <c r="DK35" s="19"/>
      <c r="DL35" s="19"/>
      <c r="DM35" s="19"/>
      <c r="DN35" s="19">
        <f>2.228+14.461-0.4</f>
        <v>16.289000000000001</v>
      </c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</row>
    <row r="36" spans="1:164" x14ac:dyDescent="0.25">
      <c r="A36" s="19" t="s">
        <v>160</v>
      </c>
      <c r="B36" s="19" t="s">
        <v>163</v>
      </c>
      <c r="C36" s="19">
        <v>1000</v>
      </c>
      <c r="D36" s="19">
        <v>400</v>
      </c>
      <c r="E36" s="19" t="s">
        <v>158</v>
      </c>
      <c r="F36" s="20"/>
      <c r="G36" s="23">
        <f t="shared" si="6"/>
        <v>2.8</v>
      </c>
      <c r="H36" s="21">
        <f t="shared" si="7"/>
        <v>228.48000000000002</v>
      </c>
      <c r="I36" s="19">
        <f t="shared" si="0"/>
        <v>81.600000000000009</v>
      </c>
      <c r="J36" s="19">
        <f t="shared" si="1"/>
        <v>0</v>
      </c>
      <c r="K36" s="19">
        <f t="shared" si="2"/>
        <v>0</v>
      </c>
      <c r="L36" s="19">
        <f t="shared" si="3"/>
        <v>81.600000000000009</v>
      </c>
      <c r="M36" s="19">
        <f t="shared" si="4"/>
        <v>0</v>
      </c>
      <c r="N36" s="19">
        <f t="shared" si="5"/>
        <v>0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>
        <f>17.1+0.3</f>
        <v>17.400000000000002</v>
      </c>
      <c r="CR36" s="19">
        <f>17.1+6.6-0.3</f>
        <v>23.400000000000002</v>
      </c>
      <c r="CS36" s="19">
        <f>17.1+0.3</f>
        <v>17.400000000000002</v>
      </c>
      <c r="CT36" s="19">
        <f>17.1+6.6-0.3</f>
        <v>23.400000000000002</v>
      </c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</row>
    <row r="37" spans="1:164" x14ac:dyDescent="0.25">
      <c r="A37" s="19" t="s">
        <v>160</v>
      </c>
      <c r="B37" s="19" t="s">
        <v>163</v>
      </c>
      <c r="C37" s="19">
        <v>1000</v>
      </c>
      <c r="D37" s="19">
        <v>250</v>
      </c>
      <c r="E37" s="19" t="s">
        <v>158</v>
      </c>
      <c r="F37" s="20"/>
      <c r="G37" s="23">
        <f t="shared" si="6"/>
        <v>2.5</v>
      </c>
      <c r="H37" s="21">
        <f t="shared" si="7"/>
        <v>6.2750000000000004</v>
      </c>
      <c r="I37" s="19">
        <f t="shared" si="0"/>
        <v>2.5100000000000002</v>
      </c>
      <c r="J37" s="19">
        <f t="shared" si="1"/>
        <v>0</v>
      </c>
      <c r="K37" s="19">
        <f t="shared" si="2"/>
        <v>0</v>
      </c>
      <c r="L37" s="19">
        <f t="shared" si="3"/>
        <v>0</v>
      </c>
      <c r="M37" s="19">
        <f t="shared" si="4"/>
        <v>0</v>
      </c>
      <c r="N37" s="19">
        <f t="shared" si="5"/>
        <v>2.5100000000000002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>
        <f>2.91-0.4</f>
        <v>2.5100000000000002</v>
      </c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</row>
    <row r="38" spans="1:164" x14ac:dyDescent="0.25">
      <c r="A38" s="19" t="s">
        <v>160</v>
      </c>
      <c r="B38" s="19" t="s">
        <v>163</v>
      </c>
      <c r="C38" s="24" t="s">
        <v>159</v>
      </c>
      <c r="D38" s="19">
        <v>900</v>
      </c>
      <c r="E38" s="19" t="s">
        <v>158</v>
      </c>
      <c r="F38" s="20"/>
      <c r="G38" s="23">
        <f>3.14*D38/1000</f>
        <v>2.8260000000000001</v>
      </c>
      <c r="H38" s="21">
        <f t="shared" si="7"/>
        <v>7.4323800000000002</v>
      </c>
      <c r="I38" s="19">
        <f t="shared" si="0"/>
        <v>2.63</v>
      </c>
      <c r="J38" s="19">
        <f t="shared" si="1"/>
        <v>0.4</v>
      </c>
      <c r="K38" s="19">
        <f t="shared" si="2"/>
        <v>0</v>
      </c>
      <c r="L38" s="19">
        <f t="shared" si="3"/>
        <v>0</v>
      </c>
      <c r="M38" s="19">
        <f t="shared" si="4"/>
        <v>0</v>
      </c>
      <c r="N38" s="19">
        <f t="shared" si="5"/>
        <v>2.23</v>
      </c>
      <c r="O38" s="19"/>
      <c r="P38" s="19"/>
      <c r="Q38" s="19"/>
      <c r="R38" s="19">
        <f>0.4</f>
        <v>0.4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>
        <f>0.2+0.5</f>
        <v>0.7</v>
      </c>
      <c r="DH38" s="19">
        <f>0.6+0.93</f>
        <v>1.53</v>
      </c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</row>
    <row r="39" spans="1:164" x14ac:dyDescent="0.25">
      <c r="A39" s="19" t="s">
        <v>160</v>
      </c>
      <c r="B39" s="19" t="s">
        <v>163</v>
      </c>
      <c r="C39" s="19">
        <v>800</v>
      </c>
      <c r="D39" s="19">
        <v>800</v>
      </c>
      <c r="E39" s="19" t="s">
        <v>158</v>
      </c>
      <c r="F39" s="20"/>
      <c r="G39" s="23">
        <f t="shared" si="6"/>
        <v>3.2</v>
      </c>
      <c r="H39" s="21">
        <f t="shared" si="7"/>
        <v>219.36</v>
      </c>
      <c r="I39" s="19">
        <f t="shared" si="0"/>
        <v>68.55</v>
      </c>
      <c r="J39" s="19">
        <f t="shared" si="1"/>
        <v>0</v>
      </c>
      <c r="K39" s="19">
        <f t="shared" si="2"/>
        <v>31.875999999999998</v>
      </c>
      <c r="L39" s="19">
        <f t="shared" si="3"/>
        <v>1.4300000000000002</v>
      </c>
      <c r="M39" s="19">
        <f t="shared" si="4"/>
        <v>0</v>
      </c>
      <c r="N39" s="19">
        <f t="shared" si="5"/>
        <v>35.244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>
        <f>5.119-0.4</f>
        <v>4.7189999999999994</v>
      </c>
      <c r="AG39" s="19"/>
      <c r="AH39" s="19"/>
      <c r="AI39" s="19">
        <f>3.65-0.4</f>
        <v>3.25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>
        <f>5.119-0.4</f>
        <v>4.7189999999999994</v>
      </c>
      <c r="AV39" s="19"/>
      <c r="AW39" s="19"/>
      <c r="AX39" s="19">
        <f>3.65-0.4</f>
        <v>3.25</v>
      </c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>
        <f>5.119-0.4</f>
        <v>4.7189999999999994</v>
      </c>
      <c r="BP39" s="19"/>
      <c r="BQ39" s="19"/>
      <c r="BR39" s="19">
        <f>3.65-0.4</f>
        <v>3.25</v>
      </c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>
        <f>5.119-0.4</f>
        <v>4.7189999999999994</v>
      </c>
      <c r="CE39" s="19"/>
      <c r="CF39" s="19"/>
      <c r="CG39" s="19">
        <f>3.65-0.4</f>
        <v>3.25</v>
      </c>
      <c r="CH39" s="19"/>
      <c r="CI39" s="19"/>
      <c r="CJ39" s="19"/>
      <c r="CK39" s="19"/>
      <c r="CL39" s="19"/>
      <c r="CM39" s="19"/>
      <c r="CN39" s="19"/>
      <c r="CO39" s="19">
        <f>0.212-0.2</f>
        <v>1.1999999999999983E-2</v>
      </c>
      <c r="CP39" s="19">
        <f>1.618-0.2</f>
        <v>1.4180000000000001</v>
      </c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>
        <f>20.444-0.4</f>
        <v>20.044</v>
      </c>
      <c r="DH39" s="19"/>
      <c r="DI39" s="19"/>
      <c r="DJ39" s="19"/>
      <c r="DK39" s="19">
        <f>(14.2+1)</f>
        <v>15.2</v>
      </c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</row>
    <row r="40" spans="1:164" x14ac:dyDescent="0.25">
      <c r="A40" s="19" t="s">
        <v>160</v>
      </c>
      <c r="B40" s="19" t="s">
        <v>163</v>
      </c>
      <c r="C40" s="19">
        <v>800</v>
      </c>
      <c r="D40" s="19">
        <v>700</v>
      </c>
      <c r="E40" s="19" t="s">
        <v>158</v>
      </c>
      <c r="F40" s="20"/>
      <c r="G40" s="23">
        <f t="shared" si="6"/>
        <v>3</v>
      </c>
      <c r="H40" s="21">
        <f t="shared" si="7"/>
        <v>86.667000000000002</v>
      </c>
      <c r="I40" s="19">
        <f t="shared" si="0"/>
        <v>28.889000000000003</v>
      </c>
      <c r="J40" s="19">
        <f t="shared" si="1"/>
        <v>28.889000000000003</v>
      </c>
      <c r="K40" s="19">
        <f t="shared" si="2"/>
        <v>0</v>
      </c>
      <c r="L40" s="19">
        <f t="shared" si="3"/>
        <v>0</v>
      </c>
      <c r="M40" s="19">
        <f t="shared" si="4"/>
        <v>0</v>
      </c>
      <c r="N40" s="19">
        <f t="shared" si="5"/>
        <v>0</v>
      </c>
      <c r="O40" s="19"/>
      <c r="P40" s="19"/>
      <c r="Q40" s="19"/>
      <c r="R40" s="19">
        <f>1.516-0.2+2.47-0.2+1.679+1.974-0.2+(11.9+9.95)</f>
        <v>28.889000000000003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</row>
    <row r="41" spans="1:164" x14ac:dyDescent="0.25">
      <c r="A41" s="19" t="s">
        <v>160</v>
      </c>
      <c r="B41" s="19" t="s">
        <v>163</v>
      </c>
      <c r="C41" s="19">
        <v>800</v>
      </c>
      <c r="D41" s="19">
        <v>630</v>
      </c>
      <c r="E41" s="19" t="s">
        <v>158</v>
      </c>
      <c r="F41" s="20"/>
      <c r="G41" s="23">
        <f t="shared" si="6"/>
        <v>2.8600000000000003</v>
      </c>
      <c r="H41" s="21">
        <f t="shared" si="7"/>
        <v>232.48368000000005</v>
      </c>
      <c r="I41" s="19">
        <f t="shared" si="0"/>
        <v>81.288000000000011</v>
      </c>
      <c r="J41" s="19">
        <f t="shared" si="1"/>
        <v>0</v>
      </c>
      <c r="K41" s="19">
        <f t="shared" si="2"/>
        <v>81.288000000000011</v>
      </c>
      <c r="L41" s="19">
        <f t="shared" si="3"/>
        <v>0</v>
      </c>
      <c r="M41" s="19">
        <f t="shared" si="4"/>
        <v>0</v>
      </c>
      <c r="N41" s="19">
        <f t="shared" si="5"/>
        <v>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>
        <f>2.478-0.4-0.719+(0.521*4)</f>
        <v>3.4430000000000005</v>
      </c>
      <c r="AG41" s="19"/>
      <c r="AH41" s="19">
        <f>5.022-0.2+(44.35-42.85)+4.852-0.2</f>
        <v>10.974</v>
      </c>
      <c r="AI41" s="19">
        <f>1.849-0.4+0.3*4</f>
        <v>2.649</v>
      </c>
      <c r="AJ41" s="19"/>
      <c r="AK41" s="19">
        <f>3.656-0.4</f>
        <v>3.2560000000000002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>
        <f>2.478-0.4-0.719+(0.521*4)</f>
        <v>3.4430000000000005</v>
      </c>
      <c r="AV41" s="19"/>
      <c r="AW41" s="19">
        <f>5.022-0.2+(44.35-42.85)+4.852-0.2</f>
        <v>10.974</v>
      </c>
      <c r="AX41" s="19">
        <f>1.849-0.4+0.3*4</f>
        <v>2.649</v>
      </c>
      <c r="AY41" s="19"/>
      <c r="AZ41" s="19">
        <f>3.656-0.4</f>
        <v>3.2560000000000002</v>
      </c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>
        <f>2.478-0.4-0.719+(0.521*4)</f>
        <v>3.4430000000000005</v>
      </c>
      <c r="BP41" s="19"/>
      <c r="BQ41" s="19">
        <f>5.022-0.2+(44.35-42.85)+4.852-0.2</f>
        <v>10.974</v>
      </c>
      <c r="BR41" s="19">
        <f>1.849-0.4+0.3*4</f>
        <v>2.649</v>
      </c>
      <c r="BS41" s="19"/>
      <c r="BT41" s="19">
        <f>3.656-0.4</f>
        <v>3.2560000000000002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>
        <f>2.478-0.4-0.719+(0.521*4)</f>
        <v>3.4430000000000005</v>
      </c>
      <c r="CE41" s="19"/>
      <c r="CF41" s="19">
        <f>5.022-0.2+(44.35-42.85)+4.852-0.2</f>
        <v>10.974</v>
      </c>
      <c r="CG41" s="19">
        <f>1.849-0.4+0.3*4</f>
        <v>2.649</v>
      </c>
      <c r="CH41" s="19"/>
      <c r="CI41" s="19">
        <f>3.656-0.4</f>
        <v>3.2560000000000002</v>
      </c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</row>
    <row r="42" spans="1:164" x14ac:dyDescent="0.25">
      <c r="A42" s="19" t="s">
        <v>160</v>
      </c>
      <c r="B42" s="19" t="s">
        <v>163</v>
      </c>
      <c r="C42" s="19">
        <v>800</v>
      </c>
      <c r="D42" s="19">
        <v>600</v>
      </c>
      <c r="E42" s="19" t="s">
        <v>158</v>
      </c>
      <c r="F42" s="20"/>
      <c r="G42" s="23">
        <f t="shared" si="6"/>
        <v>2.8</v>
      </c>
      <c r="H42" s="21">
        <f t="shared" si="7"/>
        <v>652.99360000000001</v>
      </c>
      <c r="I42" s="19">
        <f t="shared" si="0"/>
        <v>233.21200000000002</v>
      </c>
      <c r="J42" s="19">
        <f t="shared" si="1"/>
        <v>19.283000000000001</v>
      </c>
      <c r="K42" s="19">
        <f t="shared" si="2"/>
        <v>210.8</v>
      </c>
      <c r="L42" s="19">
        <f t="shared" si="3"/>
        <v>1.9019999999999999</v>
      </c>
      <c r="M42" s="19">
        <f t="shared" si="4"/>
        <v>1.2269999999999999</v>
      </c>
      <c r="N42" s="19">
        <f t="shared" si="5"/>
        <v>0</v>
      </c>
      <c r="O42" s="19"/>
      <c r="P42" s="19"/>
      <c r="Q42" s="19">
        <f>1.002+1.12+2.211-0.4+(11.9+3.45)</f>
        <v>19.283000000000001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>
        <f>42.85+0.4+9.95-0.5</f>
        <v>52.7</v>
      </c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>
        <f>42.85+0.4+9.95-0.5</f>
        <v>52.7</v>
      </c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>
        <f>42.85+0.4+9.95-0.5</f>
        <v>52.7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>
        <f>42.85+0.4+9.95-0.5</f>
        <v>52.7</v>
      </c>
      <c r="CG42" s="19"/>
      <c r="CH42" s="19"/>
      <c r="CI42" s="19"/>
      <c r="CJ42" s="19"/>
      <c r="CK42" s="19"/>
      <c r="CL42" s="19"/>
      <c r="CM42" s="19"/>
      <c r="CN42" s="19"/>
      <c r="CO42" s="25">
        <f>2.102-0.2</f>
        <v>1.9019999999999999</v>
      </c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>
        <f>0.409*3</f>
        <v>1.2269999999999999</v>
      </c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</row>
    <row r="43" spans="1:164" x14ac:dyDescent="0.25">
      <c r="A43" s="19" t="s">
        <v>160</v>
      </c>
      <c r="B43" s="19" t="s">
        <v>163</v>
      </c>
      <c r="C43" s="19">
        <v>800</v>
      </c>
      <c r="D43" s="19">
        <v>550</v>
      </c>
      <c r="E43" s="19" t="s">
        <v>158</v>
      </c>
      <c r="F43" s="20"/>
      <c r="G43" s="23">
        <f t="shared" si="6"/>
        <v>2.7</v>
      </c>
      <c r="H43" s="21">
        <f t="shared" si="7"/>
        <v>34.830000000000005</v>
      </c>
      <c r="I43" s="19">
        <f t="shared" si="0"/>
        <v>12.900000000000002</v>
      </c>
      <c r="J43" s="19">
        <f t="shared" si="1"/>
        <v>0</v>
      </c>
      <c r="K43" s="19">
        <f t="shared" si="2"/>
        <v>0</v>
      </c>
      <c r="L43" s="19">
        <f t="shared" si="3"/>
        <v>0</v>
      </c>
      <c r="M43" s="19">
        <f t="shared" si="4"/>
        <v>12.900000000000002</v>
      </c>
      <c r="N43" s="19">
        <f t="shared" si="5"/>
        <v>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25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>
        <f>17.1-4.5+0.3</f>
        <v>12.900000000000002</v>
      </c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</row>
    <row r="44" spans="1:164" x14ac:dyDescent="0.25">
      <c r="A44" s="19" t="s">
        <v>160</v>
      </c>
      <c r="B44" s="19" t="s">
        <v>163</v>
      </c>
      <c r="C44" s="19">
        <v>800</v>
      </c>
      <c r="D44" s="19">
        <v>500</v>
      </c>
      <c r="E44" s="19" t="s">
        <v>158</v>
      </c>
      <c r="F44" s="20"/>
      <c r="G44" s="23">
        <f t="shared" si="6"/>
        <v>2.6</v>
      </c>
      <c r="H44" s="21">
        <f t="shared" si="7"/>
        <v>80.13979999999998</v>
      </c>
      <c r="I44" s="19">
        <f t="shared" si="0"/>
        <v>30.822999999999993</v>
      </c>
      <c r="J44" s="19">
        <f t="shared" si="1"/>
        <v>0</v>
      </c>
      <c r="K44" s="19">
        <f t="shared" si="2"/>
        <v>7.3999999999999986</v>
      </c>
      <c r="L44" s="19">
        <f t="shared" si="3"/>
        <v>0</v>
      </c>
      <c r="M44" s="19">
        <f t="shared" si="4"/>
        <v>1.623</v>
      </c>
      <c r="N44" s="19">
        <f t="shared" si="5"/>
        <v>21.799999999999997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>
        <f>1.259-0.2</f>
        <v>1.0589999999999999</v>
      </c>
      <c r="AI44" s="19"/>
      <c r="AJ44" s="19"/>
      <c r="AK44" s="19">
        <f>0.991-0.2</f>
        <v>0.79099999999999993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>
        <f>1.259-0.2</f>
        <v>1.0589999999999999</v>
      </c>
      <c r="AX44" s="19"/>
      <c r="AY44" s="19"/>
      <c r="AZ44" s="19">
        <f>0.991-0.2</f>
        <v>0.79099999999999993</v>
      </c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>
        <f>1.259-0.2</f>
        <v>1.0589999999999999</v>
      </c>
      <c r="BR44" s="19"/>
      <c r="BS44" s="19"/>
      <c r="BT44" s="19">
        <f>0.991-0.2</f>
        <v>0.79099999999999993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>
        <f>1.259-0.2</f>
        <v>1.0589999999999999</v>
      </c>
      <c r="CG44" s="19"/>
      <c r="CH44" s="19"/>
      <c r="CI44" s="19">
        <f>0.991-0.2</f>
        <v>0.79099999999999993</v>
      </c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>
        <f>1.264+0.559-0.2</f>
        <v>1.623</v>
      </c>
      <c r="DB44" s="19"/>
      <c r="DC44" s="19"/>
      <c r="DD44" s="19"/>
      <c r="DE44" s="19"/>
      <c r="DF44" s="19"/>
      <c r="DG44" s="19"/>
      <c r="DH44" s="19"/>
      <c r="DI44" s="19"/>
      <c r="DJ44" s="19">
        <f>(14.2+1+6.6)</f>
        <v>21.799999999999997</v>
      </c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</row>
    <row r="45" spans="1:164" x14ac:dyDescent="0.25">
      <c r="A45" s="19" t="s">
        <v>160</v>
      </c>
      <c r="B45" s="19" t="s">
        <v>163</v>
      </c>
      <c r="C45" s="19">
        <v>800</v>
      </c>
      <c r="D45" s="19">
        <v>400</v>
      </c>
      <c r="E45" s="19" t="s">
        <v>158</v>
      </c>
      <c r="F45" s="20"/>
      <c r="G45" s="23">
        <f t="shared" ref="G45:G75" si="8">(C45/1000+D45/1000)*2</f>
        <v>2.4000000000000004</v>
      </c>
      <c r="H45" s="21">
        <f t="shared" ref="H45:H76" si="9">G45*I45</f>
        <v>15.6</v>
      </c>
      <c r="I45" s="19">
        <f t="shared" si="0"/>
        <v>6.4999999999999991</v>
      </c>
      <c r="J45" s="19">
        <f t="shared" si="1"/>
        <v>6.4999999999999991</v>
      </c>
      <c r="K45" s="19">
        <f t="shared" si="2"/>
        <v>0</v>
      </c>
      <c r="L45" s="19">
        <f t="shared" si="3"/>
        <v>0</v>
      </c>
      <c r="M45" s="19">
        <f t="shared" si="4"/>
        <v>0</v>
      </c>
      <c r="N45" s="19">
        <f t="shared" si="5"/>
        <v>0</v>
      </c>
      <c r="O45" s="19"/>
      <c r="P45" s="19"/>
      <c r="Q45" s="19">
        <f>9.95-3.45</f>
        <v>6.4999999999999991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</row>
    <row r="46" spans="1:164" x14ac:dyDescent="0.25">
      <c r="A46" s="19" t="s">
        <v>160</v>
      </c>
      <c r="B46" s="19" t="s">
        <v>163</v>
      </c>
      <c r="C46" s="19">
        <v>800</v>
      </c>
      <c r="D46" s="19">
        <v>320</v>
      </c>
      <c r="E46" s="19" t="s">
        <v>158</v>
      </c>
      <c r="F46" s="20"/>
      <c r="G46" s="23">
        <f t="shared" si="8"/>
        <v>2.2400000000000002</v>
      </c>
      <c r="H46" s="21">
        <f t="shared" si="9"/>
        <v>43.83456000000001</v>
      </c>
      <c r="I46" s="19">
        <f t="shared" si="0"/>
        <v>19.569000000000003</v>
      </c>
      <c r="J46" s="19">
        <f t="shared" si="1"/>
        <v>0</v>
      </c>
      <c r="K46" s="19">
        <f t="shared" si="2"/>
        <v>0</v>
      </c>
      <c r="L46" s="19">
        <f t="shared" si="3"/>
        <v>12.835000000000001</v>
      </c>
      <c r="M46" s="19">
        <f t="shared" si="4"/>
        <v>0</v>
      </c>
      <c r="N46" s="19">
        <f t="shared" si="5"/>
        <v>6.734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>
        <f>(2.809-0.4)*3+6.208-0.6</f>
        <v>12.835000000000001</v>
      </c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>
        <f>(3.767-0.4)*2</f>
        <v>6.734</v>
      </c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</row>
    <row r="47" spans="1:164" x14ac:dyDescent="0.25">
      <c r="A47" s="19" t="s">
        <v>160</v>
      </c>
      <c r="B47" s="19" t="s">
        <v>163</v>
      </c>
      <c r="C47" s="19">
        <v>700</v>
      </c>
      <c r="D47" s="19">
        <v>500</v>
      </c>
      <c r="E47" s="19" t="s">
        <v>158</v>
      </c>
      <c r="F47" s="20"/>
      <c r="G47" s="23">
        <f t="shared" si="8"/>
        <v>2.4</v>
      </c>
      <c r="H47" s="21">
        <f t="shared" si="9"/>
        <v>4.32</v>
      </c>
      <c r="I47" s="19">
        <f t="shared" si="0"/>
        <v>1.8</v>
      </c>
      <c r="J47" s="19">
        <f t="shared" si="1"/>
        <v>0</v>
      </c>
      <c r="K47" s="19">
        <f t="shared" si="2"/>
        <v>0</v>
      </c>
      <c r="L47" s="19">
        <f t="shared" si="3"/>
        <v>0</v>
      </c>
      <c r="M47" s="19">
        <f t="shared" si="4"/>
        <v>1.8</v>
      </c>
      <c r="N47" s="19">
        <f t="shared" si="5"/>
        <v>0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>
        <f>0.45*4</f>
        <v>1.8</v>
      </c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</row>
    <row r="48" spans="1:164" x14ac:dyDescent="0.25">
      <c r="A48" s="19" t="s">
        <v>160</v>
      </c>
      <c r="B48" s="19" t="s">
        <v>163</v>
      </c>
      <c r="C48" s="24" t="s">
        <v>159</v>
      </c>
      <c r="D48" s="19">
        <v>700</v>
      </c>
      <c r="E48" s="19" t="s">
        <v>158</v>
      </c>
      <c r="F48" s="20"/>
      <c r="G48" s="23">
        <f>3.14*D48/1000</f>
        <v>2.198</v>
      </c>
      <c r="H48" s="21">
        <f t="shared" si="9"/>
        <v>22.551479999999998</v>
      </c>
      <c r="I48" s="19">
        <f t="shared" si="0"/>
        <v>10.26</v>
      </c>
      <c r="J48" s="19">
        <f t="shared" si="1"/>
        <v>0</v>
      </c>
      <c r="K48" s="19">
        <f t="shared" si="2"/>
        <v>0</v>
      </c>
      <c r="L48" s="19">
        <f t="shared" si="3"/>
        <v>3.2880000000000003</v>
      </c>
      <c r="M48" s="19">
        <f t="shared" si="4"/>
        <v>1.8480000000000001</v>
      </c>
      <c r="N48" s="19">
        <f t="shared" si="5"/>
        <v>5.1240000000000006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>
        <f>0.278+0.492</f>
        <v>0.77</v>
      </c>
      <c r="CR48" s="19">
        <f>0.5+0.518</f>
        <v>1.018</v>
      </c>
      <c r="CS48" s="19">
        <f>0.5+0.3</f>
        <v>0.8</v>
      </c>
      <c r="CT48" s="19">
        <f>0.5+0.2</f>
        <v>0.7</v>
      </c>
      <c r="CU48" s="19"/>
      <c r="CV48" s="19"/>
      <c r="CW48" s="19"/>
      <c r="CX48" s="19"/>
      <c r="CY48" s="19"/>
      <c r="CZ48" s="19">
        <f>1.348+0.5</f>
        <v>1.8480000000000001</v>
      </c>
      <c r="DA48" s="19"/>
      <c r="DB48" s="19"/>
      <c r="DC48" s="19"/>
      <c r="DD48" s="19"/>
      <c r="DE48" s="19"/>
      <c r="DF48" s="19"/>
      <c r="DG48" s="19"/>
      <c r="DH48" s="19"/>
      <c r="DI48" s="19">
        <f>0.6+1.131</f>
        <v>1.7309999999999999</v>
      </c>
      <c r="DJ48" s="19">
        <f>0.5+0.793</f>
        <v>1.2930000000000001</v>
      </c>
      <c r="DK48" s="19">
        <f>0.6+0.6</f>
        <v>1.2</v>
      </c>
      <c r="DL48" s="19"/>
      <c r="DM48" s="19">
        <f>0.4+0.5</f>
        <v>0.9</v>
      </c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</row>
    <row r="49" spans="1:164" x14ac:dyDescent="0.25">
      <c r="A49" s="19" t="s">
        <v>160</v>
      </c>
      <c r="B49" s="19" t="s">
        <v>163</v>
      </c>
      <c r="C49" s="24" t="s">
        <v>159</v>
      </c>
      <c r="D49" s="19">
        <v>650</v>
      </c>
      <c r="E49" s="19" t="s">
        <v>158</v>
      </c>
      <c r="F49" s="20"/>
      <c r="G49" s="23">
        <f>3.14*D49/1000</f>
        <v>2.0409999999999999</v>
      </c>
      <c r="H49" s="21">
        <f t="shared" si="9"/>
        <v>18.575141000000002</v>
      </c>
      <c r="I49" s="19">
        <f t="shared" si="0"/>
        <v>9.1010000000000009</v>
      </c>
      <c r="J49" s="19">
        <f t="shared" si="1"/>
        <v>0</v>
      </c>
      <c r="K49" s="19">
        <f t="shared" si="2"/>
        <v>0</v>
      </c>
      <c r="L49" s="19">
        <f t="shared" si="3"/>
        <v>0</v>
      </c>
      <c r="M49" s="19">
        <f t="shared" si="4"/>
        <v>9.1010000000000009</v>
      </c>
      <c r="N49" s="19">
        <f t="shared" si="5"/>
        <v>0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>
        <f>0.7+0.97</f>
        <v>1.67</v>
      </c>
      <c r="DB49" s="19">
        <f>0.972+0.5</f>
        <v>1.472</v>
      </c>
      <c r="DC49" s="19">
        <f>0.978+0.5</f>
        <v>1.478</v>
      </c>
      <c r="DD49" s="19">
        <f>1.011+2</f>
        <v>3.0110000000000001</v>
      </c>
      <c r="DE49" s="19">
        <f>0.969+0.501</f>
        <v>1.47</v>
      </c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</row>
    <row r="50" spans="1:164" x14ac:dyDescent="0.25">
      <c r="A50" s="19" t="s">
        <v>160</v>
      </c>
      <c r="B50" s="19" t="s">
        <v>163</v>
      </c>
      <c r="C50" s="19">
        <v>630</v>
      </c>
      <c r="D50" s="19">
        <v>630</v>
      </c>
      <c r="E50" s="19" t="s">
        <v>158</v>
      </c>
      <c r="F50" s="20"/>
      <c r="G50" s="23">
        <f t="shared" si="8"/>
        <v>2.52</v>
      </c>
      <c r="H50" s="21">
        <f t="shared" si="9"/>
        <v>128.6208</v>
      </c>
      <c r="I50" s="19">
        <f t="shared" si="0"/>
        <v>51.04</v>
      </c>
      <c r="J50" s="19">
        <f t="shared" si="1"/>
        <v>0</v>
      </c>
      <c r="K50" s="19">
        <f t="shared" si="2"/>
        <v>14.851999999999999</v>
      </c>
      <c r="L50" s="19">
        <f t="shared" si="3"/>
        <v>36.188000000000002</v>
      </c>
      <c r="M50" s="19">
        <f t="shared" si="4"/>
        <v>0</v>
      </c>
      <c r="N50" s="19">
        <f t="shared" si="5"/>
        <v>0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>
        <f>3.913-0.2</f>
        <v>3.7129999999999996</v>
      </c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>
        <f>3.913-0.2</f>
        <v>3.7129999999999996</v>
      </c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>
        <f>3.913-0.2</f>
        <v>3.7129999999999996</v>
      </c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>
        <f>3.913-0.2</f>
        <v>3.7129999999999996</v>
      </c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>
        <f>2.331+1.363-0.4+5.077</f>
        <v>8.3710000000000004</v>
      </c>
      <c r="CR50" s="19">
        <f>6.077-0.4+8.202</f>
        <v>13.879</v>
      </c>
      <c r="CS50" s="19">
        <f>2.073+0.3+7.359-0.4</f>
        <v>9.331999999999999</v>
      </c>
      <c r="CT50" s="19">
        <f>1.535+3.471-0.4</f>
        <v>4.6059999999999999</v>
      </c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</row>
    <row r="51" spans="1:164" x14ac:dyDescent="0.25">
      <c r="A51" s="19" t="s">
        <v>160</v>
      </c>
      <c r="B51" s="19" t="s">
        <v>163</v>
      </c>
      <c r="C51" s="19">
        <v>630</v>
      </c>
      <c r="D51" s="19">
        <v>600</v>
      </c>
      <c r="E51" s="19" t="s">
        <v>158</v>
      </c>
      <c r="F51" s="20"/>
      <c r="G51" s="23">
        <f t="shared" si="8"/>
        <v>2.46</v>
      </c>
      <c r="H51" s="21">
        <f t="shared" si="9"/>
        <v>603.12312000000009</v>
      </c>
      <c r="I51" s="19">
        <f t="shared" si="0"/>
        <v>245.17200000000003</v>
      </c>
      <c r="J51" s="19">
        <f t="shared" si="1"/>
        <v>0</v>
      </c>
      <c r="K51" s="19">
        <f t="shared" si="2"/>
        <v>245.17200000000003</v>
      </c>
      <c r="L51" s="19">
        <f t="shared" si="3"/>
        <v>0</v>
      </c>
      <c r="M51" s="19">
        <f t="shared" si="4"/>
        <v>0</v>
      </c>
      <c r="N51" s="19">
        <f t="shared" si="5"/>
        <v>0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>
        <f>1.65-0.4+5.843+(44.35-42.85)+(42.85+0.4+9.95-0.5)</f>
        <v>61.293000000000006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>
        <f>1.65-0.4+5.843+(44.35-42.85)+(42.85+0.4+9.95-0.5)</f>
        <v>61.293000000000006</v>
      </c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>
        <f>1.65-0.4+5.843+(44.35-42.85)+(42.85+0.4+9.95-0.5)</f>
        <v>61.293000000000006</v>
      </c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>
        <f>1.65-0.4+5.843+(44.35-42.85)+(42.85+0.4+9.95-0.5)</f>
        <v>61.293000000000006</v>
      </c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</row>
    <row r="52" spans="1:164" x14ac:dyDescent="0.25">
      <c r="A52" s="19" t="s">
        <v>160</v>
      </c>
      <c r="B52" s="19" t="s">
        <v>163</v>
      </c>
      <c r="C52" s="19">
        <v>630</v>
      </c>
      <c r="D52" s="19">
        <v>500</v>
      </c>
      <c r="E52" s="19" t="s">
        <v>158</v>
      </c>
      <c r="F52" s="20"/>
      <c r="G52" s="23">
        <f t="shared" si="8"/>
        <v>2.2599999999999998</v>
      </c>
      <c r="H52" s="21">
        <f t="shared" si="9"/>
        <v>733.00161999999989</v>
      </c>
      <c r="I52" s="19">
        <f t="shared" si="0"/>
        <v>324.33699999999999</v>
      </c>
      <c r="J52" s="19">
        <f t="shared" si="1"/>
        <v>0</v>
      </c>
      <c r="K52" s="19">
        <f t="shared" si="2"/>
        <v>242.15600000000001</v>
      </c>
      <c r="L52" s="19">
        <f t="shared" si="3"/>
        <v>0</v>
      </c>
      <c r="M52" s="19">
        <f t="shared" si="4"/>
        <v>0</v>
      </c>
      <c r="N52" s="19">
        <f t="shared" si="5"/>
        <v>82.180999999999983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>
        <f>1.836-0.2+4.318-0.2+2.085+(42.85+0.4+9.95-0.5)</f>
        <v>60.539000000000001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>
        <f>1.836-0.2+4.318-0.2+2.085+(42.85+0.4+9.95-0.5)</f>
        <v>60.539000000000001</v>
      </c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>
        <f>1.836-0.2+4.318-0.2+2.085+(42.85+0.4+9.95-0.5)</f>
        <v>60.539000000000001</v>
      </c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>
        <f>1.836-0.2+4.318-0.2+2.085+(42.85+0.4+9.95-0.5)</f>
        <v>60.539000000000001</v>
      </c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>
        <f>1.494+4.151-0.4+(14.2+1+6.6)</f>
        <v>27.044999999999995</v>
      </c>
      <c r="DJ52" s="19"/>
      <c r="DK52" s="25">
        <f>2.325+7.11+1</f>
        <v>10.435</v>
      </c>
      <c r="DL52" s="19"/>
      <c r="DM52" s="19">
        <f>1.935+20.866-0.4+0.5+(14.2+1+6.6)</f>
        <v>44.700999999999993</v>
      </c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</row>
    <row r="53" spans="1:164" x14ac:dyDescent="0.25">
      <c r="A53" s="19" t="s">
        <v>160</v>
      </c>
      <c r="B53" s="19" t="s">
        <v>163</v>
      </c>
      <c r="C53" s="19">
        <v>500</v>
      </c>
      <c r="D53" s="19">
        <v>500</v>
      </c>
      <c r="E53" s="19" t="s">
        <v>158</v>
      </c>
      <c r="F53" s="20"/>
      <c r="G53" s="23">
        <f t="shared" si="8"/>
        <v>2</v>
      </c>
      <c r="H53" s="21">
        <f t="shared" si="9"/>
        <v>8.0079999999999991</v>
      </c>
      <c r="I53" s="19">
        <f t="shared" si="0"/>
        <v>4.0039999999999996</v>
      </c>
      <c r="J53" s="19">
        <f t="shared" si="1"/>
        <v>0</v>
      </c>
      <c r="K53" s="19">
        <f t="shared" si="2"/>
        <v>0</v>
      </c>
      <c r="L53" s="19">
        <f t="shared" si="3"/>
        <v>0</v>
      </c>
      <c r="M53" s="19">
        <f t="shared" si="4"/>
        <v>3.0039999999999996</v>
      </c>
      <c r="N53" s="19">
        <f t="shared" si="5"/>
        <v>1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>
        <f t="shared" ref="DB53:DE53" si="10">0.951-0.2</f>
        <v>0.75099999999999989</v>
      </c>
      <c r="DC53" s="19">
        <f t="shared" si="10"/>
        <v>0.75099999999999989</v>
      </c>
      <c r="DD53" s="19">
        <f t="shared" si="10"/>
        <v>0.75099999999999989</v>
      </c>
      <c r="DE53" s="19">
        <f t="shared" si="10"/>
        <v>0.75099999999999989</v>
      </c>
      <c r="DF53" s="19"/>
      <c r="DG53" s="19"/>
      <c r="DH53" s="25">
        <f>1.2-0.2</f>
        <v>1</v>
      </c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</row>
    <row r="54" spans="1:164" x14ac:dyDescent="0.25">
      <c r="A54" s="19" t="s">
        <v>160</v>
      </c>
      <c r="B54" s="19" t="s">
        <v>163</v>
      </c>
      <c r="C54" s="19">
        <v>500</v>
      </c>
      <c r="D54" s="19">
        <v>250</v>
      </c>
      <c r="E54" s="19" t="s">
        <v>158</v>
      </c>
      <c r="F54" s="20"/>
      <c r="G54" s="23">
        <f t="shared" si="8"/>
        <v>1.5</v>
      </c>
      <c r="H54" s="21">
        <f t="shared" si="9"/>
        <v>7.8315000000000001</v>
      </c>
      <c r="I54" s="19">
        <f t="shared" si="0"/>
        <v>5.2210000000000001</v>
      </c>
      <c r="J54" s="19">
        <f t="shared" si="1"/>
        <v>0</v>
      </c>
      <c r="K54" s="19">
        <f t="shared" si="2"/>
        <v>0</v>
      </c>
      <c r="L54" s="19">
        <f t="shared" si="3"/>
        <v>0</v>
      </c>
      <c r="M54" s="19">
        <f t="shared" si="4"/>
        <v>0</v>
      </c>
      <c r="N54" s="19">
        <f t="shared" si="5"/>
        <v>5.2210000000000001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25"/>
      <c r="DI54" s="19"/>
      <c r="DJ54" s="19"/>
      <c r="DK54" s="19"/>
      <c r="DL54" s="19"/>
      <c r="DM54" s="19"/>
      <c r="DN54" s="19">
        <f>5.221</f>
        <v>5.2210000000000001</v>
      </c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</row>
    <row r="55" spans="1:164" x14ac:dyDescent="0.25">
      <c r="A55" s="19" t="s">
        <v>160</v>
      </c>
      <c r="B55" s="19" t="s">
        <v>165</v>
      </c>
      <c r="C55" s="19">
        <v>400</v>
      </c>
      <c r="D55" s="19">
        <v>400</v>
      </c>
      <c r="E55" s="19" t="s">
        <v>158</v>
      </c>
      <c r="F55" s="20"/>
      <c r="G55" s="23">
        <f t="shared" si="8"/>
        <v>1.6</v>
      </c>
      <c r="H55" s="21">
        <f t="shared" si="9"/>
        <v>28.619200000000003</v>
      </c>
      <c r="I55" s="19">
        <f t="shared" si="0"/>
        <v>17.887</v>
      </c>
      <c r="J55" s="19">
        <f t="shared" si="1"/>
        <v>0</v>
      </c>
      <c r="K55" s="19">
        <f t="shared" si="2"/>
        <v>0</v>
      </c>
      <c r="L55" s="19">
        <f t="shared" si="3"/>
        <v>0</v>
      </c>
      <c r="M55" s="19">
        <f t="shared" si="4"/>
        <v>0</v>
      </c>
      <c r="N55" s="19">
        <f t="shared" si="5"/>
        <v>17.887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>
        <f>1.09-0.2+(14.2+1)</f>
        <v>16.09</v>
      </c>
      <c r="DH55" s="19"/>
      <c r="DI55" s="19"/>
      <c r="DJ55" s="19">
        <f>1.006-0.2</f>
        <v>0.80600000000000005</v>
      </c>
      <c r="DK55" s="19"/>
      <c r="DL55" s="19">
        <f>1.191-0.2</f>
        <v>0.9910000000000001</v>
      </c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</row>
    <row r="56" spans="1:164" x14ac:dyDescent="0.25">
      <c r="A56" s="19" t="s">
        <v>160</v>
      </c>
      <c r="B56" s="19" t="s">
        <v>165</v>
      </c>
      <c r="C56" s="19">
        <v>320</v>
      </c>
      <c r="D56" s="19">
        <v>120</v>
      </c>
      <c r="E56" s="19" t="s">
        <v>158</v>
      </c>
      <c r="F56" s="20"/>
      <c r="G56" s="23">
        <f t="shared" si="8"/>
        <v>0.88</v>
      </c>
      <c r="H56" s="21">
        <f t="shared" si="9"/>
        <v>6.6035199999999996</v>
      </c>
      <c r="I56" s="19">
        <f t="shared" si="0"/>
        <v>7.5039999999999996</v>
      </c>
      <c r="J56" s="19">
        <f t="shared" si="1"/>
        <v>0</v>
      </c>
      <c r="K56" s="19">
        <f t="shared" si="2"/>
        <v>0</v>
      </c>
      <c r="L56" s="19">
        <f t="shared" si="3"/>
        <v>5.3699999999999992</v>
      </c>
      <c r="M56" s="19">
        <f t="shared" si="4"/>
        <v>0</v>
      </c>
      <c r="N56" s="19">
        <f t="shared" si="5"/>
        <v>2.1340000000000003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25">
        <f>0.797-0.2</f>
        <v>0.59699999999999998</v>
      </c>
      <c r="CR56" s="25">
        <f>0.797-0.2</f>
        <v>0.59699999999999998</v>
      </c>
      <c r="CS56" s="25">
        <f>0.816-0.2</f>
        <v>0.61599999999999988</v>
      </c>
      <c r="CT56" s="25">
        <f>3.76-0.2</f>
        <v>3.5599999999999996</v>
      </c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25">
        <f>0.933-0.2</f>
        <v>0.7330000000000001</v>
      </c>
      <c r="DJ56" s="19"/>
      <c r="DK56" s="25">
        <f>0.868-0.2</f>
        <v>0.66799999999999993</v>
      </c>
      <c r="DL56" s="19"/>
      <c r="DM56" s="19">
        <f>0.933-0.2</f>
        <v>0.7330000000000001</v>
      </c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</row>
    <row r="57" spans="1:164" x14ac:dyDescent="0.25">
      <c r="A57" s="19" t="s">
        <v>387</v>
      </c>
      <c r="B57" s="19" t="s">
        <v>161</v>
      </c>
      <c r="C57" s="19">
        <v>1600</v>
      </c>
      <c r="D57" s="19">
        <v>400</v>
      </c>
      <c r="E57" s="19" t="s">
        <v>158</v>
      </c>
      <c r="F57" s="20"/>
      <c r="G57" s="23">
        <f t="shared" si="8"/>
        <v>4</v>
      </c>
      <c r="H57" s="21">
        <f t="shared" si="9"/>
        <v>44.4</v>
      </c>
      <c r="I57" s="19">
        <f t="shared" si="0"/>
        <v>11.1</v>
      </c>
      <c r="J57" s="19">
        <f t="shared" si="1"/>
        <v>0</v>
      </c>
      <c r="K57" s="19">
        <f t="shared" si="2"/>
        <v>0</v>
      </c>
      <c r="L57" s="19">
        <f t="shared" si="3"/>
        <v>0</v>
      </c>
      <c r="M57" s="19">
        <f t="shared" si="4"/>
        <v>0</v>
      </c>
      <c r="N57" s="19">
        <f t="shared" si="5"/>
        <v>11.1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25"/>
      <c r="CR57" s="25"/>
      <c r="CS57" s="25"/>
      <c r="CT57" s="25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25"/>
      <c r="DJ57" s="19"/>
      <c r="DK57" s="25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>
        <f>(1+4.6+4.5+1)</f>
        <v>11.1</v>
      </c>
      <c r="FE57" s="19"/>
      <c r="FF57" s="19"/>
      <c r="FG57" s="19"/>
      <c r="FH57" s="19"/>
    </row>
    <row r="58" spans="1:164" x14ac:dyDescent="0.25">
      <c r="A58" s="19" t="s">
        <v>387</v>
      </c>
      <c r="B58" s="19" t="s">
        <v>161</v>
      </c>
      <c r="C58" s="19">
        <v>1250</v>
      </c>
      <c r="D58" s="19">
        <v>800</v>
      </c>
      <c r="E58" s="19" t="s">
        <v>158</v>
      </c>
      <c r="F58" s="20"/>
      <c r="G58" s="23">
        <f t="shared" si="8"/>
        <v>4.0999999999999996</v>
      </c>
      <c r="H58" s="21">
        <f t="shared" si="9"/>
        <v>365.74869999999987</v>
      </c>
      <c r="I58" s="19">
        <f t="shared" si="0"/>
        <v>89.206999999999979</v>
      </c>
      <c r="J58" s="19">
        <f t="shared" si="1"/>
        <v>0</v>
      </c>
      <c r="K58" s="19">
        <f t="shared" si="2"/>
        <v>0</v>
      </c>
      <c r="L58" s="19">
        <f t="shared" si="3"/>
        <v>0</v>
      </c>
      <c r="M58" s="19">
        <f t="shared" si="4"/>
        <v>0</v>
      </c>
      <c r="N58" s="19">
        <f t="shared" si="5"/>
        <v>89.206999999999979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25"/>
      <c r="CR58" s="25"/>
      <c r="CS58" s="25"/>
      <c r="CT58" s="25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25"/>
      <c r="DJ58" s="19"/>
      <c r="DK58" s="25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>
        <f>14.2+1-3.5</f>
        <v>11.7</v>
      </c>
      <c r="EI58" s="19"/>
      <c r="EJ58" s="19">
        <f>14.2+1-5.1-3.5</f>
        <v>6.6</v>
      </c>
      <c r="EK58" s="19"/>
      <c r="EL58" s="19"/>
      <c r="EM58" s="19">
        <f>14.2+1-3.5</f>
        <v>11.7</v>
      </c>
      <c r="EN58" s="19">
        <f>14.2+1-5.1-3.5</f>
        <v>6.6</v>
      </c>
      <c r="EO58" s="19"/>
      <c r="EP58" s="19">
        <f>1+1</f>
        <v>2</v>
      </c>
      <c r="EQ58" s="19"/>
      <c r="ER58" s="19"/>
      <c r="ES58" s="19"/>
      <c r="ET58" s="19"/>
      <c r="EU58" s="19"/>
      <c r="EV58" s="19"/>
      <c r="EW58" s="19"/>
      <c r="EX58" s="19">
        <f>(14.2+1+6.6-3.45)</f>
        <v>18.349999999999998</v>
      </c>
      <c r="EY58" s="19">
        <f>1.358+0.699+0.95-0.2+(14.2+1+6.6-3.45)</f>
        <v>21.156999999999996</v>
      </c>
      <c r="EZ58" s="19"/>
      <c r="FA58" s="19"/>
      <c r="FB58" s="19"/>
      <c r="FC58" s="19"/>
      <c r="FD58" s="19"/>
      <c r="FE58" s="19"/>
      <c r="FF58" s="19"/>
      <c r="FG58" s="19">
        <f>1+4.6+4.5+1</f>
        <v>11.1</v>
      </c>
      <c r="FH58" s="19"/>
    </row>
    <row r="59" spans="1:164" x14ac:dyDescent="0.25">
      <c r="A59" s="19" t="s">
        <v>387</v>
      </c>
      <c r="B59" s="19" t="s">
        <v>161</v>
      </c>
      <c r="C59" s="19">
        <v>1250</v>
      </c>
      <c r="D59" s="19">
        <v>630</v>
      </c>
      <c r="E59" s="19" t="s">
        <v>158</v>
      </c>
      <c r="F59" s="20"/>
      <c r="G59" s="23">
        <f t="shared" si="8"/>
        <v>3.76</v>
      </c>
      <c r="H59" s="21">
        <f t="shared" si="9"/>
        <v>59.757679999999993</v>
      </c>
      <c r="I59" s="19">
        <f t="shared" si="0"/>
        <v>15.892999999999999</v>
      </c>
      <c r="J59" s="19">
        <f t="shared" si="1"/>
        <v>0</v>
      </c>
      <c r="K59" s="19">
        <f t="shared" si="2"/>
        <v>0</v>
      </c>
      <c r="L59" s="19">
        <f t="shared" si="3"/>
        <v>0</v>
      </c>
      <c r="M59" s="19">
        <f t="shared" si="4"/>
        <v>0</v>
      </c>
      <c r="N59" s="19">
        <f t="shared" si="5"/>
        <v>15.892999999999999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25"/>
      <c r="CR59" s="25"/>
      <c r="CS59" s="25"/>
      <c r="CT59" s="25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25"/>
      <c r="DJ59" s="19"/>
      <c r="DK59" s="25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>
        <f>1.679-0.4</f>
        <v>1.2789999999999999</v>
      </c>
      <c r="EI59" s="19"/>
      <c r="EJ59" s="19">
        <f>1.656-0.4</f>
        <v>1.2559999999999998</v>
      </c>
      <c r="EK59" s="19"/>
      <c r="EL59" s="19"/>
      <c r="EM59" s="19">
        <f>1.651-0.4</f>
        <v>1.2509999999999999</v>
      </c>
      <c r="EN59" s="19">
        <f>1.693-0.4</f>
        <v>1.2930000000000001</v>
      </c>
      <c r="EO59" s="19"/>
      <c r="EP59" s="19">
        <f>1.736-0.4</f>
        <v>1.3359999999999999</v>
      </c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>
        <f>3.899-0.2</f>
        <v>3.6989999999999998</v>
      </c>
      <c r="FB59" s="19"/>
      <c r="FC59" s="19"/>
      <c r="FD59" s="19">
        <f>1.537-0.4</f>
        <v>1.137</v>
      </c>
      <c r="FE59" s="19">
        <f>1.738-0.4+(2)</f>
        <v>3.3380000000000001</v>
      </c>
      <c r="FF59" s="19"/>
      <c r="FG59" s="19">
        <f>1.704-0.4</f>
        <v>1.3039999999999998</v>
      </c>
      <c r="FH59" s="19"/>
    </row>
    <row r="60" spans="1:164" x14ac:dyDescent="0.25">
      <c r="A60" s="19" t="s">
        <v>387</v>
      </c>
      <c r="B60" s="19" t="s">
        <v>161</v>
      </c>
      <c r="C60" s="19">
        <v>1000</v>
      </c>
      <c r="D60" s="19">
        <v>1000</v>
      </c>
      <c r="E60" s="19" t="s">
        <v>158</v>
      </c>
      <c r="F60" s="20"/>
      <c r="G60" s="23">
        <f t="shared" si="8"/>
        <v>4</v>
      </c>
      <c r="H60" s="21">
        <f t="shared" si="9"/>
        <v>29.755999999999997</v>
      </c>
      <c r="I60" s="19">
        <f t="shared" si="0"/>
        <v>7.4389999999999992</v>
      </c>
      <c r="J60" s="19">
        <f t="shared" si="1"/>
        <v>0</v>
      </c>
      <c r="K60" s="19">
        <f t="shared" si="2"/>
        <v>0</v>
      </c>
      <c r="L60" s="19">
        <f t="shared" si="3"/>
        <v>0</v>
      </c>
      <c r="M60" s="19">
        <f t="shared" si="4"/>
        <v>0</v>
      </c>
      <c r="N60" s="19">
        <f t="shared" si="5"/>
        <v>7.4389999999999992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25"/>
      <c r="CR60" s="25"/>
      <c r="CS60" s="25"/>
      <c r="CT60" s="25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25"/>
      <c r="DJ60" s="19"/>
      <c r="DK60" s="25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>
        <f>1.37+0.699+1.84-0.2</f>
        <v>3.7089999999999996</v>
      </c>
      <c r="EQ60" s="19"/>
      <c r="ER60" s="19"/>
      <c r="ES60" s="19"/>
      <c r="ET60" s="19"/>
      <c r="EU60" s="19"/>
      <c r="EV60" s="19"/>
      <c r="EW60" s="19"/>
      <c r="EX60" s="19">
        <f>1.384+0.699+1.847-0.2</f>
        <v>3.7299999999999995</v>
      </c>
      <c r="EY60" s="19"/>
      <c r="EZ60" s="19"/>
      <c r="FA60" s="19"/>
      <c r="FB60" s="19"/>
      <c r="FC60" s="19"/>
      <c r="FD60" s="19"/>
      <c r="FE60" s="19"/>
      <c r="FF60" s="19"/>
      <c r="FG60" s="19"/>
      <c r="FH60" s="19"/>
    </row>
    <row r="61" spans="1:164" x14ac:dyDescent="0.25">
      <c r="A61" s="19" t="s">
        <v>387</v>
      </c>
      <c r="B61" s="19" t="s">
        <v>161</v>
      </c>
      <c r="C61" s="19">
        <v>1000</v>
      </c>
      <c r="D61" s="19">
        <v>800</v>
      </c>
      <c r="E61" s="19" t="s">
        <v>158</v>
      </c>
      <c r="F61" s="20"/>
      <c r="G61" s="23">
        <f t="shared" si="8"/>
        <v>3.6</v>
      </c>
      <c r="H61" s="21">
        <f t="shared" si="9"/>
        <v>97.524000000000001</v>
      </c>
      <c r="I61" s="19">
        <f t="shared" si="0"/>
        <v>27.09</v>
      </c>
      <c r="J61" s="19">
        <f t="shared" si="1"/>
        <v>0</v>
      </c>
      <c r="K61" s="19">
        <f t="shared" si="2"/>
        <v>0</v>
      </c>
      <c r="L61" s="19">
        <f t="shared" si="3"/>
        <v>0</v>
      </c>
      <c r="M61" s="19">
        <f t="shared" si="4"/>
        <v>0</v>
      </c>
      <c r="N61" s="19">
        <f t="shared" si="5"/>
        <v>27.09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25"/>
      <c r="CR61" s="25"/>
      <c r="CS61" s="25"/>
      <c r="CT61" s="25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25"/>
      <c r="DJ61" s="19"/>
      <c r="DK61" s="25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>
        <f>1.774-0.4+(1+4.6+1)</f>
        <v>7.9740000000000002</v>
      </c>
      <c r="ES61" s="19"/>
      <c r="ET61" s="19">
        <f>1.737-0.4+(1+4.6+4.5+1)</f>
        <v>12.436999999999999</v>
      </c>
      <c r="EU61" s="19"/>
      <c r="EV61" s="19"/>
      <c r="EW61" s="19">
        <f>1.661-0.4</f>
        <v>1.2610000000000001</v>
      </c>
      <c r="EX61" s="19">
        <f t="shared" ref="EX61:EY61" si="11">(2.909-0.2)</f>
        <v>2.7089999999999996</v>
      </c>
      <c r="EY61" s="19">
        <f t="shared" si="11"/>
        <v>2.7089999999999996</v>
      </c>
      <c r="EZ61" s="19"/>
      <c r="FA61" s="19"/>
      <c r="FB61" s="19"/>
      <c r="FC61" s="19"/>
      <c r="FD61" s="19"/>
      <c r="FE61" s="19"/>
      <c r="FF61" s="19"/>
      <c r="FG61" s="19"/>
      <c r="FH61" s="19"/>
    </row>
    <row r="62" spans="1:164" x14ac:dyDescent="0.25">
      <c r="A62" s="19" t="s">
        <v>387</v>
      </c>
      <c r="B62" s="19" t="s">
        <v>161</v>
      </c>
      <c r="C62" s="19">
        <v>1000</v>
      </c>
      <c r="D62" s="19">
        <v>630</v>
      </c>
      <c r="E62" s="19" t="s">
        <v>158</v>
      </c>
      <c r="F62" s="20"/>
      <c r="G62" s="23">
        <f t="shared" si="8"/>
        <v>3.26</v>
      </c>
      <c r="H62" s="21">
        <f t="shared" si="9"/>
        <v>26.428819999999995</v>
      </c>
      <c r="I62" s="19">
        <f t="shared" si="0"/>
        <v>8.1069999999999993</v>
      </c>
      <c r="J62" s="19">
        <f t="shared" si="1"/>
        <v>0</v>
      </c>
      <c r="K62" s="19">
        <f t="shared" si="2"/>
        <v>0</v>
      </c>
      <c r="L62" s="19">
        <f t="shared" si="3"/>
        <v>0</v>
      </c>
      <c r="M62" s="19">
        <f t="shared" si="4"/>
        <v>0</v>
      </c>
      <c r="N62" s="19">
        <f t="shared" si="5"/>
        <v>8.1069999999999993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25"/>
      <c r="CR62" s="25"/>
      <c r="CS62" s="25"/>
      <c r="CT62" s="25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25"/>
      <c r="DJ62" s="19"/>
      <c r="DK62" s="25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>
        <f>1.907-0.4+(1+4.6+1)</f>
        <v>8.1069999999999993</v>
      </c>
      <c r="FB62" s="19"/>
      <c r="FC62" s="19"/>
      <c r="FD62" s="19"/>
      <c r="FE62" s="19"/>
      <c r="FF62" s="19"/>
      <c r="FG62" s="19"/>
      <c r="FH62" s="19"/>
    </row>
    <row r="63" spans="1:164" x14ac:dyDescent="0.25">
      <c r="A63" s="19" t="s">
        <v>387</v>
      </c>
      <c r="B63" s="19" t="s">
        <v>161</v>
      </c>
      <c r="C63" s="19">
        <v>800</v>
      </c>
      <c r="D63" s="19">
        <v>800</v>
      </c>
      <c r="E63" s="19" t="s">
        <v>158</v>
      </c>
      <c r="F63" s="20"/>
      <c r="G63" s="23">
        <f t="shared" si="8"/>
        <v>3.2</v>
      </c>
      <c r="H63" s="21">
        <f t="shared" si="9"/>
        <v>221.97439999999997</v>
      </c>
      <c r="I63" s="19">
        <f t="shared" si="0"/>
        <v>69.36699999999999</v>
      </c>
      <c r="J63" s="19">
        <f t="shared" si="1"/>
        <v>0</v>
      </c>
      <c r="K63" s="19">
        <f t="shared" si="2"/>
        <v>0</v>
      </c>
      <c r="L63" s="19">
        <f t="shared" si="3"/>
        <v>0</v>
      </c>
      <c r="M63" s="19">
        <f t="shared" si="4"/>
        <v>0</v>
      </c>
      <c r="N63" s="19">
        <f t="shared" si="5"/>
        <v>69.36699999999999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25"/>
      <c r="CR63" s="25"/>
      <c r="CS63" s="25"/>
      <c r="CT63" s="25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25"/>
      <c r="DJ63" s="19"/>
      <c r="DK63" s="25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>
        <f>1.156+0.7+1.783-0.2</f>
        <v>3.4389999999999996</v>
      </c>
      <c r="EI63" s="19"/>
      <c r="EJ63" s="19">
        <f>1.16+0.7+1.824-0.2</f>
        <v>3.484</v>
      </c>
      <c r="EK63" s="19"/>
      <c r="EL63" s="19"/>
      <c r="EM63" s="19">
        <f>1.797-0.2+1.974+1.16</f>
        <v>4.7309999999999999</v>
      </c>
      <c r="EN63" s="19">
        <f>1.168+0.7+3.506-0.2</f>
        <v>5.1739999999999995</v>
      </c>
      <c r="EO63" s="19"/>
      <c r="EP63" s="19"/>
      <c r="EQ63" s="19"/>
      <c r="ER63" s="19">
        <f>1.169+0.7+5.703-0.2</f>
        <v>7.3719999999999999</v>
      </c>
      <c r="ES63" s="19"/>
      <c r="ET63" s="19">
        <f>1.161+0.7+11.795-0.2</f>
        <v>13.456000000000001</v>
      </c>
      <c r="EU63" s="19"/>
      <c r="EV63" s="19"/>
      <c r="EW63" s="19">
        <f>1.147+0.7+1.83-0.2+(1+4.6+4.5+1)</f>
        <v>14.577</v>
      </c>
      <c r="EX63" s="19"/>
      <c r="EY63" s="19"/>
      <c r="EZ63" s="19"/>
      <c r="FA63" s="19">
        <f>1.149+0.7+0.7</f>
        <v>2.5489999999999999</v>
      </c>
      <c r="FB63" s="19"/>
      <c r="FC63" s="19"/>
      <c r="FD63" s="19">
        <f>1.605+0.7+1.166-0.2</f>
        <v>3.2709999999999995</v>
      </c>
      <c r="FE63" s="19">
        <f>1.151+0.7+4.483-0.2</f>
        <v>6.1339999999999995</v>
      </c>
      <c r="FF63" s="19"/>
      <c r="FG63" s="19">
        <f>1.16+0.7+3.52-0.2</f>
        <v>5.18</v>
      </c>
      <c r="FH63" s="19"/>
    </row>
    <row r="64" spans="1:164" x14ac:dyDescent="0.25">
      <c r="A64" s="19" t="s">
        <v>164</v>
      </c>
      <c r="B64" s="19" t="s">
        <v>162</v>
      </c>
      <c r="C64" s="19">
        <v>1600</v>
      </c>
      <c r="D64" s="19">
        <v>400</v>
      </c>
      <c r="E64" s="19" t="s">
        <v>158</v>
      </c>
      <c r="F64" s="20"/>
      <c r="G64" s="23">
        <f t="shared" si="8"/>
        <v>4</v>
      </c>
      <c r="H64" s="21">
        <f t="shared" si="9"/>
        <v>44.4</v>
      </c>
      <c r="I64" s="19">
        <f t="shared" si="0"/>
        <v>11.1</v>
      </c>
      <c r="J64" s="19">
        <f t="shared" si="1"/>
        <v>0</v>
      </c>
      <c r="K64" s="19">
        <f t="shared" si="2"/>
        <v>0</v>
      </c>
      <c r="L64" s="19">
        <f t="shared" si="3"/>
        <v>0</v>
      </c>
      <c r="M64" s="19">
        <f t="shared" si="4"/>
        <v>0</v>
      </c>
      <c r="N64" s="19">
        <f t="shared" si="5"/>
        <v>11.1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25"/>
      <c r="CR64" s="25"/>
      <c r="CS64" s="25"/>
      <c r="CT64" s="25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25"/>
      <c r="DJ64" s="19"/>
      <c r="DK64" s="25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>
        <f>(1+4.6+4.5+1)</f>
        <v>11.1</v>
      </c>
      <c r="FD64" s="19"/>
      <c r="FE64" s="19"/>
      <c r="FF64" s="19"/>
      <c r="FG64" s="19"/>
      <c r="FH64" s="19"/>
    </row>
    <row r="65" spans="1:164" x14ac:dyDescent="0.25">
      <c r="A65" s="19" t="s">
        <v>164</v>
      </c>
      <c r="B65" s="19" t="s">
        <v>163</v>
      </c>
      <c r="C65" s="19">
        <v>1250</v>
      </c>
      <c r="D65" s="19">
        <v>1000</v>
      </c>
      <c r="E65" s="19" t="s">
        <v>158</v>
      </c>
      <c r="F65" s="20"/>
      <c r="G65" s="23">
        <f t="shared" si="8"/>
        <v>4.5</v>
      </c>
      <c r="H65" s="21">
        <f t="shared" si="9"/>
        <v>11.191499999999998</v>
      </c>
      <c r="I65" s="19">
        <f t="shared" si="0"/>
        <v>2.4869999999999997</v>
      </c>
      <c r="J65" s="19">
        <f t="shared" si="1"/>
        <v>0</v>
      </c>
      <c r="K65" s="19">
        <f t="shared" si="2"/>
        <v>0</v>
      </c>
      <c r="L65" s="19">
        <f t="shared" si="3"/>
        <v>0</v>
      </c>
      <c r="M65" s="19">
        <f t="shared" si="4"/>
        <v>0</v>
      </c>
      <c r="N65" s="19">
        <f t="shared" si="5"/>
        <v>2.4869999999999997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25"/>
      <c r="CR65" s="25"/>
      <c r="CS65" s="25"/>
      <c r="CT65" s="25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25"/>
      <c r="DJ65" s="19"/>
      <c r="DK65" s="25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>
        <f>1.376+1.311-0.2</f>
        <v>2.4869999999999997</v>
      </c>
      <c r="FA65" s="19"/>
      <c r="FB65" s="19"/>
      <c r="FC65" s="19"/>
      <c r="FD65" s="19"/>
      <c r="FE65" s="19"/>
      <c r="FF65" s="19"/>
      <c r="FG65" s="19"/>
      <c r="FH65" s="19"/>
    </row>
    <row r="66" spans="1:164" x14ac:dyDescent="0.25">
      <c r="A66" s="19" t="s">
        <v>164</v>
      </c>
      <c r="B66" s="19" t="s">
        <v>163</v>
      </c>
      <c r="C66" s="19">
        <v>1250</v>
      </c>
      <c r="D66" s="19">
        <v>800</v>
      </c>
      <c r="E66" s="19" t="s">
        <v>158</v>
      </c>
      <c r="F66" s="20"/>
      <c r="G66" s="23">
        <f t="shared" si="8"/>
        <v>4.0999999999999996</v>
      </c>
      <c r="H66" s="21">
        <f t="shared" si="9"/>
        <v>75.234999999999985</v>
      </c>
      <c r="I66" s="19">
        <f t="shared" si="0"/>
        <v>18.349999999999998</v>
      </c>
      <c r="J66" s="19">
        <f t="shared" si="1"/>
        <v>0</v>
      </c>
      <c r="K66" s="19">
        <f t="shared" si="2"/>
        <v>0</v>
      </c>
      <c r="L66" s="19">
        <f t="shared" si="3"/>
        <v>0</v>
      </c>
      <c r="M66" s="19">
        <f t="shared" si="4"/>
        <v>0</v>
      </c>
      <c r="N66" s="19">
        <f t="shared" si="5"/>
        <v>18.349999999999998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25"/>
      <c r="CR66" s="25"/>
      <c r="CS66" s="25"/>
      <c r="CT66" s="25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25"/>
      <c r="DJ66" s="19"/>
      <c r="DK66" s="25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>
        <f>(14.2+1+6.6-3.45)</f>
        <v>18.349999999999998</v>
      </c>
      <c r="FA66" s="19"/>
      <c r="FB66" s="19"/>
      <c r="FC66" s="19"/>
      <c r="FD66" s="19"/>
      <c r="FE66" s="19"/>
      <c r="FF66" s="19"/>
      <c r="FG66" s="19"/>
      <c r="FH66" s="19"/>
    </row>
    <row r="67" spans="1:164" x14ac:dyDescent="0.25">
      <c r="A67" s="19" t="s">
        <v>164</v>
      </c>
      <c r="B67" s="19" t="s">
        <v>163</v>
      </c>
      <c r="C67" s="19">
        <v>1250</v>
      </c>
      <c r="D67" s="19">
        <v>630</v>
      </c>
      <c r="E67" s="19" t="s">
        <v>158</v>
      </c>
      <c r="F67" s="20"/>
      <c r="G67" s="23">
        <f t="shared" si="8"/>
        <v>3.76</v>
      </c>
      <c r="H67" s="21">
        <f t="shared" si="9"/>
        <v>137.8228</v>
      </c>
      <c r="I67" s="19">
        <f t="shared" si="0"/>
        <v>36.655000000000001</v>
      </c>
      <c r="J67" s="19">
        <f t="shared" si="1"/>
        <v>0</v>
      </c>
      <c r="K67" s="19">
        <f t="shared" si="2"/>
        <v>0</v>
      </c>
      <c r="L67" s="19">
        <f t="shared" si="3"/>
        <v>0</v>
      </c>
      <c r="M67" s="19">
        <f t="shared" si="4"/>
        <v>0</v>
      </c>
      <c r="N67" s="19">
        <f t="shared" si="5"/>
        <v>36.655000000000001</v>
      </c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25"/>
      <c r="CR67" s="25"/>
      <c r="CS67" s="25"/>
      <c r="CT67" s="25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25"/>
      <c r="DJ67" s="19"/>
      <c r="DK67" s="25"/>
      <c r="DL67" s="19"/>
      <c r="DM67" s="19"/>
      <c r="DN67" s="19"/>
      <c r="DO67" s="19">
        <f>0.2+1.917-0.2+1.3-0.2</f>
        <v>3.0169999999999999</v>
      </c>
      <c r="DP67" s="19">
        <f>1.101-0.2+0.2+(4.96-0.2)</f>
        <v>5.8609999999999998</v>
      </c>
      <c r="DQ67" s="19"/>
      <c r="DR67" s="19">
        <f>1.3-0.2+2.1-0.2+0.201</f>
        <v>3.2010000000000001</v>
      </c>
      <c r="DS67" s="19">
        <f>1.3-0.2+1.101-0.2+0.2</f>
        <v>2.2010000000000001</v>
      </c>
      <c r="DT67" s="19">
        <f>0.197+1.148-0.2+(0.8-0.2)</f>
        <v>1.7450000000000001</v>
      </c>
      <c r="DU67" s="19"/>
      <c r="DV67" s="19"/>
      <c r="DW67" s="19"/>
      <c r="DX67" s="25">
        <f>0.2+1.101-0.2+0.8-0.2</f>
        <v>1.7010000000000001</v>
      </c>
      <c r="DY67" s="19">
        <f>4.651-0.2+1.101-0.2+0.2</f>
        <v>5.5519999999999996</v>
      </c>
      <c r="DZ67" s="19">
        <f>0.2+1.101-0.2+1.3-0.2</f>
        <v>2.2009999999999996</v>
      </c>
      <c r="EA67" s="19">
        <f>3.224-0.2+1.101-0.2+0.203</f>
        <v>4.1280000000000001</v>
      </c>
      <c r="EB67" s="19">
        <f>0.2+1.809-0.2+0.8-0.2</f>
        <v>2.4089999999999998</v>
      </c>
      <c r="EC67" s="19"/>
      <c r="ED67" s="19">
        <f>0.2+1.16-0.2+1.3-0.2</f>
        <v>2.2599999999999998</v>
      </c>
      <c r="EE67" s="19">
        <f>0.2+1.779-0.2+0.8-0.2</f>
        <v>2.3789999999999996</v>
      </c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</row>
    <row r="68" spans="1:164" x14ac:dyDescent="0.25">
      <c r="A68" s="19" t="s">
        <v>164</v>
      </c>
      <c r="B68" s="19" t="s">
        <v>163</v>
      </c>
      <c r="C68" s="19">
        <v>1250</v>
      </c>
      <c r="D68" s="19">
        <v>500</v>
      </c>
      <c r="E68" s="19" t="s">
        <v>158</v>
      </c>
      <c r="F68" s="20"/>
      <c r="G68" s="23">
        <f t="shared" si="8"/>
        <v>3.5</v>
      </c>
      <c r="H68" s="21">
        <f t="shared" si="9"/>
        <v>23.099999999999998</v>
      </c>
      <c r="I68" s="19">
        <f t="shared" si="0"/>
        <v>6.6</v>
      </c>
      <c r="J68" s="19">
        <f t="shared" si="1"/>
        <v>0</v>
      </c>
      <c r="K68" s="19">
        <f t="shared" si="2"/>
        <v>0</v>
      </c>
      <c r="L68" s="19">
        <f t="shared" si="3"/>
        <v>0</v>
      </c>
      <c r="M68" s="19">
        <f t="shared" si="4"/>
        <v>0</v>
      </c>
      <c r="N68" s="19">
        <f t="shared" si="5"/>
        <v>6.6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25"/>
      <c r="CR68" s="25"/>
      <c r="CS68" s="25"/>
      <c r="CT68" s="25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25"/>
      <c r="DJ68" s="19"/>
      <c r="DK68" s="25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25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>
        <f>1+4.6+1</f>
        <v>6.6</v>
      </c>
      <c r="FC68" s="19"/>
      <c r="FD68" s="19"/>
      <c r="FE68" s="19"/>
      <c r="FF68" s="19"/>
      <c r="FG68" s="19"/>
      <c r="FH68" s="19"/>
    </row>
    <row r="69" spans="1:164" x14ac:dyDescent="0.25">
      <c r="A69" s="19" t="s">
        <v>164</v>
      </c>
      <c r="B69" s="19" t="s">
        <v>165</v>
      </c>
      <c r="C69" s="19">
        <v>1000</v>
      </c>
      <c r="D69" s="19">
        <v>800</v>
      </c>
      <c r="E69" s="19" t="s">
        <v>158</v>
      </c>
      <c r="F69" s="20"/>
      <c r="G69" s="23">
        <f t="shared" si="8"/>
        <v>3.6</v>
      </c>
      <c r="H69" s="21">
        <f t="shared" si="9"/>
        <v>193.21200000000002</v>
      </c>
      <c r="I69" s="19">
        <f t="shared" si="0"/>
        <v>53.67</v>
      </c>
      <c r="J69" s="19">
        <f t="shared" si="1"/>
        <v>0</v>
      </c>
      <c r="K69" s="19">
        <f t="shared" si="2"/>
        <v>0</v>
      </c>
      <c r="L69" s="19">
        <f t="shared" si="3"/>
        <v>0</v>
      </c>
      <c r="M69" s="19">
        <f t="shared" si="4"/>
        <v>0</v>
      </c>
      <c r="N69" s="19">
        <f t="shared" si="5"/>
        <v>53.67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25"/>
      <c r="CR69" s="25"/>
      <c r="CS69" s="25"/>
      <c r="CT69" s="25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25"/>
      <c r="DJ69" s="19"/>
      <c r="DK69" s="25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25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>
        <f>14.2+1-3.5</f>
        <v>11.7</v>
      </c>
      <c r="EJ69" s="19"/>
      <c r="EK69" s="19"/>
      <c r="EL69" s="19">
        <f>14.2+1-3.5</f>
        <v>11.7</v>
      </c>
      <c r="EM69" s="19"/>
      <c r="EN69" s="19"/>
      <c r="EO69" s="19">
        <f>14.2+1-5.1-3.5</f>
        <v>6.6</v>
      </c>
      <c r="EP69" s="19"/>
      <c r="EQ69" s="19">
        <f>1+1</f>
        <v>2</v>
      </c>
      <c r="ER69" s="19"/>
      <c r="ES69" s="19">
        <f>1+4.6+1</f>
        <v>6.6</v>
      </c>
      <c r="ET69" s="19"/>
      <c r="EU69" s="19">
        <f>(1+4.6+4.5+1)</f>
        <v>11.1</v>
      </c>
      <c r="EV69" s="19">
        <f>1.661-0.4</f>
        <v>1.2610000000000001</v>
      </c>
      <c r="EW69" s="19"/>
      <c r="EX69" s="19"/>
      <c r="EY69" s="19"/>
      <c r="EZ69" s="19">
        <f>(2.909-0.2)</f>
        <v>2.7089999999999996</v>
      </c>
      <c r="FA69" s="19"/>
      <c r="FB69" s="19"/>
      <c r="FC69" s="19"/>
      <c r="FD69" s="19"/>
      <c r="FE69" s="19"/>
      <c r="FF69" s="19"/>
      <c r="FG69" s="19"/>
      <c r="FH69" s="19"/>
    </row>
    <row r="70" spans="1:164" x14ac:dyDescent="0.25">
      <c r="A70" s="19" t="s">
        <v>164</v>
      </c>
      <c r="B70" s="19" t="s">
        <v>165</v>
      </c>
      <c r="C70" s="19">
        <v>1000</v>
      </c>
      <c r="D70" s="19">
        <v>500</v>
      </c>
      <c r="E70" s="19" t="s">
        <v>158</v>
      </c>
      <c r="F70" s="20"/>
      <c r="G70" s="23">
        <f t="shared" si="8"/>
        <v>3</v>
      </c>
      <c r="H70" s="21">
        <f t="shared" si="9"/>
        <v>16.661999999999999</v>
      </c>
      <c r="I70" s="19">
        <f t="shared" ref="I70:I133" si="12">SUM(O70:FH70)</f>
        <v>5.5539999999999994</v>
      </c>
      <c r="J70" s="19">
        <f t="shared" ref="J70:J132" si="13">SUM(O70:R70)</f>
        <v>0</v>
      </c>
      <c r="K70" s="19">
        <f t="shared" ref="K70:K132" si="14">SUM(S70:CI70)</f>
        <v>0</v>
      </c>
      <c r="L70" s="19">
        <f t="shared" ref="L70:L132" si="15">SUM(CJ70:CT70)</f>
        <v>0</v>
      </c>
      <c r="M70" s="19">
        <f t="shared" ref="M70:M132" si="16">SUM(CU70:DF70)</f>
        <v>0</v>
      </c>
      <c r="N70" s="19">
        <f t="shared" ref="N70:N132" si="17">SUM(DG70:FH70)</f>
        <v>5.5539999999999994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25"/>
      <c r="CR70" s="25"/>
      <c r="CS70" s="25"/>
      <c r="CT70" s="25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25"/>
      <c r="DJ70" s="19"/>
      <c r="DK70" s="25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25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>
        <f>5.754-0.2</f>
        <v>5.5539999999999994</v>
      </c>
      <c r="FC70" s="19"/>
      <c r="FD70" s="19"/>
      <c r="FE70" s="19"/>
      <c r="FF70" s="19"/>
      <c r="FG70" s="19"/>
      <c r="FH70" s="19"/>
    </row>
    <row r="71" spans="1:164" x14ac:dyDescent="0.25">
      <c r="A71" s="19" t="s">
        <v>164</v>
      </c>
      <c r="B71" s="19" t="s">
        <v>165</v>
      </c>
      <c r="C71" s="19">
        <v>800</v>
      </c>
      <c r="D71" s="19">
        <v>800</v>
      </c>
      <c r="E71" s="19" t="s">
        <v>158</v>
      </c>
      <c r="F71" s="20"/>
      <c r="G71" s="23">
        <f t="shared" si="8"/>
        <v>3.2</v>
      </c>
      <c r="H71" s="21">
        <f t="shared" si="9"/>
        <v>195.73439999999997</v>
      </c>
      <c r="I71" s="19">
        <f t="shared" si="12"/>
        <v>61.166999999999987</v>
      </c>
      <c r="J71" s="19">
        <f t="shared" si="13"/>
        <v>0</v>
      </c>
      <c r="K71" s="19">
        <f t="shared" si="14"/>
        <v>0</v>
      </c>
      <c r="L71" s="19">
        <f t="shared" si="15"/>
        <v>0</v>
      </c>
      <c r="M71" s="19">
        <f t="shared" si="16"/>
        <v>0</v>
      </c>
      <c r="N71" s="19">
        <f t="shared" si="17"/>
        <v>61.166999999999987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25"/>
      <c r="CR71" s="25"/>
      <c r="CS71" s="25"/>
      <c r="CT71" s="25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25"/>
      <c r="DJ71" s="19"/>
      <c r="DK71" s="25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25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>
        <f>1.167+1.383-0.2</f>
        <v>2.3499999999999996</v>
      </c>
      <c r="EJ71" s="19"/>
      <c r="EK71" s="19">
        <f>1.148+2.782-0.2+(14.2+1-5.1-3.5)</f>
        <v>10.329999999999998</v>
      </c>
      <c r="EL71" s="19">
        <f>1.13+2.644-0.2</f>
        <v>3.5739999999999998</v>
      </c>
      <c r="EM71" s="19"/>
      <c r="EN71" s="19"/>
      <c r="EO71" s="19">
        <f>1.15+1.438-0.2</f>
        <v>2.3879999999999999</v>
      </c>
      <c r="EP71" s="19"/>
      <c r="EQ71" s="19">
        <f>4.142+1.161-0.2</f>
        <v>5.1030000000000006</v>
      </c>
      <c r="ER71" s="19"/>
      <c r="ES71" s="19">
        <f>1.385-0.2+1.158</f>
        <v>2.343</v>
      </c>
      <c r="ET71" s="19"/>
      <c r="EU71" s="19">
        <f>1.385-0.2+1.158</f>
        <v>2.343</v>
      </c>
      <c r="EV71" s="19">
        <f>1.158+1.315-0.2+(1+4.6+4.5+1)</f>
        <v>13.372999999999999</v>
      </c>
      <c r="EW71" s="19"/>
      <c r="EX71" s="19"/>
      <c r="EY71" s="19"/>
      <c r="EZ71" s="19"/>
      <c r="FA71" s="19"/>
      <c r="FB71" s="19">
        <f>1.16</f>
        <v>1.1599999999999999</v>
      </c>
      <c r="FC71" s="19">
        <f>1.132-0.2+1.146</f>
        <v>2.0779999999999998</v>
      </c>
      <c r="FD71" s="19"/>
      <c r="FE71" s="19"/>
      <c r="FF71" s="19">
        <f>1.166</f>
        <v>1.1659999999999999</v>
      </c>
      <c r="FG71" s="19"/>
      <c r="FH71" s="19">
        <f>1.165+2.894-0.2+(1+4.6+4.5+1)</f>
        <v>14.959</v>
      </c>
    </row>
    <row r="72" spans="1:164" x14ac:dyDescent="0.25">
      <c r="A72" s="19" t="s">
        <v>164</v>
      </c>
      <c r="B72" s="19" t="s">
        <v>165</v>
      </c>
      <c r="C72" s="19">
        <v>800</v>
      </c>
      <c r="D72" s="19">
        <v>630</v>
      </c>
      <c r="E72" s="19" t="s">
        <v>158</v>
      </c>
      <c r="F72" s="20"/>
      <c r="G72" s="23">
        <f t="shared" si="8"/>
        <v>2.8600000000000003</v>
      </c>
      <c r="H72" s="21">
        <f t="shared" si="9"/>
        <v>52.738400000000013</v>
      </c>
      <c r="I72" s="19">
        <f t="shared" si="12"/>
        <v>18.440000000000001</v>
      </c>
      <c r="J72" s="19">
        <f t="shared" si="13"/>
        <v>0</v>
      </c>
      <c r="K72" s="19">
        <f t="shared" si="14"/>
        <v>0</v>
      </c>
      <c r="L72" s="19">
        <f t="shared" si="15"/>
        <v>0</v>
      </c>
      <c r="M72" s="19">
        <f t="shared" si="16"/>
        <v>0</v>
      </c>
      <c r="N72" s="19">
        <f t="shared" si="17"/>
        <v>18.440000000000001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25"/>
      <c r="CR72" s="25"/>
      <c r="CS72" s="25"/>
      <c r="CT72" s="25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25"/>
      <c r="DJ72" s="19"/>
      <c r="DK72" s="25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25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>
        <f>1.679-0.4</f>
        <v>1.2789999999999999</v>
      </c>
      <c r="EJ72" s="19"/>
      <c r="EK72" s="19">
        <f>1.656-0.4</f>
        <v>1.2559999999999998</v>
      </c>
      <c r="EL72" s="19">
        <f>1.651-0.4</f>
        <v>1.2509999999999999</v>
      </c>
      <c r="EM72" s="19"/>
      <c r="EN72" s="19"/>
      <c r="EO72" s="19">
        <f>1.693-0.4</f>
        <v>1.2930000000000001</v>
      </c>
      <c r="EP72" s="19"/>
      <c r="EQ72" s="19">
        <f>2.096-0.4</f>
        <v>1.6960000000000002</v>
      </c>
      <c r="ER72" s="19"/>
      <c r="ES72" s="19">
        <f>2.125-0.4</f>
        <v>1.7250000000000001</v>
      </c>
      <c r="ET72" s="19"/>
      <c r="EU72" s="19">
        <f>1.835-0.4+(1.835-0.4)</f>
        <v>2.87</v>
      </c>
      <c r="EV72" s="19"/>
      <c r="EW72" s="19"/>
      <c r="EX72" s="19"/>
      <c r="EY72" s="19"/>
      <c r="EZ72" s="19"/>
      <c r="FA72" s="19"/>
      <c r="FB72" s="19">
        <f>1.72-0.4</f>
        <v>1.3199999999999998</v>
      </c>
      <c r="FC72" s="19">
        <f>1.516-0.4</f>
        <v>1.1160000000000001</v>
      </c>
      <c r="FD72" s="19"/>
      <c r="FE72" s="19"/>
      <c r="FF72" s="19">
        <f>1.725-0.4+(2)</f>
        <v>3.3250000000000002</v>
      </c>
      <c r="FG72" s="19"/>
      <c r="FH72" s="19">
        <f>1.709-0.4</f>
        <v>1.3090000000000002</v>
      </c>
    </row>
    <row r="73" spans="1:164" x14ac:dyDescent="0.25">
      <c r="A73" s="19" t="s">
        <v>164</v>
      </c>
      <c r="B73" s="19" t="s">
        <v>165</v>
      </c>
      <c r="C73" s="19">
        <v>800</v>
      </c>
      <c r="D73" s="19">
        <v>400</v>
      </c>
      <c r="E73" s="19" t="s">
        <v>158</v>
      </c>
      <c r="F73" s="20"/>
      <c r="G73" s="23">
        <f t="shared" si="8"/>
        <v>2.4000000000000004</v>
      </c>
      <c r="H73" s="21">
        <f t="shared" si="9"/>
        <v>36.640800000000006</v>
      </c>
      <c r="I73" s="19">
        <f t="shared" si="12"/>
        <v>15.266999999999999</v>
      </c>
      <c r="J73" s="19">
        <f t="shared" si="13"/>
        <v>0</v>
      </c>
      <c r="K73" s="19">
        <f t="shared" si="14"/>
        <v>15.266999999999999</v>
      </c>
      <c r="L73" s="19">
        <f t="shared" si="15"/>
        <v>0</v>
      </c>
      <c r="M73" s="19">
        <f t="shared" si="16"/>
        <v>0</v>
      </c>
      <c r="N73" s="19">
        <f t="shared" si="17"/>
        <v>0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>
        <f>1.76-0.4+0.322+1.438-0.2+(1.797-0.2)+(4.5+6.25)</f>
        <v>15.266999999999999</v>
      </c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</row>
    <row r="74" spans="1:164" x14ac:dyDescent="0.25">
      <c r="A74" s="19" t="s">
        <v>164</v>
      </c>
      <c r="B74" s="19" t="s">
        <v>165</v>
      </c>
      <c r="C74" s="24" t="s">
        <v>159</v>
      </c>
      <c r="D74" s="19">
        <v>800</v>
      </c>
      <c r="E74" s="19" t="s">
        <v>158</v>
      </c>
      <c r="F74" s="20"/>
      <c r="G74" s="23">
        <f t="shared" ref="G74:G79" si="18">3.14*D74/1000</f>
        <v>2.512</v>
      </c>
      <c r="H74" s="21">
        <f t="shared" si="9"/>
        <v>16.956000000000003</v>
      </c>
      <c r="I74" s="19">
        <f t="shared" si="12"/>
        <v>6.7500000000000018</v>
      </c>
      <c r="J74" s="19">
        <f t="shared" si="13"/>
        <v>0</v>
      </c>
      <c r="K74" s="19">
        <f t="shared" si="14"/>
        <v>0</v>
      </c>
      <c r="L74" s="19">
        <f t="shared" si="15"/>
        <v>0</v>
      </c>
      <c r="M74" s="19">
        <f t="shared" si="16"/>
        <v>0</v>
      </c>
      <c r="N74" s="19">
        <f t="shared" si="17"/>
        <v>6.7500000000000018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>
        <f>0.4</f>
        <v>0.4</v>
      </c>
      <c r="DP74" s="19">
        <f>0.4</f>
        <v>0.4</v>
      </c>
      <c r="DQ74" s="19"/>
      <c r="DR74" s="19">
        <f>0.4</f>
        <v>0.4</v>
      </c>
      <c r="DS74" s="19">
        <f>0.4</f>
        <v>0.4</v>
      </c>
      <c r="DT74" s="19">
        <f>0.2+0.85</f>
        <v>1.05</v>
      </c>
      <c r="DU74" s="19"/>
      <c r="DV74" s="19"/>
      <c r="DW74" s="19"/>
      <c r="DX74" s="19">
        <f>0.2+0.5</f>
        <v>0.7</v>
      </c>
      <c r="DY74" s="19">
        <v>0.4</v>
      </c>
      <c r="DZ74" s="19">
        <v>0.4</v>
      </c>
      <c r="EA74" s="19">
        <v>0.4</v>
      </c>
      <c r="EB74" s="19">
        <f>0.7+0.2</f>
        <v>0.89999999999999991</v>
      </c>
      <c r="EC74" s="19"/>
      <c r="ED74" s="19">
        <f>0.4</f>
        <v>0.4</v>
      </c>
      <c r="EE74" s="19">
        <f>0.7+0.2</f>
        <v>0.89999999999999991</v>
      </c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</row>
    <row r="75" spans="1:164" x14ac:dyDescent="0.25">
      <c r="A75" s="19" t="s">
        <v>164</v>
      </c>
      <c r="B75" s="19" t="s">
        <v>165</v>
      </c>
      <c r="C75" s="19">
        <v>700</v>
      </c>
      <c r="D75" s="19">
        <v>400</v>
      </c>
      <c r="E75" s="19" t="s">
        <v>158</v>
      </c>
      <c r="F75" s="20"/>
      <c r="G75" s="23">
        <f t="shared" si="8"/>
        <v>2.2000000000000002</v>
      </c>
      <c r="H75" s="21">
        <f t="shared" si="9"/>
        <v>37.804800000000007</v>
      </c>
      <c r="I75" s="19">
        <f t="shared" si="12"/>
        <v>17.184000000000001</v>
      </c>
      <c r="J75" s="19">
        <f t="shared" si="13"/>
        <v>0</v>
      </c>
      <c r="K75" s="19">
        <f t="shared" si="14"/>
        <v>0</v>
      </c>
      <c r="L75" s="19">
        <f t="shared" si="15"/>
        <v>0</v>
      </c>
      <c r="M75" s="19">
        <f t="shared" si="16"/>
        <v>17.184000000000001</v>
      </c>
      <c r="N75" s="19">
        <f t="shared" si="17"/>
        <v>0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>
        <f>1.839-0.2+1.345-0.2+(0.3+17.1-3)</f>
        <v>17.184000000000001</v>
      </c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</row>
    <row r="76" spans="1:164" x14ac:dyDescent="0.25">
      <c r="A76" s="19" t="s">
        <v>164</v>
      </c>
      <c r="B76" s="19" t="s">
        <v>165</v>
      </c>
      <c r="C76" s="24" t="s">
        <v>159</v>
      </c>
      <c r="D76" s="19">
        <v>650</v>
      </c>
      <c r="E76" s="19" t="s">
        <v>158</v>
      </c>
      <c r="F76" s="20"/>
      <c r="G76" s="23">
        <f t="shared" si="18"/>
        <v>2.0409999999999999</v>
      </c>
      <c r="H76" s="21">
        <f t="shared" si="9"/>
        <v>12.041899999999998</v>
      </c>
      <c r="I76" s="19">
        <f t="shared" si="12"/>
        <v>5.8999999999999995</v>
      </c>
      <c r="J76" s="19">
        <f t="shared" si="13"/>
        <v>0</v>
      </c>
      <c r="K76" s="19">
        <f t="shared" si="14"/>
        <v>5.8999999999999995</v>
      </c>
      <c r="L76" s="19">
        <f t="shared" si="15"/>
        <v>0</v>
      </c>
      <c r="M76" s="19">
        <f t="shared" si="16"/>
        <v>0</v>
      </c>
      <c r="N76" s="19">
        <f t="shared" si="17"/>
        <v>0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>
        <f>0.95+0.325+0.2</f>
        <v>1.4749999999999999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>
        <f>0.95+0.325+0.2</f>
        <v>1.4749999999999999</v>
      </c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>
        <f>0.95+0.325+0.2</f>
        <v>1.4749999999999999</v>
      </c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>
        <f>0.95+0.325+0.2</f>
        <v>1.4749999999999999</v>
      </c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</row>
    <row r="77" spans="1:164" x14ac:dyDescent="0.25">
      <c r="A77" s="19" t="s">
        <v>164</v>
      </c>
      <c r="B77" s="19" t="s">
        <v>165</v>
      </c>
      <c r="C77" s="24">
        <v>650</v>
      </c>
      <c r="D77" s="19">
        <v>500</v>
      </c>
      <c r="E77" s="19" t="s">
        <v>158</v>
      </c>
      <c r="F77" s="20"/>
      <c r="G77" s="23">
        <f t="shared" ref="G77:G93" si="19">(C77/1000+D77/1000)*2</f>
        <v>2.2999999999999998</v>
      </c>
      <c r="H77" s="21">
        <f t="shared" ref="H77:H93" si="20">G77*I77</f>
        <v>406.99879999999996</v>
      </c>
      <c r="I77" s="19">
        <f t="shared" si="12"/>
        <v>176.95599999999999</v>
      </c>
      <c r="J77" s="19">
        <f t="shared" si="13"/>
        <v>0</v>
      </c>
      <c r="K77" s="19">
        <f t="shared" si="14"/>
        <v>176.95599999999999</v>
      </c>
      <c r="L77" s="19">
        <f t="shared" si="15"/>
        <v>0</v>
      </c>
      <c r="M77" s="19">
        <f t="shared" si="16"/>
        <v>0</v>
      </c>
      <c r="N77" s="19">
        <f t="shared" si="17"/>
        <v>0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>
        <f>1.274-0.2+(42.85+0.315)</f>
        <v>44.238999999999997</v>
      </c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>
        <f>1.274-0.2+(42.85+0.315)</f>
        <v>44.238999999999997</v>
      </c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>
        <f>1.274-0.2+(42.85+0.315)</f>
        <v>44.238999999999997</v>
      </c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>
        <f>1.274-0.2+(42.85+0.315)</f>
        <v>44.238999999999997</v>
      </c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</row>
    <row r="78" spans="1:164" x14ac:dyDescent="0.25">
      <c r="A78" s="19" t="s">
        <v>164</v>
      </c>
      <c r="B78" s="19" t="s">
        <v>165</v>
      </c>
      <c r="C78" s="24">
        <v>630</v>
      </c>
      <c r="D78" s="19">
        <v>500</v>
      </c>
      <c r="E78" s="19" t="s">
        <v>158</v>
      </c>
      <c r="F78" s="20"/>
      <c r="G78" s="23">
        <f t="shared" si="19"/>
        <v>2.2599999999999998</v>
      </c>
      <c r="H78" s="21">
        <f t="shared" si="20"/>
        <v>75.409419999999983</v>
      </c>
      <c r="I78" s="19">
        <f t="shared" si="12"/>
        <v>33.366999999999997</v>
      </c>
      <c r="J78" s="19">
        <f t="shared" si="13"/>
        <v>0</v>
      </c>
      <c r="K78" s="19">
        <f t="shared" si="14"/>
        <v>0</v>
      </c>
      <c r="L78" s="19">
        <f t="shared" si="15"/>
        <v>0</v>
      </c>
      <c r="M78" s="19">
        <f t="shared" si="16"/>
        <v>0</v>
      </c>
      <c r="N78" s="19">
        <f t="shared" si="17"/>
        <v>33.366999999999997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>
        <f>2.698-0.4+(14.2+1+6.6-3.6)</f>
        <v>20.497999999999998</v>
      </c>
      <c r="EG78" s="19">
        <f>1.669-0.4+(14.2+1-3.6)</f>
        <v>12.869</v>
      </c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</row>
    <row r="79" spans="1:164" x14ac:dyDescent="0.25">
      <c r="A79" s="19" t="s">
        <v>164</v>
      </c>
      <c r="B79" s="19" t="s">
        <v>165</v>
      </c>
      <c r="C79" s="24" t="s">
        <v>159</v>
      </c>
      <c r="D79" s="19">
        <v>550</v>
      </c>
      <c r="E79" s="19" t="s">
        <v>158</v>
      </c>
      <c r="F79" s="20"/>
      <c r="G79" s="23">
        <f t="shared" si="18"/>
        <v>1.7270000000000001</v>
      </c>
      <c r="H79" s="21">
        <f t="shared" si="20"/>
        <v>6.2793719999999995</v>
      </c>
      <c r="I79" s="19">
        <f t="shared" si="12"/>
        <v>3.6359999999999997</v>
      </c>
      <c r="J79" s="19">
        <f t="shared" si="13"/>
        <v>0</v>
      </c>
      <c r="K79" s="19">
        <f t="shared" si="14"/>
        <v>0</v>
      </c>
      <c r="L79" s="19">
        <f t="shared" si="15"/>
        <v>0</v>
      </c>
      <c r="M79" s="19">
        <f t="shared" si="16"/>
        <v>3.6359999999999997</v>
      </c>
      <c r="N79" s="19">
        <f t="shared" si="17"/>
        <v>0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>
        <f>0.852+1.839+1.345-0.4</f>
        <v>3.6359999999999997</v>
      </c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</row>
    <row r="80" spans="1:164" x14ac:dyDescent="0.25">
      <c r="A80" s="19" t="s">
        <v>164</v>
      </c>
      <c r="B80" s="19" t="s">
        <v>165</v>
      </c>
      <c r="C80" s="24">
        <v>500</v>
      </c>
      <c r="D80" s="19">
        <v>320</v>
      </c>
      <c r="E80" s="19" t="s">
        <v>158</v>
      </c>
      <c r="F80" s="20"/>
      <c r="G80" s="23">
        <f t="shared" si="19"/>
        <v>1.6400000000000001</v>
      </c>
      <c r="H80" s="21">
        <f t="shared" si="20"/>
        <v>28.560600000000008</v>
      </c>
      <c r="I80" s="19">
        <f t="shared" si="12"/>
        <v>17.415000000000003</v>
      </c>
      <c r="J80" s="19">
        <f t="shared" si="13"/>
        <v>0</v>
      </c>
      <c r="K80" s="19">
        <f t="shared" si="14"/>
        <v>0</v>
      </c>
      <c r="L80" s="19">
        <f t="shared" si="15"/>
        <v>17.415000000000003</v>
      </c>
      <c r="M80" s="19">
        <f t="shared" si="16"/>
        <v>0</v>
      </c>
      <c r="N80" s="19">
        <f t="shared" si="17"/>
        <v>0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>
        <f>0.3+17.1+0.015</f>
        <v>17.415000000000003</v>
      </c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</row>
    <row r="81" spans="1:164" x14ac:dyDescent="0.25">
      <c r="A81" s="19" t="s">
        <v>164</v>
      </c>
      <c r="B81" s="19" t="s">
        <v>165</v>
      </c>
      <c r="C81" s="24" t="s">
        <v>159</v>
      </c>
      <c r="D81" s="19">
        <v>500</v>
      </c>
      <c r="E81" s="19" t="s">
        <v>158</v>
      </c>
      <c r="F81" s="20"/>
      <c r="G81" s="23">
        <f>3.14*D81/1000</f>
        <v>1.57</v>
      </c>
      <c r="H81" s="21">
        <f t="shared" si="20"/>
        <v>6.3066900000000006</v>
      </c>
      <c r="I81" s="19">
        <f t="shared" si="12"/>
        <v>4.0170000000000003</v>
      </c>
      <c r="J81" s="19">
        <f t="shared" si="13"/>
        <v>0</v>
      </c>
      <c r="K81" s="19">
        <f t="shared" si="14"/>
        <v>0</v>
      </c>
      <c r="L81" s="19">
        <f t="shared" si="15"/>
        <v>1.6</v>
      </c>
      <c r="M81" s="19">
        <f t="shared" si="16"/>
        <v>0</v>
      </c>
      <c r="N81" s="19">
        <f t="shared" si="17"/>
        <v>2.4170000000000003</v>
      </c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>
        <f>0.85+0.25+0.5</f>
        <v>1.6</v>
      </c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>
        <f>0.8+0.4</f>
        <v>1.2000000000000002</v>
      </c>
      <c r="EG81" s="19">
        <f>0.4+0.817</f>
        <v>1.2170000000000001</v>
      </c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</row>
    <row r="82" spans="1:164" x14ac:dyDescent="0.25">
      <c r="A82" s="19" t="s">
        <v>164</v>
      </c>
      <c r="B82" s="19" t="s">
        <v>166</v>
      </c>
      <c r="C82" s="19">
        <v>400</v>
      </c>
      <c r="D82" s="19">
        <v>400</v>
      </c>
      <c r="E82" s="19" t="s">
        <v>158</v>
      </c>
      <c r="F82" s="20"/>
      <c r="G82" s="23">
        <f t="shared" si="19"/>
        <v>1.6</v>
      </c>
      <c r="H82" s="21">
        <f t="shared" si="20"/>
        <v>5.5952000000000002</v>
      </c>
      <c r="I82" s="19">
        <f t="shared" si="12"/>
        <v>3.4969999999999999</v>
      </c>
      <c r="J82" s="19">
        <f t="shared" si="13"/>
        <v>0</v>
      </c>
      <c r="K82" s="19">
        <f t="shared" si="14"/>
        <v>0</v>
      </c>
      <c r="L82" s="19">
        <f t="shared" si="15"/>
        <v>0</v>
      </c>
      <c r="M82" s="19">
        <f t="shared" si="16"/>
        <v>0</v>
      </c>
      <c r="N82" s="19">
        <f t="shared" si="17"/>
        <v>3.4969999999999999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>
        <f>3.697-0.2</f>
        <v>3.4969999999999999</v>
      </c>
      <c r="FG82" s="19"/>
      <c r="FH82" s="19"/>
    </row>
    <row r="83" spans="1:164" x14ac:dyDescent="0.25">
      <c r="A83" s="19" t="s">
        <v>164</v>
      </c>
      <c r="B83" s="19" t="s">
        <v>166</v>
      </c>
      <c r="C83" s="19">
        <v>400</v>
      </c>
      <c r="D83" s="19">
        <v>320</v>
      </c>
      <c r="E83" s="19" t="s">
        <v>158</v>
      </c>
      <c r="F83" s="20"/>
      <c r="G83" s="23">
        <f t="shared" si="19"/>
        <v>1.44</v>
      </c>
      <c r="H83" s="21">
        <f t="shared" si="20"/>
        <v>10.118879999999999</v>
      </c>
      <c r="I83" s="19">
        <f t="shared" si="12"/>
        <v>7.0269999999999992</v>
      </c>
      <c r="J83" s="19">
        <f t="shared" si="13"/>
        <v>0</v>
      </c>
      <c r="K83" s="19">
        <f t="shared" si="14"/>
        <v>0</v>
      </c>
      <c r="L83" s="19">
        <f t="shared" si="15"/>
        <v>0</v>
      </c>
      <c r="M83" s="19">
        <f t="shared" si="16"/>
        <v>0</v>
      </c>
      <c r="N83" s="19">
        <f t="shared" si="17"/>
        <v>7.0269999999999992</v>
      </c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>
        <f>1.741-0.2</f>
        <v>1.5410000000000001</v>
      </c>
      <c r="DR83" s="19"/>
      <c r="DS83" s="19"/>
      <c r="DT83" s="19"/>
      <c r="DU83" s="19">
        <f>1.515-0.2</f>
        <v>1.3149999999999999</v>
      </c>
      <c r="DV83" s="19">
        <f>1.741-0.2</f>
        <v>1.5410000000000001</v>
      </c>
      <c r="DW83" s="19">
        <f>1.515-0.2</f>
        <v>1.3149999999999999</v>
      </c>
      <c r="DX83" s="19"/>
      <c r="DY83" s="19"/>
      <c r="DZ83" s="19"/>
      <c r="EA83" s="19"/>
      <c r="EB83" s="19"/>
      <c r="EC83" s="19">
        <f>1.515-0.2</f>
        <v>1.3149999999999999</v>
      </c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</row>
    <row r="84" spans="1:164" x14ac:dyDescent="0.25">
      <c r="A84" s="19" t="s">
        <v>164</v>
      </c>
      <c r="B84" s="19" t="s">
        <v>166</v>
      </c>
      <c r="C84" s="19">
        <v>400</v>
      </c>
      <c r="D84" s="19">
        <v>250</v>
      </c>
      <c r="E84" s="19" t="s">
        <v>158</v>
      </c>
      <c r="F84" s="20"/>
      <c r="G84" s="23">
        <f t="shared" si="19"/>
        <v>1.3</v>
      </c>
      <c r="H84" s="21">
        <f t="shared" si="20"/>
        <v>100.8319</v>
      </c>
      <c r="I84" s="19">
        <f t="shared" si="12"/>
        <v>77.563000000000002</v>
      </c>
      <c r="J84" s="19">
        <f t="shared" si="13"/>
        <v>0</v>
      </c>
      <c r="K84" s="19">
        <f t="shared" si="14"/>
        <v>0</v>
      </c>
      <c r="L84" s="19">
        <f t="shared" si="15"/>
        <v>0</v>
      </c>
      <c r="M84" s="19">
        <f t="shared" si="16"/>
        <v>0</v>
      </c>
      <c r="N84" s="19">
        <f t="shared" si="17"/>
        <v>77.563000000000002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>
        <f>4.634-0.4+1.639+1.638</f>
        <v>7.5110000000000001</v>
      </c>
      <c r="DR84" s="19"/>
      <c r="DS84" s="19"/>
      <c r="DT84" s="19"/>
      <c r="DU84" s="19">
        <f>5.75-0.4+1.749+9.321+4.427</f>
        <v>20.847000000000001</v>
      </c>
      <c r="DV84" s="19">
        <f>4.634-0.4+1.639+1.638</f>
        <v>7.5110000000000001</v>
      </c>
      <c r="DW84" s="19">
        <f>5.75-0.4+1.749+9.321+4.427</f>
        <v>20.847000000000001</v>
      </c>
      <c r="DX84" s="19"/>
      <c r="DY84" s="19"/>
      <c r="DZ84" s="19"/>
      <c r="EA84" s="19"/>
      <c r="EB84" s="19"/>
      <c r="EC84" s="19">
        <f>5.75-0.4+1.749+9.321+4.427</f>
        <v>20.847000000000001</v>
      </c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</row>
    <row r="85" spans="1:164" x14ac:dyDescent="0.25">
      <c r="A85" s="19" t="s">
        <v>164</v>
      </c>
      <c r="B85" s="19" t="s">
        <v>166</v>
      </c>
      <c r="C85" s="19">
        <v>400</v>
      </c>
      <c r="D85" s="19">
        <v>200</v>
      </c>
      <c r="E85" s="19" t="s">
        <v>158</v>
      </c>
      <c r="F85" s="20"/>
      <c r="G85" s="23">
        <f t="shared" si="19"/>
        <v>1.2000000000000002</v>
      </c>
      <c r="H85" s="21">
        <f t="shared" si="20"/>
        <v>11.588400000000002</v>
      </c>
      <c r="I85" s="19">
        <f t="shared" si="12"/>
        <v>9.657</v>
      </c>
      <c r="J85" s="19">
        <f t="shared" si="13"/>
        <v>0</v>
      </c>
      <c r="K85" s="19">
        <f t="shared" si="14"/>
        <v>0</v>
      </c>
      <c r="L85" s="19">
        <f t="shared" si="15"/>
        <v>3.7800000000000002</v>
      </c>
      <c r="M85" s="19">
        <f t="shared" si="16"/>
        <v>5.8770000000000007</v>
      </c>
      <c r="N85" s="19">
        <f t="shared" si="17"/>
        <v>0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>
        <f t="shared" ref="CJ85:CM85" si="21">1.145-0.2</f>
        <v>0.94500000000000006</v>
      </c>
      <c r="CK85" s="19">
        <f t="shared" si="21"/>
        <v>0.94500000000000006</v>
      </c>
      <c r="CL85" s="19">
        <f t="shared" si="21"/>
        <v>0.94500000000000006</v>
      </c>
      <c r="CM85" s="19">
        <f t="shared" si="21"/>
        <v>0.94500000000000006</v>
      </c>
      <c r="CN85" s="19"/>
      <c r="CO85" s="19"/>
      <c r="CP85" s="19"/>
      <c r="CQ85" s="19"/>
      <c r="CR85" s="19"/>
      <c r="CS85" s="19"/>
      <c r="CT85" s="19"/>
      <c r="CU85" s="19"/>
      <c r="CV85" s="19">
        <f t="shared" ref="CV85:CX85" si="22">2.359-0.4</f>
        <v>1.9590000000000001</v>
      </c>
      <c r="CW85" s="19">
        <f t="shared" si="22"/>
        <v>1.9590000000000001</v>
      </c>
      <c r="CX85" s="19">
        <f t="shared" si="22"/>
        <v>1.9590000000000001</v>
      </c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</row>
    <row r="86" spans="1:164" x14ac:dyDescent="0.25">
      <c r="A86" s="19" t="s">
        <v>164</v>
      </c>
      <c r="B86" s="19" t="s">
        <v>166</v>
      </c>
      <c r="C86" s="19">
        <v>400</v>
      </c>
      <c r="D86" s="19">
        <v>120</v>
      </c>
      <c r="E86" s="19" t="s">
        <v>158</v>
      </c>
      <c r="F86" s="20"/>
      <c r="G86" s="23">
        <f t="shared" si="19"/>
        <v>1.04</v>
      </c>
      <c r="H86" s="21">
        <f t="shared" si="20"/>
        <v>18.13344</v>
      </c>
      <c r="I86" s="19">
        <f t="shared" si="12"/>
        <v>17.436</v>
      </c>
      <c r="J86" s="19">
        <f t="shared" si="13"/>
        <v>0</v>
      </c>
      <c r="K86" s="19">
        <f t="shared" si="14"/>
        <v>0</v>
      </c>
      <c r="L86" s="19">
        <f t="shared" si="15"/>
        <v>17.436</v>
      </c>
      <c r="M86" s="19">
        <f t="shared" si="16"/>
        <v>0</v>
      </c>
      <c r="N86" s="19">
        <f t="shared" si="17"/>
        <v>0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>
        <f t="shared" ref="CJ86:CM86" si="23">3.109+1.25</f>
        <v>4.359</v>
      </c>
      <c r="CK86" s="19">
        <f t="shared" si="23"/>
        <v>4.359</v>
      </c>
      <c r="CL86" s="19">
        <f t="shared" si="23"/>
        <v>4.359</v>
      </c>
      <c r="CM86" s="19">
        <f t="shared" si="23"/>
        <v>4.359</v>
      </c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</row>
    <row r="87" spans="1:164" x14ac:dyDescent="0.25">
      <c r="A87" s="19" t="s">
        <v>164</v>
      </c>
      <c r="B87" s="19" t="s">
        <v>167</v>
      </c>
      <c r="C87" s="19">
        <v>320</v>
      </c>
      <c r="D87" s="19">
        <v>500</v>
      </c>
      <c r="E87" s="19" t="s">
        <v>158</v>
      </c>
      <c r="F87" s="20"/>
      <c r="G87" s="23">
        <f t="shared" si="19"/>
        <v>1.6400000000000001</v>
      </c>
      <c r="H87" s="21">
        <f t="shared" si="20"/>
        <v>5.7793600000000005</v>
      </c>
      <c r="I87" s="19">
        <f t="shared" si="12"/>
        <v>3.524</v>
      </c>
      <c r="J87" s="19">
        <f t="shared" si="13"/>
        <v>0</v>
      </c>
      <c r="K87" s="19">
        <f t="shared" si="14"/>
        <v>0</v>
      </c>
      <c r="L87" s="19">
        <f t="shared" si="15"/>
        <v>3.524</v>
      </c>
      <c r="M87" s="19">
        <f t="shared" si="16"/>
        <v>0</v>
      </c>
      <c r="N87" s="19">
        <f t="shared" si="17"/>
        <v>0</v>
      </c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>
        <f>3.724-0.2</f>
        <v>3.524</v>
      </c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</row>
    <row r="88" spans="1:164" x14ac:dyDescent="0.25">
      <c r="A88" s="19" t="s">
        <v>164</v>
      </c>
      <c r="B88" s="19" t="s">
        <v>167</v>
      </c>
      <c r="C88" s="19">
        <v>320</v>
      </c>
      <c r="D88" s="19">
        <v>200</v>
      </c>
      <c r="E88" s="19" t="s">
        <v>158</v>
      </c>
      <c r="F88" s="20"/>
      <c r="G88" s="23">
        <f t="shared" si="19"/>
        <v>1.04</v>
      </c>
      <c r="H88" s="21">
        <f t="shared" si="20"/>
        <v>55.660800000000037</v>
      </c>
      <c r="I88" s="19">
        <f t="shared" si="12"/>
        <v>53.520000000000032</v>
      </c>
      <c r="J88" s="19">
        <f t="shared" si="13"/>
        <v>0</v>
      </c>
      <c r="K88" s="19">
        <f t="shared" si="14"/>
        <v>53.520000000000032</v>
      </c>
      <c r="L88" s="19">
        <f t="shared" si="15"/>
        <v>0</v>
      </c>
      <c r="M88" s="19">
        <f t="shared" si="16"/>
        <v>0</v>
      </c>
      <c r="N88" s="19">
        <f t="shared" si="17"/>
        <v>0</v>
      </c>
      <c r="O88" s="19"/>
      <c r="P88" s="19"/>
      <c r="Q88" s="19"/>
      <c r="R88" s="19"/>
      <c r="S88" s="19">
        <f t="shared" ref="S88:AD88" si="24">1.538-0.2</f>
        <v>1.3380000000000001</v>
      </c>
      <c r="T88" s="19">
        <f t="shared" si="24"/>
        <v>1.3380000000000001</v>
      </c>
      <c r="U88" s="19">
        <f t="shared" si="24"/>
        <v>1.3380000000000001</v>
      </c>
      <c r="V88" s="19">
        <f t="shared" si="24"/>
        <v>1.3380000000000001</v>
      </c>
      <c r="W88" s="19">
        <f t="shared" si="24"/>
        <v>1.3380000000000001</v>
      </c>
      <c r="X88" s="19">
        <f t="shared" si="24"/>
        <v>1.3380000000000001</v>
      </c>
      <c r="Y88" s="19">
        <f t="shared" si="24"/>
        <v>1.3380000000000001</v>
      </c>
      <c r="Z88" s="19">
        <f t="shared" si="24"/>
        <v>1.3380000000000001</v>
      </c>
      <c r="AA88" s="19">
        <f t="shared" si="24"/>
        <v>1.3380000000000001</v>
      </c>
      <c r="AB88" s="19">
        <f t="shared" si="24"/>
        <v>1.3380000000000001</v>
      </c>
      <c r="AC88" s="19">
        <f t="shared" si="24"/>
        <v>1.3380000000000001</v>
      </c>
      <c r="AD88" s="19">
        <f t="shared" si="24"/>
        <v>1.3380000000000001</v>
      </c>
      <c r="AE88" s="19"/>
      <c r="AF88" s="19"/>
      <c r="AG88" s="19"/>
      <c r="AH88" s="19"/>
      <c r="AI88" s="19"/>
      <c r="AJ88" s="19"/>
      <c r="AK88" s="19"/>
      <c r="AL88" s="19">
        <f t="shared" ref="AL88:AS88" si="25">1.538-0.2</f>
        <v>1.3380000000000001</v>
      </c>
      <c r="AM88" s="19">
        <f t="shared" si="25"/>
        <v>1.3380000000000001</v>
      </c>
      <c r="AN88" s="19">
        <f t="shared" si="25"/>
        <v>1.3380000000000001</v>
      </c>
      <c r="AO88" s="19">
        <f t="shared" si="25"/>
        <v>1.3380000000000001</v>
      </c>
      <c r="AP88" s="19">
        <f t="shared" si="25"/>
        <v>1.3380000000000001</v>
      </c>
      <c r="AQ88" s="19">
        <f t="shared" si="25"/>
        <v>1.3380000000000001</v>
      </c>
      <c r="AR88" s="19">
        <f t="shared" si="25"/>
        <v>1.3380000000000001</v>
      </c>
      <c r="AS88" s="19">
        <f t="shared" si="25"/>
        <v>1.3380000000000001</v>
      </c>
      <c r="AT88" s="19"/>
      <c r="AU88" s="19"/>
      <c r="AV88" s="19"/>
      <c r="AW88" s="19"/>
      <c r="AX88" s="19"/>
      <c r="AY88" s="19"/>
      <c r="AZ88" s="19"/>
      <c r="BA88" s="19">
        <f t="shared" ref="BA88:BD88" si="26">1.538-0.2</f>
        <v>1.3380000000000001</v>
      </c>
      <c r="BB88" s="19">
        <f t="shared" si="26"/>
        <v>1.3380000000000001</v>
      </c>
      <c r="BC88" s="19">
        <f t="shared" si="26"/>
        <v>1.3380000000000001</v>
      </c>
      <c r="BD88" s="19">
        <f t="shared" si="26"/>
        <v>1.3380000000000001</v>
      </c>
      <c r="BE88" s="19"/>
      <c r="BF88" s="19">
        <f t="shared" ref="BF88:BM88" si="27">1.538-0.2</f>
        <v>1.3380000000000001</v>
      </c>
      <c r="BG88" s="19">
        <f t="shared" si="27"/>
        <v>1.3380000000000001</v>
      </c>
      <c r="BH88" s="19">
        <f t="shared" si="27"/>
        <v>1.3380000000000001</v>
      </c>
      <c r="BI88" s="19">
        <f t="shared" si="27"/>
        <v>1.3380000000000001</v>
      </c>
      <c r="BJ88" s="19">
        <f t="shared" si="27"/>
        <v>1.3380000000000001</v>
      </c>
      <c r="BK88" s="19">
        <f t="shared" si="27"/>
        <v>1.3380000000000001</v>
      </c>
      <c r="BL88" s="19">
        <f t="shared" si="27"/>
        <v>1.3380000000000001</v>
      </c>
      <c r="BM88" s="19">
        <f t="shared" si="27"/>
        <v>1.3380000000000001</v>
      </c>
      <c r="BN88" s="19"/>
      <c r="BO88" s="19"/>
      <c r="BP88" s="19"/>
      <c r="BQ88" s="19"/>
      <c r="BR88" s="19"/>
      <c r="BS88" s="19"/>
      <c r="BT88" s="19"/>
      <c r="BU88" s="19">
        <f t="shared" ref="BU88:CB88" si="28">1.538-0.2</f>
        <v>1.3380000000000001</v>
      </c>
      <c r="BV88" s="19">
        <f t="shared" si="28"/>
        <v>1.3380000000000001</v>
      </c>
      <c r="BW88" s="19">
        <f t="shared" si="28"/>
        <v>1.3380000000000001</v>
      </c>
      <c r="BX88" s="19">
        <f t="shared" si="28"/>
        <v>1.3380000000000001</v>
      </c>
      <c r="BY88" s="19">
        <f t="shared" si="28"/>
        <v>1.3380000000000001</v>
      </c>
      <c r="BZ88" s="19">
        <f t="shared" si="28"/>
        <v>1.3380000000000001</v>
      </c>
      <c r="CA88" s="19">
        <f t="shared" si="28"/>
        <v>1.3380000000000001</v>
      </c>
      <c r="CB88" s="19">
        <f t="shared" si="28"/>
        <v>1.3380000000000001</v>
      </c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</row>
    <row r="89" spans="1:164" x14ac:dyDescent="0.25">
      <c r="A89" s="19" t="s">
        <v>164</v>
      </c>
      <c r="B89" s="19" t="s">
        <v>167</v>
      </c>
      <c r="C89" s="24" t="s">
        <v>159</v>
      </c>
      <c r="D89" s="19">
        <v>300</v>
      </c>
      <c r="E89" s="19" t="s">
        <v>158</v>
      </c>
      <c r="F89" s="20"/>
      <c r="G89" s="23">
        <f>3.14*D89/1000</f>
        <v>0.94199999999999995</v>
      </c>
      <c r="H89" s="21">
        <f t="shared" si="20"/>
        <v>20.347200000000001</v>
      </c>
      <c r="I89" s="19">
        <f t="shared" si="12"/>
        <v>21.6</v>
      </c>
      <c r="J89" s="19">
        <f t="shared" si="13"/>
        <v>0</v>
      </c>
      <c r="K89" s="19">
        <f t="shared" si="14"/>
        <v>0</v>
      </c>
      <c r="L89" s="19">
        <f t="shared" si="15"/>
        <v>1.6</v>
      </c>
      <c r="M89" s="19">
        <f t="shared" si="16"/>
        <v>0</v>
      </c>
      <c r="N89" s="19">
        <f t="shared" si="17"/>
        <v>20</v>
      </c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>
        <f t="shared" ref="CJ89:CM89" si="29">0.4</f>
        <v>0.4</v>
      </c>
      <c r="CK89" s="19">
        <f t="shared" si="29"/>
        <v>0.4</v>
      </c>
      <c r="CL89" s="19">
        <f t="shared" si="29"/>
        <v>0.4</v>
      </c>
      <c r="CM89" s="19">
        <f t="shared" si="29"/>
        <v>0.4</v>
      </c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>
        <f>4</f>
        <v>4</v>
      </c>
      <c r="DR89" s="19"/>
      <c r="DS89" s="19"/>
      <c r="DT89" s="19"/>
      <c r="DU89" s="19">
        <v>4</v>
      </c>
      <c r="DV89" s="19">
        <f>4</f>
        <v>4</v>
      </c>
      <c r="DW89" s="19">
        <v>4</v>
      </c>
      <c r="DX89" s="19"/>
      <c r="DY89" s="19"/>
      <c r="DZ89" s="19"/>
      <c r="EA89" s="19"/>
      <c r="EB89" s="19"/>
      <c r="EC89" s="19">
        <v>4</v>
      </c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</row>
    <row r="90" spans="1:164" x14ac:dyDescent="0.25">
      <c r="A90" s="19" t="s">
        <v>164</v>
      </c>
      <c r="B90" s="19" t="s">
        <v>167</v>
      </c>
      <c r="C90" s="19">
        <v>250</v>
      </c>
      <c r="D90" s="19">
        <v>250</v>
      </c>
      <c r="E90" s="19" t="s">
        <v>158</v>
      </c>
      <c r="F90" s="20"/>
      <c r="G90" s="23">
        <f t="shared" si="19"/>
        <v>1</v>
      </c>
      <c r="H90" s="21">
        <f t="shared" si="20"/>
        <v>2.7520000000000002</v>
      </c>
      <c r="I90" s="19">
        <f t="shared" si="12"/>
        <v>2.7520000000000002</v>
      </c>
      <c r="J90" s="19">
        <f t="shared" si="13"/>
        <v>0</v>
      </c>
      <c r="K90" s="19">
        <f t="shared" si="14"/>
        <v>0</v>
      </c>
      <c r="L90" s="19">
        <f t="shared" si="15"/>
        <v>0</v>
      </c>
      <c r="M90" s="19">
        <f t="shared" si="16"/>
        <v>2.7520000000000002</v>
      </c>
      <c r="N90" s="19">
        <f t="shared" si="17"/>
        <v>0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>
        <f>0.812+2.34-0.4</f>
        <v>2.7520000000000002</v>
      </c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</row>
    <row r="91" spans="1:164" x14ac:dyDescent="0.25">
      <c r="A91" s="19" t="s">
        <v>164</v>
      </c>
      <c r="B91" s="19" t="s">
        <v>167</v>
      </c>
      <c r="C91" s="19">
        <v>250</v>
      </c>
      <c r="D91" s="19">
        <v>200</v>
      </c>
      <c r="E91" s="19" t="s">
        <v>158</v>
      </c>
      <c r="F91" s="20"/>
      <c r="G91" s="23">
        <f t="shared" si="19"/>
        <v>0.9</v>
      </c>
      <c r="H91" s="21">
        <f t="shared" si="20"/>
        <v>376.04249999999973</v>
      </c>
      <c r="I91" s="19">
        <f t="shared" si="12"/>
        <v>417.8249999999997</v>
      </c>
      <c r="J91" s="19">
        <f t="shared" si="13"/>
        <v>9.34</v>
      </c>
      <c r="K91" s="19">
        <f t="shared" si="14"/>
        <v>398.39999999999975</v>
      </c>
      <c r="L91" s="19">
        <f t="shared" si="15"/>
        <v>0</v>
      </c>
      <c r="M91" s="19">
        <f t="shared" si="16"/>
        <v>10.085000000000001</v>
      </c>
      <c r="N91" s="19">
        <f t="shared" si="17"/>
        <v>0</v>
      </c>
      <c r="O91" s="19">
        <f>2.4-0.2+1.258-0.2+1.412</f>
        <v>4.67</v>
      </c>
      <c r="P91" s="19">
        <f>2.4-0.2+1.258-0.2+1.412</f>
        <v>4.67</v>
      </c>
      <c r="Q91" s="19"/>
      <c r="R91" s="19"/>
      <c r="S91" s="19">
        <f t="shared" ref="S91:AD91" si="30">1.566+2.267+3.86+2.267</f>
        <v>9.9599999999999991</v>
      </c>
      <c r="T91" s="19">
        <f t="shared" si="30"/>
        <v>9.9599999999999991</v>
      </c>
      <c r="U91" s="19">
        <f t="shared" si="30"/>
        <v>9.9599999999999991</v>
      </c>
      <c r="V91" s="19">
        <f t="shared" si="30"/>
        <v>9.9599999999999991</v>
      </c>
      <c r="W91" s="19">
        <f t="shared" si="30"/>
        <v>9.9599999999999991</v>
      </c>
      <c r="X91" s="19">
        <f t="shared" si="30"/>
        <v>9.9599999999999991</v>
      </c>
      <c r="Y91" s="19">
        <f t="shared" si="30"/>
        <v>9.9599999999999991</v>
      </c>
      <c r="Z91" s="19">
        <f t="shared" si="30"/>
        <v>9.9599999999999991</v>
      </c>
      <c r="AA91" s="19">
        <f t="shared" si="30"/>
        <v>9.9599999999999991</v>
      </c>
      <c r="AB91" s="19">
        <f t="shared" si="30"/>
        <v>9.9599999999999991</v>
      </c>
      <c r="AC91" s="19">
        <f t="shared" si="30"/>
        <v>9.9599999999999991</v>
      </c>
      <c r="AD91" s="19">
        <f t="shared" si="30"/>
        <v>9.9599999999999991</v>
      </c>
      <c r="AE91" s="19"/>
      <c r="AF91" s="19"/>
      <c r="AG91" s="19"/>
      <c r="AH91" s="19"/>
      <c r="AI91" s="19"/>
      <c r="AJ91" s="19"/>
      <c r="AK91" s="19"/>
      <c r="AL91" s="19">
        <f t="shared" ref="AL91:AS91" si="31">1.566+2.267+3.86+2.267</f>
        <v>9.9599999999999991</v>
      </c>
      <c r="AM91" s="19">
        <f t="shared" si="31"/>
        <v>9.9599999999999991</v>
      </c>
      <c r="AN91" s="19">
        <f t="shared" si="31"/>
        <v>9.9599999999999991</v>
      </c>
      <c r="AO91" s="19">
        <f t="shared" si="31"/>
        <v>9.9599999999999991</v>
      </c>
      <c r="AP91" s="19">
        <f t="shared" si="31"/>
        <v>9.9599999999999991</v>
      </c>
      <c r="AQ91" s="19">
        <f t="shared" si="31"/>
        <v>9.9599999999999991</v>
      </c>
      <c r="AR91" s="19">
        <f t="shared" si="31"/>
        <v>9.9599999999999991</v>
      </c>
      <c r="AS91" s="19">
        <f t="shared" si="31"/>
        <v>9.9599999999999991</v>
      </c>
      <c r="AT91" s="19"/>
      <c r="AU91" s="19"/>
      <c r="AV91" s="19"/>
      <c r="AW91" s="19"/>
      <c r="AX91" s="19"/>
      <c r="AY91" s="19"/>
      <c r="AZ91" s="19"/>
      <c r="BA91" s="19">
        <f t="shared" ref="BA91:BD91" si="32">1.566+2.267+3.86+2.267</f>
        <v>9.9599999999999991</v>
      </c>
      <c r="BB91" s="19">
        <f t="shared" si="32"/>
        <v>9.9599999999999991</v>
      </c>
      <c r="BC91" s="19">
        <f t="shared" si="32"/>
        <v>9.9599999999999991</v>
      </c>
      <c r="BD91" s="19">
        <f t="shared" si="32"/>
        <v>9.9599999999999991</v>
      </c>
      <c r="BE91" s="19"/>
      <c r="BF91" s="19">
        <f t="shared" ref="BF91:BM91" si="33">1.566+2.267+3.86+2.267</f>
        <v>9.9599999999999991</v>
      </c>
      <c r="BG91" s="19">
        <f t="shared" si="33"/>
        <v>9.9599999999999991</v>
      </c>
      <c r="BH91" s="19">
        <f t="shared" si="33"/>
        <v>9.9599999999999991</v>
      </c>
      <c r="BI91" s="19">
        <f t="shared" si="33"/>
        <v>9.9599999999999991</v>
      </c>
      <c r="BJ91" s="19">
        <f t="shared" si="33"/>
        <v>9.9599999999999991</v>
      </c>
      <c r="BK91" s="19">
        <f t="shared" si="33"/>
        <v>9.9599999999999991</v>
      </c>
      <c r="BL91" s="19">
        <f t="shared" si="33"/>
        <v>9.9599999999999991</v>
      </c>
      <c r="BM91" s="19">
        <f t="shared" si="33"/>
        <v>9.9599999999999991</v>
      </c>
      <c r="BN91" s="19"/>
      <c r="BO91" s="19"/>
      <c r="BP91" s="19"/>
      <c r="BQ91" s="19"/>
      <c r="BR91" s="19"/>
      <c r="BS91" s="19"/>
      <c r="BT91" s="19"/>
      <c r="BU91" s="19">
        <f t="shared" ref="BU91:CB91" si="34">1.566+2.267+3.86+2.267</f>
        <v>9.9599999999999991</v>
      </c>
      <c r="BV91" s="19">
        <f t="shared" si="34"/>
        <v>9.9599999999999991</v>
      </c>
      <c r="BW91" s="19">
        <f t="shared" si="34"/>
        <v>9.9599999999999991</v>
      </c>
      <c r="BX91" s="19">
        <f t="shared" si="34"/>
        <v>9.9599999999999991</v>
      </c>
      <c r="BY91" s="19">
        <f t="shared" si="34"/>
        <v>9.9599999999999991</v>
      </c>
      <c r="BZ91" s="19">
        <f t="shared" si="34"/>
        <v>9.9599999999999991</v>
      </c>
      <c r="CA91" s="19">
        <f t="shared" si="34"/>
        <v>9.9599999999999991</v>
      </c>
      <c r="CB91" s="19">
        <f t="shared" si="34"/>
        <v>9.9599999999999991</v>
      </c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>
        <f>2.585</f>
        <v>2.585</v>
      </c>
      <c r="CV91" s="19">
        <v>2.5</v>
      </c>
      <c r="CW91" s="19">
        <v>2.5</v>
      </c>
      <c r="CX91" s="19">
        <v>2.5</v>
      </c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</row>
    <row r="92" spans="1:164" x14ac:dyDescent="0.25">
      <c r="A92" s="19" t="s">
        <v>164</v>
      </c>
      <c r="B92" s="19" t="s">
        <v>167</v>
      </c>
      <c r="C92" s="19">
        <v>200</v>
      </c>
      <c r="D92" s="19">
        <v>200</v>
      </c>
      <c r="E92" s="19" t="s">
        <v>158</v>
      </c>
      <c r="F92" s="20"/>
      <c r="G92" s="23">
        <f t="shared" si="19"/>
        <v>0.8</v>
      </c>
      <c r="H92" s="21">
        <f t="shared" si="20"/>
        <v>3.4976000000000003</v>
      </c>
      <c r="I92" s="19">
        <f t="shared" si="12"/>
        <v>4.3719999999999999</v>
      </c>
      <c r="J92" s="19">
        <f t="shared" si="13"/>
        <v>4.3719999999999999</v>
      </c>
      <c r="K92" s="19">
        <f t="shared" si="14"/>
        <v>0</v>
      </c>
      <c r="L92" s="19">
        <f t="shared" si="15"/>
        <v>0</v>
      </c>
      <c r="M92" s="19">
        <f t="shared" si="16"/>
        <v>0</v>
      </c>
      <c r="N92" s="19">
        <f t="shared" si="17"/>
        <v>0</v>
      </c>
      <c r="O92" s="25">
        <f>0.34+1.502+0.344</f>
        <v>2.1859999999999999</v>
      </c>
      <c r="P92" s="25">
        <f>0.34+1.502+0.344</f>
        <v>2.1859999999999999</v>
      </c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</row>
    <row r="93" spans="1:164" x14ac:dyDescent="0.25">
      <c r="A93" s="19" t="s">
        <v>164</v>
      </c>
      <c r="B93" s="19" t="s">
        <v>167</v>
      </c>
      <c r="C93" s="19">
        <v>200</v>
      </c>
      <c r="D93" s="19">
        <v>120</v>
      </c>
      <c r="E93" s="19" t="s">
        <v>158</v>
      </c>
      <c r="F93" s="20"/>
      <c r="G93" s="23">
        <f t="shared" si="19"/>
        <v>0.64</v>
      </c>
      <c r="H93" s="21">
        <f t="shared" si="20"/>
        <v>11.347840000000001</v>
      </c>
      <c r="I93" s="19">
        <f t="shared" si="12"/>
        <v>17.731000000000002</v>
      </c>
      <c r="J93" s="19">
        <f t="shared" si="13"/>
        <v>0</v>
      </c>
      <c r="K93" s="19">
        <f t="shared" si="14"/>
        <v>0</v>
      </c>
      <c r="L93" s="19">
        <f t="shared" si="15"/>
        <v>0</v>
      </c>
      <c r="M93" s="19">
        <f t="shared" si="16"/>
        <v>17.731000000000002</v>
      </c>
      <c r="N93" s="19">
        <f t="shared" si="17"/>
        <v>0</v>
      </c>
      <c r="O93" s="25"/>
      <c r="P93" s="25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>
        <f>0.359+1.835+1.275</f>
        <v>3.4689999999999999</v>
      </c>
      <c r="CV93" s="19">
        <f t="shared" ref="CV93:CX93" si="35">0.955+2.443+1.356</f>
        <v>4.7540000000000004</v>
      </c>
      <c r="CW93" s="19">
        <f t="shared" si="35"/>
        <v>4.7540000000000004</v>
      </c>
      <c r="CX93" s="19">
        <f t="shared" si="35"/>
        <v>4.7540000000000004</v>
      </c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</row>
    <row r="94" spans="1:164" x14ac:dyDescent="0.25">
      <c r="A94" s="19" t="s">
        <v>388</v>
      </c>
      <c r="B94" s="19" t="s">
        <v>163</v>
      </c>
      <c r="C94" s="19">
        <v>800</v>
      </c>
      <c r="D94" s="19">
        <v>400</v>
      </c>
      <c r="E94" s="19" t="s">
        <v>169</v>
      </c>
      <c r="F94" s="20"/>
      <c r="G94" s="23">
        <f>C94/1000*D94/1000</f>
        <v>0.32</v>
      </c>
      <c r="H94" s="21">
        <f>G94*I94</f>
        <v>0.32</v>
      </c>
      <c r="I94" s="19">
        <f t="shared" si="12"/>
        <v>1</v>
      </c>
      <c r="J94" s="19">
        <f t="shared" si="13"/>
        <v>0</v>
      </c>
      <c r="K94" s="19">
        <f t="shared" si="14"/>
        <v>1</v>
      </c>
      <c r="L94" s="19">
        <f t="shared" si="15"/>
        <v>0</v>
      </c>
      <c r="M94" s="19">
        <f t="shared" si="16"/>
        <v>0</v>
      </c>
      <c r="N94" s="19">
        <f t="shared" si="17"/>
        <v>0</v>
      </c>
      <c r="O94" s="25"/>
      <c r="P94" s="25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>
        <v>1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</row>
    <row r="95" spans="1:164" x14ac:dyDescent="0.25">
      <c r="A95" s="19" t="s">
        <v>388</v>
      </c>
      <c r="B95" s="19" t="s">
        <v>163</v>
      </c>
      <c r="C95" s="19">
        <v>800</v>
      </c>
      <c r="D95" s="19">
        <v>320</v>
      </c>
      <c r="E95" s="19" t="s">
        <v>169</v>
      </c>
      <c r="F95" s="20"/>
      <c r="G95" s="23">
        <f t="shared" ref="G95:G101" si="36">C95/1000*D95/1000</f>
        <v>0.25600000000000001</v>
      </c>
      <c r="H95" s="21">
        <f t="shared" ref="H95:H101" si="37">G95*I95</f>
        <v>1.536</v>
      </c>
      <c r="I95" s="19">
        <f t="shared" si="12"/>
        <v>6</v>
      </c>
      <c r="J95" s="19">
        <f t="shared" si="13"/>
        <v>0</v>
      </c>
      <c r="K95" s="19">
        <f t="shared" si="14"/>
        <v>0</v>
      </c>
      <c r="L95" s="19">
        <f t="shared" si="15"/>
        <v>4</v>
      </c>
      <c r="M95" s="19">
        <f t="shared" si="16"/>
        <v>0</v>
      </c>
      <c r="N95" s="19">
        <f t="shared" si="17"/>
        <v>2</v>
      </c>
      <c r="O95" s="25"/>
      <c r="P95" s="25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>
        <v>4</v>
      </c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</row>
    <row r="96" spans="1:164" x14ac:dyDescent="0.25">
      <c r="A96" s="19" t="s">
        <v>388</v>
      </c>
      <c r="B96" s="19" t="s">
        <v>163</v>
      </c>
      <c r="C96" s="19">
        <v>500</v>
      </c>
      <c r="D96" s="19">
        <v>500</v>
      </c>
      <c r="E96" s="19" t="s">
        <v>169</v>
      </c>
      <c r="F96" s="20"/>
      <c r="G96" s="23">
        <f t="shared" si="36"/>
        <v>0.25</v>
      </c>
      <c r="H96" s="21">
        <f t="shared" si="37"/>
        <v>0.25</v>
      </c>
      <c r="I96" s="19">
        <f t="shared" si="12"/>
        <v>1</v>
      </c>
      <c r="J96" s="19">
        <f t="shared" si="13"/>
        <v>0</v>
      </c>
      <c r="K96" s="19">
        <f t="shared" si="14"/>
        <v>0</v>
      </c>
      <c r="L96" s="19">
        <f t="shared" si="15"/>
        <v>0</v>
      </c>
      <c r="M96" s="19">
        <f t="shared" si="16"/>
        <v>0</v>
      </c>
      <c r="N96" s="19">
        <f t="shared" si="17"/>
        <v>1</v>
      </c>
      <c r="O96" s="25"/>
      <c r="P96" s="25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>
        <v>1</v>
      </c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</row>
    <row r="97" spans="1:164" x14ac:dyDescent="0.25">
      <c r="A97" s="19" t="s">
        <v>388</v>
      </c>
      <c r="B97" s="19" t="s">
        <v>163</v>
      </c>
      <c r="C97" s="19">
        <v>500</v>
      </c>
      <c r="D97" s="19">
        <v>250</v>
      </c>
      <c r="E97" s="19" t="s">
        <v>169</v>
      </c>
      <c r="F97" s="20"/>
      <c r="G97" s="23">
        <f t="shared" si="36"/>
        <v>0.125</v>
      </c>
      <c r="H97" s="21">
        <f t="shared" si="37"/>
        <v>0.25</v>
      </c>
      <c r="I97" s="19">
        <f t="shared" si="12"/>
        <v>2</v>
      </c>
      <c r="J97" s="19">
        <f t="shared" si="13"/>
        <v>0</v>
      </c>
      <c r="K97" s="19">
        <f t="shared" si="14"/>
        <v>0</v>
      </c>
      <c r="L97" s="19">
        <f t="shared" si="15"/>
        <v>0</v>
      </c>
      <c r="M97" s="19">
        <f t="shared" si="16"/>
        <v>0</v>
      </c>
      <c r="N97" s="19">
        <f t="shared" si="17"/>
        <v>2</v>
      </c>
      <c r="O97" s="25"/>
      <c r="P97" s="25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>
        <v>2</v>
      </c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</row>
    <row r="98" spans="1:164" x14ac:dyDescent="0.25">
      <c r="A98" s="19" t="s">
        <v>388</v>
      </c>
      <c r="B98" s="19" t="s">
        <v>165</v>
      </c>
      <c r="C98" s="19">
        <v>400</v>
      </c>
      <c r="D98" s="19">
        <v>400</v>
      </c>
      <c r="E98" s="19" t="s">
        <v>169</v>
      </c>
      <c r="F98" s="20"/>
      <c r="G98" s="23">
        <f t="shared" si="36"/>
        <v>0.16</v>
      </c>
      <c r="H98" s="21">
        <f t="shared" si="37"/>
        <v>0.16</v>
      </c>
      <c r="I98" s="19">
        <f t="shared" si="12"/>
        <v>1</v>
      </c>
      <c r="J98" s="19">
        <f t="shared" si="13"/>
        <v>0</v>
      </c>
      <c r="K98" s="19">
        <f t="shared" si="14"/>
        <v>0</v>
      </c>
      <c r="L98" s="19">
        <f t="shared" si="15"/>
        <v>0</v>
      </c>
      <c r="M98" s="19">
        <f t="shared" si="16"/>
        <v>0</v>
      </c>
      <c r="N98" s="19">
        <f t="shared" si="17"/>
        <v>1</v>
      </c>
      <c r="O98" s="25"/>
      <c r="P98" s="25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>
        <v>1</v>
      </c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</row>
    <row r="99" spans="1:164" x14ac:dyDescent="0.25">
      <c r="A99" s="19" t="s">
        <v>388</v>
      </c>
      <c r="B99" s="19" t="s">
        <v>165</v>
      </c>
      <c r="C99" s="19">
        <v>320</v>
      </c>
      <c r="D99" s="19">
        <v>120</v>
      </c>
      <c r="E99" s="19" t="s">
        <v>169</v>
      </c>
      <c r="F99" s="20"/>
      <c r="G99" s="23">
        <f t="shared" si="36"/>
        <v>3.8399999999999997E-2</v>
      </c>
      <c r="H99" s="21">
        <f t="shared" si="37"/>
        <v>0.15359999999999999</v>
      </c>
      <c r="I99" s="19">
        <f t="shared" si="12"/>
        <v>4</v>
      </c>
      <c r="J99" s="19">
        <f t="shared" si="13"/>
        <v>0</v>
      </c>
      <c r="K99" s="19">
        <f t="shared" si="14"/>
        <v>0</v>
      </c>
      <c r="L99" s="19">
        <f t="shared" si="15"/>
        <v>3</v>
      </c>
      <c r="M99" s="19">
        <f t="shared" si="16"/>
        <v>0</v>
      </c>
      <c r="N99" s="19">
        <f t="shared" si="17"/>
        <v>1</v>
      </c>
      <c r="O99" s="25"/>
      <c r="P99" s="25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25">
        <v>1</v>
      </c>
      <c r="CR99" s="25">
        <v>1</v>
      </c>
      <c r="CS99" s="25">
        <v>1</v>
      </c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25">
        <v>1</v>
      </c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</row>
    <row r="100" spans="1:164" x14ac:dyDescent="0.25">
      <c r="A100" s="19" t="s">
        <v>388</v>
      </c>
      <c r="B100" s="19" t="s">
        <v>165</v>
      </c>
      <c r="C100" s="19">
        <v>250</v>
      </c>
      <c r="D100" s="19">
        <v>200</v>
      </c>
      <c r="E100" s="19" t="s">
        <v>169</v>
      </c>
      <c r="F100" s="20"/>
      <c r="G100" s="23">
        <f t="shared" si="36"/>
        <v>0.05</v>
      </c>
      <c r="H100" s="21">
        <f t="shared" si="37"/>
        <v>4</v>
      </c>
      <c r="I100" s="19">
        <f t="shared" si="12"/>
        <v>80</v>
      </c>
      <c r="J100" s="19">
        <f t="shared" si="13"/>
        <v>0</v>
      </c>
      <c r="K100" s="19">
        <f t="shared" si="14"/>
        <v>80</v>
      </c>
      <c r="L100" s="19">
        <f t="shared" si="15"/>
        <v>0</v>
      </c>
      <c r="M100" s="19">
        <f t="shared" si="16"/>
        <v>0</v>
      </c>
      <c r="N100" s="19">
        <f t="shared" si="17"/>
        <v>0</v>
      </c>
      <c r="O100" s="25"/>
      <c r="P100" s="25"/>
      <c r="Q100" s="19"/>
      <c r="R100" s="19"/>
      <c r="S100" s="19">
        <v>2</v>
      </c>
      <c r="T100" s="19">
        <v>2</v>
      </c>
      <c r="U100" s="19">
        <v>2</v>
      </c>
      <c r="V100" s="19">
        <v>2</v>
      </c>
      <c r="W100" s="19">
        <v>2</v>
      </c>
      <c r="X100" s="19">
        <v>2</v>
      </c>
      <c r="Y100" s="19">
        <v>2</v>
      </c>
      <c r="Z100" s="19">
        <v>2</v>
      </c>
      <c r="AA100" s="19">
        <v>2</v>
      </c>
      <c r="AB100" s="19">
        <v>2</v>
      </c>
      <c r="AC100" s="19">
        <v>2</v>
      </c>
      <c r="AD100" s="19">
        <v>2</v>
      </c>
      <c r="AE100" s="19"/>
      <c r="AF100" s="19"/>
      <c r="AG100" s="19"/>
      <c r="AH100" s="19"/>
      <c r="AI100" s="19"/>
      <c r="AJ100" s="19"/>
      <c r="AK100" s="19"/>
      <c r="AL100" s="19">
        <v>2</v>
      </c>
      <c r="AM100" s="19">
        <v>2</v>
      </c>
      <c r="AN100" s="19">
        <v>2</v>
      </c>
      <c r="AO100" s="19">
        <v>2</v>
      </c>
      <c r="AP100" s="19">
        <v>2</v>
      </c>
      <c r="AQ100" s="19">
        <v>2</v>
      </c>
      <c r="AR100" s="19">
        <v>2</v>
      </c>
      <c r="AS100" s="19">
        <v>2</v>
      </c>
      <c r="AT100" s="19"/>
      <c r="AU100" s="19"/>
      <c r="AV100" s="19"/>
      <c r="AW100" s="19"/>
      <c r="AX100" s="19"/>
      <c r="AY100" s="19"/>
      <c r="AZ100" s="19"/>
      <c r="BA100" s="19">
        <v>2</v>
      </c>
      <c r="BB100" s="19">
        <v>2</v>
      </c>
      <c r="BC100" s="19">
        <v>2</v>
      </c>
      <c r="BD100" s="19">
        <v>2</v>
      </c>
      <c r="BE100" s="19"/>
      <c r="BF100" s="19">
        <v>2</v>
      </c>
      <c r="BG100" s="19">
        <v>2</v>
      </c>
      <c r="BH100" s="19">
        <v>2</v>
      </c>
      <c r="BI100" s="19">
        <v>2</v>
      </c>
      <c r="BJ100" s="19">
        <v>2</v>
      </c>
      <c r="BK100" s="19">
        <v>2</v>
      </c>
      <c r="BL100" s="19">
        <v>2</v>
      </c>
      <c r="BM100" s="19">
        <v>2</v>
      </c>
      <c r="BN100" s="19"/>
      <c r="BO100" s="19"/>
      <c r="BP100" s="19"/>
      <c r="BQ100" s="19"/>
      <c r="BR100" s="19"/>
      <c r="BS100" s="19"/>
      <c r="BT100" s="19"/>
      <c r="BU100" s="19">
        <v>2</v>
      </c>
      <c r="BV100" s="19">
        <v>2</v>
      </c>
      <c r="BW100" s="19">
        <v>2</v>
      </c>
      <c r="BX100" s="19">
        <v>2</v>
      </c>
      <c r="BY100" s="19">
        <v>2</v>
      </c>
      <c r="BZ100" s="19">
        <v>2</v>
      </c>
      <c r="CA100" s="19">
        <v>2</v>
      </c>
      <c r="CB100" s="19">
        <v>2</v>
      </c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</row>
    <row r="101" spans="1:164" x14ac:dyDescent="0.25">
      <c r="A101" s="19" t="s">
        <v>171</v>
      </c>
      <c r="B101" s="19" t="s">
        <v>166</v>
      </c>
      <c r="C101" s="19">
        <v>400</v>
      </c>
      <c r="D101" s="19">
        <v>250</v>
      </c>
      <c r="E101" s="19" t="s">
        <v>169</v>
      </c>
      <c r="F101" s="20"/>
      <c r="G101" s="23">
        <f t="shared" si="36"/>
        <v>0.1</v>
      </c>
      <c r="H101" s="21">
        <f t="shared" si="37"/>
        <v>1.3</v>
      </c>
      <c r="I101" s="19">
        <f t="shared" si="12"/>
        <v>13</v>
      </c>
      <c r="J101" s="19">
        <f t="shared" si="13"/>
        <v>0</v>
      </c>
      <c r="K101" s="19">
        <f t="shared" si="14"/>
        <v>0</v>
      </c>
      <c r="L101" s="19">
        <f t="shared" si="15"/>
        <v>0</v>
      </c>
      <c r="M101" s="19">
        <f t="shared" si="16"/>
        <v>0</v>
      </c>
      <c r="N101" s="19">
        <f t="shared" si="17"/>
        <v>13</v>
      </c>
      <c r="O101" s="25"/>
      <c r="P101" s="25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>
        <v>2</v>
      </c>
      <c r="DR101" s="19"/>
      <c r="DS101" s="19"/>
      <c r="DT101" s="19"/>
      <c r="DU101" s="19">
        <v>3</v>
      </c>
      <c r="DV101" s="19">
        <v>2</v>
      </c>
      <c r="DW101" s="19">
        <v>3</v>
      </c>
      <c r="DX101" s="19"/>
      <c r="DY101" s="19"/>
      <c r="DZ101" s="19"/>
      <c r="EA101" s="19"/>
      <c r="EB101" s="19"/>
      <c r="EC101" s="19">
        <v>3</v>
      </c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</row>
    <row r="102" spans="1:164" x14ac:dyDescent="0.25">
      <c r="A102" s="19" t="s">
        <v>172</v>
      </c>
      <c r="B102" s="19"/>
      <c r="C102" s="24">
        <v>1250</v>
      </c>
      <c r="D102" s="19">
        <v>1000</v>
      </c>
      <c r="E102" s="19" t="s">
        <v>169</v>
      </c>
      <c r="F102" s="20"/>
      <c r="G102" s="21"/>
      <c r="H102" s="21"/>
      <c r="I102" s="19">
        <f t="shared" si="12"/>
        <v>2</v>
      </c>
      <c r="J102" s="19">
        <f t="shared" si="13"/>
        <v>0</v>
      </c>
      <c r="K102" s="19">
        <f t="shared" si="14"/>
        <v>0</v>
      </c>
      <c r="L102" s="19">
        <f t="shared" si="15"/>
        <v>0</v>
      </c>
      <c r="M102" s="19">
        <f t="shared" si="16"/>
        <v>0</v>
      </c>
      <c r="N102" s="19">
        <f t="shared" si="17"/>
        <v>2</v>
      </c>
      <c r="O102" s="25"/>
      <c r="P102" s="25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>
        <v>2</v>
      </c>
      <c r="FA102" s="19"/>
      <c r="FB102" s="19"/>
      <c r="FC102" s="19"/>
      <c r="FD102" s="19"/>
      <c r="FE102" s="19"/>
      <c r="FF102" s="19"/>
      <c r="FG102" s="19"/>
      <c r="FH102" s="19"/>
    </row>
    <row r="103" spans="1:164" x14ac:dyDescent="0.25">
      <c r="A103" s="19" t="s">
        <v>172</v>
      </c>
      <c r="B103" s="19"/>
      <c r="C103" s="24">
        <v>1250</v>
      </c>
      <c r="D103" s="19">
        <v>800</v>
      </c>
      <c r="E103" s="19" t="s">
        <v>169</v>
      </c>
      <c r="F103" s="20"/>
      <c r="G103" s="21"/>
      <c r="H103" s="21"/>
      <c r="I103" s="19">
        <f t="shared" si="12"/>
        <v>4</v>
      </c>
      <c r="J103" s="19">
        <f t="shared" si="13"/>
        <v>0</v>
      </c>
      <c r="K103" s="19">
        <f t="shared" si="14"/>
        <v>0</v>
      </c>
      <c r="L103" s="19">
        <f t="shared" si="15"/>
        <v>0</v>
      </c>
      <c r="M103" s="19">
        <f t="shared" si="16"/>
        <v>0</v>
      </c>
      <c r="N103" s="19">
        <f t="shared" si="17"/>
        <v>4</v>
      </c>
      <c r="O103" s="25"/>
      <c r="P103" s="25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>
        <v>4</v>
      </c>
      <c r="EZ103" s="19"/>
      <c r="FA103" s="19"/>
      <c r="FB103" s="19"/>
      <c r="FC103" s="19"/>
      <c r="FD103" s="19"/>
      <c r="FE103" s="19"/>
      <c r="FF103" s="19"/>
      <c r="FG103" s="19"/>
      <c r="FH103" s="19"/>
    </row>
    <row r="104" spans="1:164" x14ac:dyDescent="0.25">
      <c r="A104" s="25" t="s">
        <v>172</v>
      </c>
      <c r="B104" s="25"/>
      <c r="C104" s="27">
        <v>1250</v>
      </c>
      <c r="D104" s="25">
        <v>630</v>
      </c>
      <c r="E104" s="25" t="s">
        <v>169</v>
      </c>
      <c r="F104" s="26"/>
      <c r="G104" s="28"/>
      <c r="H104" s="28"/>
      <c r="I104" s="19">
        <f t="shared" si="12"/>
        <v>24</v>
      </c>
      <c r="J104" s="19">
        <f t="shared" si="13"/>
        <v>0</v>
      </c>
      <c r="K104" s="19">
        <f t="shared" si="14"/>
        <v>0</v>
      </c>
      <c r="L104" s="19">
        <f t="shared" si="15"/>
        <v>0</v>
      </c>
      <c r="M104" s="19">
        <f t="shared" si="16"/>
        <v>0</v>
      </c>
      <c r="N104" s="19">
        <f t="shared" si="17"/>
        <v>24</v>
      </c>
      <c r="O104" s="25"/>
      <c r="P104" s="25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25">
        <v>2</v>
      </c>
      <c r="DP104" s="19">
        <v>2</v>
      </c>
      <c r="DQ104" s="19"/>
      <c r="DR104" s="25">
        <v>2</v>
      </c>
      <c r="DS104" s="19">
        <v>2</v>
      </c>
      <c r="DT104" s="19">
        <v>2</v>
      </c>
      <c r="DU104" s="19"/>
      <c r="DV104" s="19"/>
      <c r="DW104" s="19"/>
      <c r="DX104" s="19">
        <v>2</v>
      </c>
      <c r="DY104" s="19">
        <v>2</v>
      </c>
      <c r="DZ104" s="19">
        <v>2</v>
      </c>
      <c r="EA104" s="19">
        <v>2</v>
      </c>
      <c r="EB104" s="19">
        <v>2</v>
      </c>
      <c r="EC104" s="19"/>
      <c r="ED104" s="19">
        <v>2</v>
      </c>
      <c r="EE104" s="19">
        <v>2</v>
      </c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</row>
    <row r="105" spans="1:164" x14ac:dyDescent="0.25">
      <c r="A105" s="19" t="s">
        <v>172</v>
      </c>
      <c r="B105" s="19"/>
      <c r="C105" s="24">
        <v>1000</v>
      </c>
      <c r="D105" s="19">
        <v>1000</v>
      </c>
      <c r="E105" s="19" t="s">
        <v>169</v>
      </c>
      <c r="F105" s="20"/>
      <c r="G105" s="21"/>
      <c r="H105" s="21"/>
      <c r="I105" s="19">
        <f t="shared" si="12"/>
        <v>4</v>
      </c>
      <c r="J105" s="19">
        <f t="shared" si="13"/>
        <v>0</v>
      </c>
      <c r="K105" s="19">
        <f t="shared" si="14"/>
        <v>0</v>
      </c>
      <c r="L105" s="19">
        <f t="shared" si="15"/>
        <v>0</v>
      </c>
      <c r="M105" s="19">
        <f t="shared" si="16"/>
        <v>0</v>
      </c>
      <c r="N105" s="19">
        <f t="shared" si="17"/>
        <v>4</v>
      </c>
      <c r="O105" s="25"/>
      <c r="P105" s="25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25"/>
      <c r="DP105" s="19"/>
      <c r="DQ105" s="19"/>
      <c r="DR105" s="25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>
        <v>4</v>
      </c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64" x14ac:dyDescent="0.25">
      <c r="A106" s="19" t="s">
        <v>172</v>
      </c>
      <c r="B106" s="19"/>
      <c r="C106" s="24">
        <v>1000</v>
      </c>
      <c r="D106" s="19">
        <v>500</v>
      </c>
      <c r="E106" s="19" t="s">
        <v>169</v>
      </c>
      <c r="F106" s="20"/>
      <c r="G106" s="21"/>
      <c r="H106" s="21"/>
      <c r="I106" s="19">
        <f t="shared" si="12"/>
        <v>1</v>
      </c>
      <c r="J106" s="19">
        <f t="shared" si="13"/>
        <v>0</v>
      </c>
      <c r="K106" s="19">
        <f t="shared" si="14"/>
        <v>0</v>
      </c>
      <c r="L106" s="19">
        <f t="shared" si="15"/>
        <v>0</v>
      </c>
      <c r="M106" s="19">
        <f t="shared" si="16"/>
        <v>0</v>
      </c>
      <c r="N106" s="19">
        <f t="shared" si="17"/>
        <v>1</v>
      </c>
      <c r="O106" s="25"/>
      <c r="P106" s="25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25"/>
      <c r="DP106" s="19"/>
      <c r="DQ106" s="19"/>
      <c r="DR106" s="25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>
        <v>1</v>
      </c>
      <c r="FC106" s="19"/>
      <c r="FD106" s="19"/>
      <c r="FE106" s="19"/>
      <c r="FF106" s="19"/>
      <c r="FG106" s="19"/>
      <c r="FH106" s="19"/>
    </row>
    <row r="107" spans="1:164" x14ac:dyDescent="0.25">
      <c r="A107" s="19" t="s">
        <v>172</v>
      </c>
      <c r="B107" s="19"/>
      <c r="C107" s="24" t="s">
        <v>159</v>
      </c>
      <c r="D107" s="19">
        <v>900</v>
      </c>
      <c r="E107" s="19" t="s">
        <v>169</v>
      </c>
      <c r="F107" s="20"/>
      <c r="G107" s="21"/>
      <c r="H107" s="21"/>
      <c r="I107" s="19">
        <f t="shared" si="12"/>
        <v>2</v>
      </c>
      <c r="J107" s="19">
        <f t="shared" si="13"/>
        <v>2</v>
      </c>
      <c r="K107" s="19">
        <f t="shared" si="14"/>
        <v>0</v>
      </c>
      <c r="L107" s="19">
        <f t="shared" si="15"/>
        <v>0</v>
      </c>
      <c r="M107" s="19">
        <f t="shared" si="16"/>
        <v>0</v>
      </c>
      <c r="N107" s="19">
        <f t="shared" si="17"/>
        <v>0</v>
      </c>
      <c r="O107" s="25"/>
      <c r="P107" s="25"/>
      <c r="Q107" s="19"/>
      <c r="R107" s="19">
        <v>2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64" x14ac:dyDescent="0.25">
      <c r="A108" s="19" t="s">
        <v>172</v>
      </c>
      <c r="B108" s="19"/>
      <c r="C108" s="24">
        <v>800</v>
      </c>
      <c r="D108" s="19">
        <v>800</v>
      </c>
      <c r="E108" s="19" t="s">
        <v>169</v>
      </c>
      <c r="F108" s="20"/>
      <c r="G108" s="21"/>
      <c r="H108" s="21"/>
      <c r="I108" s="19">
        <f t="shared" si="12"/>
        <v>70</v>
      </c>
      <c r="J108" s="19">
        <f t="shared" si="13"/>
        <v>0</v>
      </c>
      <c r="K108" s="19">
        <f t="shared" si="14"/>
        <v>0</v>
      </c>
      <c r="L108" s="19">
        <f t="shared" si="15"/>
        <v>0</v>
      </c>
      <c r="M108" s="19">
        <f t="shared" si="16"/>
        <v>0</v>
      </c>
      <c r="N108" s="19">
        <f t="shared" si="17"/>
        <v>70</v>
      </c>
      <c r="O108" s="25"/>
      <c r="P108" s="25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>
        <v>4</v>
      </c>
      <c r="EI108" s="19">
        <v>2</v>
      </c>
      <c r="EJ108" s="19">
        <v>4</v>
      </c>
      <c r="EK108" s="19">
        <v>2</v>
      </c>
      <c r="EL108" s="19">
        <v>2</v>
      </c>
      <c r="EM108" s="19">
        <v>4</v>
      </c>
      <c r="EN108" s="19">
        <v>4</v>
      </c>
      <c r="EO108" s="19">
        <v>2</v>
      </c>
      <c r="EP108" s="19"/>
      <c r="EQ108" s="19">
        <v>2</v>
      </c>
      <c r="ER108" s="19">
        <v>4</v>
      </c>
      <c r="ES108" s="19">
        <v>2</v>
      </c>
      <c r="ET108" s="19">
        <v>4</v>
      </c>
      <c r="EU108" s="19">
        <v>2</v>
      </c>
      <c r="EV108" s="19">
        <v>2</v>
      </c>
      <c r="EW108" s="19">
        <v>4</v>
      </c>
      <c r="EX108" s="19">
        <v>4</v>
      </c>
      <c r="EY108" s="19"/>
      <c r="EZ108" s="19"/>
      <c r="FA108" s="19">
        <v>4</v>
      </c>
      <c r="FB108" s="19">
        <v>1</v>
      </c>
      <c r="FC108" s="19">
        <v>2</v>
      </c>
      <c r="FD108" s="19">
        <v>4</v>
      </c>
      <c r="FE108" s="19">
        <v>4</v>
      </c>
      <c r="FF108" s="19">
        <v>1</v>
      </c>
      <c r="FG108" s="19">
        <v>4</v>
      </c>
      <c r="FH108" s="19">
        <v>2</v>
      </c>
    </row>
    <row r="109" spans="1:164" x14ac:dyDescent="0.25">
      <c r="A109" s="19" t="s">
        <v>172</v>
      </c>
      <c r="B109" s="19"/>
      <c r="C109" s="24" t="s">
        <v>159</v>
      </c>
      <c r="D109" s="19">
        <v>800</v>
      </c>
      <c r="E109" s="19" t="s">
        <v>169</v>
      </c>
      <c r="F109" s="20"/>
      <c r="G109" s="21"/>
      <c r="H109" s="21"/>
      <c r="I109" s="19">
        <f t="shared" si="12"/>
        <v>40</v>
      </c>
      <c r="J109" s="19">
        <f t="shared" si="13"/>
        <v>0</v>
      </c>
      <c r="K109" s="19">
        <f t="shared" si="14"/>
        <v>16</v>
      </c>
      <c r="L109" s="19">
        <f t="shared" si="15"/>
        <v>0</v>
      </c>
      <c r="M109" s="19">
        <f t="shared" si="16"/>
        <v>0</v>
      </c>
      <c r="N109" s="19">
        <f t="shared" si="17"/>
        <v>24</v>
      </c>
      <c r="O109" s="25"/>
      <c r="P109" s="25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>
        <v>2</v>
      </c>
      <c r="AG109" s="19"/>
      <c r="AH109" s="19"/>
      <c r="AI109" s="19">
        <v>2</v>
      </c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>
        <v>2</v>
      </c>
      <c r="AV109" s="19"/>
      <c r="AW109" s="19"/>
      <c r="AX109" s="19">
        <v>2</v>
      </c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>
        <v>2</v>
      </c>
      <c r="BP109" s="19"/>
      <c r="BQ109" s="19"/>
      <c r="BR109" s="19">
        <v>2</v>
      </c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>
        <v>2</v>
      </c>
      <c r="CE109" s="19"/>
      <c r="CF109" s="19"/>
      <c r="CG109" s="19">
        <v>2</v>
      </c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>
        <v>2</v>
      </c>
      <c r="DP109" s="19">
        <v>2</v>
      </c>
      <c r="DQ109" s="19"/>
      <c r="DR109" s="19">
        <v>2</v>
      </c>
      <c r="DS109" s="19">
        <v>2</v>
      </c>
      <c r="DT109" s="19">
        <v>2</v>
      </c>
      <c r="DU109" s="19"/>
      <c r="DV109" s="19"/>
      <c r="DW109" s="19"/>
      <c r="DX109" s="19">
        <v>2</v>
      </c>
      <c r="DY109" s="19">
        <v>2</v>
      </c>
      <c r="DZ109" s="19">
        <v>2</v>
      </c>
      <c r="EA109" s="19">
        <v>2</v>
      </c>
      <c r="EB109" s="19">
        <v>2</v>
      </c>
      <c r="EC109" s="19"/>
      <c r="ED109" s="19">
        <v>2</v>
      </c>
      <c r="EE109" s="19">
        <v>2</v>
      </c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64" x14ac:dyDescent="0.25">
      <c r="A110" s="19" t="s">
        <v>172</v>
      </c>
      <c r="B110" s="19"/>
      <c r="C110" s="24" t="s">
        <v>159</v>
      </c>
      <c r="D110" s="19">
        <v>700</v>
      </c>
      <c r="E110" s="19" t="s">
        <v>169</v>
      </c>
      <c r="F110" s="20"/>
      <c r="G110" s="21"/>
      <c r="H110" s="21"/>
      <c r="I110" s="19">
        <f t="shared" si="12"/>
        <v>16</v>
      </c>
      <c r="J110" s="19">
        <f t="shared" si="13"/>
        <v>0</v>
      </c>
      <c r="K110" s="19">
        <f t="shared" si="14"/>
        <v>16</v>
      </c>
      <c r="L110" s="19">
        <f t="shared" si="15"/>
        <v>0</v>
      </c>
      <c r="M110" s="19">
        <f t="shared" si="16"/>
        <v>0</v>
      </c>
      <c r="N110" s="19">
        <f t="shared" si="17"/>
        <v>0</v>
      </c>
      <c r="O110" s="25"/>
      <c r="P110" s="25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>
        <v>2</v>
      </c>
      <c r="AI110" s="19"/>
      <c r="AJ110" s="19"/>
      <c r="AK110" s="19">
        <v>2</v>
      </c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>
        <v>2</v>
      </c>
      <c r="AX110" s="19"/>
      <c r="AY110" s="19"/>
      <c r="AZ110" s="19">
        <v>2</v>
      </c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>
        <v>2</v>
      </c>
      <c r="BR110" s="19"/>
      <c r="BS110" s="19"/>
      <c r="BT110" s="19">
        <v>2</v>
      </c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>
        <v>2</v>
      </c>
      <c r="CG110" s="19"/>
      <c r="CH110" s="19"/>
      <c r="CI110" s="19">
        <v>2</v>
      </c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64" x14ac:dyDescent="0.25">
      <c r="A111" s="19" t="s">
        <v>172</v>
      </c>
      <c r="B111" s="19"/>
      <c r="C111" s="24" t="s">
        <v>159</v>
      </c>
      <c r="D111" s="19">
        <v>650</v>
      </c>
      <c r="E111" s="19" t="s">
        <v>169</v>
      </c>
      <c r="F111" s="20"/>
      <c r="G111" s="21"/>
      <c r="H111" s="21"/>
      <c r="I111" s="19">
        <f t="shared" si="12"/>
        <v>16</v>
      </c>
      <c r="J111" s="19">
        <f t="shared" si="13"/>
        <v>0</v>
      </c>
      <c r="K111" s="19">
        <f t="shared" si="14"/>
        <v>8</v>
      </c>
      <c r="L111" s="19">
        <f t="shared" si="15"/>
        <v>0</v>
      </c>
      <c r="M111" s="19">
        <f t="shared" si="16"/>
        <v>8</v>
      </c>
      <c r="N111" s="19">
        <f t="shared" si="17"/>
        <v>0</v>
      </c>
      <c r="O111" s="25"/>
      <c r="P111" s="25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>
        <v>2</v>
      </c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>
        <v>2</v>
      </c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>
        <v>2</v>
      </c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>
        <v>2</v>
      </c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>
        <v>2</v>
      </c>
      <c r="DC111" s="19">
        <v>2</v>
      </c>
      <c r="DD111" s="19">
        <v>2</v>
      </c>
      <c r="DE111" s="19">
        <v>2</v>
      </c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64" x14ac:dyDescent="0.25">
      <c r="A112" s="19" t="s">
        <v>172</v>
      </c>
      <c r="B112" s="19"/>
      <c r="C112" s="24" t="s">
        <v>159</v>
      </c>
      <c r="D112" s="19">
        <v>630</v>
      </c>
      <c r="E112" s="19" t="s">
        <v>169</v>
      </c>
      <c r="F112" s="20"/>
      <c r="G112" s="21"/>
      <c r="H112" s="21"/>
      <c r="I112" s="19">
        <f t="shared" si="12"/>
        <v>2</v>
      </c>
      <c r="J112" s="19">
        <f t="shared" si="13"/>
        <v>2</v>
      </c>
      <c r="K112" s="19">
        <f t="shared" si="14"/>
        <v>0</v>
      </c>
      <c r="L112" s="19">
        <f t="shared" si="15"/>
        <v>0</v>
      </c>
      <c r="M112" s="19">
        <f t="shared" si="16"/>
        <v>0</v>
      </c>
      <c r="N112" s="19">
        <f t="shared" si="17"/>
        <v>0</v>
      </c>
      <c r="O112" s="19"/>
      <c r="P112" s="19"/>
      <c r="Q112" s="19">
        <v>2</v>
      </c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 t="s">
        <v>172</v>
      </c>
      <c r="B113" s="19"/>
      <c r="C113" s="24" t="s">
        <v>159</v>
      </c>
      <c r="D113" s="19">
        <v>550</v>
      </c>
      <c r="E113" s="19" t="s">
        <v>169</v>
      </c>
      <c r="F113" s="20"/>
      <c r="G113" s="21"/>
      <c r="H113" s="21"/>
      <c r="I113" s="19">
        <f t="shared" si="12"/>
        <v>20</v>
      </c>
      <c r="J113" s="19">
        <f t="shared" si="13"/>
        <v>0</v>
      </c>
      <c r="K113" s="19">
        <f t="shared" si="14"/>
        <v>18</v>
      </c>
      <c r="L113" s="19">
        <f t="shared" si="15"/>
        <v>0</v>
      </c>
      <c r="M113" s="19">
        <f t="shared" si="16"/>
        <v>2</v>
      </c>
      <c r="N113" s="19">
        <f t="shared" si="17"/>
        <v>0</v>
      </c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>
        <v>2</v>
      </c>
      <c r="AH113" s="19"/>
      <c r="AI113" s="19"/>
      <c r="AJ113" s="19">
        <v>2</v>
      </c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>
        <v>2</v>
      </c>
      <c r="AW113" s="19"/>
      <c r="AX113" s="19"/>
      <c r="AY113" s="19">
        <v>2</v>
      </c>
      <c r="AZ113" s="19"/>
      <c r="BA113" s="19"/>
      <c r="BB113" s="19"/>
      <c r="BC113" s="19"/>
      <c r="BD113" s="19"/>
      <c r="BE113" s="19">
        <v>2</v>
      </c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>
        <v>2</v>
      </c>
      <c r="BQ113" s="19"/>
      <c r="BR113" s="19"/>
      <c r="BS113" s="19">
        <v>2</v>
      </c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>
        <v>2</v>
      </c>
      <c r="CF113" s="19"/>
      <c r="CG113" s="19"/>
      <c r="CH113" s="19">
        <v>2</v>
      </c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>
        <v>2</v>
      </c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 t="s">
        <v>172</v>
      </c>
      <c r="B114" s="19"/>
      <c r="C114" s="24" t="s">
        <v>159</v>
      </c>
      <c r="D114" s="19">
        <v>500</v>
      </c>
      <c r="E114" s="19" t="s">
        <v>169</v>
      </c>
      <c r="F114" s="20"/>
      <c r="G114" s="21"/>
      <c r="H114" s="21"/>
      <c r="I114" s="19">
        <f t="shared" si="12"/>
        <v>6</v>
      </c>
      <c r="J114" s="19">
        <f t="shared" si="13"/>
        <v>0</v>
      </c>
      <c r="K114" s="19">
        <f t="shared" si="14"/>
        <v>0</v>
      </c>
      <c r="L114" s="19">
        <f t="shared" si="15"/>
        <v>2</v>
      </c>
      <c r="M114" s="19">
        <f t="shared" si="16"/>
        <v>0</v>
      </c>
      <c r="N114" s="19">
        <f t="shared" si="17"/>
        <v>4</v>
      </c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>
        <v>2</v>
      </c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>
        <v>2</v>
      </c>
      <c r="EG114" s="19">
        <v>2</v>
      </c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 t="s">
        <v>172</v>
      </c>
      <c r="B115" s="19"/>
      <c r="C115" s="24">
        <v>400</v>
      </c>
      <c r="D115" s="19">
        <v>400</v>
      </c>
      <c r="E115" s="19" t="s">
        <v>169</v>
      </c>
      <c r="F115" s="20"/>
      <c r="G115" s="21"/>
      <c r="H115" s="21"/>
      <c r="I115" s="19">
        <f t="shared" si="12"/>
        <v>1</v>
      </c>
      <c r="J115" s="19">
        <f t="shared" si="13"/>
        <v>0</v>
      </c>
      <c r="K115" s="19">
        <f t="shared" si="14"/>
        <v>0</v>
      </c>
      <c r="L115" s="19">
        <f t="shared" si="15"/>
        <v>0</v>
      </c>
      <c r="M115" s="19">
        <f t="shared" si="16"/>
        <v>0</v>
      </c>
      <c r="N115" s="19">
        <f t="shared" si="17"/>
        <v>1</v>
      </c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>
        <v>1</v>
      </c>
      <c r="FG115" s="19"/>
      <c r="FH115" s="19"/>
    </row>
    <row r="116" spans="1:164" x14ac:dyDescent="0.25">
      <c r="A116" s="19" t="s">
        <v>172</v>
      </c>
      <c r="B116" s="19"/>
      <c r="C116" s="24" t="s">
        <v>159</v>
      </c>
      <c r="D116" s="19">
        <v>300</v>
      </c>
      <c r="E116" s="19" t="s">
        <v>169</v>
      </c>
      <c r="F116" s="20"/>
      <c r="G116" s="21"/>
      <c r="H116" s="21"/>
      <c r="I116" s="19">
        <f t="shared" si="12"/>
        <v>28</v>
      </c>
      <c r="J116" s="19">
        <f t="shared" si="13"/>
        <v>0</v>
      </c>
      <c r="K116" s="19">
        <f t="shared" si="14"/>
        <v>0</v>
      </c>
      <c r="L116" s="19">
        <f t="shared" si="15"/>
        <v>8</v>
      </c>
      <c r="M116" s="19">
        <f t="shared" si="16"/>
        <v>0</v>
      </c>
      <c r="N116" s="19">
        <f t="shared" si="17"/>
        <v>20</v>
      </c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>
        <v>2</v>
      </c>
      <c r="CK116" s="19">
        <v>2</v>
      </c>
      <c r="CL116" s="19">
        <v>2</v>
      </c>
      <c r="CM116" s="19">
        <v>2</v>
      </c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>
        <v>4</v>
      </c>
      <c r="DR116" s="19"/>
      <c r="DS116" s="19"/>
      <c r="DT116" s="19"/>
      <c r="DU116" s="19">
        <v>4</v>
      </c>
      <c r="DV116" s="19">
        <v>4</v>
      </c>
      <c r="DW116" s="19">
        <v>4</v>
      </c>
      <c r="DX116" s="19"/>
      <c r="DY116" s="19"/>
      <c r="DZ116" s="19"/>
      <c r="EA116" s="19"/>
      <c r="EB116" s="19"/>
      <c r="EC116" s="19">
        <v>4</v>
      </c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 t="s">
        <v>172</v>
      </c>
      <c r="B117" s="19"/>
      <c r="C117" s="24" t="s">
        <v>159</v>
      </c>
      <c r="D117" s="19">
        <v>200</v>
      </c>
      <c r="E117" s="19" t="s">
        <v>169</v>
      </c>
      <c r="F117" s="20"/>
      <c r="G117" s="21"/>
      <c r="H117" s="21"/>
      <c r="I117" s="19">
        <f t="shared" si="12"/>
        <v>160</v>
      </c>
      <c r="J117" s="19">
        <f t="shared" si="13"/>
        <v>0</v>
      </c>
      <c r="K117" s="19">
        <f t="shared" si="14"/>
        <v>160</v>
      </c>
      <c r="L117" s="19">
        <f t="shared" si="15"/>
        <v>0</v>
      </c>
      <c r="M117" s="19">
        <f t="shared" si="16"/>
        <v>0</v>
      </c>
      <c r="N117" s="19">
        <f t="shared" si="17"/>
        <v>0</v>
      </c>
      <c r="O117" s="19"/>
      <c r="P117" s="19"/>
      <c r="Q117" s="19"/>
      <c r="R117" s="19"/>
      <c r="S117" s="19">
        <v>4</v>
      </c>
      <c r="T117" s="19">
        <v>4</v>
      </c>
      <c r="U117" s="19">
        <v>4</v>
      </c>
      <c r="V117" s="19">
        <v>4</v>
      </c>
      <c r="W117" s="19">
        <v>4</v>
      </c>
      <c r="X117" s="19">
        <v>4</v>
      </c>
      <c r="Y117" s="19">
        <v>4</v>
      </c>
      <c r="Z117" s="19">
        <v>4</v>
      </c>
      <c r="AA117" s="19">
        <v>4</v>
      </c>
      <c r="AB117" s="19">
        <v>4</v>
      </c>
      <c r="AC117" s="19">
        <v>4</v>
      </c>
      <c r="AD117" s="19">
        <v>4</v>
      </c>
      <c r="AE117" s="19"/>
      <c r="AF117" s="19"/>
      <c r="AG117" s="19"/>
      <c r="AH117" s="19"/>
      <c r="AI117" s="19"/>
      <c r="AJ117" s="19"/>
      <c r="AK117" s="19"/>
      <c r="AL117" s="19">
        <v>4</v>
      </c>
      <c r="AM117" s="19">
        <v>4</v>
      </c>
      <c r="AN117" s="19">
        <v>4</v>
      </c>
      <c r="AO117" s="19">
        <v>4</v>
      </c>
      <c r="AP117" s="19">
        <v>4</v>
      </c>
      <c r="AQ117" s="19">
        <v>4</v>
      </c>
      <c r="AR117" s="19">
        <v>4</v>
      </c>
      <c r="AS117" s="19">
        <v>4</v>
      </c>
      <c r="AT117" s="19"/>
      <c r="AU117" s="19"/>
      <c r="AV117" s="19"/>
      <c r="AW117" s="19"/>
      <c r="AX117" s="19"/>
      <c r="AY117" s="19"/>
      <c r="AZ117" s="19"/>
      <c r="BA117" s="19">
        <v>4</v>
      </c>
      <c r="BB117" s="19">
        <v>4</v>
      </c>
      <c r="BC117" s="19">
        <v>4</v>
      </c>
      <c r="BD117" s="19">
        <v>4</v>
      </c>
      <c r="BE117" s="19"/>
      <c r="BF117" s="19">
        <v>4</v>
      </c>
      <c r="BG117" s="19">
        <v>4</v>
      </c>
      <c r="BH117" s="19">
        <v>4</v>
      </c>
      <c r="BI117" s="19">
        <v>4</v>
      </c>
      <c r="BJ117" s="19">
        <v>4</v>
      </c>
      <c r="BK117" s="19">
        <v>4</v>
      </c>
      <c r="BL117" s="19">
        <v>4</v>
      </c>
      <c r="BM117" s="19">
        <v>4</v>
      </c>
      <c r="BN117" s="19"/>
      <c r="BO117" s="19"/>
      <c r="BP117" s="19"/>
      <c r="BQ117" s="19"/>
      <c r="BR117" s="19"/>
      <c r="BS117" s="19"/>
      <c r="BT117" s="19"/>
      <c r="BU117" s="19">
        <v>4</v>
      </c>
      <c r="BV117" s="19">
        <v>4</v>
      </c>
      <c r="BW117" s="19">
        <v>4</v>
      </c>
      <c r="BX117" s="19">
        <v>4</v>
      </c>
      <c r="BY117" s="19">
        <v>4</v>
      </c>
      <c r="BZ117" s="19">
        <v>4</v>
      </c>
      <c r="CA117" s="19">
        <v>4</v>
      </c>
      <c r="CB117" s="19">
        <v>4</v>
      </c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 t="s">
        <v>389</v>
      </c>
      <c r="B118" s="19"/>
      <c r="C118" s="40" t="s">
        <v>390</v>
      </c>
      <c r="D118" s="40"/>
      <c r="E118" s="19" t="s">
        <v>169</v>
      </c>
      <c r="F118" s="20"/>
      <c r="G118" s="21"/>
      <c r="H118" s="21"/>
      <c r="I118" s="19">
        <f t="shared" si="12"/>
        <v>1</v>
      </c>
      <c r="J118" s="19">
        <f t="shared" si="13"/>
        <v>0</v>
      </c>
      <c r="K118" s="19">
        <f t="shared" si="14"/>
        <v>0</v>
      </c>
      <c r="L118" s="19">
        <f t="shared" si="15"/>
        <v>1</v>
      </c>
      <c r="M118" s="19">
        <f t="shared" si="16"/>
        <v>0</v>
      </c>
      <c r="N118" s="19">
        <f t="shared" si="17"/>
        <v>0</v>
      </c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>
        <v>1</v>
      </c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 t="s">
        <v>389</v>
      </c>
      <c r="B119" s="19"/>
      <c r="C119" s="40" t="s">
        <v>391</v>
      </c>
      <c r="D119" s="40"/>
      <c r="E119" s="19" t="s">
        <v>169</v>
      </c>
      <c r="F119" s="20"/>
      <c r="G119" s="21"/>
      <c r="H119" s="21"/>
      <c r="I119" s="19">
        <f t="shared" si="12"/>
        <v>1</v>
      </c>
      <c r="J119" s="19">
        <f t="shared" si="13"/>
        <v>0</v>
      </c>
      <c r="K119" s="19">
        <f t="shared" si="14"/>
        <v>0</v>
      </c>
      <c r="L119" s="19">
        <f t="shared" si="15"/>
        <v>1</v>
      </c>
      <c r="M119" s="19">
        <f t="shared" si="16"/>
        <v>0</v>
      </c>
      <c r="N119" s="19">
        <f t="shared" si="17"/>
        <v>0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>
        <v>1</v>
      </c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 t="s">
        <v>389</v>
      </c>
      <c r="B120" s="19"/>
      <c r="C120" s="40" t="s">
        <v>392</v>
      </c>
      <c r="D120" s="40"/>
      <c r="E120" s="19" t="s">
        <v>169</v>
      </c>
      <c r="F120" s="20"/>
      <c r="G120" s="21"/>
      <c r="H120" s="21"/>
      <c r="I120" s="19">
        <f t="shared" si="12"/>
        <v>1</v>
      </c>
      <c r="J120" s="19">
        <f t="shared" si="13"/>
        <v>0</v>
      </c>
      <c r="K120" s="19">
        <f t="shared" si="14"/>
        <v>0</v>
      </c>
      <c r="L120" s="19">
        <f t="shared" si="15"/>
        <v>0</v>
      </c>
      <c r="M120" s="19">
        <f t="shared" si="16"/>
        <v>1</v>
      </c>
      <c r="N120" s="19">
        <f t="shared" si="17"/>
        <v>0</v>
      </c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>
        <v>1</v>
      </c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25" t="s">
        <v>389</v>
      </c>
      <c r="B121" s="25"/>
      <c r="C121" s="41" t="s">
        <v>393</v>
      </c>
      <c r="D121" s="41"/>
      <c r="E121" s="25" t="s">
        <v>169</v>
      </c>
      <c r="F121" s="26"/>
      <c r="G121" s="28"/>
      <c r="H121" s="28"/>
      <c r="I121" s="19">
        <f t="shared" si="12"/>
        <v>11</v>
      </c>
      <c r="J121" s="19">
        <f t="shared" si="13"/>
        <v>0</v>
      </c>
      <c r="K121" s="19">
        <f t="shared" si="14"/>
        <v>0</v>
      </c>
      <c r="L121" s="19">
        <f t="shared" si="15"/>
        <v>0</v>
      </c>
      <c r="M121" s="19">
        <f t="shared" si="16"/>
        <v>0</v>
      </c>
      <c r="N121" s="19">
        <f t="shared" si="17"/>
        <v>11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25">
        <v>1</v>
      </c>
      <c r="DP121" s="25">
        <v>1</v>
      </c>
      <c r="DQ121" s="19"/>
      <c r="DR121" s="19"/>
      <c r="DS121" s="19">
        <v>1</v>
      </c>
      <c r="DT121" s="19">
        <v>1</v>
      </c>
      <c r="DU121" s="19"/>
      <c r="DV121" s="19"/>
      <c r="DW121" s="19"/>
      <c r="DX121" s="19">
        <v>1</v>
      </c>
      <c r="DY121" s="19">
        <v>1</v>
      </c>
      <c r="DZ121" s="19">
        <v>1</v>
      </c>
      <c r="EA121" s="19">
        <v>1</v>
      </c>
      <c r="EB121" s="19">
        <v>1</v>
      </c>
      <c r="EC121" s="19"/>
      <c r="ED121" s="19">
        <v>1</v>
      </c>
      <c r="EE121" s="19">
        <v>1</v>
      </c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25" t="s">
        <v>389</v>
      </c>
      <c r="B122" s="25"/>
      <c r="C122" s="41" t="s">
        <v>394</v>
      </c>
      <c r="D122" s="41"/>
      <c r="E122" s="25" t="s">
        <v>169</v>
      </c>
      <c r="F122" s="26"/>
      <c r="G122" s="28"/>
      <c r="H122" s="28"/>
      <c r="I122" s="19">
        <f t="shared" si="12"/>
        <v>1</v>
      </c>
      <c r="J122" s="19">
        <f t="shared" si="13"/>
        <v>0</v>
      </c>
      <c r="K122" s="19">
        <f t="shared" si="14"/>
        <v>0</v>
      </c>
      <c r="L122" s="19">
        <f t="shared" si="15"/>
        <v>0</v>
      </c>
      <c r="M122" s="19">
        <f t="shared" si="16"/>
        <v>0</v>
      </c>
      <c r="N122" s="19">
        <f t="shared" si="17"/>
        <v>1</v>
      </c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25"/>
      <c r="DP122" s="25"/>
      <c r="DQ122" s="19"/>
      <c r="DR122" s="19">
        <v>1</v>
      </c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 t="s">
        <v>389</v>
      </c>
      <c r="B123" s="19"/>
      <c r="C123" s="40" t="s">
        <v>395</v>
      </c>
      <c r="D123" s="40"/>
      <c r="E123" s="19" t="s">
        <v>169</v>
      </c>
      <c r="F123" s="20"/>
      <c r="G123" s="21"/>
      <c r="H123" s="21"/>
      <c r="I123" s="19">
        <f t="shared" si="12"/>
        <v>1</v>
      </c>
      <c r="J123" s="19">
        <f t="shared" si="13"/>
        <v>0</v>
      </c>
      <c r="K123" s="19">
        <f t="shared" si="14"/>
        <v>0</v>
      </c>
      <c r="L123" s="19">
        <f t="shared" si="15"/>
        <v>1</v>
      </c>
      <c r="M123" s="19">
        <f t="shared" si="16"/>
        <v>0</v>
      </c>
      <c r="N123" s="19">
        <f t="shared" si="17"/>
        <v>0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>
        <v>1</v>
      </c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19" t="s">
        <v>389</v>
      </c>
      <c r="B124" s="19"/>
      <c r="C124" s="40" t="s">
        <v>396</v>
      </c>
      <c r="D124" s="40"/>
      <c r="E124" s="19" t="s">
        <v>169</v>
      </c>
      <c r="F124" s="20"/>
      <c r="G124" s="21"/>
      <c r="H124" s="21"/>
      <c r="I124" s="19">
        <f t="shared" si="12"/>
        <v>1</v>
      </c>
      <c r="J124" s="19">
        <f t="shared" si="13"/>
        <v>0</v>
      </c>
      <c r="K124" s="19">
        <f t="shared" si="14"/>
        <v>0</v>
      </c>
      <c r="L124" s="19">
        <f t="shared" si="15"/>
        <v>1</v>
      </c>
      <c r="M124" s="19">
        <f t="shared" si="16"/>
        <v>0</v>
      </c>
      <c r="N124" s="19">
        <f t="shared" si="17"/>
        <v>0</v>
      </c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>
        <v>1</v>
      </c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 t="s">
        <v>389</v>
      </c>
      <c r="B125" s="19"/>
      <c r="C125" s="40" t="s">
        <v>397</v>
      </c>
      <c r="D125" s="40"/>
      <c r="E125" s="19" t="s">
        <v>169</v>
      </c>
      <c r="F125" s="20"/>
      <c r="G125" s="21"/>
      <c r="H125" s="21"/>
      <c r="I125" s="19">
        <f t="shared" si="12"/>
        <v>1</v>
      </c>
      <c r="J125" s="19">
        <f t="shared" si="13"/>
        <v>0</v>
      </c>
      <c r="K125" s="19">
        <f t="shared" si="14"/>
        <v>0</v>
      </c>
      <c r="L125" s="19">
        <f t="shared" si="15"/>
        <v>0</v>
      </c>
      <c r="M125" s="19">
        <f t="shared" si="16"/>
        <v>0</v>
      </c>
      <c r="N125" s="19">
        <f t="shared" si="17"/>
        <v>1</v>
      </c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>
        <v>1</v>
      </c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 t="s">
        <v>389</v>
      </c>
      <c r="B126" s="19"/>
      <c r="C126" s="40" t="s">
        <v>398</v>
      </c>
      <c r="D126" s="40"/>
      <c r="E126" s="19" t="s">
        <v>169</v>
      </c>
      <c r="F126" s="20"/>
      <c r="G126" s="21"/>
      <c r="H126" s="21"/>
      <c r="I126" s="19">
        <f t="shared" si="12"/>
        <v>1</v>
      </c>
      <c r="J126" s="19">
        <f t="shared" si="13"/>
        <v>0</v>
      </c>
      <c r="K126" s="19">
        <f t="shared" si="14"/>
        <v>0</v>
      </c>
      <c r="L126" s="19">
        <f t="shared" si="15"/>
        <v>0</v>
      </c>
      <c r="M126" s="19">
        <f t="shared" si="16"/>
        <v>0</v>
      </c>
      <c r="N126" s="19">
        <f t="shared" si="17"/>
        <v>1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>
        <v>1</v>
      </c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 t="s">
        <v>389</v>
      </c>
      <c r="B127" s="19"/>
      <c r="C127" s="40" t="s">
        <v>399</v>
      </c>
      <c r="D127" s="40"/>
      <c r="E127" s="19" t="s">
        <v>169</v>
      </c>
      <c r="F127" s="20"/>
      <c r="G127" s="21"/>
      <c r="H127" s="21"/>
      <c r="I127" s="19">
        <f t="shared" si="12"/>
        <v>1</v>
      </c>
      <c r="J127" s="19">
        <f t="shared" si="13"/>
        <v>0</v>
      </c>
      <c r="K127" s="19">
        <f t="shared" si="14"/>
        <v>0</v>
      </c>
      <c r="L127" s="19">
        <f t="shared" si="15"/>
        <v>0</v>
      </c>
      <c r="M127" s="19">
        <f t="shared" si="16"/>
        <v>0</v>
      </c>
      <c r="N127" s="19">
        <f t="shared" si="17"/>
        <v>1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>
        <v>1</v>
      </c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 t="s">
        <v>389</v>
      </c>
      <c r="B128" s="19"/>
      <c r="C128" s="40" t="s">
        <v>400</v>
      </c>
      <c r="D128" s="40"/>
      <c r="E128" s="19" t="s">
        <v>169</v>
      </c>
      <c r="F128" s="20"/>
      <c r="G128" s="21"/>
      <c r="H128" s="21"/>
      <c r="I128" s="19">
        <f t="shared" si="12"/>
        <v>4</v>
      </c>
      <c r="J128" s="19">
        <f t="shared" si="13"/>
        <v>0</v>
      </c>
      <c r="K128" s="19">
        <f t="shared" si="14"/>
        <v>0</v>
      </c>
      <c r="L128" s="19">
        <f t="shared" si="15"/>
        <v>2</v>
      </c>
      <c r="M128" s="19">
        <f t="shared" si="16"/>
        <v>0</v>
      </c>
      <c r="N128" s="19">
        <f t="shared" si="17"/>
        <v>2</v>
      </c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>
        <v>1</v>
      </c>
      <c r="CR128" s="19"/>
      <c r="CS128" s="19"/>
      <c r="CT128" s="19">
        <v>1</v>
      </c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>
        <v>1</v>
      </c>
      <c r="DJ128" s="19"/>
      <c r="DK128" s="19"/>
      <c r="DL128" s="19"/>
      <c r="DM128" s="19">
        <v>1</v>
      </c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 t="s">
        <v>210</v>
      </c>
      <c r="B129" s="19"/>
      <c r="C129" s="24">
        <v>800</v>
      </c>
      <c r="D129" s="19">
        <v>400</v>
      </c>
      <c r="E129" s="19" t="s">
        <v>169</v>
      </c>
      <c r="F129" s="20"/>
      <c r="G129" s="21"/>
      <c r="H129" s="21"/>
      <c r="I129" s="19">
        <f t="shared" si="12"/>
        <v>1</v>
      </c>
      <c r="J129" s="19">
        <f t="shared" si="13"/>
        <v>0</v>
      </c>
      <c r="K129" s="19">
        <f t="shared" si="14"/>
        <v>1</v>
      </c>
      <c r="L129" s="19">
        <f t="shared" si="15"/>
        <v>0</v>
      </c>
      <c r="M129" s="19">
        <f t="shared" si="16"/>
        <v>0</v>
      </c>
      <c r="N129" s="19">
        <f t="shared" si="17"/>
        <v>0</v>
      </c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>
        <v>1</v>
      </c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 t="s">
        <v>401</v>
      </c>
      <c r="B130" s="19"/>
      <c r="C130" s="24">
        <v>1250</v>
      </c>
      <c r="D130" s="19">
        <v>630</v>
      </c>
      <c r="E130" s="19" t="s">
        <v>169</v>
      </c>
      <c r="F130" s="36"/>
      <c r="G130" s="21"/>
      <c r="H130" s="21"/>
      <c r="I130" s="19">
        <f t="shared" si="12"/>
        <v>8</v>
      </c>
      <c r="J130" s="19">
        <f t="shared" si="13"/>
        <v>0</v>
      </c>
      <c r="K130" s="19">
        <f t="shared" si="14"/>
        <v>0</v>
      </c>
      <c r="L130" s="19">
        <f t="shared" si="15"/>
        <v>0</v>
      </c>
      <c r="M130" s="19">
        <f t="shared" si="16"/>
        <v>0</v>
      </c>
      <c r="N130" s="19">
        <f t="shared" si="17"/>
        <v>8</v>
      </c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>
        <v>1</v>
      </c>
      <c r="EI130" s="19"/>
      <c r="EJ130" s="19">
        <v>1</v>
      </c>
      <c r="EK130" s="19"/>
      <c r="EL130" s="19"/>
      <c r="EM130" s="19">
        <v>1</v>
      </c>
      <c r="EN130" s="19">
        <v>1</v>
      </c>
      <c r="EO130" s="19"/>
      <c r="EP130" s="19">
        <v>1</v>
      </c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>
        <v>1</v>
      </c>
      <c r="FE130" s="19">
        <v>1</v>
      </c>
      <c r="FF130" s="19"/>
      <c r="FG130" s="19">
        <v>1</v>
      </c>
      <c r="FH130" s="19"/>
    </row>
    <row r="131" spans="1:164" x14ac:dyDescent="0.25">
      <c r="A131" s="19" t="s">
        <v>401</v>
      </c>
      <c r="B131" s="19"/>
      <c r="C131" s="24">
        <v>1000</v>
      </c>
      <c r="D131" s="19">
        <v>1000</v>
      </c>
      <c r="E131" s="19" t="s">
        <v>169</v>
      </c>
      <c r="F131" s="37"/>
      <c r="G131" s="21"/>
      <c r="H131" s="21"/>
      <c r="I131" s="19">
        <f t="shared" si="12"/>
        <v>2</v>
      </c>
      <c r="J131" s="19">
        <f t="shared" si="13"/>
        <v>0</v>
      </c>
      <c r="K131" s="19">
        <f t="shared" si="14"/>
        <v>0</v>
      </c>
      <c r="L131" s="19">
        <f t="shared" si="15"/>
        <v>0</v>
      </c>
      <c r="M131" s="19">
        <f t="shared" si="16"/>
        <v>0</v>
      </c>
      <c r="N131" s="19">
        <f t="shared" si="17"/>
        <v>2</v>
      </c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>
        <v>1</v>
      </c>
      <c r="EQ131" s="19"/>
      <c r="ER131" s="19"/>
      <c r="ES131" s="19"/>
      <c r="ET131" s="19"/>
      <c r="EU131" s="19"/>
      <c r="EV131" s="19"/>
      <c r="EW131" s="19"/>
      <c r="EX131" s="19">
        <v>1</v>
      </c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 t="s">
        <v>401</v>
      </c>
      <c r="B132" s="19"/>
      <c r="C132" s="24">
        <v>1000</v>
      </c>
      <c r="D132" s="19">
        <v>800</v>
      </c>
      <c r="E132" s="19" t="s">
        <v>169</v>
      </c>
      <c r="F132" s="37"/>
      <c r="G132" s="21"/>
      <c r="H132" s="21"/>
      <c r="I132" s="19">
        <f t="shared" si="12"/>
        <v>4</v>
      </c>
      <c r="J132" s="19">
        <f t="shared" si="13"/>
        <v>0</v>
      </c>
      <c r="K132" s="19">
        <f t="shared" si="14"/>
        <v>0</v>
      </c>
      <c r="L132" s="19">
        <f t="shared" si="15"/>
        <v>0</v>
      </c>
      <c r="M132" s="19">
        <f t="shared" si="16"/>
        <v>0</v>
      </c>
      <c r="N132" s="19">
        <f t="shared" si="17"/>
        <v>4</v>
      </c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>
        <v>1</v>
      </c>
      <c r="ES132" s="19"/>
      <c r="ET132" s="19">
        <v>1</v>
      </c>
      <c r="EU132" s="19"/>
      <c r="EV132" s="19"/>
      <c r="EW132" s="19"/>
      <c r="EX132" s="19">
        <v>1</v>
      </c>
      <c r="EY132" s="19">
        <v>1</v>
      </c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 t="s">
        <v>401</v>
      </c>
      <c r="B133" s="19"/>
      <c r="C133" s="24">
        <v>800</v>
      </c>
      <c r="D133" s="19">
        <v>1250</v>
      </c>
      <c r="E133" s="19" t="s">
        <v>169</v>
      </c>
      <c r="F133" s="37"/>
      <c r="G133" s="21"/>
      <c r="H133" s="21"/>
      <c r="I133" s="19">
        <f t="shared" si="12"/>
        <v>1</v>
      </c>
      <c r="J133" s="19">
        <f t="shared" ref="J133:J196" si="38">SUM(O133:R133)</f>
        <v>0</v>
      </c>
      <c r="K133" s="19">
        <f t="shared" ref="K133:K196" si="39">SUM(S133:CI133)</f>
        <v>0</v>
      </c>
      <c r="L133" s="19">
        <f t="shared" ref="L133:L196" si="40">SUM(CJ133:CT133)</f>
        <v>0</v>
      </c>
      <c r="M133" s="19">
        <f t="shared" ref="M133:M196" si="41">SUM(CU133:DF133)</f>
        <v>0</v>
      </c>
      <c r="N133" s="19">
        <f t="shared" ref="N133:N196" si="42">SUM(DG133:FH133)</f>
        <v>1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>
        <v>1</v>
      </c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 t="s">
        <v>401</v>
      </c>
      <c r="B134" s="19"/>
      <c r="C134" s="24">
        <v>800</v>
      </c>
      <c r="D134" s="19">
        <v>1000</v>
      </c>
      <c r="E134" s="19" t="s">
        <v>169</v>
      </c>
      <c r="F134" s="37"/>
      <c r="G134" s="21"/>
      <c r="H134" s="21"/>
      <c r="I134" s="19">
        <f t="shared" ref="I134:I197" si="43">SUM(O134:FH134)</f>
        <v>1</v>
      </c>
      <c r="J134" s="19">
        <f t="shared" si="38"/>
        <v>0</v>
      </c>
      <c r="K134" s="19">
        <f t="shared" si="39"/>
        <v>0</v>
      </c>
      <c r="L134" s="19">
        <f t="shared" si="40"/>
        <v>0</v>
      </c>
      <c r="M134" s="19">
        <f t="shared" si="41"/>
        <v>0</v>
      </c>
      <c r="N134" s="19">
        <f t="shared" si="42"/>
        <v>1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>
        <v>1</v>
      </c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</row>
    <row r="135" spans="1:164" x14ac:dyDescent="0.25">
      <c r="A135" s="19" t="s">
        <v>401</v>
      </c>
      <c r="B135" s="19"/>
      <c r="C135" s="24">
        <v>800</v>
      </c>
      <c r="D135" s="19">
        <v>800</v>
      </c>
      <c r="E135" s="19" t="s">
        <v>169</v>
      </c>
      <c r="F135" s="37"/>
      <c r="G135" s="21"/>
      <c r="H135" s="21"/>
      <c r="I135" s="19">
        <f t="shared" si="43"/>
        <v>10</v>
      </c>
      <c r="J135" s="19">
        <f t="shared" si="38"/>
        <v>0</v>
      </c>
      <c r="K135" s="19">
        <f t="shared" si="39"/>
        <v>0</v>
      </c>
      <c r="L135" s="19">
        <f t="shared" si="40"/>
        <v>0</v>
      </c>
      <c r="M135" s="19">
        <f t="shared" si="41"/>
        <v>0</v>
      </c>
      <c r="N135" s="19">
        <f t="shared" si="42"/>
        <v>10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>
        <v>1</v>
      </c>
      <c r="EI135" s="19"/>
      <c r="EJ135" s="19">
        <v>1</v>
      </c>
      <c r="EK135" s="19"/>
      <c r="EL135" s="19"/>
      <c r="EM135" s="19">
        <v>1</v>
      </c>
      <c r="EN135" s="19">
        <v>1</v>
      </c>
      <c r="EO135" s="19"/>
      <c r="EP135" s="19"/>
      <c r="EQ135" s="19"/>
      <c r="ER135" s="19">
        <v>1</v>
      </c>
      <c r="ES135" s="19"/>
      <c r="ET135" s="19">
        <v>1</v>
      </c>
      <c r="EU135" s="19"/>
      <c r="EV135" s="19"/>
      <c r="EW135" s="19">
        <v>1</v>
      </c>
      <c r="EX135" s="19"/>
      <c r="EY135" s="19"/>
      <c r="EZ135" s="19"/>
      <c r="FA135" s="19"/>
      <c r="FB135" s="19"/>
      <c r="FC135" s="19"/>
      <c r="FD135" s="19">
        <v>1</v>
      </c>
      <c r="FE135" s="19">
        <v>1</v>
      </c>
      <c r="FF135" s="19"/>
      <c r="FG135" s="19">
        <v>1</v>
      </c>
      <c r="FH135" s="19"/>
    </row>
    <row r="136" spans="1:164" x14ac:dyDescent="0.25">
      <c r="A136" s="19" t="s">
        <v>401</v>
      </c>
      <c r="B136" s="19"/>
      <c r="C136" s="24">
        <v>630</v>
      </c>
      <c r="D136" s="19">
        <v>1250</v>
      </c>
      <c r="E136" s="19" t="s">
        <v>169</v>
      </c>
      <c r="F136" s="37"/>
      <c r="G136" s="21"/>
      <c r="H136" s="21"/>
      <c r="I136" s="19">
        <f t="shared" si="43"/>
        <v>1</v>
      </c>
      <c r="J136" s="19">
        <f t="shared" si="38"/>
        <v>0</v>
      </c>
      <c r="K136" s="19">
        <f t="shared" si="39"/>
        <v>0</v>
      </c>
      <c r="L136" s="19">
        <f t="shared" si="40"/>
        <v>0</v>
      </c>
      <c r="M136" s="19">
        <f t="shared" si="41"/>
        <v>0</v>
      </c>
      <c r="N136" s="19">
        <f t="shared" si="42"/>
        <v>1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>
        <v>1</v>
      </c>
      <c r="FB136" s="19"/>
      <c r="FC136" s="19"/>
      <c r="FD136" s="19"/>
      <c r="FE136" s="19"/>
      <c r="FF136" s="19"/>
      <c r="FG136" s="19"/>
      <c r="FH136" s="19"/>
    </row>
    <row r="137" spans="1:164" x14ac:dyDescent="0.25">
      <c r="A137" s="19" t="s">
        <v>401</v>
      </c>
      <c r="B137" s="19"/>
      <c r="C137" s="24">
        <v>630</v>
      </c>
      <c r="D137" s="19">
        <v>1000</v>
      </c>
      <c r="E137" s="19" t="s">
        <v>169</v>
      </c>
      <c r="F137" s="38"/>
      <c r="G137" s="21"/>
      <c r="H137" s="21"/>
      <c r="I137" s="19">
        <f t="shared" si="43"/>
        <v>1</v>
      </c>
      <c r="J137" s="19">
        <f t="shared" si="38"/>
        <v>0</v>
      </c>
      <c r="K137" s="19">
        <f t="shared" si="39"/>
        <v>0</v>
      </c>
      <c r="L137" s="19">
        <f t="shared" si="40"/>
        <v>0</v>
      </c>
      <c r="M137" s="19">
        <f t="shared" si="41"/>
        <v>0</v>
      </c>
      <c r="N137" s="19">
        <f t="shared" si="42"/>
        <v>1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>
        <v>1</v>
      </c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 t="s">
        <v>211</v>
      </c>
      <c r="B138" s="19"/>
      <c r="C138" s="24" t="s">
        <v>159</v>
      </c>
      <c r="D138" s="19">
        <v>400</v>
      </c>
      <c r="E138" s="19" t="s">
        <v>169</v>
      </c>
      <c r="F138" s="36" t="s">
        <v>212</v>
      </c>
      <c r="G138" s="21"/>
      <c r="H138" s="21"/>
      <c r="I138" s="19">
        <f t="shared" si="43"/>
        <v>1</v>
      </c>
      <c r="J138" s="19">
        <f t="shared" si="38"/>
        <v>0</v>
      </c>
      <c r="K138" s="19">
        <f t="shared" si="39"/>
        <v>0</v>
      </c>
      <c r="L138" s="19">
        <f t="shared" si="40"/>
        <v>0</v>
      </c>
      <c r="M138" s="19">
        <f t="shared" si="41"/>
        <v>1</v>
      </c>
      <c r="N138" s="19">
        <f t="shared" si="42"/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>
        <v>1</v>
      </c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 t="s">
        <v>211</v>
      </c>
      <c r="B139" s="19"/>
      <c r="C139" s="19">
        <v>250</v>
      </c>
      <c r="D139" s="19">
        <v>200</v>
      </c>
      <c r="E139" s="19" t="s">
        <v>169</v>
      </c>
      <c r="F139" s="38"/>
      <c r="G139" s="21"/>
      <c r="H139" s="21"/>
      <c r="I139" s="19">
        <f t="shared" si="43"/>
        <v>4</v>
      </c>
      <c r="J139" s="19">
        <f t="shared" si="38"/>
        <v>4</v>
      </c>
      <c r="K139" s="19">
        <f t="shared" si="39"/>
        <v>0</v>
      </c>
      <c r="L139" s="19">
        <f t="shared" si="40"/>
        <v>0</v>
      </c>
      <c r="M139" s="19">
        <f t="shared" si="41"/>
        <v>0</v>
      </c>
      <c r="N139" s="19">
        <f t="shared" si="42"/>
        <v>0</v>
      </c>
      <c r="O139" s="19">
        <v>2</v>
      </c>
      <c r="P139" s="19">
        <v>2</v>
      </c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 t="s">
        <v>213</v>
      </c>
      <c r="B140" s="19"/>
      <c r="C140" s="19">
        <v>1250</v>
      </c>
      <c r="D140" s="19">
        <v>1000</v>
      </c>
      <c r="E140" s="19" t="s">
        <v>169</v>
      </c>
      <c r="F140" s="36" t="s">
        <v>214</v>
      </c>
      <c r="G140" s="21"/>
      <c r="H140" s="21"/>
      <c r="I140" s="19">
        <f t="shared" si="43"/>
        <v>1</v>
      </c>
      <c r="J140" s="19">
        <f t="shared" si="38"/>
        <v>0</v>
      </c>
      <c r="K140" s="19">
        <f t="shared" si="39"/>
        <v>0</v>
      </c>
      <c r="L140" s="19">
        <f t="shared" si="40"/>
        <v>0</v>
      </c>
      <c r="M140" s="19">
        <f t="shared" si="41"/>
        <v>0</v>
      </c>
      <c r="N140" s="19">
        <f t="shared" si="42"/>
        <v>1</v>
      </c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>
        <v>1</v>
      </c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 t="s">
        <v>213</v>
      </c>
      <c r="B141" s="19"/>
      <c r="C141" s="19">
        <v>1250</v>
      </c>
      <c r="D141" s="19">
        <v>630</v>
      </c>
      <c r="E141" s="19" t="s">
        <v>169</v>
      </c>
      <c r="F141" s="37"/>
      <c r="G141" s="21"/>
      <c r="H141" s="21"/>
      <c r="I141" s="19">
        <f t="shared" si="43"/>
        <v>8</v>
      </c>
      <c r="J141" s="19">
        <f t="shared" si="38"/>
        <v>0</v>
      </c>
      <c r="K141" s="19">
        <f t="shared" si="39"/>
        <v>0</v>
      </c>
      <c r="L141" s="19">
        <f t="shared" si="40"/>
        <v>0</v>
      </c>
      <c r="M141" s="19">
        <f t="shared" si="41"/>
        <v>0</v>
      </c>
      <c r="N141" s="19">
        <f t="shared" si="42"/>
        <v>8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>
        <v>1</v>
      </c>
      <c r="DP141" s="19">
        <v>1</v>
      </c>
      <c r="DQ141" s="19"/>
      <c r="DR141" s="19">
        <v>1</v>
      </c>
      <c r="DS141" s="19">
        <v>1</v>
      </c>
      <c r="DT141" s="19"/>
      <c r="DU141" s="19"/>
      <c r="DV141" s="19"/>
      <c r="DW141" s="19"/>
      <c r="DX141" s="19"/>
      <c r="DY141" s="19">
        <v>1</v>
      </c>
      <c r="DZ141" s="19">
        <v>1</v>
      </c>
      <c r="EA141" s="19">
        <v>1</v>
      </c>
      <c r="EB141" s="19"/>
      <c r="EC141" s="19"/>
      <c r="ED141" s="19">
        <v>1</v>
      </c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 t="s">
        <v>213</v>
      </c>
      <c r="B142" s="19"/>
      <c r="C142" s="19">
        <v>1100</v>
      </c>
      <c r="D142" s="19">
        <v>1100</v>
      </c>
      <c r="E142" s="19" t="s">
        <v>169</v>
      </c>
      <c r="F142" s="37"/>
      <c r="G142" s="21"/>
      <c r="H142" s="21"/>
      <c r="I142" s="19">
        <f t="shared" si="43"/>
        <v>8</v>
      </c>
      <c r="J142" s="19">
        <f t="shared" si="38"/>
        <v>0</v>
      </c>
      <c r="K142" s="19">
        <f t="shared" si="39"/>
        <v>8</v>
      </c>
      <c r="L142" s="19">
        <f t="shared" si="40"/>
        <v>0</v>
      </c>
      <c r="M142" s="19">
        <f t="shared" si="41"/>
        <v>0</v>
      </c>
      <c r="N142" s="19">
        <f t="shared" si="42"/>
        <v>0</v>
      </c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>
        <v>1</v>
      </c>
      <c r="AG142" s="19"/>
      <c r="AH142" s="19"/>
      <c r="AI142" s="19">
        <v>1</v>
      </c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>
        <v>1</v>
      </c>
      <c r="AV142" s="19"/>
      <c r="AW142" s="19"/>
      <c r="AX142" s="19">
        <v>1</v>
      </c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>
        <v>1</v>
      </c>
      <c r="BP142" s="19"/>
      <c r="BQ142" s="19"/>
      <c r="BR142" s="19">
        <v>1</v>
      </c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>
        <v>1</v>
      </c>
      <c r="CE142" s="19"/>
      <c r="CF142" s="19"/>
      <c r="CG142" s="19">
        <v>1</v>
      </c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 t="s">
        <v>213</v>
      </c>
      <c r="B143" s="19"/>
      <c r="C143" s="19">
        <v>1100</v>
      </c>
      <c r="D143" s="19">
        <v>800</v>
      </c>
      <c r="E143" s="19" t="s">
        <v>169</v>
      </c>
      <c r="F143" s="37"/>
      <c r="G143" s="21"/>
      <c r="H143" s="21"/>
      <c r="I143" s="19">
        <f t="shared" si="43"/>
        <v>8</v>
      </c>
      <c r="J143" s="19">
        <f t="shared" si="38"/>
        <v>0</v>
      </c>
      <c r="K143" s="19">
        <f t="shared" si="39"/>
        <v>8</v>
      </c>
      <c r="L143" s="19">
        <f t="shared" si="40"/>
        <v>0</v>
      </c>
      <c r="M143" s="19">
        <f t="shared" si="41"/>
        <v>0</v>
      </c>
      <c r="N143" s="19">
        <f t="shared" si="42"/>
        <v>0</v>
      </c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>
        <v>1</v>
      </c>
      <c r="AH143" s="19"/>
      <c r="AI143" s="19"/>
      <c r="AJ143" s="19">
        <v>1</v>
      </c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>
        <v>1</v>
      </c>
      <c r="AW143" s="19"/>
      <c r="AX143" s="19"/>
      <c r="AY143" s="19">
        <v>1</v>
      </c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>
        <v>1</v>
      </c>
      <c r="BQ143" s="19"/>
      <c r="BR143" s="19"/>
      <c r="BS143" s="19">
        <v>1</v>
      </c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>
        <v>1</v>
      </c>
      <c r="CF143" s="19"/>
      <c r="CG143" s="19"/>
      <c r="CH143" s="19">
        <v>1</v>
      </c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 t="s">
        <v>213</v>
      </c>
      <c r="B144" s="19"/>
      <c r="C144" s="19">
        <v>1000</v>
      </c>
      <c r="D144" s="19">
        <v>800</v>
      </c>
      <c r="E144" s="19" t="s">
        <v>169</v>
      </c>
      <c r="F144" s="37"/>
      <c r="G144" s="21"/>
      <c r="H144" s="21"/>
      <c r="I144" s="19">
        <f t="shared" si="43"/>
        <v>1</v>
      </c>
      <c r="J144" s="19">
        <f t="shared" si="38"/>
        <v>0</v>
      </c>
      <c r="K144" s="19">
        <f t="shared" si="39"/>
        <v>0</v>
      </c>
      <c r="L144" s="19">
        <f t="shared" si="40"/>
        <v>0</v>
      </c>
      <c r="M144" s="19">
        <f t="shared" si="41"/>
        <v>0</v>
      </c>
      <c r="N144" s="19">
        <f t="shared" si="42"/>
        <v>1</v>
      </c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>
        <v>1</v>
      </c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 t="s">
        <v>213</v>
      </c>
      <c r="B145" s="19"/>
      <c r="C145" s="19">
        <v>1000</v>
      </c>
      <c r="D145" s="19">
        <v>630</v>
      </c>
      <c r="E145" s="19" t="s">
        <v>169</v>
      </c>
      <c r="F145" s="37"/>
      <c r="G145" s="21"/>
      <c r="H145" s="21"/>
      <c r="I145" s="19">
        <f t="shared" si="43"/>
        <v>2</v>
      </c>
      <c r="J145" s="19">
        <f t="shared" si="38"/>
        <v>0</v>
      </c>
      <c r="K145" s="19">
        <f t="shared" si="39"/>
        <v>0</v>
      </c>
      <c r="L145" s="19">
        <f t="shared" si="40"/>
        <v>0</v>
      </c>
      <c r="M145" s="19">
        <f t="shared" si="41"/>
        <v>0</v>
      </c>
      <c r="N145" s="19">
        <f t="shared" si="42"/>
        <v>2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>
        <v>1</v>
      </c>
      <c r="DI145" s="19"/>
      <c r="DJ145" s="19"/>
      <c r="DK145" s="19"/>
      <c r="DL145" s="19">
        <v>1</v>
      </c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 t="s">
        <v>213</v>
      </c>
      <c r="B146" s="19"/>
      <c r="C146" s="19">
        <v>800</v>
      </c>
      <c r="D146" s="19">
        <v>1100</v>
      </c>
      <c r="E146" s="19" t="s">
        <v>169</v>
      </c>
      <c r="F146" s="37"/>
      <c r="G146" s="21"/>
      <c r="H146" s="21"/>
      <c r="I146" s="19">
        <f t="shared" si="43"/>
        <v>8</v>
      </c>
      <c r="J146" s="19">
        <f t="shared" si="38"/>
        <v>0</v>
      </c>
      <c r="K146" s="19">
        <f t="shared" si="39"/>
        <v>8</v>
      </c>
      <c r="L146" s="19">
        <f t="shared" si="40"/>
        <v>0</v>
      </c>
      <c r="M146" s="19">
        <f t="shared" si="41"/>
        <v>0</v>
      </c>
      <c r="N146" s="19">
        <f t="shared" si="42"/>
        <v>0</v>
      </c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>
        <v>1</v>
      </c>
      <c r="AI146" s="19"/>
      <c r="AJ146" s="19"/>
      <c r="AK146" s="19">
        <v>1</v>
      </c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>
        <v>1</v>
      </c>
      <c r="AX146" s="19"/>
      <c r="AY146" s="19"/>
      <c r="AZ146" s="19">
        <v>1</v>
      </c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>
        <v>1</v>
      </c>
      <c r="BR146" s="19"/>
      <c r="BS146" s="19"/>
      <c r="BT146" s="19">
        <v>1</v>
      </c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>
        <v>1</v>
      </c>
      <c r="CG146" s="19"/>
      <c r="CH146" s="19"/>
      <c r="CI146" s="19">
        <v>1</v>
      </c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 t="s">
        <v>213</v>
      </c>
      <c r="B147" s="19"/>
      <c r="C147" s="19">
        <v>800</v>
      </c>
      <c r="D147" s="19">
        <v>1000</v>
      </c>
      <c r="E147" s="19" t="s">
        <v>169</v>
      </c>
      <c r="F147" s="37"/>
      <c r="G147" s="21"/>
      <c r="H147" s="21"/>
      <c r="I147" s="19">
        <f t="shared" si="43"/>
        <v>1</v>
      </c>
      <c r="J147" s="19">
        <f t="shared" si="38"/>
        <v>0</v>
      </c>
      <c r="K147" s="19">
        <f t="shared" si="39"/>
        <v>0</v>
      </c>
      <c r="L147" s="19">
        <f t="shared" si="40"/>
        <v>0</v>
      </c>
      <c r="M147" s="19">
        <f t="shared" si="41"/>
        <v>0</v>
      </c>
      <c r="N147" s="19">
        <f t="shared" si="42"/>
        <v>1</v>
      </c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>
        <v>1</v>
      </c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 t="s">
        <v>213</v>
      </c>
      <c r="B148" s="19"/>
      <c r="C148" s="19">
        <v>800</v>
      </c>
      <c r="D148" s="19">
        <v>800</v>
      </c>
      <c r="E148" s="19" t="s">
        <v>169</v>
      </c>
      <c r="F148" s="37"/>
      <c r="G148" s="21"/>
      <c r="H148" s="21"/>
      <c r="I148" s="19">
        <f t="shared" si="43"/>
        <v>23</v>
      </c>
      <c r="J148" s="19">
        <f t="shared" si="38"/>
        <v>0</v>
      </c>
      <c r="K148" s="19">
        <f t="shared" si="39"/>
        <v>12</v>
      </c>
      <c r="L148" s="19">
        <f t="shared" si="40"/>
        <v>0</v>
      </c>
      <c r="M148" s="19">
        <f t="shared" si="41"/>
        <v>0</v>
      </c>
      <c r="N148" s="19">
        <f t="shared" si="42"/>
        <v>11</v>
      </c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>
        <v>1</v>
      </c>
      <c r="AG148" s="19">
        <v>1</v>
      </c>
      <c r="AH148" s="19"/>
      <c r="AI148" s="19">
        <v>1</v>
      </c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>
        <v>1</v>
      </c>
      <c r="AV148" s="19">
        <v>1</v>
      </c>
      <c r="AW148" s="19"/>
      <c r="AX148" s="19">
        <v>1</v>
      </c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>
        <v>1</v>
      </c>
      <c r="BP148" s="19">
        <v>1</v>
      </c>
      <c r="BQ148" s="19"/>
      <c r="BR148" s="19">
        <v>1</v>
      </c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>
        <v>1</v>
      </c>
      <c r="CE148" s="19">
        <v>1</v>
      </c>
      <c r="CF148" s="19"/>
      <c r="CG148" s="19">
        <v>1</v>
      </c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>
        <v>1</v>
      </c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>
        <v>1</v>
      </c>
      <c r="EJ148" s="19"/>
      <c r="EK148" s="19">
        <v>1</v>
      </c>
      <c r="EL148" s="19">
        <v>1</v>
      </c>
      <c r="EM148" s="19"/>
      <c r="EN148" s="19"/>
      <c r="EO148" s="19">
        <v>1</v>
      </c>
      <c r="EP148" s="19"/>
      <c r="EQ148" s="19">
        <v>1</v>
      </c>
      <c r="ER148" s="19"/>
      <c r="ES148" s="19">
        <v>1</v>
      </c>
      <c r="ET148" s="19"/>
      <c r="EU148" s="19">
        <v>1</v>
      </c>
      <c r="EV148" s="19">
        <v>1</v>
      </c>
      <c r="EW148" s="19"/>
      <c r="EX148" s="19"/>
      <c r="EY148" s="19"/>
      <c r="EZ148" s="19"/>
      <c r="FA148" s="19"/>
      <c r="FB148" s="19"/>
      <c r="FC148" s="19">
        <v>1</v>
      </c>
      <c r="FD148" s="19"/>
      <c r="FE148" s="19"/>
      <c r="FF148" s="19"/>
      <c r="FG148" s="19"/>
      <c r="FH148" s="19">
        <v>1</v>
      </c>
    </row>
    <row r="149" spans="1:164" x14ac:dyDescent="0.25">
      <c r="A149" s="19" t="s">
        <v>213</v>
      </c>
      <c r="B149" s="19"/>
      <c r="C149" s="19">
        <v>800</v>
      </c>
      <c r="D149" s="19">
        <v>630</v>
      </c>
      <c r="E149" s="19" t="s">
        <v>169</v>
      </c>
      <c r="F149" s="37"/>
      <c r="G149" s="21"/>
      <c r="H149" s="21"/>
      <c r="I149" s="19">
        <f t="shared" si="43"/>
        <v>10</v>
      </c>
      <c r="J149" s="19">
        <f t="shared" si="38"/>
        <v>0</v>
      </c>
      <c r="K149" s="19">
        <f t="shared" si="39"/>
        <v>0</v>
      </c>
      <c r="L149" s="19">
        <f t="shared" si="40"/>
        <v>0</v>
      </c>
      <c r="M149" s="19">
        <f t="shared" si="41"/>
        <v>0</v>
      </c>
      <c r="N149" s="19">
        <f t="shared" si="42"/>
        <v>10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>
        <v>1</v>
      </c>
      <c r="EJ149" s="19"/>
      <c r="EK149" s="19">
        <v>1</v>
      </c>
      <c r="EL149" s="19">
        <v>1</v>
      </c>
      <c r="EM149" s="19"/>
      <c r="EN149" s="19"/>
      <c r="EO149" s="19">
        <v>1</v>
      </c>
      <c r="EP149" s="19"/>
      <c r="EQ149" s="19">
        <v>1</v>
      </c>
      <c r="ER149" s="19"/>
      <c r="ES149" s="19">
        <v>1</v>
      </c>
      <c r="ET149" s="19"/>
      <c r="EU149" s="19">
        <v>1</v>
      </c>
      <c r="EV149" s="19"/>
      <c r="EW149" s="19"/>
      <c r="EX149" s="19"/>
      <c r="EY149" s="19"/>
      <c r="EZ149" s="19"/>
      <c r="FA149" s="19"/>
      <c r="FB149" s="19">
        <v>1</v>
      </c>
      <c r="FC149" s="19">
        <v>1</v>
      </c>
      <c r="FD149" s="19"/>
      <c r="FE149" s="19"/>
      <c r="FF149" s="19"/>
      <c r="FG149" s="19"/>
      <c r="FH149" s="19">
        <v>1</v>
      </c>
    </row>
    <row r="150" spans="1:164" x14ac:dyDescent="0.25">
      <c r="A150" s="19" t="s">
        <v>213</v>
      </c>
      <c r="B150" s="19"/>
      <c r="C150" s="19">
        <v>800</v>
      </c>
      <c r="D150" s="19">
        <v>400</v>
      </c>
      <c r="E150" s="19" t="s">
        <v>169</v>
      </c>
      <c r="F150" s="37"/>
      <c r="G150" s="21"/>
      <c r="H150" s="21"/>
      <c r="I150" s="19">
        <f t="shared" si="43"/>
        <v>3</v>
      </c>
      <c r="J150" s="19">
        <f t="shared" si="38"/>
        <v>0</v>
      </c>
      <c r="K150" s="19">
        <f t="shared" si="39"/>
        <v>3</v>
      </c>
      <c r="L150" s="19">
        <f t="shared" si="40"/>
        <v>0</v>
      </c>
      <c r="M150" s="19">
        <f t="shared" si="41"/>
        <v>0</v>
      </c>
      <c r="N150" s="19">
        <f t="shared" si="42"/>
        <v>0</v>
      </c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>
        <v>3</v>
      </c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 t="s">
        <v>213</v>
      </c>
      <c r="B151" s="19"/>
      <c r="C151" s="19">
        <v>700</v>
      </c>
      <c r="D151" s="19">
        <v>800</v>
      </c>
      <c r="E151" s="19" t="s">
        <v>169</v>
      </c>
      <c r="F151" s="37"/>
      <c r="G151" s="21"/>
      <c r="H151" s="21"/>
      <c r="I151" s="19">
        <f t="shared" si="43"/>
        <v>1</v>
      </c>
      <c r="J151" s="19">
        <f t="shared" si="38"/>
        <v>1</v>
      </c>
      <c r="K151" s="19">
        <f t="shared" si="39"/>
        <v>0</v>
      </c>
      <c r="L151" s="19">
        <f t="shared" si="40"/>
        <v>0</v>
      </c>
      <c r="M151" s="19">
        <f t="shared" si="41"/>
        <v>0</v>
      </c>
      <c r="N151" s="19">
        <f t="shared" si="42"/>
        <v>0</v>
      </c>
      <c r="O151" s="19"/>
      <c r="P151" s="19"/>
      <c r="Q151" s="19"/>
      <c r="R151" s="19">
        <v>1</v>
      </c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 t="s">
        <v>213</v>
      </c>
      <c r="B152" s="19"/>
      <c r="C152" s="19">
        <v>700</v>
      </c>
      <c r="D152" s="19">
        <v>400</v>
      </c>
      <c r="E152" s="19" t="s">
        <v>169</v>
      </c>
      <c r="F152" s="37"/>
      <c r="G152" s="21"/>
      <c r="H152" s="21"/>
      <c r="I152" s="19">
        <f t="shared" si="43"/>
        <v>1</v>
      </c>
      <c r="J152" s="19">
        <f t="shared" si="38"/>
        <v>0</v>
      </c>
      <c r="K152" s="19">
        <f t="shared" si="39"/>
        <v>0</v>
      </c>
      <c r="L152" s="19">
        <f t="shared" si="40"/>
        <v>0</v>
      </c>
      <c r="M152" s="19">
        <f t="shared" si="41"/>
        <v>1</v>
      </c>
      <c r="N152" s="19">
        <f t="shared" si="42"/>
        <v>0</v>
      </c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>
        <v>1</v>
      </c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 t="s">
        <v>213</v>
      </c>
      <c r="B153" s="19"/>
      <c r="C153" s="19">
        <v>630</v>
      </c>
      <c r="D153" s="19">
        <v>1250</v>
      </c>
      <c r="E153" s="19" t="s">
        <v>169</v>
      </c>
      <c r="F153" s="37"/>
      <c r="G153" s="21"/>
      <c r="H153" s="21"/>
      <c r="I153" s="19">
        <f t="shared" si="43"/>
        <v>4</v>
      </c>
      <c r="J153" s="19">
        <f t="shared" si="38"/>
        <v>0</v>
      </c>
      <c r="K153" s="19">
        <f t="shared" si="39"/>
        <v>0</v>
      </c>
      <c r="L153" s="19">
        <f t="shared" si="40"/>
        <v>0</v>
      </c>
      <c r="M153" s="19">
        <f t="shared" si="41"/>
        <v>0</v>
      </c>
      <c r="N153" s="19">
        <f t="shared" si="42"/>
        <v>4</v>
      </c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>
        <v>1</v>
      </c>
      <c r="DU153" s="19"/>
      <c r="DV153" s="19"/>
      <c r="DW153" s="19"/>
      <c r="DX153" s="25">
        <v>1</v>
      </c>
      <c r="DY153" s="19"/>
      <c r="DZ153" s="19"/>
      <c r="EA153" s="19"/>
      <c r="EB153" s="19">
        <v>1</v>
      </c>
      <c r="EC153" s="19"/>
      <c r="ED153" s="19"/>
      <c r="EE153" s="19">
        <v>1</v>
      </c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 t="s">
        <v>213</v>
      </c>
      <c r="B154" s="19"/>
      <c r="C154" s="19">
        <v>630</v>
      </c>
      <c r="D154" s="19">
        <v>1000</v>
      </c>
      <c r="E154" s="19" t="s">
        <v>169</v>
      </c>
      <c r="F154" s="37"/>
      <c r="G154" s="21"/>
      <c r="H154" s="21"/>
      <c r="I154" s="19">
        <f t="shared" si="43"/>
        <v>1</v>
      </c>
      <c r="J154" s="19">
        <f t="shared" si="38"/>
        <v>0</v>
      </c>
      <c r="K154" s="19">
        <f t="shared" si="39"/>
        <v>0</v>
      </c>
      <c r="L154" s="19">
        <f t="shared" si="40"/>
        <v>0</v>
      </c>
      <c r="M154" s="19">
        <f t="shared" si="41"/>
        <v>0</v>
      </c>
      <c r="N154" s="19">
        <f t="shared" si="42"/>
        <v>1</v>
      </c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>
        <v>1</v>
      </c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 t="s">
        <v>213</v>
      </c>
      <c r="B155" s="19"/>
      <c r="C155" s="19">
        <v>630</v>
      </c>
      <c r="D155" s="19">
        <v>800</v>
      </c>
      <c r="E155" s="19" t="s">
        <v>169</v>
      </c>
      <c r="F155" s="37"/>
      <c r="G155" s="21"/>
      <c r="H155" s="21"/>
      <c r="I155" s="19">
        <f t="shared" si="43"/>
        <v>17</v>
      </c>
      <c r="J155" s="19">
        <f t="shared" si="38"/>
        <v>0</v>
      </c>
      <c r="K155" s="19">
        <f t="shared" si="39"/>
        <v>16</v>
      </c>
      <c r="L155" s="19">
        <f t="shared" si="40"/>
        <v>0</v>
      </c>
      <c r="M155" s="19">
        <f t="shared" si="41"/>
        <v>0</v>
      </c>
      <c r="N155" s="19">
        <f t="shared" si="42"/>
        <v>1</v>
      </c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>
        <v>1</v>
      </c>
      <c r="AG155" s="19"/>
      <c r="AH155" s="19">
        <v>1</v>
      </c>
      <c r="AI155" s="19">
        <v>1</v>
      </c>
      <c r="AJ155" s="19"/>
      <c r="AK155" s="19">
        <v>1</v>
      </c>
      <c r="AL155" s="19"/>
      <c r="AM155" s="19"/>
      <c r="AN155" s="19"/>
      <c r="AO155" s="19"/>
      <c r="AP155" s="19"/>
      <c r="AQ155" s="19"/>
      <c r="AR155" s="19"/>
      <c r="AS155" s="19"/>
      <c r="AT155" s="19"/>
      <c r="AU155" s="19">
        <v>1</v>
      </c>
      <c r="AV155" s="19"/>
      <c r="AW155" s="19">
        <v>1</v>
      </c>
      <c r="AX155" s="19">
        <v>1</v>
      </c>
      <c r="AY155" s="19"/>
      <c r="AZ155" s="19">
        <v>1</v>
      </c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>
        <v>1</v>
      </c>
      <c r="BP155" s="19"/>
      <c r="BQ155" s="19">
        <v>1</v>
      </c>
      <c r="BR155" s="19">
        <v>1</v>
      </c>
      <c r="BS155" s="19"/>
      <c r="BT155" s="19">
        <v>1</v>
      </c>
      <c r="BU155" s="19"/>
      <c r="BV155" s="19"/>
      <c r="BW155" s="19"/>
      <c r="BX155" s="19"/>
      <c r="BY155" s="19"/>
      <c r="BZ155" s="19"/>
      <c r="CA155" s="19"/>
      <c r="CB155" s="19"/>
      <c r="CC155" s="19"/>
      <c r="CD155" s="19">
        <v>1</v>
      </c>
      <c r="CE155" s="19"/>
      <c r="CF155" s="19">
        <v>1</v>
      </c>
      <c r="CG155" s="19">
        <v>1</v>
      </c>
      <c r="CH155" s="19"/>
      <c r="CI155" s="19">
        <v>1</v>
      </c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>
        <v>1</v>
      </c>
      <c r="FG155" s="19"/>
      <c r="FH155" s="19"/>
    </row>
    <row r="156" spans="1:164" x14ac:dyDescent="0.25">
      <c r="A156" s="19" t="s">
        <v>213</v>
      </c>
      <c r="B156" s="19"/>
      <c r="C156" s="19">
        <v>630</v>
      </c>
      <c r="D156" s="19">
        <v>630</v>
      </c>
      <c r="E156" s="19" t="s">
        <v>169</v>
      </c>
      <c r="F156" s="37"/>
      <c r="G156" s="21"/>
      <c r="H156" s="21"/>
      <c r="I156" s="19">
        <f t="shared" si="43"/>
        <v>4</v>
      </c>
      <c r="J156" s="19">
        <f t="shared" si="38"/>
        <v>0</v>
      </c>
      <c r="K156" s="19">
        <f t="shared" si="39"/>
        <v>0</v>
      </c>
      <c r="L156" s="19">
        <f t="shared" si="40"/>
        <v>4</v>
      </c>
      <c r="M156" s="19">
        <f t="shared" si="41"/>
        <v>0</v>
      </c>
      <c r="N156" s="19">
        <f t="shared" si="42"/>
        <v>0</v>
      </c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>
        <v>1</v>
      </c>
      <c r="CR156" s="19">
        <v>1</v>
      </c>
      <c r="CS156" s="19">
        <v>1</v>
      </c>
      <c r="CT156" s="19">
        <v>1</v>
      </c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 t="s">
        <v>213</v>
      </c>
      <c r="B157" s="19"/>
      <c r="C157" s="19">
        <v>630</v>
      </c>
      <c r="D157" s="19">
        <v>500</v>
      </c>
      <c r="E157" s="19" t="s">
        <v>169</v>
      </c>
      <c r="F157" s="37"/>
      <c r="G157" s="21"/>
      <c r="H157" s="21"/>
      <c r="I157" s="19">
        <f t="shared" si="43"/>
        <v>3</v>
      </c>
      <c r="J157" s="19">
        <f t="shared" si="38"/>
        <v>0</v>
      </c>
      <c r="K157" s="19">
        <f t="shared" si="39"/>
        <v>0</v>
      </c>
      <c r="L157" s="19">
        <f t="shared" si="40"/>
        <v>0</v>
      </c>
      <c r="M157" s="19">
        <f t="shared" si="41"/>
        <v>0</v>
      </c>
      <c r="N157" s="19">
        <f t="shared" si="42"/>
        <v>3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>
        <v>1</v>
      </c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>
        <v>1</v>
      </c>
      <c r="EG157" s="19">
        <v>1</v>
      </c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 t="s">
        <v>213</v>
      </c>
      <c r="B158" s="19"/>
      <c r="C158" s="19">
        <v>600</v>
      </c>
      <c r="D158" s="19">
        <v>800</v>
      </c>
      <c r="E158" s="19" t="s">
        <v>169</v>
      </c>
      <c r="F158" s="37"/>
      <c r="G158" s="21"/>
      <c r="H158" s="21"/>
      <c r="I158" s="19">
        <f t="shared" si="43"/>
        <v>1</v>
      </c>
      <c r="J158" s="19">
        <f t="shared" si="38"/>
        <v>1</v>
      </c>
      <c r="K158" s="19">
        <f t="shared" si="39"/>
        <v>0</v>
      </c>
      <c r="L158" s="19">
        <f t="shared" si="40"/>
        <v>0</v>
      </c>
      <c r="M158" s="19">
        <f t="shared" si="41"/>
        <v>0</v>
      </c>
      <c r="N158" s="19">
        <f t="shared" si="42"/>
        <v>0</v>
      </c>
      <c r="O158" s="19"/>
      <c r="P158" s="19"/>
      <c r="Q158" s="19">
        <v>1</v>
      </c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 t="s">
        <v>213</v>
      </c>
      <c r="B159" s="19"/>
      <c r="C159" s="19">
        <v>500</v>
      </c>
      <c r="D159" s="19">
        <v>1000</v>
      </c>
      <c r="E159" s="19" t="s">
        <v>169</v>
      </c>
      <c r="F159" s="37"/>
      <c r="G159" s="21"/>
      <c r="H159" s="21"/>
      <c r="I159" s="19">
        <f t="shared" si="43"/>
        <v>5</v>
      </c>
      <c r="J159" s="19">
        <f t="shared" si="38"/>
        <v>0</v>
      </c>
      <c r="K159" s="19">
        <f t="shared" si="39"/>
        <v>0</v>
      </c>
      <c r="L159" s="19">
        <f t="shared" si="40"/>
        <v>0</v>
      </c>
      <c r="M159" s="19">
        <f t="shared" si="41"/>
        <v>4</v>
      </c>
      <c r="N159" s="19">
        <f t="shared" si="42"/>
        <v>1</v>
      </c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>
        <v>1</v>
      </c>
      <c r="DC159" s="19">
        <v>1</v>
      </c>
      <c r="DD159" s="19">
        <v>1</v>
      </c>
      <c r="DE159" s="19">
        <v>1</v>
      </c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>
        <v>1</v>
      </c>
      <c r="FC159" s="19"/>
      <c r="FD159" s="19"/>
      <c r="FE159" s="19"/>
      <c r="FF159" s="19"/>
      <c r="FG159" s="19"/>
      <c r="FH159" s="19"/>
    </row>
    <row r="160" spans="1:164" x14ac:dyDescent="0.25">
      <c r="A160" s="19" t="s">
        <v>213</v>
      </c>
      <c r="B160" s="19"/>
      <c r="C160" s="19">
        <v>500</v>
      </c>
      <c r="D160" s="19">
        <v>800</v>
      </c>
      <c r="E160" s="19" t="s">
        <v>169</v>
      </c>
      <c r="F160" s="37"/>
      <c r="G160" s="21"/>
      <c r="H160" s="21"/>
      <c r="I160" s="19">
        <f t="shared" si="43"/>
        <v>4</v>
      </c>
      <c r="J160" s="19">
        <f t="shared" si="38"/>
        <v>0</v>
      </c>
      <c r="K160" s="19">
        <f t="shared" si="39"/>
        <v>4</v>
      </c>
      <c r="L160" s="19">
        <f t="shared" si="40"/>
        <v>0</v>
      </c>
      <c r="M160" s="19">
        <f t="shared" si="41"/>
        <v>0</v>
      </c>
      <c r="N160" s="19">
        <f t="shared" si="42"/>
        <v>0</v>
      </c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>
        <v>1</v>
      </c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>
        <v>1</v>
      </c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>
        <v>1</v>
      </c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>
        <v>1</v>
      </c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 t="s">
        <v>213</v>
      </c>
      <c r="B161" s="19"/>
      <c r="C161" s="19">
        <v>500</v>
      </c>
      <c r="D161" s="19">
        <v>630</v>
      </c>
      <c r="E161" s="19" t="s">
        <v>169</v>
      </c>
      <c r="F161" s="37"/>
      <c r="G161" s="21"/>
      <c r="H161" s="21"/>
      <c r="I161" s="19">
        <f t="shared" si="43"/>
        <v>10</v>
      </c>
      <c r="J161" s="19">
        <f t="shared" si="38"/>
        <v>0</v>
      </c>
      <c r="K161" s="19">
        <f t="shared" si="39"/>
        <v>8</v>
      </c>
      <c r="L161" s="19">
        <f t="shared" si="40"/>
        <v>0</v>
      </c>
      <c r="M161" s="19">
        <f t="shared" si="41"/>
        <v>0</v>
      </c>
      <c r="N161" s="19">
        <f t="shared" si="42"/>
        <v>2</v>
      </c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>
        <v>1</v>
      </c>
      <c r="AF161" s="19"/>
      <c r="AG161" s="19"/>
      <c r="AH161" s="19"/>
      <c r="AI161" s="19"/>
      <c r="AJ161" s="19">
        <v>1</v>
      </c>
      <c r="AK161" s="19"/>
      <c r="AL161" s="19"/>
      <c r="AM161" s="19"/>
      <c r="AN161" s="19"/>
      <c r="AO161" s="19"/>
      <c r="AP161" s="19"/>
      <c r="AQ161" s="19"/>
      <c r="AR161" s="19"/>
      <c r="AS161" s="19"/>
      <c r="AT161" s="19">
        <v>1</v>
      </c>
      <c r="AU161" s="19"/>
      <c r="AV161" s="19"/>
      <c r="AW161" s="19"/>
      <c r="AX161" s="19"/>
      <c r="AY161" s="19">
        <v>1</v>
      </c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>
        <v>1</v>
      </c>
      <c r="BO161" s="19"/>
      <c r="BP161" s="19"/>
      <c r="BQ161" s="19"/>
      <c r="BR161" s="19"/>
      <c r="BS161" s="19">
        <v>1</v>
      </c>
      <c r="BT161" s="19"/>
      <c r="BU161" s="19"/>
      <c r="BV161" s="19"/>
      <c r="BW161" s="19"/>
      <c r="BX161" s="19"/>
      <c r="BY161" s="19"/>
      <c r="BZ161" s="19"/>
      <c r="CA161" s="19"/>
      <c r="CB161" s="19"/>
      <c r="CC161" s="19">
        <v>1</v>
      </c>
      <c r="CD161" s="19"/>
      <c r="CE161" s="19"/>
      <c r="CF161" s="19"/>
      <c r="CG161" s="19"/>
      <c r="CH161" s="19">
        <v>1</v>
      </c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>
        <v>1</v>
      </c>
      <c r="DJ161" s="19"/>
      <c r="DK161" s="19">
        <v>1</v>
      </c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 t="s">
        <v>213</v>
      </c>
      <c r="B162" s="19"/>
      <c r="C162" s="19">
        <v>400</v>
      </c>
      <c r="D162" s="19">
        <v>400</v>
      </c>
      <c r="E162" s="19" t="s">
        <v>169</v>
      </c>
      <c r="F162" s="37"/>
      <c r="G162" s="21"/>
      <c r="H162" s="21"/>
      <c r="I162" s="19">
        <f t="shared" si="43"/>
        <v>1</v>
      </c>
      <c r="J162" s="19">
        <f t="shared" si="38"/>
        <v>0</v>
      </c>
      <c r="K162" s="19">
        <f t="shared" si="39"/>
        <v>0</v>
      </c>
      <c r="L162" s="19">
        <f t="shared" si="40"/>
        <v>0</v>
      </c>
      <c r="M162" s="19">
        <f t="shared" si="41"/>
        <v>0</v>
      </c>
      <c r="N162" s="19">
        <f t="shared" si="42"/>
        <v>1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>
        <v>1</v>
      </c>
      <c r="FG162" s="19"/>
      <c r="FH162" s="19"/>
    </row>
    <row r="163" spans="1:164" x14ac:dyDescent="0.25">
      <c r="A163" s="19" t="s">
        <v>213</v>
      </c>
      <c r="B163" s="19"/>
      <c r="C163" s="19">
        <v>400</v>
      </c>
      <c r="D163" s="19">
        <v>320</v>
      </c>
      <c r="E163" s="19" t="s">
        <v>169</v>
      </c>
      <c r="F163" s="37"/>
      <c r="G163" s="21"/>
      <c r="H163" s="21"/>
      <c r="I163" s="19">
        <f t="shared" si="43"/>
        <v>5</v>
      </c>
      <c r="J163" s="19">
        <f t="shared" si="38"/>
        <v>0</v>
      </c>
      <c r="K163" s="19">
        <f t="shared" si="39"/>
        <v>0</v>
      </c>
      <c r="L163" s="19">
        <f t="shared" si="40"/>
        <v>0</v>
      </c>
      <c r="M163" s="19">
        <f t="shared" si="41"/>
        <v>0</v>
      </c>
      <c r="N163" s="19">
        <f t="shared" si="42"/>
        <v>5</v>
      </c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>
        <v>1</v>
      </c>
      <c r="DR163" s="19"/>
      <c r="DS163" s="19"/>
      <c r="DT163" s="19"/>
      <c r="DU163" s="19">
        <v>1</v>
      </c>
      <c r="DV163" s="19">
        <v>1</v>
      </c>
      <c r="DW163" s="19">
        <v>1</v>
      </c>
      <c r="DX163" s="19"/>
      <c r="DY163" s="19"/>
      <c r="DZ163" s="19"/>
      <c r="EA163" s="19"/>
      <c r="EB163" s="19"/>
      <c r="EC163" s="19">
        <v>1</v>
      </c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 t="s">
        <v>213</v>
      </c>
      <c r="B164" s="19"/>
      <c r="C164" s="19">
        <v>400</v>
      </c>
      <c r="D164" s="19">
        <v>200</v>
      </c>
      <c r="E164" s="19" t="s">
        <v>169</v>
      </c>
      <c r="F164" s="37"/>
      <c r="G164" s="21"/>
      <c r="H164" s="21"/>
      <c r="I164" s="19">
        <f t="shared" si="43"/>
        <v>7</v>
      </c>
      <c r="J164" s="19">
        <f t="shared" si="38"/>
        <v>0</v>
      </c>
      <c r="K164" s="19">
        <f t="shared" si="39"/>
        <v>0</v>
      </c>
      <c r="L164" s="19">
        <f t="shared" si="40"/>
        <v>4</v>
      </c>
      <c r="M164" s="19">
        <f t="shared" si="41"/>
        <v>3</v>
      </c>
      <c r="N164" s="19">
        <f t="shared" si="42"/>
        <v>0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>
        <v>1</v>
      </c>
      <c r="CK164" s="19">
        <v>1</v>
      </c>
      <c r="CL164" s="19">
        <v>1</v>
      </c>
      <c r="CM164" s="19">
        <v>1</v>
      </c>
      <c r="CN164" s="19"/>
      <c r="CO164" s="19"/>
      <c r="CP164" s="19"/>
      <c r="CQ164" s="19"/>
      <c r="CR164" s="19"/>
      <c r="CS164" s="19"/>
      <c r="CT164" s="19"/>
      <c r="CU164" s="19"/>
      <c r="CV164" s="19">
        <v>1</v>
      </c>
      <c r="CW164" s="19">
        <v>1</v>
      </c>
      <c r="CX164" s="19">
        <v>1</v>
      </c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 t="s">
        <v>213</v>
      </c>
      <c r="B165" s="19"/>
      <c r="C165" s="19">
        <v>320</v>
      </c>
      <c r="D165" s="19">
        <v>500</v>
      </c>
      <c r="E165" s="19" t="s">
        <v>169</v>
      </c>
      <c r="F165" s="37"/>
      <c r="G165" s="21"/>
      <c r="H165" s="21"/>
      <c r="I165" s="19">
        <f t="shared" si="43"/>
        <v>1</v>
      </c>
      <c r="J165" s="19">
        <f t="shared" si="38"/>
        <v>0</v>
      </c>
      <c r="K165" s="19">
        <f t="shared" si="39"/>
        <v>0</v>
      </c>
      <c r="L165" s="19">
        <f t="shared" si="40"/>
        <v>1</v>
      </c>
      <c r="M165" s="19">
        <f t="shared" si="41"/>
        <v>0</v>
      </c>
      <c r="N165" s="19">
        <f t="shared" si="42"/>
        <v>0</v>
      </c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>
        <v>1</v>
      </c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 t="s">
        <v>213</v>
      </c>
      <c r="B166" s="19"/>
      <c r="C166" s="19">
        <v>320</v>
      </c>
      <c r="D166" s="19">
        <v>200</v>
      </c>
      <c r="E166" s="19" t="s">
        <v>169</v>
      </c>
      <c r="F166" s="37"/>
      <c r="G166" s="21"/>
      <c r="H166" s="21"/>
      <c r="I166" s="19">
        <f t="shared" si="43"/>
        <v>40</v>
      </c>
      <c r="J166" s="19">
        <f t="shared" si="38"/>
        <v>0</v>
      </c>
      <c r="K166" s="19">
        <f t="shared" si="39"/>
        <v>40</v>
      </c>
      <c r="L166" s="19">
        <f t="shared" si="40"/>
        <v>0</v>
      </c>
      <c r="M166" s="19">
        <f t="shared" si="41"/>
        <v>0</v>
      </c>
      <c r="N166" s="19">
        <f t="shared" si="42"/>
        <v>0</v>
      </c>
      <c r="O166" s="19"/>
      <c r="P166" s="19"/>
      <c r="Q166" s="19"/>
      <c r="R166" s="19"/>
      <c r="S166" s="19">
        <v>1</v>
      </c>
      <c r="T166" s="19">
        <v>1</v>
      </c>
      <c r="U166" s="19">
        <v>1</v>
      </c>
      <c r="V166" s="19">
        <v>1</v>
      </c>
      <c r="W166" s="19">
        <v>1</v>
      </c>
      <c r="X166" s="19">
        <v>1</v>
      </c>
      <c r="Y166" s="19">
        <v>1</v>
      </c>
      <c r="Z166" s="19">
        <v>1</v>
      </c>
      <c r="AA166" s="19">
        <v>1</v>
      </c>
      <c r="AB166" s="19">
        <v>1</v>
      </c>
      <c r="AC166" s="19">
        <v>1</v>
      </c>
      <c r="AD166" s="19">
        <v>1</v>
      </c>
      <c r="AE166" s="19"/>
      <c r="AF166" s="19"/>
      <c r="AG166" s="19"/>
      <c r="AH166" s="19"/>
      <c r="AI166" s="19"/>
      <c r="AJ166" s="19"/>
      <c r="AK166" s="19"/>
      <c r="AL166" s="19">
        <v>1</v>
      </c>
      <c r="AM166" s="19">
        <v>1</v>
      </c>
      <c r="AN166" s="19">
        <v>1</v>
      </c>
      <c r="AO166" s="19">
        <v>1</v>
      </c>
      <c r="AP166" s="19">
        <v>1</v>
      </c>
      <c r="AQ166" s="19">
        <v>1</v>
      </c>
      <c r="AR166" s="19">
        <v>1</v>
      </c>
      <c r="AS166" s="19">
        <v>1</v>
      </c>
      <c r="AT166" s="19"/>
      <c r="AU166" s="19"/>
      <c r="AV166" s="19"/>
      <c r="AW166" s="19"/>
      <c r="AX166" s="19"/>
      <c r="AY166" s="19"/>
      <c r="AZ166" s="19"/>
      <c r="BA166" s="19">
        <v>1</v>
      </c>
      <c r="BB166" s="19">
        <v>1</v>
      </c>
      <c r="BC166" s="19">
        <v>1</v>
      </c>
      <c r="BD166" s="19">
        <v>1</v>
      </c>
      <c r="BE166" s="19"/>
      <c r="BF166" s="19">
        <v>1</v>
      </c>
      <c r="BG166" s="19">
        <v>1</v>
      </c>
      <c r="BH166" s="19">
        <v>1</v>
      </c>
      <c r="BI166" s="19">
        <v>1</v>
      </c>
      <c r="BJ166" s="19">
        <v>1</v>
      </c>
      <c r="BK166" s="19">
        <v>1</v>
      </c>
      <c r="BL166" s="19">
        <v>1</v>
      </c>
      <c r="BM166" s="19">
        <v>1</v>
      </c>
      <c r="BN166" s="19"/>
      <c r="BO166" s="19"/>
      <c r="BP166" s="19"/>
      <c r="BQ166" s="19"/>
      <c r="BR166" s="19"/>
      <c r="BS166" s="19"/>
      <c r="BT166" s="19"/>
      <c r="BU166" s="19">
        <v>1</v>
      </c>
      <c r="BV166" s="19">
        <v>1</v>
      </c>
      <c r="BW166" s="19">
        <v>1</v>
      </c>
      <c r="BX166" s="19">
        <v>1</v>
      </c>
      <c r="BY166" s="19">
        <v>1</v>
      </c>
      <c r="BZ166" s="19">
        <v>1</v>
      </c>
      <c r="CA166" s="19">
        <v>1</v>
      </c>
      <c r="CB166" s="19">
        <v>1</v>
      </c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 t="s">
        <v>213</v>
      </c>
      <c r="B167" s="19"/>
      <c r="C167" s="19">
        <v>250</v>
      </c>
      <c r="D167" s="19">
        <v>250</v>
      </c>
      <c r="E167" s="19" t="s">
        <v>169</v>
      </c>
      <c r="F167" s="38"/>
      <c r="G167" s="21"/>
      <c r="H167" s="21"/>
      <c r="I167" s="19">
        <f t="shared" si="43"/>
        <v>1</v>
      </c>
      <c r="J167" s="19">
        <f t="shared" si="38"/>
        <v>0</v>
      </c>
      <c r="K167" s="19">
        <f t="shared" si="39"/>
        <v>0</v>
      </c>
      <c r="L167" s="19">
        <f t="shared" si="40"/>
        <v>0</v>
      </c>
      <c r="M167" s="19">
        <f t="shared" si="41"/>
        <v>1</v>
      </c>
      <c r="N167" s="19">
        <f t="shared" si="42"/>
        <v>0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>
        <v>1</v>
      </c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 t="s">
        <v>215</v>
      </c>
      <c r="B168" s="19"/>
      <c r="C168" s="19">
        <v>2000</v>
      </c>
      <c r="D168" s="19">
        <v>800</v>
      </c>
      <c r="E168" s="19" t="s">
        <v>169</v>
      </c>
      <c r="F168" s="36" t="s">
        <v>216</v>
      </c>
      <c r="G168" s="21"/>
      <c r="H168" s="21"/>
      <c r="I168" s="19">
        <f t="shared" si="43"/>
        <v>1</v>
      </c>
      <c r="J168" s="19">
        <f t="shared" si="38"/>
        <v>0</v>
      </c>
      <c r="K168" s="19">
        <f t="shared" si="39"/>
        <v>0</v>
      </c>
      <c r="L168" s="19">
        <f t="shared" si="40"/>
        <v>1</v>
      </c>
      <c r="M168" s="19">
        <f t="shared" si="41"/>
        <v>0</v>
      </c>
      <c r="N168" s="19">
        <f t="shared" si="42"/>
        <v>0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>
        <v>1</v>
      </c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 t="s">
        <v>215</v>
      </c>
      <c r="B169" s="19"/>
      <c r="C169" s="19">
        <v>1000</v>
      </c>
      <c r="D169" s="19">
        <v>500</v>
      </c>
      <c r="E169" s="19" t="s">
        <v>169</v>
      </c>
      <c r="F169" s="37"/>
      <c r="G169" s="21"/>
      <c r="H169" s="21"/>
      <c r="I169" s="19">
        <f t="shared" si="43"/>
        <v>2</v>
      </c>
      <c r="J169" s="19">
        <f t="shared" si="38"/>
        <v>0</v>
      </c>
      <c r="K169" s="19">
        <f t="shared" si="39"/>
        <v>0</v>
      </c>
      <c r="L169" s="19">
        <f t="shared" si="40"/>
        <v>0</v>
      </c>
      <c r="M169" s="19">
        <f t="shared" si="41"/>
        <v>0</v>
      </c>
      <c r="N169" s="19">
        <f t="shared" si="42"/>
        <v>2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>
        <v>2</v>
      </c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 t="s">
        <v>215</v>
      </c>
      <c r="B170" s="19"/>
      <c r="C170" s="19">
        <v>1000</v>
      </c>
      <c r="D170" s="19">
        <v>250</v>
      </c>
      <c r="E170" s="19" t="s">
        <v>169</v>
      </c>
      <c r="F170" s="37"/>
      <c r="G170" s="21"/>
      <c r="H170" s="21"/>
      <c r="I170" s="19">
        <f t="shared" si="43"/>
        <v>1</v>
      </c>
      <c r="J170" s="19">
        <f t="shared" si="38"/>
        <v>0</v>
      </c>
      <c r="K170" s="19">
        <f t="shared" si="39"/>
        <v>0</v>
      </c>
      <c r="L170" s="19">
        <f t="shared" si="40"/>
        <v>0</v>
      </c>
      <c r="M170" s="19">
        <f t="shared" si="41"/>
        <v>0</v>
      </c>
      <c r="N170" s="19">
        <f t="shared" si="42"/>
        <v>1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>
        <v>1</v>
      </c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 t="s">
        <v>215</v>
      </c>
      <c r="B171" s="19"/>
      <c r="C171" s="19">
        <v>800</v>
      </c>
      <c r="D171" s="19">
        <v>800</v>
      </c>
      <c r="E171" s="19" t="s">
        <v>169</v>
      </c>
      <c r="F171" s="37"/>
      <c r="G171" s="21"/>
      <c r="H171" s="21"/>
      <c r="I171" s="19">
        <f t="shared" si="43"/>
        <v>1</v>
      </c>
      <c r="J171" s="19">
        <f t="shared" si="38"/>
        <v>0</v>
      </c>
      <c r="K171" s="19">
        <f t="shared" si="39"/>
        <v>0</v>
      </c>
      <c r="L171" s="19">
        <f t="shared" si="40"/>
        <v>1</v>
      </c>
      <c r="M171" s="19">
        <f t="shared" si="41"/>
        <v>0</v>
      </c>
      <c r="N171" s="19">
        <f t="shared" si="42"/>
        <v>0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>
        <v>1</v>
      </c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 t="s">
        <v>215</v>
      </c>
      <c r="B172" s="19"/>
      <c r="C172" s="19">
        <v>800</v>
      </c>
      <c r="D172" s="19">
        <v>320</v>
      </c>
      <c r="E172" s="19" t="s">
        <v>169</v>
      </c>
      <c r="F172" s="38"/>
      <c r="G172" s="21"/>
      <c r="H172" s="21"/>
      <c r="I172" s="19">
        <f t="shared" si="43"/>
        <v>7</v>
      </c>
      <c r="J172" s="19">
        <f t="shared" si="38"/>
        <v>0</v>
      </c>
      <c r="K172" s="19">
        <f t="shared" si="39"/>
        <v>0</v>
      </c>
      <c r="L172" s="19">
        <f t="shared" si="40"/>
        <v>5</v>
      </c>
      <c r="M172" s="19">
        <f t="shared" si="41"/>
        <v>0</v>
      </c>
      <c r="N172" s="19">
        <f t="shared" si="42"/>
        <v>2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>
        <v>5</v>
      </c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>
        <v>2</v>
      </c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 t="s">
        <v>402</v>
      </c>
      <c r="B173" s="19"/>
      <c r="C173" s="19">
        <v>1700</v>
      </c>
      <c r="D173" s="19">
        <v>350</v>
      </c>
      <c r="E173" s="19" t="s">
        <v>169</v>
      </c>
      <c r="F173" s="36" t="s">
        <v>218</v>
      </c>
      <c r="G173" s="21"/>
      <c r="H173" s="21"/>
      <c r="I173" s="19">
        <f t="shared" si="43"/>
        <v>1</v>
      </c>
      <c r="J173" s="19">
        <f t="shared" si="38"/>
        <v>0</v>
      </c>
      <c r="K173" s="19">
        <f t="shared" si="39"/>
        <v>0</v>
      </c>
      <c r="L173" s="19">
        <f t="shared" si="40"/>
        <v>0</v>
      </c>
      <c r="M173" s="19">
        <f t="shared" si="41"/>
        <v>1</v>
      </c>
      <c r="N173" s="19">
        <f t="shared" si="42"/>
        <v>0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>
        <v>1</v>
      </c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 t="s">
        <v>402</v>
      </c>
      <c r="B174" s="19"/>
      <c r="C174" s="19">
        <v>1000</v>
      </c>
      <c r="D174" s="19">
        <v>250</v>
      </c>
      <c r="E174" s="19" t="s">
        <v>169</v>
      </c>
      <c r="F174" s="37"/>
      <c r="G174" s="21"/>
      <c r="H174" s="21"/>
      <c r="I174" s="19">
        <f t="shared" si="43"/>
        <v>1</v>
      </c>
      <c r="J174" s="19">
        <f t="shared" si="38"/>
        <v>0</v>
      </c>
      <c r="K174" s="19">
        <f t="shared" si="39"/>
        <v>0</v>
      </c>
      <c r="L174" s="19">
        <f t="shared" si="40"/>
        <v>0</v>
      </c>
      <c r="M174" s="19">
        <f t="shared" si="41"/>
        <v>0</v>
      </c>
      <c r="N174" s="19">
        <f t="shared" si="42"/>
        <v>1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>
        <v>1</v>
      </c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 t="s">
        <v>402</v>
      </c>
      <c r="B175" s="19"/>
      <c r="C175" s="19">
        <v>800</v>
      </c>
      <c r="D175" s="19">
        <v>320</v>
      </c>
      <c r="E175" s="19" t="s">
        <v>169</v>
      </c>
      <c r="F175" s="37"/>
      <c r="G175" s="21"/>
      <c r="H175" s="21"/>
      <c r="I175" s="19">
        <f t="shared" si="43"/>
        <v>6</v>
      </c>
      <c r="J175" s="19">
        <f t="shared" si="38"/>
        <v>0</v>
      </c>
      <c r="K175" s="19">
        <f t="shared" si="39"/>
        <v>0</v>
      </c>
      <c r="L175" s="19">
        <f t="shared" si="40"/>
        <v>4</v>
      </c>
      <c r="M175" s="19">
        <f t="shared" si="41"/>
        <v>0</v>
      </c>
      <c r="N175" s="19">
        <f t="shared" si="42"/>
        <v>2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>
        <v>4</v>
      </c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>
        <v>2</v>
      </c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 t="s">
        <v>402</v>
      </c>
      <c r="B176" s="19"/>
      <c r="C176" s="19">
        <v>500</v>
      </c>
      <c r="D176" s="19">
        <v>800</v>
      </c>
      <c r="E176" s="19" t="s">
        <v>169</v>
      </c>
      <c r="F176" s="38"/>
      <c r="G176" s="21"/>
      <c r="H176" s="21"/>
      <c r="I176" s="19">
        <f t="shared" si="43"/>
        <v>1</v>
      </c>
      <c r="J176" s="19">
        <f t="shared" si="38"/>
        <v>0</v>
      </c>
      <c r="K176" s="19">
        <f t="shared" si="39"/>
        <v>0</v>
      </c>
      <c r="L176" s="19">
        <f t="shared" si="40"/>
        <v>0</v>
      </c>
      <c r="M176" s="19">
        <f t="shared" si="41"/>
        <v>1</v>
      </c>
      <c r="N176" s="19">
        <f t="shared" si="42"/>
        <v>0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>
        <v>1</v>
      </c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 t="s">
        <v>223</v>
      </c>
      <c r="B177" s="19"/>
      <c r="C177" s="19">
        <v>1250</v>
      </c>
      <c r="D177" s="19">
        <v>630</v>
      </c>
      <c r="E177" s="19" t="s">
        <v>169</v>
      </c>
      <c r="F177" s="36"/>
      <c r="G177" s="21"/>
      <c r="H177" s="21"/>
      <c r="I177" s="19">
        <f t="shared" si="43"/>
        <v>20</v>
      </c>
      <c r="J177" s="19">
        <f t="shared" si="38"/>
        <v>0</v>
      </c>
      <c r="K177" s="19">
        <f t="shared" si="39"/>
        <v>0</v>
      </c>
      <c r="L177" s="19">
        <f t="shared" si="40"/>
        <v>0</v>
      </c>
      <c r="M177" s="19">
        <f t="shared" si="41"/>
        <v>0</v>
      </c>
      <c r="N177" s="19">
        <f t="shared" si="42"/>
        <v>20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>
        <v>1</v>
      </c>
      <c r="DP177" s="19">
        <v>1</v>
      </c>
      <c r="DQ177" s="19"/>
      <c r="DR177" s="19">
        <v>1</v>
      </c>
      <c r="DS177" s="19">
        <v>1</v>
      </c>
      <c r="DT177" s="19">
        <v>1</v>
      </c>
      <c r="DU177" s="19"/>
      <c r="DV177" s="19"/>
      <c r="DW177" s="19"/>
      <c r="DX177" s="19">
        <v>1</v>
      </c>
      <c r="DY177" s="19">
        <v>1</v>
      </c>
      <c r="DZ177" s="19">
        <v>1</v>
      </c>
      <c r="EA177" s="19">
        <v>1</v>
      </c>
      <c r="EB177" s="19">
        <v>1</v>
      </c>
      <c r="EC177" s="19"/>
      <c r="ED177" s="19">
        <v>1</v>
      </c>
      <c r="EE177" s="19">
        <v>1</v>
      </c>
      <c r="EF177" s="19"/>
      <c r="EG177" s="19"/>
      <c r="EH177" s="19">
        <v>1</v>
      </c>
      <c r="EI177" s="19"/>
      <c r="EJ177" s="19">
        <v>1</v>
      </c>
      <c r="EK177" s="19"/>
      <c r="EL177" s="19"/>
      <c r="EM177" s="19">
        <v>1</v>
      </c>
      <c r="EN177" s="19">
        <v>1</v>
      </c>
      <c r="EO177" s="19"/>
      <c r="EP177" s="19">
        <v>1</v>
      </c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>
        <v>1</v>
      </c>
      <c r="FE177" s="19">
        <v>1</v>
      </c>
      <c r="FF177" s="19"/>
      <c r="FG177" s="19">
        <v>1</v>
      </c>
      <c r="FH177" s="19"/>
    </row>
    <row r="178" spans="1:164" x14ac:dyDescent="0.25">
      <c r="A178" s="19" t="s">
        <v>223</v>
      </c>
      <c r="B178" s="19"/>
      <c r="C178" s="19">
        <v>1000</v>
      </c>
      <c r="D178" s="19">
        <v>800</v>
      </c>
      <c r="E178" s="19" t="s">
        <v>169</v>
      </c>
      <c r="F178" s="37"/>
      <c r="G178" s="21"/>
      <c r="H178" s="21"/>
      <c r="I178" s="19">
        <f t="shared" si="43"/>
        <v>2</v>
      </c>
      <c r="J178" s="19">
        <f t="shared" si="38"/>
        <v>0</v>
      </c>
      <c r="K178" s="19">
        <f t="shared" si="39"/>
        <v>0</v>
      </c>
      <c r="L178" s="19">
        <f t="shared" si="40"/>
        <v>0</v>
      </c>
      <c r="M178" s="19">
        <f t="shared" si="41"/>
        <v>0</v>
      </c>
      <c r="N178" s="19">
        <f t="shared" si="42"/>
        <v>2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>
        <v>1</v>
      </c>
      <c r="ES178" s="19"/>
      <c r="ET178" s="19">
        <v>1</v>
      </c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 t="s">
        <v>223</v>
      </c>
      <c r="B179" s="19"/>
      <c r="C179" s="19">
        <v>1000</v>
      </c>
      <c r="D179" s="19">
        <v>630</v>
      </c>
      <c r="E179" s="19" t="s">
        <v>169</v>
      </c>
      <c r="F179" s="37"/>
      <c r="G179" s="21"/>
      <c r="H179" s="21"/>
      <c r="I179" s="19">
        <f t="shared" si="43"/>
        <v>2</v>
      </c>
      <c r="J179" s="19">
        <f t="shared" si="38"/>
        <v>0</v>
      </c>
      <c r="K179" s="19">
        <f t="shared" si="39"/>
        <v>0</v>
      </c>
      <c r="L179" s="19">
        <f t="shared" si="40"/>
        <v>0</v>
      </c>
      <c r="M179" s="19">
        <f t="shared" si="41"/>
        <v>0</v>
      </c>
      <c r="N179" s="19">
        <f t="shared" si="42"/>
        <v>2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>
        <v>1</v>
      </c>
      <c r="DI179" s="19"/>
      <c r="DJ179" s="19"/>
      <c r="DK179" s="19"/>
      <c r="DL179" s="19">
        <v>1</v>
      </c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 t="s">
        <v>223</v>
      </c>
      <c r="B180" s="19"/>
      <c r="C180" s="19">
        <v>800</v>
      </c>
      <c r="D180" s="19">
        <v>1000</v>
      </c>
      <c r="E180" s="19" t="s">
        <v>169</v>
      </c>
      <c r="F180" s="37"/>
      <c r="G180" s="21"/>
      <c r="H180" s="21"/>
      <c r="I180" s="19">
        <f t="shared" si="43"/>
        <v>2</v>
      </c>
      <c r="J180" s="19">
        <f t="shared" si="38"/>
        <v>0</v>
      </c>
      <c r="K180" s="19">
        <f t="shared" si="39"/>
        <v>0</v>
      </c>
      <c r="L180" s="19">
        <f t="shared" si="40"/>
        <v>0</v>
      </c>
      <c r="M180" s="19">
        <f t="shared" si="41"/>
        <v>0</v>
      </c>
      <c r="N180" s="19">
        <f t="shared" si="42"/>
        <v>2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>
        <v>1</v>
      </c>
      <c r="EW180" s="19">
        <v>1</v>
      </c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 t="s">
        <v>223</v>
      </c>
      <c r="B181" s="19"/>
      <c r="C181" s="19">
        <v>800</v>
      </c>
      <c r="D181" s="19">
        <v>800</v>
      </c>
      <c r="E181" s="19" t="s">
        <v>169</v>
      </c>
      <c r="F181" s="37"/>
      <c r="G181" s="21"/>
      <c r="H181" s="21"/>
      <c r="I181" s="19">
        <f t="shared" si="43"/>
        <v>14</v>
      </c>
      <c r="J181" s="19">
        <f t="shared" si="38"/>
        <v>0</v>
      </c>
      <c r="K181" s="19">
        <f t="shared" si="39"/>
        <v>12</v>
      </c>
      <c r="L181" s="19">
        <f t="shared" si="40"/>
        <v>1</v>
      </c>
      <c r="M181" s="19">
        <f t="shared" si="41"/>
        <v>0</v>
      </c>
      <c r="N181" s="19">
        <f t="shared" si="42"/>
        <v>1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>
        <v>1</v>
      </c>
      <c r="AG181" s="19">
        <v>1</v>
      </c>
      <c r="AH181" s="19"/>
      <c r="AI181" s="19">
        <v>1</v>
      </c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>
        <v>1</v>
      </c>
      <c r="AV181" s="19">
        <v>1</v>
      </c>
      <c r="AW181" s="19"/>
      <c r="AX181" s="19">
        <v>1</v>
      </c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>
        <v>1</v>
      </c>
      <c r="BP181" s="19">
        <v>1</v>
      </c>
      <c r="BQ181" s="19"/>
      <c r="BR181" s="19">
        <v>1</v>
      </c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>
        <v>1</v>
      </c>
      <c r="CE181" s="19">
        <v>1</v>
      </c>
      <c r="CF181" s="19"/>
      <c r="CG181" s="19">
        <v>1</v>
      </c>
      <c r="CH181" s="19"/>
      <c r="CI181" s="19"/>
      <c r="CJ181" s="19"/>
      <c r="CK181" s="19"/>
      <c r="CL181" s="19"/>
      <c r="CM181" s="19"/>
      <c r="CN181" s="19"/>
      <c r="CO181" s="19">
        <v>1</v>
      </c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>
        <v>1</v>
      </c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 t="s">
        <v>223</v>
      </c>
      <c r="B182" s="19"/>
      <c r="C182" s="19">
        <v>800</v>
      </c>
      <c r="D182" s="19">
        <v>630</v>
      </c>
      <c r="E182" s="19" t="s">
        <v>169</v>
      </c>
      <c r="F182" s="37"/>
      <c r="G182" s="21"/>
      <c r="H182" s="21"/>
      <c r="I182" s="19">
        <f t="shared" si="43"/>
        <v>10</v>
      </c>
      <c r="J182" s="19">
        <f t="shared" si="38"/>
        <v>0</v>
      </c>
      <c r="K182" s="19">
        <f t="shared" si="39"/>
        <v>0</v>
      </c>
      <c r="L182" s="19">
        <f t="shared" si="40"/>
        <v>0</v>
      </c>
      <c r="M182" s="19">
        <f t="shared" si="41"/>
        <v>0</v>
      </c>
      <c r="N182" s="19">
        <f t="shared" si="42"/>
        <v>10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>
        <v>1</v>
      </c>
      <c r="EJ182" s="19"/>
      <c r="EK182" s="19">
        <v>1</v>
      </c>
      <c r="EL182" s="19">
        <v>1</v>
      </c>
      <c r="EM182" s="19"/>
      <c r="EN182" s="19"/>
      <c r="EO182" s="19">
        <v>1</v>
      </c>
      <c r="EP182" s="19"/>
      <c r="EQ182" s="19">
        <v>1</v>
      </c>
      <c r="ER182" s="19"/>
      <c r="ES182" s="19">
        <v>1</v>
      </c>
      <c r="ET182" s="19"/>
      <c r="EU182" s="19">
        <v>1</v>
      </c>
      <c r="EV182" s="19"/>
      <c r="EW182" s="19"/>
      <c r="EX182" s="19"/>
      <c r="EY182" s="19"/>
      <c r="EZ182" s="19"/>
      <c r="FA182" s="19"/>
      <c r="FB182" s="19">
        <v>1</v>
      </c>
      <c r="FC182" s="19">
        <v>1</v>
      </c>
      <c r="FD182" s="19"/>
      <c r="FE182" s="19"/>
      <c r="FF182" s="19"/>
      <c r="FG182" s="19"/>
      <c r="FH182" s="19">
        <v>1</v>
      </c>
    </row>
    <row r="183" spans="1:164" x14ac:dyDescent="0.25">
      <c r="A183" s="19" t="s">
        <v>223</v>
      </c>
      <c r="B183" s="19"/>
      <c r="C183" s="19">
        <v>800</v>
      </c>
      <c r="D183" s="19">
        <v>400</v>
      </c>
      <c r="E183" s="19" t="s">
        <v>169</v>
      </c>
      <c r="F183" s="37"/>
      <c r="G183" s="21"/>
      <c r="H183" s="21"/>
      <c r="I183" s="19">
        <f t="shared" si="43"/>
        <v>1</v>
      </c>
      <c r="J183" s="19">
        <f t="shared" si="38"/>
        <v>0</v>
      </c>
      <c r="K183" s="19">
        <f t="shared" si="39"/>
        <v>1</v>
      </c>
      <c r="L183" s="19">
        <f t="shared" si="40"/>
        <v>0</v>
      </c>
      <c r="M183" s="19">
        <f t="shared" si="41"/>
        <v>0</v>
      </c>
      <c r="N183" s="19">
        <f t="shared" si="42"/>
        <v>0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>
        <v>1</v>
      </c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 t="s">
        <v>223</v>
      </c>
      <c r="B184" s="19"/>
      <c r="C184" s="19">
        <v>700</v>
      </c>
      <c r="D184" s="19">
        <v>800</v>
      </c>
      <c r="E184" s="19" t="s">
        <v>169</v>
      </c>
      <c r="F184" s="37"/>
      <c r="G184" s="21"/>
      <c r="H184" s="21"/>
      <c r="I184" s="19">
        <f t="shared" si="43"/>
        <v>1</v>
      </c>
      <c r="J184" s="19">
        <f t="shared" si="38"/>
        <v>1</v>
      </c>
      <c r="K184" s="19">
        <f t="shared" si="39"/>
        <v>0</v>
      </c>
      <c r="L184" s="19">
        <f t="shared" si="40"/>
        <v>0</v>
      </c>
      <c r="M184" s="19">
        <f t="shared" si="41"/>
        <v>0</v>
      </c>
      <c r="N184" s="19">
        <f t="shared" si="42"/>
        <v>0</v>
      </c>
      <c r="O184" s="19"/>
      <c r="P184" s="19"/>
      <c r="Q184" s="19"/>
      <c r="R184" s="19">
        <v>1</v>
      </c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 t="s">
        <v>223</v>
      </c>
      <c r="B185" s="19"/>
      <c r="C185" s="19">
        <v>700</v>
      </c>
      <c r="D185" s="19">
        <v>400</v>
      </c>
      <c r="E185" s="19" t="s">
        <v>169</v>
      </c>
      <c r="F185" s="37"/>
      <c r="G185" s="21"/>
      <c r="H185" s="21"/>
      <c r="I185" s="19">
        <f t="shared" si="43"/>
        <v>1</v>
      </c>
      <c r="J185" s="19">
        <f t="shared" si="38"/>
        <v>0</v>
      </c>
      <c r="K185" s="19">
        <f t="shared" si="39"/>
        <v>0</v>
      </c>
      <c r="L185" s="19">
        <f t="shared" si="40"/>
        <v>0</v>
      </c>
      <c r="M185" s="19">
        <f t="shared" si="41"/>
        <v>1</v>
      </c>
      <c r="N185" s="19">
        <f t="shared" si="42"/>
        <v>0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>
        <v>1</v>
      </c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 t="s">
        <v>223</v>
      </c>
      <c r="B186" s="19"/>
      <c r="C186" s="19">
        <v>630</v>
      </c>
      <c r="D186" s="19">
        <v>1000</v>
      </c>
      <c r="E186" s="19" t="s">
        <v>169</v>
      </c>
      <c r="F186" s="37"/>
      <c r="G186" s="21"/>
      <c r="H186" s="21"/>
      <c r="I186" s="19">
        <f t="shared" si="43"/>
        <v>2</v>
      </c>
      <c r="J186" s="19">
        <f t="shared" si="38"/>
        <v>0</v>
      </c>
      <c r="K186" s="19">
        <f t="shared" si="39"/>
        <v>0</v>
      </c>
      <c r="L186" s="19">
        <f t="shared" si="40"/>
        <v>0</v>
      </c>
      <c r="M186" s="19">
        <f t="shared" si="41"/>
        <v>0</v>
      </c>
      <c r="N186" s="19">
        <f t="shared" si="42"/>
        <v>2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>
        <v>1</v>
      </c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>
        <v>1</v>
      </c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 t="s">
        <v>223</v>
      </c>
      <c r="B187" s="19"/>
      <c r="C187" s="19">
        <v>630</v>
      </c>
      <c r="D187" s="19">
        <v>800</v>
      </c>
      <c r="E187" s="19" t="s">
        <v>169</v>
      </c>
      <c r="F187" s="37"/>
      <c r="G187" s="21"/>
      <c r="H187" s="21"/>
      <c r="I187" s="19">
        <f t="shared" si="43"/>
        <v>10</v>
      </c>
      <c r="J187" s="19">
        <f t="shared" si="38"/>
        <v>0</v>
      </c>
      <c r="K187" s="19">
        <f t="shared" si="39"/>
        <v>8</v>
      </c>
      <c r="L187" s="19">
        <f t="shared" si="40"/>
        <v>1</v>
      </c>
      <c r="M187" s="19">
        <f t="shared" si="41"/>
        <v>0</v>
      </c>
      <c r="N187" s="19">
        <f t="shared" si="42"/>
        <v>1</v>
      </c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>
        <v>1</v>
      </c>
      <c r="AI187" s="19"/>
      <c r="AJ187" s="19"/>
      <c r="AK187" s="19">
        <v>1</v>
      </c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>
        <v>1</v>
      </c>
      <c r="AX187" s="19"/>
      <c r="AY187" s="19"/>
      <c r="AZ187" s="19">
        <v>1</v>
      </c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>
        <v>1</v>
      </c>
      <c r="BR187" s="19"/>
      <c r="BS187" s="19"/>
      <c r="BT187" s="19">
        <v>1</v>
      </c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>
        <v>1</v>
      </c>
      <c r="CG187" s="19"/>
      <c r="CH187" s="19"/>
      <c r="CI187" s="19">
        <v>1</v>
      </c>
      <c r="CJ187" s="19"/>
      <c r="CK187" s="19"/>
      <c r="CL187" s="19"/>
      <c r="CM187" s="19"/>
      <c r="CN187" s="19"/>
      <c r="CO187" s="25">
        <v>1</v>
      </c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>
        <v>1</v>
      </c>
      <c r="FG187" s="19"/>
      <c r="FH187" s="19"/>
    </row>
    <row r="188" spans="1:164" x14ac:dyDescent="0.25">
      <c r="A188" s="19" t="s">
        <v>223</v>
      </c>
      <c r="B188" s="19"/>
      <c r="C188" s="19">
        <v>630</v>
      </c>
      <c r="D188" s="19">
        <v>630</v>
      </c>
      <c r="E188" s="19" t="s">
        <v>169</v>
      </c>
      <c r="F188" s="37"/>
      <c r="G188" s="21"/>
      <c r="H188" s="21"/>
      <c r="I188" s="19">
        <f t="shared" si="43"/>
        <v>4</v>
      </c>
      <c r="J188" s="19">
        <f t="shared" si="38"/>
        <v>0</v>
      </c>
      <c r="K188" s="19">
        <f t="shared" si="39"/>
        <v>0</v>
      </c>
      <c r="L188" s="19">
        <f t="shared" si="40"/>
        <v>4</v>
      </c>
      <c r="M188" s="19">
        <f t="shared" si="41"/>
        <v>0</v>
      </c>
      <c r="N188" s="19">
        <f t="shared" si="42"/>
        <v>0</v>
      </c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25"/>
      <c r="CP188" s="19"/>
      <c r="CQ188" s="19">
        <v>1</v>
      </c>
      <c r="CR188" s="19">
        <v>1</v>
      </c>
      <c r="CS188" s="19">
        <v>1</v>
      </c>
      <c r="CT188" s="19">
        <v>1</v>
      </c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 t="s">
        <v>223</v>
      </c>
      <c r="B189" s="19"/>
      <c r="C189" s="19">
        <v>630</v>
      </c>
      <c r="D189" s="19">
        <v>500</v>
      </c>
      <c r="E189" s="19" t="s">
        <v>169</v>
      </c>
      <c r="F189" s="37"/>
      <c r="G189" s="21"/>
      <c r="H189" s="21"/>
      <c r="I189" s="19">
        <f t="shared" si="43"/>
        <v>3</v>
      </c>
      <c r="J189" s="19">
        <f t="shared" si="38"/>
        <v>0</v>
      </c>
      <c r="K189" s="19">
        <f t="shared" si="39"/>
        <v>0</v>
      </c>
      <c r="L189" s="19">
        <f t="shared" si="40"/>
        <v>0</v>
      </c>
      <c r="M189" s="19">
        <f t="shared" si="41"/>
        <v>0</v>
      </c>
      <c r="N189" s="19">
        <f t="shared" si="42"/>
        <v>3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25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>
        <v>1</v>
      </c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>
        <v>1</v>
      </c>
      <c r="EG189" s="19">
        <v>1</v>
      </c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 t="s">
        <v>223</v>
      </c>
      <c r="B190" s="19"/>
      <c r="C190" s="19">
        <v>600</v>
      </c>
      <c r="D190" s="19">
        <v>800</v>
      </c>
      <c r="E190" s="19" t="s">
        <v>169</v>
      </c>
      <c r="F190" s="37"/>
      <c r="G190" s="21"/>
      <c r="H190" s="21"/>
      <c r="I190" s="19">
        <f t="shared" si="43"/>
        <v>1</v>
      </c>
      <c r="J190" s="19">
        <f t="shared" si="38"/>
        <v>1</v>
      </c>
      <c r="K190" s="19">
        <f t="shared" si="39"/>
        <v>0</v>
      </c>
      <c r="L190" s="19">
        <f t="shared" si="40"/>
        <v>0</v>
      </c>
      <c r="M190" s="19">
        <f t="shared" si="41"/>
        <v>0</v>
      </c>
      <c r="N190" s="19">
        <f t="shared" si="42"/>
        <v>0</v>
      </c>
      <c r="O190" s="19"/>
      <c r="P190" s="19"/>
      <c r="Q190" s="19">
        <v>1</v>
      </c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 t="s">
        <v>223</v>
      </c>
      <c r="B191" s="19"/>
      <c r="C191" s="19">
        <v>500</v>
      </c>
      <c r="D191" s="19">
        <v>1000</v>
      </c>
      <c r="E191" s="19" t="s">
        <v>169</v>
      </c>
      <c r="F191" s="37"/>
      <c r="G191" s="21"/>
      <c r="H191" s="21"/>
      <c r="I191" s="19">
        <f t="shared" si="43"/>
        <v>4</v>
      </c>
      <c r="J191" s="19">
        <f t="shared" si="38"/>
        <v>0</v>
      </c>
      <c r="K191" s="19">
        <f t="shared" si="39"/>
        <v>0</v>
      </c>
      <c r="L191" s="19">
        <f t="shared" si="40"/>
        <v>0</v>
      </c>
      <c r="M191" s="19">
        <f t="shared" si="41"/>
        <v>4</v>
      </c>
      <c r="N191" s="19">
        <f t="shared" si="42"/>
        <v>0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>
        <v>1</v>
      </c>
      <c r="DC191" s="19">
        <v>1</v>
      </c>
      <c r="DD191" s="19">
        <v>1</v>
      </c>
      <c r="DE191" s="19">
        <v>1</v>
      </c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 t="s">
        <v>223</v>
      </c>
      <c r="B192" s="19"/>
      <c r="C192" s="19">
        <v>500</v>
      </c>
      <c r="D192" s="19">
        <v>630</v>
      </c>
      <c r="E192" s="19" t="s">
        <v>169</v>
      </c>
      <c r="F192" s="37"/>
      <c r="G192" s="21"/>
      <c r="H192" s="21"/>
      <c r="I192" s="19">
        <f t="shared" si="43"/>
        <v>6</v>
      </c>
      <c r="J192" s="19">
        <f t="shared" si="38"/>
        <v>0</v>
      </c>
      <c r="K192" s="19">
        <f t="shared" si="39"/>
        <v>4</v>
      </c>
      <c r="L192" s="19">
        <f t="shared" si="40"/>
        <v>0</v>
      </c>
      <c r="M192" s="19">
        <f t="shared" si="41"/>
        <v>0</v>
      </c>
      <c r="N192" s="19">
        <f t="shared" si="42"/>
        <v>2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>
        <v>1</v>
      </c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>
        <v>1</v>
      </c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>
        <v>1</v>
      </c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>
        <v>1</v>
      </c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>
        <v>1</v>
      </c>
      <c r="DJ192" s="19"/>
      <c r="DK192" s="19">
        <v>1</v>
      </c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 t="s">
        <v>223</v>
      </c>
      <c r="B193" s="19"/>
      <c r="C193" s="19">
        <v>400</v>
      </c>
      <c r="D193" s="19">
        <v>250</v>
      </c>
      <c r="E193" s="19" t="s">
        <v>169</v>
      </c>
      <c r="F193" s="37"/>
      <c r="G193" s="21"/>
      <c r="H193" s="21"/>
      <c r="I193" s="19">
        <f t="shared" si="43"/>
        <v>10</v>
      </c>
      <c r="J193" s="19">
        <f t="shared" si="38"/>
        <v>0</v>
      </c>
      <c r="K193" s="19">
        <f t="shared" si="39"/>
        <v>0</v>
      </c>
      <c r="L193" s="19">
        <f t="shared" si="40"/>
        <v>0</v>
      </c>
      <c r="M193" s="19">
        <f t="shared" si="41"/>
        <v>0</v>
      </c>
      <c r="N193" s="19">
        <f t="shared" si="42"/>
        <v>10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>
        <v>2</v>
      </c>
      <c r="DR193" s="19"/>
      <c r="DS193" s="19"/>
      <c r="DT193" s="19"/>
      <c r="DU193" s="19">
        <v>2</v>
      </c>
      <c r="DV193" s="19">
        <v>2</v>
      </c>
      <c r="DW193" s="19">
        <v>2</v>
      </c>
      <c r="DX193" s="19"/>
      <c r="DY193" s="19"/>
      <c r="DZ193" s="19"/>
      <c r="EA193" s="19"/>
      <c r="EB193" s="19"/>
      <c r="EC193" s="19">
        <v>2</v>
      </c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 t="s">
        <v>223</v>
      </c>
      <c r="B194" s="19"/>
      <c r="C194" s="19">
        <v>400</v>
      </c>
      <c r="D194" s="19">
        <v>200</v>
      </c>
      <c r="E194" s="19" t="s">
        <v>169</v>
      </c>
      <c r="F194" s="37"/>
      <c r="G194" s="21"/>
      <c r="H194" s="21"/>
      <c r="I194" s="19">
        <f t="shared" si="43"/>
        <v>3</v>
      </c>
      <c r="J194" s="19">
        <f t="shared" si="38"/>
        <v>0</v>
      </c>
      <c r="K194" s="19">
        <f t="shared" si="39"/>
        <v>0</v>
      </c>
      <c r="L194" s="19">
        <f t="shared" si="40"/>
        <v>0</v>
      </c>
      <c r="M194" s="19">
        <f t="shared" si="41"/>
        <v>3</v>
      </c>
      <c r="N194" s="19">
        <f t="shared" si="42"/>
        <v>0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>
        <v>1</v>
      </c>
      <c r="CW194" s="19">
        <v>1</v>
      </c>
      <c r="CX194" s="19">
        <v>1</v>
      </c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 t="s">
        <v>223</v>
      </c>
      <c r="B195" s="19"/>
      <c r="C195" s="19">
        <v>250</v>
      </c>
      <c r="D195" s="19">
        <v>250</v>
      </c>
      <c r="E195" s="19" t="s">
        <v>169</v>
      </c>
      <c r="F195" s="38"/>
      <c r="G195" s="21"/>
      <c r="H195" s="21"/>
      <c r="I195" s="19">
        <f t="shared" si="43"/>
        <v>1</v>
      </c>
      <c r="J195" s="19">
        <f t="shared" si="38"/>
        <v>0</v>
      </c>
      <c r="K195" s="19">
        <f t="shared" si="39"/>
        <v>0</v>
      </c>
      <c r="L195" s="19">
        <f t="shared" si="40"/>
        <v>0</v>
      </c>
      <c r="M195" s="19">
        <f t="shared" si="41"/>
        <v>1</v>
      </c>
      <c r="N195" s="19">
        <f t="shared" si="42"/>
        <v>0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>
        <v>1</v>
      </c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25" t="s">
        <v>224</v>
      </c>
      <c r="B196" s="25"/>
      <c r="C196" s="25">
        <v>320</v>
      </c>
      <c r="D196" s="25">
        <v>160</v>
      </c>
      <c r="E196" s="19" t="s">
        <v>169</v>
      </c>
      <c r="F196" s="20"/>
      <c r="G196" s="21"/>
      <c r="H196" s="21"/>
      <c r="I196" s="19">
        <f t="shared" si="43"/>
        <v>4</v>
      </c>
      <c r="J196" s="19">
        <f t="shared" si="38"/>
        <v>0</v>
      </c>
      <c r="K196" s="19">
        <f t="shared" si="39"/>
        <v>0</v>
      </c>
      <c r="L196" s="19">
        <f t="shared" si="40"/>
        <v>4</v>
      </c>
      <c r="M196" s="19">
        <f t="shared" si="41"/>
        <v>0</v>
      </c>
      <c r="N196" s="19">
        <f t="shared" si="42"/>
        <v>0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25">
        <v>1</v>
      </c>
      <c r="CR196" s="25">
        <v>1</v>
      </c>
      <c r="CS196" s="25">
        <v>1</v>
      </c>
      <c r="CT196" s="25">
        <v>1</v>
      </c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25" t="s">
        <v>225</v>
      </c>
      <c r="B197" s="25"/>
      <c r="C197" s="19">
        <v>700</v>
      </c>
      <c r="D197" s="19">
        <v>800</v>
      </c>
      <c r="E197" s="19" t="s">
        <v>169</v>
      </c>
      <c r="F197" s="36"/>
      <c r="G197" s="21"/>
      <c r="H197" s="21"/>
      <c r="I197" s="19">
        <f t="shared" si="43"/>
        <v>1</v>
      </c>
      <c r="J197" s="19">
        <f t="shared" ref="J197:J260" si="44">SUM(O197:R197)</f>
        <v>1</v>
      </c>
      <c r="K197" s="19">
        <f t="shared" ref="K197:K260" si="45">SUM(S197:CI197)</f>
        <v>0</v>
      </c>
      <c r="L197" s="19">
        <f t="shared" ref="L197:L260" si="46">SUM(CJ197:CT197)</f>
        <v>0</v>
      </c>
      <c r="M197" s="19">
        <f t="shared" ref="M197:M260" si="47">SUM(CU197:DF197)</f>
        <v>0</v>
      </c>
      <c r="N197" s="19">
        <f t="shared" ref="N197:N260" si="48">SUM(DG197:FH197)</f>
        <v>0</v>
      </c>
      <c r="O197" s="19"/>
      <c r="P197" s="19"/>
      <c r="Q197" s="19"/>
      <c r="R197" s="19">
        <v>1</v>
      </c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25" t="s">
        <v>225</v>
      </c>
      <c r="B198" s="25"/>
      <c r="C198" s="19">
        <v>630</v>
      </c>
      <c r="D198" s="19">
        <v>800</v>
      </c>
      <c r="E198" s="19" t="s">
        <v>169</v>
      </c>
      <c r="F198" s="37"/>
      <c r="G198" s="21"/>
      <c r="H198" s="21"/>
      <c r="I198" s="19">
        <f t="shared" ref="I198:I261" si="49">SUM(O198:FH198)</f>
        <v>8</v>
      </c>
      <c r="J198" s="19">
        <f t="shared" si="44"/>
        <v>0</v>
      </c>
      <c r="K198" s="19">
        <f t="shared" si="45"/>
        <v>8</v>
      </c>
      <c r="L198" s="19">
        <f t="shared" si="46"/>
        <v>0</v>
      </c>
      <c r="M198" s="19">
        <f t="shared" si="47"/>
        <v>0</v>
      </c>
      <c r="N198" s="19">
        <f t="shared" si="48"/>
        <v>0</v>
      </c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>
        <v>1</v>
      </c>
      <c r="AG198" s="19"/>
      <c r="AH198" s="19"/>
      <c r="AI198" s="19">
        <v>1</v>
      </c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>
        <v>1</v>
      </c>
      <c r="AV198" s="19"/>
      <c r="AW198" s="19"/>
      <c r="AX198" s="19">
        <v>1</v>
      </c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>
        <v>1</v>
      </c>
      <c r="BP198" s="19"/>
      <c r="BQ198" s="19"/>
      <c r="BR198" s="19">
        <v>1</v>
      </c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>
        <v>1</v>
      </c>
      <c r="CE198" s="19"/>
      <c r="CF198" s="19"/>
      <c r="CG198" s="19">
        <v>1</v>
      </c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25" t="s">
        <v>225</v>
      </c>
      <c r="B199" s="25"/>
      <c r="C199" s="19">
        <v>630</v>
      </c>
      <c r="D199" s="19">
        <v>630</v>
      </c>
      <c r="E199" s="19" t="s">
        <v>169</v>
      </c>
      <c r="F199" s="37"/>
      <c r="G199" s="21"/>
      <c r="H199" s="21"/>
      <c r="I199" s="19">
        <f t="shared" si="49"/>
        <v>4</v>
      </c>
      <c r="J199" s="19">
        <f t="shared" si="44"/>
        <v>0</v>
      </c>
      <c r="K199" s="19">
        <f t="shared" si="45"/>
        <v>4</v>
      </c>
      <c r="L199" s="19">
        <f t="shared" si="46"/>
        <v>0</v>
      </c>
      <c r="M199" s="19">
        <f t="shared" si="47"/>
        <v>0</v>
      </c>
      <c r="N199" s="19">
        <f t="shared" si="48"/>
        <v>0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>
        <v>1</v>
      </c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>
        <v>1</v>
      </c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>
        <v>1</v>
      </c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>
        <v>1</v>
      </c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25" t="s">
        <v>225</v>
      </c>
      <c r="B200" s="25"/>
      <c r="C200" s="19">
        <v>500</v>
      </c>
      <c r="D200" s="19">
        <v>800</v>
      </c>
      <c r="E200" s="19" t="s">
        <v>169</v>
      </c>
      <c r="F200" s="37"/>
      <c r="G200" s="21"/>
      <c r="H200" s="21"/>
      <c r="I200" s="19">
        <f t="shared" si="49"/>
        <v>8</v>
      </c>
      <c r="J200" s="19">
        <f t="shared" si="44"/>
        <v>0</v>
      </c>
      <c r="K200" s="19">
        <f t="shared" si="45"/>
        <v>8</v>
      </c>
      <c r="L200" s="19">
        <f t="shared" si="46"/>
        <v>0</v>
      </c>
      <c r="M200" s="19">
        <f t="shared" si="47"/>
        <v>0</v>
      </c>
      <c r="N200" s="19">
        <f t="shared" si="48"/>
        <v>0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>
        <v>1</v>
      </c>
      <c r="AI200" s="19"/>
      <c r="AJ200" s="19"/>
      <c r="AK200" s="19">
        <v>1</v>
      </c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>
        <v>1</v>
      </c>
      <c r="AX200" s="19"/>
      <c r="AY200" s="19"/>
      <c r="AZ200" s="19">
        <v>1</v>
      </c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>
        <v>1</v>
      </c>
      <c r="BR200" s="19"/>
      <c r="BS200" s="19"/>
      <c r="BT200" s="19">
        <v>1</v>
      </c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>
        <v>1</v>
      </c>
      <c r="CG200" s="19"/>
      <c r="CH200" s="19"/>
      <c r="CI200" s="19">
        <v>1</v>
      </c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25" t="s">
        <v>225</v>
      </c>
      <c r="B201" s="25"/>
      <c r="C201" s="19">
        <v>500</v>
      </c>
      <c r="D201" s="19">
        <v>630</v>
      </c>
      <c r="E201" s="19" t="s">
        <v>169</v>
      </c>
      <c r="F201" s="37"/>
      <c r="G201" s="21"/>
      <c r="H201" s="21"/>
      <c r="I201" s="19">
        <f t="shared" si="49"/>
        <v>4</v>
      </c>
      <c r="J201" s="19">
        <f t="shared" si="44"/>
        <v>0</v>
      </c>
      <c r="K201" s="19">
        <f t="shared" si="45"/>
        <v>4</v>
      </c>
      <c r="L201" s="19">
        <f t="shared" si="46"/>
        <v>0</v>
      </c>
      <c r="M201" s="19">
        <f t="shared" si="47"/>
        <v>0</v>
      </c>
      <c r="N201" s="19">
        <f t="shared" si="48"/>
        <v>0</v>
      </c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>
        <v>1</v>
      </c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>
        <v>1</v>
      </c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>
        <v>1</v>
      </c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>
        <v>1</v>
      </c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25" t="s">
        <v>225</v>
      </c>
      <c r="B202" s="25"/>
      <c r="C202" s="19">
        <v>500</v>
      </c>
      <c r="D202" s="19">
        <v>500</v>
      </c>
      <c r="E202" s="19" t="s">
        <v>169</v>
      </c>
      <c r="F202" s="37"/>
      <c r="G202" s="21"/>
      <c r="H202" s="21"/>
      <c r="I202" s="19">
        <f t="shared" si="49"/>
        <v>5</v>
      </c>
      <c r="J202" s="19">
        <f t="shared" si="44"/>
        <v>0</v>
      </c>
      <c r="K202" s="19">
        <f t="shared" si="45"/>
        <v>0</v>
      </c>
      <c r="L202" s="19">
        <f t="shared" si="46"/>
        <v>0</v>
      </c>
      <c r="M202" s="19">
        <f t="shared" si="47"/>
        <v>4</v>
      </c>
      <c r="N202" s="19">
        <f t="shared" si="48"/>
        <v>1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>
        <v>1</v>
      </c>
      <c r="DC202" s="19">
        <v>1</v>
      </c>
      <c r="DD202" s="19">
        <v>1</v>
      </c>
      <c r="DE202" s="19">
        <v>1</v>
      </c>
      <c r="DF202" s="19"/>
      <c r="DG202" s="19"/>
      <c r="DH202" s="25">
        <v>1</v>
      </c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25" t="s">
        <v>225</v>
      </c>
      <c r="B203" s="25"/>
      <c r="C203" s="19">
        <v>400</v>
      </c>
      <c r="D203" s="19">
        <v>400</v>
      </c>
      <c r="E203" s="19" t="s">
        <v>169</v>
      </c>
      <c r="F203" s="37"/>
      <c r="G203" s="21"/>
      <c r="H203" s="21"/>
      <c r="I203" s="19">
        <f t="shared" si="49"/>
        <v>3</v>
      </c>
      <c r="J203" s="19">
        <f t="shared" si="44"/>
        <v>0</v>
      </c>
      <c r="K203" s="19">
        <f t="shared" si="45"/>
        <v>0</v>
      </c>
      <c r="L203" s="19">
        <f t="shared" si="46"/>
        <v>0</v>
      </c>
      <c r="M203" s="19">
        <f t="shared" si="47"/>
        <v>0</v>
      </c>
      <c r="N203" s="19">
        <f t="shared" si="48"/>
        <v>3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>
        <v>1</v>
      </c>
      <c r="DH203" s="19"/>
      <c r="DI203" s="19"/>
      <c r="DJ203" s="19">
        <v>1</v>
      </c>
      <c r="DK203" s="19"/>
      <c r="DL203" s="19">
        <v>1</v>
      </c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25" t="s">
        <v>225</v>
      </c>
      <c r="B204" s="25"/>
      <c r="C204" s="19">
        <v>320</v>
      </c>
      <c r="D204" s="19">
        <v>120</v>
      </c>
      <c r="E204" s="19" t="s">
        <v>169</v>
      </c>
      <c r="F204" s="38"/>
      <c r="G204" s="21"/>
      <c r="H204" s="21"/>
      <c r="I204" s="19">
        <f t="shared" si="49"/>
        <v>3</v>
      </c>
      <c r="J204" s="19">
        <f t="shared" si="44"/>
        <v>0</v>
      </c>
      <c r="K204" s="19">
        <f t="shared" si="45"/>
        <v>0</v>
      </c>
      <c r="L204" s="19">
        <f t="shared" si="46"/>
        <v>0</v>
      </c>
      <c r="M204" s="19">
        <f t="shared" si="47"/>
        <v>0</v>
      </c>
      <c r="N204" s="19">
        <f t="shared" si="48"/>
        <v>3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25">
        <v>1</v>
      </c>
      <c r="DJ204" s="19"/>
      <c r="DK204" s="25">
        <v>1</v>
      </c>
      <c r="DL204" s="19"/>
      <c r="DM204" s="25">
        <v>1</v>
      </c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 t="s">
        <v>403</v>
      </c>
      <c r="B205" s="19"/>
      <c r="C205" s="19">
        <v>1250</v>
      </c>
      <c r="D205" s="19">
        <v>800</v>
      </c>
      <c r="E205" s="19" t="s">
        <v>169</v>
      </c>
      <c r="F205" s="20"/>
      <c r="G205" s="21"/>
      <c r="H205" s="21"/>
      <c r="I205" s="19">
        <f t="shared" si="49"/>
        <v>1</v>
      </c>
      <c r="J205" s="19">
        <f t="shared" si="44"/>
        <v>1</v>
      </c>
      <c r="K205" s="19">
        <f t="shared" si="45"/>
        <v>0</v>
      </c>
      <c r="L205" s="19">
        <f t="shared" si="46"/>
        <v>0</v>
      </c>
      <c r="M205" s="19">
        <f t="shared" si="47"/>
        <v>0</v>
      </c>
      <c r="N205" s="19">
        <f t="shared" si="48"/>
        <v>0</v>
      </c>
      <c r="O205" s="19"/>
      <c r="P205" s="19"/>
      <c r="Q205" s="19"/>
      <c r="R205" s="19">
        <v>1</v>
      </c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 t="s">
        <v>403</v>
      </c>
      <c r="B206" s="19"/>
      <c r="C206" s="19">
        <v>1100</v>
      </c>
      <c r="D206" s="19">
        <v>1100</v>
      </c>
      <c r="E206" s="19" t="s">
        <v>169</v>
      </c>
      <c r="F206" s="20"/>
      <c r="G206" s="21"/>
      <c r="H206" s="21"/>
      <c r="I206" s="19">
        <f t="shared" si="49"/>
        <v>8</v>
      </c>
      <c r="J206" s="19">
        <f t="shared" si="44"/>
        <v>0</v>
      </c>
      <c r="K206" s="19">
        <f t="shared" si="45"/>
        <v>8</v>
      </c>
      <c r="L206" s="19">
        <f t="shared" si="46"/>
        <v>0</v>
      </c>
      <c r="M206" s="19">
        <f t="shared" si="47"/>
        <v>0</v>
      </c>
      <c r="N206" s="19">
        <f t="shared" si="48"/>
        <v>0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>
        <v>1</v>
      </c>
      <c r="AG206" s="19"/>
      <c r="AH206" s="19"/>
      <c r="AI206" s="19">
        <v>1</v>
      </c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>
        <v>1</v>
      </c>
      <c r="AV206" s="19"/>
      <c r="AW206" s="19"/>
      <c r="AX206" s="19">
        <v>1</v>
      </c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>
        <v>1</v>
      </c>
      <c r="BP206" s="19"/>
      <c r="BQ206" s="19"/>
      <c r="BR206" s="19">
        <v>1</v>
      </c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>
        <v>1</v>
      </c>
      <c r="CE206" s="19"/>
      <c r="CF206" s="19"/>
      <c r="CG206" s="19">
        <v>1</v>
      </c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 t="s">
        <v>403</v>
      </c>
      <c r="B207" s="19"/>
      <c r="C207" s="19">
        <v>1100</v>
      </c>
      <c r="D207" s="19">
        <v>800</v>
      </c>
      <c r="E207" s="19" t="s">
        <v>169</v>
      </c>
      <c r="F207" s="20"/>
      <c r="G207" s="21"/>
      <c r="H207" s="21"/>
      <c r="I207" s="19">
        <f t="shared" si="49"/>
        <v>16</v>
      </c>
      <c r="J207" s="19">
        <f t="shared" si="44"/>
        <v>0</v>
      </c>
      <c r="K207" s="19">
        <f t="shared" si="45"/>
        <v>16</v>
      </c>
      <c r="L207" s="19">
        <f t="shared" si="46"/>
        <v>0</v>
      </c>
      <c r="M207" s="19">
        <f t="shared" si="47"/>
        <v>0</v>
      </c>
      <c r="N207" s="19">
        <f t="shared" si="48"/>
        <v>0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>
        <v>1</v>
      </c>
      <c r="AH207" s="19">
        <v>1</v>
      </c>
      <c r="AI207" s="19"/>
      <c r="AJ207" s="19">
        <v>1</v>
      </c>
      <c r="AK207" s="19">
        <v>1</v>
      </c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>
        <v>1</v>
      </c>
      <c r="AW207" s="19">
        <v>1</v>
      </c>
      <c r="AX207" s="19"/>
      <c r="AY207" s="19">
        <v>1</v>
      </c>
      <c r="AZ207" s="19">
        <v>1</v>
      </c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>
        <v>1</v>
      </c>
      <c r="BQ207" s="19">
        <v>1</v>
      </c>
      <c r="BR207" s="19"/>
      <c r="BS207" s="19">
        <v>1</v>
      </c>
      <c r="BT207" s="19">
        <v>1</v>
      </c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>
        <v>1</v>
      </c>
      <c r="CF207" s="19">
        <v>1</v>
      </c>
      <c r="CG207" s="19"/>
      <c r="CH207" s="19">
        <v>1</v>
      </c>
      <c r="CI207" s="19">
        <v>1</v>
      </c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 t="s">
        <v>403</v>
      </c>
      <c r="B208" s="19"/>
      <c r="C208" s="19">
        <v>800</v>
      </c>
      <c r="D208" s="19">
        <v>1000</v>
      </c>
      <c r="E208" s="19" t="s">
        <v>169</v>
      </c>
      <c r="F208" s="20"/>
      <c r="G208" s="21"/>
      <c r="H208" s="21"/>
      <c r="I208" s="19">
        <f t="shared" si="49"/>
        <v>1</v>
      </c>
      <c r="J208" s="19">
        <f t="shared" si="44"/>
        <v>1</v>
      </c>
      <c r="K208" s="19">
        <f t="shared" si="45"/>
        <v>0</v>
      </c>
      <c r="L208" s="19">
        <f t="shared" si="46"/>
        <v>0</v>
      </c>
      <c r="M208" s="19">
        <f t="shared" si="47"/>
        <v>0</v>
      </c>
      <c r="N208" s="19">
        <f t="shared" si="48"/>
        <v>0</v>
      </c>
      <c r="O208" s="19"/>
      <c r="P208" s="19"/>
      <c r="Q208" s="19">
        <v>1</v>
      </c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 t="s">
        <v>403</v>
      </c>
      <c r="B209" s="19"/>
      <c r="C209" s="19">
        <v>500</v>
      </c>
      <c r="D209" s="19">
        <v>700</v>
      </c>
      <c r="E209" s="19" t="s">
        <v>169</v>
      </c>
      <c r="F209" s="20"/>
      <c r="G209" s="21"/>
      <c r="H209" s="21"/>
      <c r="I209" s="19">
        <f t="shared" si="49"/>
        <v>1</v>
      </c>
      <c r="J209" s="19">
        <f t="shared" si="44"/>
        <v>0</v>
      </c>
      <c r="K209" s="19">
        <f t="shared" si="45"/>
        <v>0</v>
      </c>
      <c r="L209" s="19">
        <f t="shared" si="46"/>
        <v>1</v>
      </c>
      <c r="M209" s="19">
        <f t="shared" si="47"/>
        <v>0</v>
      </c>
      <c r="N209" s="19">
        <f t="shared" si="48"/>
        <v>0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>
        <v>1</v>
      </c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 t="s">
        <v>404</v>
      </c>
      <c r="B210" s="19"/>
      <c r="C210" s="19">
        <v>1250</v>
      </c>
      <c r="D210" s="19">
        <v>1000</v>
      </c>
      <c r="E210" s="19" t="s">
        <v>169</v>
      </c>
      <c r="F210" s="20"/>
      <c r="G210" s="21"/>
      <c r="H210" s="21"/>
      <c r="I210" s="19">
        <f t="shared" si="49"/>
        <v>2</v>
      </c>
      <c r="J210" s="19">
        <f t="shared" si="44"/>
        <v>0</v>
      </c>
      <c r="K210" s="19">
        <f t="shared" si="45"/>
        <v>0</v>
      </c>
      <c r="L210" s="19">
        <f t="shared" si="46"/>
        <v>0</v>
      </c>
      <c r="M210" s="19">
        <f t="shared" si="47"/>
        <v>2</v>
      </c>
      <c r="N210" s="19">
        <f t="shared" si="48"/>
        <v>0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>
        <v>1</v>
      </c>
      <c r="DD210" s="19">
        <v>1</v>
      </c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 t="s">
        <v>404</v>
      </c>
      <c r="B211" s="19"/>
      <c r="C211" s="19">
        <v>800</v>
      </c>
      <c r="D211" s="19">
        <v>1300</v>
      </c>
      <c r="E211" s="19" t="s">
        <v>169</v>
      </c>
      <c r="F211" s="20"/>
      <c r="G211" s="21"/>
      <c r="H211" s="21"/>
      <c r="I211" s="19">
        <f t="shared" si="49"/>
        <v>2</v>
      </c>
      <c r="J211" s="19">
        <f t="shared" si="44"/>
        <v>0</v>
      </c>
      <c r="K211" s="19">
        <f t="shared" si="45"/>
        <v>0</v>
      </c>
      <c r="L211" s="19">
        <f t="shared" si="46"/>
        <v>0</v>
      </c>
      <c r="M211" s="19">
        <f t="shared" si="47"/>
        <v>0</v>
      </c>
      <c r="N211" s="19">
        <f t="shared" si="48"/>
        <v>2</v>
      </c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>
        <v>1</v>
      </c>
      <c r="DJ211" s="19"/>
      <c r="DK211" s="19"/>
      <c r="DL211" s="19"/>
      <c r="DM211" s="19">
        <v>1</v>
      </c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 t="s">
        <v>404</v>
      </c>
      <c r="B212" s="19"/>
      <c r="C212" s="19">
        <v>800</v>
      </c>
      <c r="D212" s="19">
        <v>1250</v>
      </c>
      <c r="E212" s="19" t="s">
        <v>169</v>
      </c>
      <c r="F212" s="20"/>
      <c r="G212" s="21"/>
      <c r="H212" s="21"/>
      <c r="I212" s="19">
        <f t="shared" si="49"/>
        <v>2</v>
      </c>
      <c r="J212" s="19">
        <f t="shared" si="44"/>
        <v>2</v>
      </c>
      <c r="K212" s="19">
        <f t="shared" si="45"/>
        <v>0</v>
      </c>
      <c r="L212" s="19">
        <f t="shared" si="46"/>
        <v>0</v>
      </c>
      <c r="M212" s="19">
        <f t="shared" si="47"/>
        <v>0</v>
      </c>
      <c r="N212" s="19">
        <f t="shared" si="48"/>
        <v>0</v>
      </c>
      <c r="O212" s="19"/>
      <c r="P212" s="19"/>
      <c r="Q212" s="19"/>
      <c r="R212" s="19">
        <v>2</v>
      </c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 t="s">
        <v>404</v>
      </c>
      <c r="B213" s="19"/>
      <c r="C213" s="19">
        <v>800</v>
      </c>
      <c r="D213" s="19">
        <v>600</v>
      </c>
      <c r="E213" s="19" t="s">
        <v>169</v>
      </c>
      <c r="F213" s="20"/>
      <c r="G213" s="21"/>
      <c r="H213" s="21"/>
      <c r="I213" s="19">
        <f t="shared" si="49"/>
        <v>3</v>
      </c>
      <c r="J213" s="19">
        <f t="shared" si="44"/>
        <v>0</v>
      </c>
      <c r="K213" s="19">
        <f t="shared" si="45"/>
        <v>0</v>
      </c>
      <c r="L213" s="19">
        <f t="shared" si="46"/>
        <v>0</v>
      </c>
      <c r="M213" s="19">
        <f t="shared" si="47"/>
        <v>3</v>
      </c>
      <c r="N213" s="19">
        <f t="shared" si="48"/>
        <v>0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>
        <v>3</v>
      </c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 t="s">
        <v>404</v>
      </c>
      <c r="B214" s="19"/>
      <c r="C214" s="19">
        <v>800</v>
      </c>
      <c r="D214" s="19">
        <v>630</v>
      </c>
      <c r="E214" s="19" t="s">
        <v>169</v>
      </c>
      <c r="F214" s="20"/>
      <c r="G214" s="21"/>
      <c r="H214" s="21"/>
      <c r="I214" s="19">
        <f t="shared" si="49"/>
        <v>32</v>
      </c>
      <c r="J214" s="19">
        <f t="shared" si="44"/>
        <v>0</v>
      </c>
      <c r="K214" s="19">
        <f t="shared" si="45"/>
        <v>32</v>
      </c>
      <c r="L214" s="19">
        <f t="shared" si="46"/>
        <v>0</v>
      </c>
      <c r="M214" s="19">
        <f t="shared" si="47"/>
        <v>0</v>
      </c>
      <c r="N214" s="19">
        <f t="shared" si="48"/>
        <v>0</v>
      </c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>
        <v>4</v>
      </c>
      <c r="AG214" s="19"/>
      <c r="AH214" s="19"/>
      <c r="AI214" s="19">
        <v>4</v>
      </c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>
        <v>4</v>
      </c>
      <c r="AV214" s="19"/>
      <c r="AW214" s="19"/>
      <c r="AX214" s="19">
        <v>4</v>
      </c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>
        <v>4</v>
      </c>
      <c r="BP214" s="19"/>
      <c r="BQ214" s="19"/>
      <c r="BR214" s="19">
        <v>4</v>
      </c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>
        <v>4</v>
      </c>
      <c r="CE214" s="19"/>
      <c r="CF214" s="19"/>
      <c r="CG214" s="19">
        <v>4</v>
      </c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 t="s">
        <v>404</v>
      </c>
      <c r="B215" s="19"/>
      <c r="C215" s="19">
        <v>700</v>
      </c>
      <c r="D215" s="19">
        <v>500</v>
      </c>
      <c r="E215" s="19" t="s">
        <v>169</v>
      </c>
      <c r="F215" s="20"/>
      <c r="G215" s="21"/>
      <c r="H215" s="21"/>
      <c r="I215" s="19">
        <f t="shared" si="49"/>
        <v>4</v>
      </c>
      <c r="J215" s="19">
        <f t="shared" si="44"/>
        <v>0</v>
      </c>
      <c r="K215" s="19">
        <f t="shared" si="45"/>
        <v>0</v>
      </c>
      <c r="L215" s="19">
        <f t="shared" si="46"/>
        <v>0</v>
      </c>
      <c r="M215" s="19">
        <f t="shared" si="47"/>
        <v>4</v>
      </c>
      <c r="N215" s="19">
        <f t="shared" si="48"/>
        <v>0</v>
      </c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>
        <v>4</v>
      </c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 t="s">
        <v>404</v>
      </c>
      <c r="B216" s="19"/>
      <c r="C216" s="19">
        <v>630</v>
      </c>
      <c r="D216" s="19">
        <v>1600</v>
      </c>
      <c r="E216" s="19" t="s">
        <v>169</v>
      </c>
      <c r="F216" s="20"/>
      <c r="G216" s="21"/>
      <c r="H216" s="21"/>
      <c r="I216" s="19">
        <f t="shared" si="49"/>
        <v>1</v>
      </c>
      <c r="J216" s="19">
        <f t="shared" si="44"/>
        <v>0</v>
      </c>
      <c r="K216" s="19">
        <f t="shared" si="45"/>
        <v>0</v>
      </c>
      <c r="L216" s="19">
        <f t="shared" si="46"/>
        <v>0</v>
      </c>
      <c r="M216" s="19">
        <f t="shared" si="47"/>
        <v>0</v>
      </c>
      <c r="N216" s="19">
        <f t="shared" si="48"/>
        <v>1</v>
      </c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>
        <v>1</v>
      </c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 t="s">
        <v>404</v>
      </c>
      <c r="B217" s="19"/>
      <c r="C217" s="19">
        <v>600</v>
      </c>
      <c r="D217" s="19">
        <v>1500</v>
      </c>
      <c r="E217" s="19" t="s">
        <v>169</v>
      </c>
      <c r="F217" s="20"/>
      <c r="G217" s="21"/>
      <c r="H217" s="21"/>
      <c r="I217" s="19">
        <f t="shared" si="49"/>
        <v>4</v>
      </c>
      <c r="J217" s="19">
        <f t="shared" si="44"/>
        <v>0</v>
      </c>
      <c r="K217" s="19">
        <f t="shared" si="45"/>
        <v>0</v>
      </c>
      <c r="L217" s="19">
        <f t="shared" si="46"/>
        <v>0</v>
      </c>
      <c r="M217" s="19">
        <f t="shared" si="47"/>
        <v>0</v>
      </c>
      <c r="N217" s="19">
        <f t="shared" si="48"/>
        <v>4</v>
      </c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>
        <v>2</v>
      </c>
      <c r="DH217" s="19"/>
      <c r="DI217" s="19"/>
      <c r="DJ217" s="19"/>
      <c r="DK217" s="19">
        <v>2</v>
      </c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 t="s">
        <v>404</v>
      </c>
      <c r="B218" s="19"/>
      <c r="C218" s="19">
        <v>600</v>
      </c>
      <c r="D218" s="19">
        <v>1000</v>
      </c>
      <c r="E218" s="19" t="s">
        <v>169</v>
      </c>
      <c r="F218" s="20"/>
      <c r="G218" s="21"/>
      <c r="H218" s="21"/>
      <c r="I218" s="19">
        <f t="shared" si="49"/>
        <v>3</v>
      </c>
      <c r="J218" s="19">
        <f t="shared" si="44"/>
        <v>3</v>
      </c>
      <c r="K218" s="19">
        <f t="shared" si="45"/>
        <v>0</v>
      </c>
      <c r="L218" s="19">
        <f t="shared" si="46"/>
        <v>0</v>
      </c>
      <c r="M218" s="19">
        <f t="shared" si="47"/>
        <v>0</v>
      </c>
      <c r="N218" s="19">
        <f t="shared" si="48"/>
        <v>0</v>
      </c>
      <c r="O218" s="19"/>
      <c r="P218" s="19"/>
      <c r="Q218" s="19">
        <v>3</v>
      </c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 t="s">
        <v>404</v>
      </c>
      <c r="B219" s="19"/>
      <c r="C219" s="19">
        <v>500</v>
      </c>
      <c r="D219" s="19">
        <v>1000</v>
      </c>
      <c r="E219" s="19" t="s">
        <v>169</v>
      </c>
      <c r="F219" s="20"/>
      <c r="G219" s="21"/>
      <c r="H219" s="21"/>
      <c r="I219" s="19">
        <f t="shared" si="49"/>
        <v>24</v>
      </c>
      <c r="J219" s="19">
        <f t="shared" si="44"/>
        <v>0</v>
      </c>
      <c r="K219" s="19">
        <f t="shared" si="45"/>
        <v>16</v>
      </c>
      <c r="L219" s="19">
        <f t="shared" si="46"/>
        <v>6</v>
      </c>
      <c r="M219" s="19">
        <f t="shared" si="47"/>
        <v>0</v>
      </c>
      <c r="N219" s="19">
        <f t="shared" si="48"/>
        <v>2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>
        <v>2</v>
      </c>
      <c r="AH219" s="19"/>
      <c r="AI219" s="19"/>
      <c r="AJ219" s="19">
        <v>2</v>
      </c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>
        <v>2</v>
      </c>
      <c r="AW219" s="19"/>
      <c r="AX219" s="19"/>
      <c r="AY219" s="19">
        <v>2</v>
      </c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>
        <v>2</v>
      </c>
      <c r="BQ219" s="19"/>
      <c r="BR219" s="19"/>
      <c r="BS219" s="19">
        <v>2</v>
      </c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>
        <v>2</v>
      </c>
      <c r="CF219" s="19"/>
      <c r="CG219" s="19"/>
      <c r="CH219" s="19">
        <v>2</v>
      </c>
      <c r="CI219" s="19"/>
      <c r="CJ219" s="19"/>
      <c r="CK219" s="19"/>
      <c r="CL219" s="19"/>
      <c r="CM219" s="19"/>
      <c r="CN219" s="19"/>
      <c r="CO219" s="19"/>
      <c r="CP219" s="19"/>
      <c r="CQ219" s="19">
        <v>2</v>
      </c>
      <c r="CR219" s="19">
        <v>1</v>
      </c>
      <c r="CS219" s="19">
        <v>2</v>
      </c>
      <c r="CT219" s="19">
        <v>1</v>
      </c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>
        <v>2</v>
      </c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 t="s">
        <v>404</v>
      </c>
      <c r="B220" s="19"/>
      <c r="C220" s="19">
        <v>400</v>
      </c>
      <c r="D220" s="19">
        <v>1600</v>
      </c>
      <c r="E220" s="19" t="s">
        <v>169</v>
      </c>
      <c r="F220" s="20"/>
      <c r="G220" s="21"/>
      <c r="H220" s="21"/>
      <c r="I220" s="19">
        <f t="shared" si="49"/>
        <v>2</v>
      </c>
      <c r="J220" s="19">
        <f t="shared" si="44"/>
        <v>0</v>
      </c>
      <c r="K220" s="19">
        <f t="shared" si="45"/>
        <v>0</v>
      </c>
      <c r="L220" s="19">
        <f t="shared" si="46"/>
        <v>0</v>
      </c>
      <c r="M220" s="19">
        <f t="shared" si="47"/>
        <v>0</v>
      </c>
      <c r="N220" s="19">
        <f t="shared" si="48"/>
        <v>2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>
        <v>2</v>
      </c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 t="s">
        <v>405</v>
      </c>
      <c r="B221" s="19"/>
      <c r="C221" s="39" t="s">
        <v>406</v>
      </c>
      <c r="D221" s="39"/>
      <c r="E221" s="19" t="s">
        <v>169</v>
      </c>
      <c r="F221" s="20"/>
      <c r="G221" s="21"/>
      <c r="H221" s="21"/>
      <c r="I221" s="19">
        <f t="shared" si="49"/>
        <v>48</v>
      </c>
      <c r="J221" s="19">
        <f t="shared" si="44"/>
        <v>0</v>
      </c>
      <c r="K221" s="19">
        <f t="shared" si="45"/>
        <v>48</v>
      </c>
      <c r="L221" s="19">
        <f t="shared" si="46"/>
        <v>0</v>
      </c>
      <c r="M221" s="19">
        <f t="shared" si="47"/>
        <v>0</v>
      </c>
      <c r="N221" s="19">
        <f t="shared" si="48"/>
        <v>0</v>
      </c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>
        <v>12</v>
      </c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>
        <v>12</v>
      </c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>
        <v>12</v>
      </c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>
        <v>12</v>
      </c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 t="s">
        <v>405</v>
      </c>
      <c r="B222" s="19"/>
      <c r="C222" s="39" t="s">
        <v>407</v>
      </c>
      <c r="D222" s="39"/>
      <c r="E222" s="19" t="s">
        <v>169</v>
      </c>
      <c r="F222" s="20"/>
      <c r="G222" s="21"/>
      <c r="H222" s="21"/>
      <c r="I222" s="19">
        <f t="shared" si="49"/>
        <v>3</v>
      </c>
      <c r="J222" s="19">
        <f t="shared" si="44"/>
        <v>3</v>
      </c>
      <c r="K222" s="19">
        <f t="shared" si="45"/>
        <v>0</v>
      </c>
      <c r="L222" s="19">
        <f t="shared" si="46"/>
        <v>0</v>
      </c>
      <c r="M222" s="19">
        <f t="shared" si="47"/>
        <v>0</v>
      </c>
      <c r="N222" s="19">
        <f t="shared" si="48"/>
        <v>0</v>
      </c>
      <c r="O222" s="19"/>
      <c r="P222" s="19"/>
      <c r="Q222" s="19"/>
      <c r="R222" s="19">
        <v>3</v>
      </c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 t="s">
        <v>405</v>
      </c>
      <c r="B223" s="19"/>
      <c r="C223" s="39" t="s">
        <v>408</v>
      </c>
      <c r="D223" s="39"/>
      <c r="E223" s="19" t="s">
        <v>169</v>
      </c>
      <c r="F223" s="20"/>
      <c r="G223" s="21"/>
      <c r="H223" s="21"/>
      <c r="I223" s="19">
        <f t="shared" si="49"/>
        <v>48</v>
      </c>
      <c r="J223" s="19">
        <f t="shared" si="44"/>
        <v>0</v>
      </c>
      <c r="K223" s="19">
        <f t="shared" si="45"/>
        <v>48</v>
      </c>
      <c r="L223" s="19">
        <f t="shared" si="46"/>
        <v>0</v>
      </c>
      <c r="M223" s="19">
        <f t="shared" si="47"/>
        <v>0</v>
      </c>
      <c r="N223" s="19">
        <f t="shared" si="48"/>
        <v>0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>
        <v>12</v>
      </c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>
        <v>12</v>
      </c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>
        <v>12</v>
      </c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>
        <v>12</v>
      </c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 t="s">
        <v>409</v>
      </c>
      <c r="B224" s="19"/>
      <c r="C224" s="19">
        <v>1900</v>
      </c>
      <c r="D224" s="19">
        <v>700</v>
      </c>
      <c r="E224" s="19" t="s">
        <v>169</v>
      </c>
      <c r="F224" s="20"/>
      <c r="G224" s="21"/>
      <c r="H224" s="21"/>
      <c r="I224" s="19">
        <f t="shared" si="49"/>
        <v>1</v>
      </c>
      <c r="J224" s="19">
        <f t="shared" si="44"/>
        <v>0</v>
      </c>
      <c r="K224" s="19">
        <f t="shared" si="45"/>
        <v>0</v>
      </c>
      <c r="L224" s="19">
        <f t="shared" si="46"/>
        <v>1</v>
      </c>
      <c r="M224" s="19">
        <f t="shared" si="47"/>
        <v>0</v>
      </c>
      <c r="N224" s="19">
        <f t="shared" si="48"/>
        <v>0</v>
      </c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>
        <v>1</v>
      </c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 t="s">
        <v>409</v>
      </c>
      <c r="B225" s="19"/>
      <c r="C225" s="19">
        <v>1700</v>
      </c>
      <c r="D225" s="19">
        <v>350</v>
      </c>
      <c r="E225" s="19" t="s">
        <v>169</v>
      </c>
      <c r="F225" s="20"/>
      <c r="G225" s="21"/>
      <c r="H225" s="21"/>
      <c r="I225" s="19">
        <f t="shared" si="49"/>
        <v>1</v>
      </c>
      <c r="J225" s="19">
        <f t="shared" si="44"/>
        <v>0</v>
      </c>
      <c r="K225" s="19">
        <f t="shared" si="45"/>
        <v>0</v>
      </c>
      <c r="L225" s="19">
        <f t="shared" si="46"/>
        <v>0</v>
      </c>
      <c r="M225" s="19">
        <f t="shared" si="47"/>
        <v>1</v>
      </c>
      <c r="N225" s="19">
        <f t="shared" si="48"/>
        <v>0</v>
      </c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>
        <v>1</v>
      </c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 t="s">
        <v>409</v>
      </c>
      <c r="B226" s="19"/>
      <c r="C226" s="19">
        <v>1200</v>
      </c>
      <c r="D226" s="19">
        <v>500</v>
      </c>
      <c r="E226" s="19" t="s">
        <v>169</v>
      </c>
      <c r="F226" s="20"/>
      <c r="G226" s="21"/>
      <c r="H226" s="21"/>
      <c r="I226" s="19">
        <f t="shared" si="49"/>
        <v>2</v>
      </c>
      <c r="J226" s="19">
        <f t="shared" si="44"/>
        <v>0</v>
      </c>
      <c r="K226" s="19">
        <f t="shared" si="45"/>
        <v>0</v>
      </c>
      <c r="L226" s="19">
        <f t="shared" si="46"/>
        <v>0</v>
      </c>
      <c r="M226" s="19">
        <f t="shared" si="47"/>
        <v>0</v>
      </c>
      <c r="N226" s="19">
        <f t="shared" si="48"/>
        <v>2</v>
      </c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>
        <v>2</v>
      </c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 t="s">
        <v>409</v>
      </c>
      <c r="B227" s="19"/>
      <c r="C227" s="19">
        <v>900</v>
      </c>
      <c r="D227" s="19">
        <v>400</v>
      </c>
      <c r="E227" s="19" t="s">
        <v>169</v>
      </c>
      <c r="F227" s="20"/>
      <c r="G227" s="21"/>
      <c r="H227" s="21"/>
      <c r="I227" s="19">
        <f t="shared" si="49"/>
        <v>2</v>
      </c>
      <c r="J227" s="19">
        <f t="shared" si="44"/>
        <v>0</v>
      </c>
      <c r="K227" s="19">
        <f t="shared" si="45"/>
        <v>0</v>
      </c>
      <c r="L227" s="19">
        <f t="shared" si="46"/>
        <v>0</v>
      </c>
      <c r="M227" s="19">
        <f t="shared" si="47"/>
        <v>0</v>
      </c>
      <c r="N227" s="19">
        <f t="shared" si="48"/>
        <v>2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>
        <v>2</v>
      </c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 t="s">
        <v>409</v>
      </c>
      <c r="B228" s="19"/>
      <c r="C228" s="19">
        <v>800</v>
      </c>
      <c r="D228" s="19">
        <v>600</v>
      </c>
      <c r="E228" s="19" t="s">
        <v>169</v>
      </c>
      <c r="F228" s="20"/>
      <c r="G228" s="21"/>
      <c r="H228" s="21"/>
      <c r="I228" s="19">
        <f t="shared" si="49"/>
        <v>4</v>
      </c>
      <c r="J228" s="19">
        <f t="shared" si="44"/>
        <v>0</v>
      </c>
      <c r="K228" s="19">
        <f t="shared" si="45"/>
        <v>0</v>
      </c>
      <c r="L228" s="19">
        <f t="shared" si="46"/>
        <v>4</v>
      </c>
      <c r="M228" s="19">
        <f t="shared" si="47"/>
        <v>0</v>
      </c>
      <c r="N228" s="19">
        <f t="shared" si="48"/>
        <v>0</v>
      </c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>
        <v>4</v>
      </c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 t="s">
        <v>409</v>
      </c>
      <c r="B229" s="19"/>
      <c r="C229" s="19">
        <v>400</v>
      </c>
      <c r="D229" s="19">
        <v>300</v>
      </c>
      <c r="E229" s="19" t="s">
        <v>169</v>
      </c>
      <c r="F229" s="20"/>
      <c r="G229" s="21"/>
      <c r="H229" s="21"/>
      <c r="I229" s="19">
        <f t="shared" si="49"/>
        <v>21</v>
      </c>
      <c r="J229" s="19">
        <f t="shared" si="44"/>
        <v>0</v>
      </c>
      <c r="K229" s="19">
        <f t="shared" si="45"/>
        <v>0</v>
      </c>
      <c r="L229" s="19">
        <f t="shared" si="46"/>
        <v>8</v>
      </c>
      <c r="M229" s="19">
        <f t="shared" si="47"/>
        <v>0</v>
      </c>
      <c r="N229" s="19">
        <f t="shared" si="48"/>
        <v>13</v>
      </c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>
        <v>2</v>
      </c>
      <c r="CK229" s="19">
        <v>2</v>
      </c>
      <c r="CL229" s="19">
        <v>2</v>
      </c>
      <c r="CM229" s="19">
        <v>2</v>
      </c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>
        <v>2</v>
      </c>
      <c r="DR229" s="19"/>
      <c r="DS229" s="19"/>
      <c r="DT229" s="19"/>
      <c r="DU229" s="19">
        <v>3</v>
      </c>
      <c r="DV229" s="19">
        <v>2</v>
      </c>
      <c r="DW229" s="19">
        <v>3</v>
      </c>
      <c r="DX229" s="19"/>
      <c r="DY229" s="19"/>
      <c r="DZ229" s="19"/>
      <c r="EA229" s="19"/>
      <c r="EB229" s="19"/>
      <c r="EC229" s="19">
        <v>3</v>
      </c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 t="s">
        <v>409</v>
      </c>
      <c r="B230" s="19"/>
      <c r="C230" s="19">
        <v>200</v>
      </c>
      <c r="D230" s="19">
        <v>200</v>
      </c>
      <c r="E230" s="19" t="s">
        <v>169</v>
      </c>
      <c r="F230" s="20"/>
      <c r="G230" s="21"/>
      <c r="H230" s="21"/>
      <c r="I230" s="19">
        <f t="shared" si="49"/>
        <v>160</v>
      </c>
      <c r="J230" s="19">
        <f t="shared" si="44"/>
        <v>0</v>
      </c>
      <c r="K230" s="19">
        <f t="shared" si="45"/>
        <v>160</v>
      </c>
      <c r="L230" s="19">
        <f t="shared" si="46"/>
        <v>0</v>
      </c>
      <c r="M230" s="19">
        <f t="shared" si="47"/>
        <v>0</v>
      </c>
      <c r="N230" s="19">
        <f t="shared" si="48"/>
        <v>0</v>
      </c>
      <c r="O230" s="19"/>
      <c r="P230" s="19"/>
      <c r="Q230" s="19"/>
      <c r="R230" s="19"/>
      <c r="S230" s="19">
        <v>4</v>
      </c>
      <c r="T230" s="19">
        <v>4</v>
      </c>
      <c r="U230" s="19">
        <v>4</v>
      </c>
      <c r="V230" s="19">
        <v>4</v>
      </c>
      <c r="W230" s="19">
        <v>4</v>
      </c>
      <c r="X230" s="19">
        <v>4</v>
      </c>
      <c r="Y230" s="19">
        <v>4</v>
      </c>
      <c r="Z230" s="19">
        <v>4</v>
      </c>
      <c r="AA230" s="19">
        <v>4</v>
      </c>
      <c r="AB230" s="19">
        <v>4</v>
      </c>
      <c r="AC230" s="19">
        <v>4</v>
      </c>
      <c r="AD230" s="19">
        <v>4</v>
      </c>
      <c r="AE230" s="19"/>
      <c r="AF230" s="19"/>
      <c r="AG230" s="19"/>
      <c r="AH230" s="19"/>
      <c r="AI230" s="19"/>
      <c r="AJ230" s="19"/>
      <c r="AK230" s="19"/>
      <c r="AL230" s="19">
        <v>4</v>
      </c>
      <c r="AM230" s="19">
        <v>4</v>
      </c>
      <c r="AN230" s="19">
        <v>4</v>
      </c>
      <c r="AO230" s="19">
        <v>4</v>
      </c>
      <c r="AP230" s="19">
        <v>4</v>
      </c>
      <c r="AQ230" s="19">
        <v>4</v>
      </c>
      <c r="AR230" s="19">
        <v>4</v>
      </c>
      <c r="AS230" s="19">
        <v>4</v>
      </c>
      <c r="AT230" s="19"/>
      <c r="AU230" s="19"/>
      <c r="AV230" s="19"/>
      <c r="AW230" s="19"/>
      <c r="AX230" s="19"/>
      <c r="AY230" s="19"/>
      <c r="AZ230" s="19"/>
      <c r="BA230" s="19">
        <v>4</v>
      </c>
      <c r="BB230" s="19">
        <v>4</v>
      </c>
      <c r="BC230" s="19">
        <v>4</v>
      </c>
      <c r="BD230" s="19">
        <v>4</v>
      </c>
      <c r="BE230" s="19"/>
      <c r="BF230" s="19">
        <v>4</v>
      </c>
      <c r="BG230" s="19">
        <v>4</v>
      </c>
      <c r="BH230" s="19">
        <v>4</v>
      </c>
      <c r="BI230" s="19">
        <v>4</v>
      </c>
      <c r="BJ230" s="19">
        <v>4</v>
      </c>
      <c r="BK230" s="19">
        <v>4</v>
      </c>
      <c r="BL230" s="19">
        <v>4</v>
      </c>
      <c r="BM230" s="19">
        <v>4</v>
      </c>
      <c r="BN230" s="19"/>
      <c r="BO230" s="19"/>
      <c r="BP230" s="19"/>
      <c r="BQ230" s="19"/>
      <c r="BR230" s="19"/>
      <c r="BS230" s="19"/>
      <c r="BT230" s="19"/>
      <c r="BU230" s="19">
        <v>4</v>
      </c>
      <c r="BV230" s="19">
        <v>4</v>
      </c>
      <c r="BW230" s="19">
        <v>4</v>
      </c>
      <c r="BX230" s="19">
        <v>4</v>
      </c>
      <c r="BY230" s="19">
        <v>4</v>
      </c>
      <c r="BZ230" s="19">
        <v>4</v>
      </c>
      <c r="CA230" s="19">
        <v>4</v>
      </c>
      <c r="CB230" s="19">
        <v>4</v>
      </c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 t="s">
        <v>237</v>
      </c>
      <c r="B231" s="19"/>
      <c r="C231" s="19">
        <v>800</v>
      </c>
      <c r="D231" s="19">
        <v>500</v>
      </c>
      <c r="E231" s="19" t="s">
        <v>169</v>
      </c>
      <c r="F231" s="20"/>
      <c r="G231" s="21"/>
      <c r="H231" s="21"/>
      <c r="I231" s="19">
        <f t="shared" si="49"/>
        <v>1</v>
      </c>
      <c r="J231" s="19">
        <f t="shared" si="44"/>
        <v>0</v>
      </c>
      <c r="K231" s="19">
        <f t="shared" si="45"/>
        <v>1</v>
      </c>
      <c r="L231" s="19">
        <f t="shared" si="46"/>
        <v>0</v>
      </c>
      <c r="M231" s="19">
        <f t="shared" si="47"/>
        <v>0</v>
      </c>
      <c r="N231" s="19">
        <f t="shared" si="48"/>
        <v>0</v>
      </c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>
        <v>1</v>
      </c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 t="s">
        <v>410</v>
      </c>
      <c r="B232" s="19"/>
      <c r="C232" s="39" t="s">
        <v>411</v>
      </c>
      <c r="D232" s="39"/>
      <c r="E232" s="19" t="s">
        <v>169</v>
      </c>
      <c r="F232" s="20"/>
      <c r="G232" s="21"/>
      <c r="H232" s="21"/>
      <c r="I232" s="19">
        <f t="shared" si="49"/>
        <v>3</v>
      </c>
      <c r="J232" s="19">
        <f t="shared" si="44"/>
        <v>0</v>
      </c>
      <c r="K232" s="19">
        <f t="shared" si="45"/>
        <v>0</v>
      </c>
      <c r="L232" s="19">
        <f t="shared" si="46"/>
        <v>0</v>
      </c>
      <c r="M232" s="19">
        <f t="shared" si="47"/>
        <v>3</v>
      </c>
      <c r="N232" s="19">
        <f t="shared" si="48"/>
        <v>0</v>
      </c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>
        <v>3</v>
      </c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 t="s">
        <v>239</v>
      </c>
      <c r="B233" s="19"/>
      <c r="C233" s="19">
        <v>1350</v>
      </c>
      <c r="D233" s="19">
        <v>1100</v>
      </c>
      <c r="E233" s="19" t="s">
        <v>169</v>
      </c>
      <c r="F233" s="20"/>
      <c r="G233" s="21"/>
      <c r="H233" s="21"/>
      <c r="I233" s="19">
        <f t="shared" si="49"/>
        <v>1</v>
      </c>
      <c r="J233" s="19">
        <f t="shared" si="44"/>
        <v>0</v>
      </c>
      <c r="K233" s="19">
        <f t="shared" si="45"/>
        <v>0</v>
      </c>
      <c r="L233" s="19">
        <f t="shared" si="46"/>
        <v>0</v>
      </c>
      <c r="M233" s="19">
        <f t="shared" si="47"/>
        <v>0</v>
      </c>
      <c r="N233" s="19">
        <f t="shared" si="48"/>
        <v>1</v>
      </c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>
        <v>1</v>
      </c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 t="s">
        <v>239</v>
      </c>
      <c r="B234" s="19"/>
      <c r="C234" s="19">
        <v>1350</v>
      </c>
      <c r="D234" s="19">
        <v>900</v>
      </c>
      <c r="E234" s="19" t="s">
        <v>169</v>
      </c>
      <c r="F234" s="20"/>
      <c r="G234" s="21"/>
      <c r="H234" s="21"/>
      <c r="I234" s="19">
        <f t="shared" si="49"/>
        <v>2</v>
      </c>
      <c r="J234" s="19">
        <f t="shared" si="44"/>
        <v>1</v>
      </c>
      <c r="K234" s="19">
        <f t="shared" si="45"/>
        <v>0</v>
      </c>
      <c r="L234" s="19">
        <f t="shared" si="46"/>
        <v>0</v>
      </c>
      <c r="M234" s="19">
        <f t="shared" si="47"/>
        <v>0</v>
      </c>
      <c r="N234" s="19">
        <f t="shared" si="48"/>
        <v>1</v>
      </c>
      <c r="O234" s="19"/>
      <c r="P234" s="19"/>
      <c r="Q234" s="19"/>
      <c r="R234" s="19">
        <v>1</v>
      </c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>
        <v>1</v>
      </c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 t="s">
        <v>239</v>
      </c>
      <c r="B235" s="19"/>
      <c r="C235" s="19">
        <v>1350</v>
      </c>
      <c r="D235" s="19">
        <v>730</v>
      </c>
      <c r="E235" s="19" t="s">
        <v>169</v>
      </c>
      <c r="F235" s="20"/>
      <c r="G235" s="21"/>
      <c r="H235" s="21"/>
      <c r="I235" s="19">
        <f t="shared" si="49"/>
        <v>21</v>
      </c>
      <c r="J235" s="19">
        <f t="shared" si="44"/>
        <v>0</v>
      </c>
      <c r="K235" s="19">
        <f t="shared" si="45"/>
        <v>0</v>
      </c>
      <c r="L235" s="19">
        <f t="shared" si="46"/>
        <v>0</v>
      </c>
      <c r="M235" s="19">
        <f t="shared" si="47"/>
        <v>0</v>
      </c>
      <c r="N235" s="19">
        <f t="shared" si="48"/>
        <v>21</v>
      </c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>
        <v>1</v>
      </c>
      <c r="DP235" s="19">
        <v>1</v>
      </c>
      <c r="DQ235" s="19"/>
      <c r="DR235" s="19">
        <v>1</v>
      </c>
      <c r="DS235" s="19">
        <v>1</v>
      </c>
      <c r="DT235" s="19">
        <v>1</v>
      </c>
      <c r="DU235" s="19"/>
      <c r="DV235" s="19"/>
      <c r="DW235" s="19"/>
      <c r="DX235" s="25">
        <v>1</v>
      </c>
      <c r="DY235" s="19">
        <v>1</v>
      </c>
      <c r="DZ235" s="19">
        <v>1</v>
      </c>
      <c r="EA235" s="19">
        <v>1</v>
      </c>
      <c r="EB235" s="19">
        <v>1</v>
      </c>
      <c r="EC235" s="19"/>
      <c r="ED235" s="19">
        <v>1</v>
      </c>
      <c r="EE235" s="19">
        <v>1</v>
      </c>
      <c r="EF235" s="19"/>
      <c r="EG235" s="19"/>
      <c r="EH235" s="19">
        <v>1</v>
      </c>
      <c r="EI235" s="19"/>
      <c r="EJ235" s="19">
        <v>1</v>
      </c>
      <c r="EK235" s="19"/>
      <c r="EL235" s="19"/>
      <c r="EM235" s="19">
        <v>1</v>
      </c>
      <c r="EN235" s="19">
        <v>1</v>
      </c>
      <c r="EO235" s="19"/>
      <c r="EP235" s="19">
        <v>1</v>
      </c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>
        <v>1</v>
      </c>
      <c r="FB235" s="19"/>
      <c r="FC235" s="19"/>
      <c r="FD235" s="19">
        <v>1</v>
      </c>
      <c r="FE235" s="19">
        <v>1</v>
      </c>
      <c r="FF235" s="19"/>
      <c r="FG235" s="19">
        <v>1</v>
      </c>
      <c r="FH235" s="19"/>
    </row>
    <row r="236" spans="1:164" x14ac:dyDescent="0.25">
      <c r="A236" s="19" t="s">
        <v>239</v>
      </c>
      <c r="B236" s="19"/>
      <c r="C236" s="19">
        <v>1100</v>
      </c>
      <c r="D236" s="19">
        <v>1100</v>
      </c>
      <c r="E236" s="19" t="s">
        <v>169</v>
      </c>
      <c r="F236" s="20"/>
      <c r="G236" s="21"/>
      <c r="H236" s="21"/>
      <c r="I236" s="19">
        <f t="shared" si="49"/>
        <v>3</v>
      </c>
      <c r="J236" s="19">
        <f t="shared" si="44"/>
        <v>0</v>
      </c>
      <c r="K236" s="19">
        <f t="shared" si="45"/>
        <v>0</v>
      </c>
      <c r="L236" s="19">
        <f t="shared" si="46"/>
        <v>1</v>
      </c>
      <c r="M236" s="19">
        <f t="shared" si="47"/>
        <v>0</v>
      </c>
      <c r="N236" s="19">
        <f t="shared" si="48"/>
        <v>2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>
        <v>1</v>
      </c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>
        <v>1</v>
      </c>
      <c r="EQ236" s="19"/>
      <c r="ER236" s="19"/>
      <c r="ES236" s="19"/>
      <c r="ET236" s="19"/>
      <c r="EU236" s="19"/>
      <c r="EV236" s="19"/>
      <c r="EW236" s="19"/>
      <c r="EX236" s="19">
        <v>1</v>
      </c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 t="s">
        <v>239</v>
      </c>
      <c r="B237" s="19"/>
      <c r="C237" s="19">
        <v>1100</v>
      </c>
      <c r="D237" s="19">
        <v>900</v>
      </c>
      <c r="E237" s="19" t="s">
        <v>169</v>
      </c>
      <c r="F237" s="20"/>
      <c r="G237" s="21"/>
      <c r="H237" s="21"/>
      <c r="I237" s="19">
        <f t="shared" si="49"/>
        <v>8</v>
      </c>
      <c r="J237" s="19">
        <f t="shared" si="44"/>
        <v>1</v>
      </c>
      <c r="K237" s="19">
        <f t="shared" si="45"/>
        <v>0</v>
      </c>
      <c r="L237" s="19">
        <f t="shared" si="46"/>
        <v>0</v>
      </c>
      <c r="M237" s="19">
        <f t="shared" si="47"/>
        <v>0</v>
      </c>
      <c r="N237" s="19">
        <f t="shared" si="48"/>
        <v>7</v>
      </c>
      <c r="O237" s="19"/>
      <c r="P237" s="19"/>
      <c r="Q237" s="19">
        <v>1</v>
      </c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>
        <v>1</v>
      </c>
      <c r="ES237" s="19"/>
      <c r="ET237" s="19">
        <v>1</v>
      </c>
      <c r="EU237" s="19"/>
      <c r="EV237" s="19">
        <v>1</v>
      </c>
      <c r="EW237" s="19">
        <v>1</v>
      </c>
      <c r="EX237" s="19">
        <v>1</v>
      </c>
      <c r="EY237" s="19">
        <v>1</v>
      </c>
      <c r="EZ237" s="19">
        <v>1</v>
      </c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 t="s">
        <v>239</v>
      </c>
      <c r="B238" s="19"/>
      <c r="C238" s="19">
        <v>1100</v>
      </c>
      <c r="D238" s="19">
        <v>730</v>
      </c>
      <c r="E238" s="19" t="s">
        <v>169</v>
      </c>
      <c r="F238" s="20"/>
      <c r="G238" s="21"/>
      <c r="H238" s="21"/>
      <c r="I238" s="19">
        <f t="shared" si="49"/>
        <v>11</v>
      </c>
      <c r="J238" s="19">
        <f t="shared" si="44"/>
        <v>0</v>
      </c>
      <c r="K238" s="19">
        <f t="shared" si="45"/>
        <v>0</v>
      </c>
      <c r="L238" s="19">
        <f t="shared" si="46"/>
        <v>0</v>
      </c>
      <c r="M238" s="19">
        <f t="shared" si="47"/>
        <v>0</v>
      </c>
      <c r="N238" s="19">
        <f t="shared" si="48"/>
        <v>11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>
        <v>1</v>
      </c>
      <c r="DH238" s="19">
        <v>3</v>
      </c>
      <c r="DI238" s="19"/>
      <c r="DJ238" s="19">
        <v>3</v>
      </c>
      <c r="DK238" s="19"/>
      <c r="DL238" s="19">
        <v>3</v>
      </c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>
        <v>1</v>
      </c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 t="s">
        <v>239</v>
      </c>
      <c r="B239" s="19"/>
      <c r="C239" s="19">
        <v>1100</v>
      </c>
      <c r="D239" s="19">
        <v>600</v>
      </c>
      <c r="E239" s="19" t="s">
        <v>169</v>
      </c>
      <c r="F239" s="20"/>
      <c r="G239" s="21"/>
      <c r="H239" s="21"/>
      <c r="I239" s="19">
        <f t="shared" si="49"/>
        <v>8</v>
      </c>
      <c r="J239" s="19">
        <f t="shared" si="44"/>
        <v>0</v>
      </c>
      <c r="K239" s="19">
        <f t="shared" si="45"/>
        <v>0</v>
      </c>
      <c r="L239" s="19">
        <f t="shared" si="46"/>
        <v>0</v>
      </c>
      <c r="M239" s="19">
        <f t="shared" si="47"/>
        <v>4</v>
      </c>
      <c r="N239" s="19">
        <f t="shared" si="48"/>
        <v>4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>
        <v>1</v>
      </c>
      <c r="DC239" s="19">
        <v>1</v>
      </c>
      <c r="DD239" s="19">
        <v>1</v>
      </c>
      <c r="DE239" s="19">
        <v>1</v>
      </c>
      <c r="DF239" s="19"/>
      <c r="DG239" s="19"/>
      <c r="DH239" s="19"/>
      <c r="DI239" s="19"/>
      <c r="DJ239" s="19"/>
      <c r="DK239" s="19"/>
      <c r="DL239" s="19"/>
      <c r="DM239" s="19"/>
      <c r="DN239" s="19">
        <v>3</v>
      </c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>
        <v>1</v>
      </c>
      <c r="FC239" s="19"/>
      <c r="FD239" s="19"/>
      <c r="FE239" s="19"/>
      <c r="FF239" s="19"/>
      <c r="FG239" s="19"/>
      <c r="FH239" s="19"/>
    </row>
    <row r="240" spans="1:164" x14ac:dyDescent="0.25">
      <c r="A240" s="19" t="s">
        <v>239</v>
      </c>
      <c r="B240" s="19"/>
      <c r="C240" s="19">
        <v>900</v>
      </c>
      <c r="D240" s="19">
        <v>900</v>
      </c>
      <c r="E240" s="19" t="s">
        <v>169</v>
      </c>
      <c r="F240" s="20"/>
      <c r="G240" s="21"/>
      <c r="H240" s="21"/>
      <c r="I240" s="19">
        <f t="shared" si="49"/>
        <v>36</v>
      </c>
      <c r="J240" s="19">
        <f t="shared" si="44"/>
        <v>2</v>
      </c>
      <c r="K240" s="19">
        <f t="shared" si="45"/>
        <v>12</v>
      </c>
      <c r="L240" s="19">
        <f t="shared" si="46"/>
        <v>0</v>
      </c>
      <c r="M240" s="19">
        <f t="shared" si="47"/>
        <v>0</v>
      </c>
      <c r="N240" s="19">
        <f t="shared" si="48"/>
        <v>22</v>
      </c>
      <c r="O240" s="19"/>
      <c r="P240" s="19"/>
      <c r="Q240" s="19"/>
      <c r="R240" s="19">
        <v>2</v>
      </c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>
        <v>2</v>
      </c>
      <c r="AG240" s="19"/>
      <c r="AH240" s="19"/>
      <c r="AI240" s="19">
        <v>1</v>
      </c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>
        <v>2</v>
      </c>
      <c r="AV240" s="19"/>
      <c r="AW240" s="19"/>
      <c r="AX240" s="19">
        <v>1</v>
      </c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>
        <v>2</v>
      </c>
      <c r="BP240" s="19"/>
      <c r="BQ240" s="19"/>
      <c r="BR240" s="19">
        <v>1</v>
      </c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>
        <v>2</v>
      </c>
      <c r="CE240" s="19"/>
      <c r="CF240" s="19"/>
      <c r="CG240" s="19">
        <v>1</v>
      </c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>
        <v>2</v>
      </c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>
        <v>1</v>
      </c>
      <c r="EI240" s="19">
        <v>1</v>
      </c>
      <c r="EJ240" s="19">
        <v>1</v>
      </c>
      <c r="EK240" s="19">
        <v>1</v>
      </c>
      <c r="EL240" s="19">
        <v>1</v>
      </c>
      <c r="EM240" s="19">
        <v>1</v>
      </c>
      <c r="EN240" s="19">
        <v>1</v>
      </c>
      <c r="EO240" s="19">
        <v>1</v>
      </c>
      <c r="EP240" s="19"/>
      <c r="EQ240" s="19">
        <v>1</v>
      </c>
      <c r="ER240" s="19">
        <v>1</v>
      </c>
      <c r="ES240" s="19">
        <v>1</v>
      </c>
      <c r="ET240" s="19">
        <v>1</v>
      </c>
      <c r="EU240" s="19">
        <v>1</v>
      </c>
      <c r="EV240" s="19">
        <v>1</v>
      </c>
      <c r="EW240" s="19">
        <v>1</v>
      </c>
      <c r="EX240" s="19"/>
      <c r="EY240" s="19"/>
      <c r="EZ240" s="19"/>
      <c r="FA240" s="19"/>
      <c r="FB240" s="19"/>
      <c r="FC240" s="19">
        <v>1</v>
      </c>
      <c r="FD240" s="19">
        <v>1</v>
      </c>
      <c r="FE240" s="19">
        <v>1</v>
      </c>
      <c r="FF240" s="19"/>
      <c r="FG240" s="19">
        <v>1</v>
      </c>
      <c r="FH240" s="19">
        <v>1</v>
      </c>
    </row>
    <row r="241" spans="1:164" x14ac:dyDescent="0.25">
      <c r="A241" s="19" t="s">
        <v>239</v>
      </c>
      <c r="B241" s="19"/>
      <c r="C241" s="19">
        <v>900</v>
      </c>
      <c r="D241" s="19">
        <v>730</v>
      </c>
      <c r="E241" s="19" t="s">
        <v>169</v>
      </c>
      <c r="F241" s="20"/>
      <c r="G241" s="21"/>
      <c r="H241" s="21"/>
      <c r="I241" s="19">
        <f t="shared" si="49"/>
        <v>36</v>
      </c>
      <c r="J241" s="19">
        <f t="shared" si="44"/>
        <v>1</v>
      </c>
      <c r="K241" s="19">
        <f t="shared" si="45"/>
        <v>24</v>
      </c>
      <c r="L241" s="19">
        <f t="shared" si="46"/>
        <v>0</v>
      </c>
      <c r="M241" s="19">
        <f t="shared" si="47"/>
        <v>0</v>
      </c>
      <c r="N241" s="19">
        <f t="shared" si="48"/>
        <v>11</v>
      </c>
      <c r="O241" s="19"/>
      <c r="P241" s="19"/>
      <c r="Q241" s="19">
        <v>1</v>
      </c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>
        <v>1</v>
      </c>
      <c r="AG241" s="19"/>
      <c r="AH241" s="19">
        <v>2</v>
      </c>
      <c r="AI241" s="19">
        <v>1</v>
      </c>
      <c r="AJ241" s="19">
        <v>1</v>
      </c>
      <c r="AK241" s="19">
        <v>1</v>
      </c>
      <c r="AL241" s="19"/>
      <c r="AM241" s="19"/>
      <c r="AN241" s="19"/>
      <c r="AO241" s="19"/>
      <c r="AP241" s="19"/>
      <c r="AQ241" s="19"/>
      <c r="AR241" s="19"/>
      <c r="AS241" s="19"/>
      <c r="AT241" s="19"/>
      <c r="AU241" s="19">
        <v>1</v>
      </c>
      <c r="AV241" s="19"/>
      <c r="AW241" s="19">
        <v>2</v>
      </c>
      <c r="AX241" s="19">
        <v>1</v>
      </c>
      <c r="AY241" s="19">
        <v>1</v>
      </c>
      <c r="AZ241" s="19">
        <v>1</v>
      </c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>
        <v>1</v>
      </c>
      <c r="BP241" s="19"/>
      <c r="BQ241" s="19">
        <v>2</v>
      </c>
      <c r="BR241" s="19">
        <v>1</v>
      </c>
      <c r="BS241" s="19">
        <v>1</v>
      </c>
      <c r="BT241" s="19">
        <v>1</v>
      </c>
      <c r="BU241" s="19"/>
      <c r="BV241" s="19"/>
      <c r="BW241" s="19"/>
      <c r="BX241" s="19"/>
      <c r="BY241" s="19"/>
      <c r="BZ241" s="19"/>
      <c r="CA241" s="19"/>
      <c r="CB241" s="19"/>
      <c r="CC241" s="19"/>
      <c r="CD241" s="19">
        <v>1</v>
      </c>
      <c r="CE241" s="19"/>
      <c r="CF241" s="19">
        <v>2</v>
      </c>
      <c r="CG241" s="19">
        <v>1</v>
      </c>
      <c r="CH241" s="19">
        <v>1</v>
      </c>
      <c r="CI241" s="19">
        <v>1</v>
      </c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>
        <v>1</v>
      </c>
      <c r="EJ241" s="19"/>
      <c r="EK241" s="19">
        <v>1</v>
      </c>
      <c r="EL241" s="19">
        <v>1</v>
      </c>
      <c r="EM241" s="19"/>
      <c r="EN241" s="19"/>
      <c r="EO241" s="19">
        <v>1</v>
      </c>
      <c r="EP241" s="19"/>
      <c r="EQ241" s="19">
        <v>1</v>
      </c>
      <c r="ER241" s="19"/>
      <c r="ES241" s="19">
        <v>1</v>
      </c>
      <c r="ET241" s="19"/>
      <c r="EU241" s="19">
        <v>1</v>
      </c>
      <c r="EV241" s="19"/>
      <c r="EW241" s="19"/>
      <c r="EX241" s="19"/>
      <c r="EY241" s="19"/>
      <c r="EZ241" s="19"/>
      <c r="FA241" s="19"/>
      <c r="FB241" s="19">
        <v>1</v>
      </c>
      <c r="FC241" s="19">
        <v>1</v>
      </c>
      <c r="FD241" s="19"/>
      <c r="FE241" s="19"/>
      <c r="FF241" s="19">
        <v>1</v>
      </c>
      <c r="FG241" s="19"/>
      <c r="FH241" s="19">
        <v>1</v>
      </c>
    </row>
    <row r="242" spans="1:164" x14ac:dyDescent="0.25">
      <c r="A242" s="19" t="s">
        <v>239</v>
      </c>
      <c r="B242" s="19"/>
      <c r="C242" s="19">
        <v>900</v>
      </c>
      <c r="D242" s="19">
        <v>600</v>
      </c>
      <c r="E242" s="19" t="s">
        <v>169</v>
      </c>
      <c r="F242" s="20"/>
      <c r="G242" s="21"/>
      <c r="H242" s="21"/>
      <c r="I242" s="19">
        <f t="shared" si="49"/>
        <v>4</v>
      </c>
      <c r="J242" s="19">
        <f t="shared" si="44"/>
        <v>0</v>
      </c>
      <c r="K242" s="19">
        <f t="shared" si="45"/>
        <v>4</v>
      </c>
      <c r="L242" s="19">
        <f t="shared" si="46"/>
        <v>0</v>
      </c>
      <c r="M242" s="19">
        <f t="shared" si="47"/>
        <v>0</v>
      </c>
      <c r="N242" s="19">
        <f t="shared" si="48"/>
        <v>0</v>
      </c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>
        <v>1</v>
      </c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>
        <v>1</v>
      </c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>
        <v>1</v>
      </c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>
        <v>1</v>
      </c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 t="s">
        <v>239</v>
      </c>
      <c r="B243" s="19"/>
      <c r="C243" s="19">
        <v>900</v>
      </c>
      <c r="D243" s="19">
        <v>500</v>
      </c>
      <c r="E243" s="19" t="s">
        <v>169</v>
      </c>
      <c r="F243" s="20"/>
      <c r="G243" s="21"/>
      <c r="H243" s="21"/>
      <c r="I243" s="19">
        <f t="shared" si="49"/>
        <v>3</v>
      </c>
      <c r="J243" s="19">
        <f t="shared" si="44"/>
        <v>0</v>
      </c>
      <c r="K243" s="19">
        <f t="shared" si="45"/>
        <v>3</v>
      </c>
      <c r="L243" s="19">
        <f t="shared" si="46"/>
        <v>0</v>
      </c>
      <c r="M243" s="19">
        <f t="shared" si="47"/>
        <v>0</v>
      </c>
      <c r="N243" s="19">
        <f t="shared" si="48"/>
        <v>0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>
        <v>3</v>
      </c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 t="s">
        <v>239</v>
      </c>
      <c r="B244" s="19"/>
      <c r="C244" s="19">
        <v>900</v>
      </c>
      <c r="D244" s="19">
        <v>420</v>
      </c>
      <c r="E244" s="19" t="s">
        <v>169</v>
      </c>
      <c r="F244" s="20"/>
      <c r="G244" s="21"/>
      <c r="H244" s="21"/>
      <c r="I244" s="19">
        <f t="shared" si="49"/>
        <v>2</v>
      </c>
      <c r="J244" s="19">
        <f t="shared" si="44"/>
        <v>0</v>
      </c>
      <c r="K244" s="19">
        <f t="shared" si="45"/>
        <v>0</v>
      </c>
      <c r="L244" s="19">
        <f t="shared" si="46"/>
        <v>0</v>
      </c>
      <c r="M244" s="19">
        <f t="shared" si="47"/>
        <v>0</v>
      </c>
      <c r="N244" s="19">
        <f t="shared" si="48"/>
        <v>2</v>
      </c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>
        <v>2</v>
      </c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 t="s">
        <v>239</v>
      </c>
      <c r="B245" s="19"/>
      <c r="C245" s="19">
        <v>730</v>
      </c>
      <c r="D245" s="19">
        <v>730</v>
      </c>
      <c r="E245" s="19" t="s">
        <v>169</v>
      </c>
      <c r="F245" s="20"/>
      <c r="G245" s="21"/>
      <c r="H245" s="21"/>
      <c r="I245" s="19">
        <f t="shared" si="49"/>
        <v>15</v>
      </c>
      <c r="J245" s="19">
        <f t="shared" si="44"/>
        <v>0</v>
      </c>
      <c r="K245" s="19">
        <f t="shared" si="45"/>
        <v>4</v>
      </c>
      <c r="L245" s="19">
        <f t="shared" si="46"/>
        <v>11</v>
      </c>
      <c r="M245" s="19">
        <f t="shared" si="47"/>
        <v>0</v>
      </c>
      <c r="N245" s="19">
        <f t="shared" si="48"/>
        <v>0</v>
      </c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>
        <v>1</v>
      </c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>
        <v>1</v>
      </c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>
        <v>1</v>
      </c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>
        <v>1</v>
      </c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>
        <v>3</v>
      </c>
      <c r="CR245" s="19">
        <v>3</v>
      </c>
      <c r="CS245" s="19">
        <v>3</v>
      </c>
      <c r="CT245" s="19">
        <v>2</v>
      </c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 t="s">
        <v>239</v>
      </c>
      <c r="B246" s="19"/>
      <c r="C246" s="19">
        <v>730</v>
      </c>
      <c r="D246" s="19">
        <v>700</v>
      </c>
      <c r="E246" s="19" t="s">
        <v>169</v>
      </c>
      <c r="F246" s="20"/>
      <c r="G246" s="21"/>
      <c r="H246" s="21"/>
      <c r="I246" s="19">
        <f t="shared" si="49"/>
        <v>4</v>
      </c>
      <c r="J246" s="19">
        <f t="shared" si="44"/>
        <v>0</v>
      </c>
      <c r="K246" s="19">
        <f t="shared" si="45"/>
        <v>4</v>
      </c>
      <c r="L246" s="19">
        <f t="shared" si="46"/>
        <v>0</v>
      </c>
      <c r="M246" s="19">
        <f t="shared" si="47"/>
        <v>0</v>
      </c>
      <c r="N246" s="19">
        <f t="shared" si="48"/>
        <v>0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>
        <v>1</v>
      </c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>
        <v>1</v>
      </c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>
        <v>1</v>
      </c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>
        <v>1</v>
      </c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 t="s">
        <v>239</v>
      </c>
      <c r="B247" s="19"/>
      <c r="C247" s="19">
        <v>730</v>
      </c>
      <c r="D247" s="19">
        <v>600</v>
      </c>
      <c r="E247" s="19" t="s">
        <v>169</v>
      </c>
      <c r="F247" s="20"/>
      <c r="G247" s="21"/>
      <c r="H247" s="21"/>
      <c r="I247" s="19">
        <f t="shared" si="49"/>
        <v>15</v>
      </c>
      <c r="J247" s="19">
        <f t="shared" si="44"/>
        <v>0</v>
      </c>
      <c r="K247" s="19">
        <f t="shared" si="45"/>
        <v>4</v>
      </c>
      <c r="L247" s="19">
        <f t="shared" si="46"/>
        <v>0</v>
      </c>
      <c r="M247" s="19">
        <f t="shared" si="47"/>
        <v>0</v>
      </c>
      <c r="N247" s="19">
        <f t="shared" si="48"/>
        <v>11</v>
      </c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>
        <v>1</v>
      </c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>
        <v>1</v>
      </c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>
        <v>1</v>
      </c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>
        <v>1</v>
      </c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>
        <v>3</v>
      </c>
      <c r="DJ247" s="19"/>
      <c r="DK247" s="19">
        <v>3</v>
      </c>
      <c r="DL247" s="19"/>
      <c r="DM247" s="19">
        <v>3</v>
      </c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>
        <v>1</v>
      </c>
      <c r="EG247" s="19">
        <v>1</v>
      </c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 t="s">
        <v>239</v>
      </c>
      <c r="B248" s="19"/>
      <c r="C248" s="19">
        <v>500</v>
      </c>
      <c r="D248" s="19">
        <v>500</v>
      </c>
      <c r="E248" s="19" t="s">
        <v>169</v>
      </c>
      <c r="F248" s="20"/>
      <c r="G248" s="21"/>
      <c r="H248" s="21"/>
      <c r="I248" s="19">
        <f t="shared" si="49"/>
        <v>1</v>
      </c>
      <c r="J248" s="19">
        <f t="shared" si="44"/>
        <v>0</v>
      </c>
      <c r="K248" s="19">
        <f t="shared" si="45"/>
        <v>0</v>
      </c>
      <c r="L248" s="19">
        <f t="shared" si="46"/>
        <v>0</v>
      </c>
      <c r="M248" s="19">
        <f t="shared" si="47"/>
        <v>0</v>
      </c>
      <c r="N248" s="19">
        <f t="shared" si="48"/>
        <v>1</v>
      </c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>
        <v>1</v>
      </c>
      <c r="FG248" s="19"/>
      <c r="FH248" s="19"/>
    </row>
    <row r="249" spans="1:164" x14ac:dyDescent="0.25">
      <c r="A249" s="19" t="s">
        <v>239</v>
      </c>
      <c r="B249" s="19"/>
      <c r="C249" s="19">
        <v>500</v>
      </c>
      <c r="D249" s="19">
        <v>420</v>
      </c>
      <c r="E249" s="19" t="s">
        <v>169</v>
      </c>
      <c r="F249" s="20"/>
      <c r="G249" s="21"/>
      <c r="H249" s="21"/>
      <c r="I249" s="19">
        <f t="shared" si="49"/>
        <v>2</v>
      </c>
      <c r="J249" s="19">
        <f t="shared" si="44"/>
        <v>0</v>
      </c>
      <c r="K249" s="19">
        <f t="shared" si="45"/>
        <v>0</v>
      </c>
      <c r="L249" s="19">
        <f t="shared" si="46"/>
        <v>0</v>
      </c>
      <c r="M249" s="19">
        <f t="shared" si="47"/>
        <v>0</v>
      </c>
      <c r="N249" s="19">
        <f t="shared" si="48"/>
        <v>2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>
        <v>1</v>
      </c>
      <c r="DR249" s="19"/>
      <c r="DS249" s="19"/>
      <c r="DT249" s="19"/>
      <c r="DU249" s="19"/>
      <c r="DV249" s="19">
        <v>1</v>
      </c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 t="s">
        <v>239</v>
      </c>
      <c r="B250" s="19"/>
      <c r="C250" s="19">
        <v>500</v>
      </c>
      <c r="D250" s="19">
        <v>350</v>
      </c>
      <c r="E250" s="19" t="s">
        <v>169</v>
      </c>
      <c r="F250" s="20"/>
      <c r="G250" s="21"/>
      <c r="H250" s="21"/>
      <c r="I250" s="19">
        <f t="shared" si="49"/>
        <v>12</v>
      </c>
      <c r="J250" s="19">
        <f t="shared" si="44"/>
        <v>0</v>
      </c>
      <c r="K250" s="19">
        <f t="shared" si="45"/>
        <v>0</v>
      </c>
      <c r="L250" s="19">
        <f t="shared" si="46"/>
        <v>0</v>
      </c>
      <c r="M250" s="19">
        <f t="shared" si="47"/>
        <v>0</v>
      </c>
      <c r="N250" s="19">
        <f t="shared" si="48"/>
        <v>12</v>
      </c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>
        <v>4</v>
      </c>
      <c r="DV250" s="19"/>
      <c r="DW250" s="19">
        <v>4</v>
      </c>
      <c r="DX250" s="19"/>
      <c r="DY250" s="19"/>
      <c r="DZ250" s="19"/>
      <c r="EA250" s="19"/>
      <c r="EB250" s="19"/>
      <c r="EC250" s="19">
        <v>4</v>
      </c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 t="s">
        <v>239</v>
      </c>
      <c r="B251" s="19"/>
      <c r="C251" s="19">
        <v>500</v>
      </c>
      <c r="D251" s="19">
        <v>300</v>
      </c>
      <c r="E251" s="19" t="s">
        <v>169</v>
      </c>
      <c r="F251" s="20"/>
      <c r="G251" s="21"/>
      <c r="H251" s="21"/>
      <c r="I251" s="19">
        <f t="shared" si="49"/>
        <v>7</v>
      </c>
      <c r="J251" s="19">
        <f t="shared" si="44"/>
        <v>0</v>
      </c>
      <c r="K251" s="19">
        <f t="shared" si="45"/>
        <v>0</v>
      </c>
      <c r="L251" s="19">
        <f t="shared" si="46"/>
        <v>4</v>
      </c>
      <c r="M251" s="19">
        <f t="shared" si="47"/>
        <v>3</v>
      </c>
      <c r="N251" s="19">
        <f t="shared" si="48"/>
        <v>0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>
        <v>1</v>
      </c>
      <c r="CK251" s="19">
        <v>1</v>
      </c>
      <c r="CL251" s="19">
        <v>1</v>
      </c>
      <c r="CM251" s="19">
        <v>1</v>
      </c>
      <c r="CN251" s="19"/>
      <c r="CO251" s="19"/>
      <c r="CP251" s="19"/>
      <c r="CQ251" s="19"/>
      <c r="CR251" s="19"/>
      <c r="CS251" s="19"/>
      <c r="CT251" s="19"/>
      <c r="CU251" s="19"/>
      <c r="CV251" s="19">
        <v>1</v>
      </c>
      <c r="CW251" s="19">
        <v>1</v>
      </c>
      <c r="CX251" s="19">
        <v>1</v>
      </c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 t="s">
        <v>239</v>
      </c>
      <c r="B252" s="19"/>
      <c r="C252" s="19">
        <v>500</v>
      </c>
      <c r="D252" s="19">
        <v>220</v>
      </c>
      <c r="E252" s="19" t="s">
        <v>169</v>
      </c>
      <c r="F252" s="20"/>
      <c r="G252" s="21"/>
      <c r="H252" s="21"/>
      <c r="I252" s="19">
        <f t="shared" si="49"/>
        <v>4</v>
      </c>
      <c r="J252" s="19">
        <f t="shared" si="44"/>
        <v>0</v>
      </c>
      <c r="K252" s="19">
        <f t="shared" si="45"/>
        <v>0</v>
      </c>
      <c r="L252" s="19">
        <f t="shared" si="46"/>
        <v>4</v>
      </c>
      <c r="M252" s="19">
        <f t="shared" si="47"/>
        <v>0</v>
      </c>
      <c r="N252" s="19">
        <f t="shared" si="48"/>
        <v>0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>
        <v>1</v>
      </c>
      <c r="CK252" s="19">
        <v>1</v>
      </c>
      <c r="CL252" s="19">
        <v>1</v>
      </c>
      <c r="CM252" s="19">
        <v>1</v>
      </c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 t="s">
        <v>239</v>
      </c>
      <c r="B253" s="19"/>
      <c r="C253" s="19">
        <v>420</v>
      </c>
      <c r="D253" s="19">
        <v>300</v>
      </c>
      <c r="E253" s="19" t="s">
        <v>169</v>
      </c>
      <c r="F253" s="20"/>
      <c r="G253" s="21"/>
      <c r="H253" s="21"/>
      <c r="I253" s="19">
        <f t="shared" si="49"/>
        <v>40</v>
      </c>
      <c r="J253" s="19">
        <f t="shared" si="44"/>
        <v>0</v>
      </c>
      <c r="K253" s="19">
        <f t="shared" si="45"/>
        <v>40</v>
      </c>
      <c r="L253" s="19">
        <f t="shared" si="46"/>
        <v>0</v>
      </c>
      <c r="M253" s="19">
        <f t="shared" si="47"/>
        <v>0</v>
      </c>
      <c r="N253" s="19">
        <f t="shared" si="48"/>
        <v>0</v>
      </c>
      <c r="O253" s="19"/>
      <c r="P253" s="19"/>
      <c r="Q253" s="19"/>
      <c r="R253" s="19"/>
      <c r="S253" s="19">
        <v>1</v>
      </c>
      <c r="T253" s="19">
        <v>1</v>
      </c>
      <c r="U253" s="19">
        <v>1</v>
      </c>
      <c r="V253" s="19">
        <v>1</v>
      </c>
      <c r="W253" s="19">
        <v>1</v>
      </c>
      <c r="X253" s="19">
        <v>1</v>
      </c>
      <c r="Y253" s="19">
        <v>1</v>
      </c>
      <c r="Z253" s="19">
        <v>1</v>
      </c>
      <c r="AA253" s="19">
        <v>1</v>
      </c>
      <c r="AB253" s="19">
        <v>1</v>
      </c>
      <c r="AC253" s="19">
        <v>1</v>
      </c>
      <c r="AD253" s="19">
        <v>1</v>
      </c>
      <c r="AE253" s="19"/>
      <c r="AF253" s="19"/>
      <c r="AG253" s="19"/>
      <c r="AH253" s="19"/>
      <c r="AI253" s="19"/>
      <c r="AJ253" s="19"/>
      <c r="AK253" s="19"/>
      <c r="AL253" s="19">
        <v>1</v>
      </c>
      <c r="AM253" s="19">
        <v>1</v>
      </c>
      <c r="AN253" s="19">
        <v>1</v>
      </c>
      <c r="AO253" s="19">
        <v>1</v>
      </c>
      <c r="AP253" s="19">
        <v>1</v>
      </c>
      <c r="AQ253" s="19">
        <v>1</v>
      </c>
      <c r="AR253" s="19">
        <v>1</v>
      </c>
      <c r="AS253" s="19">
        <v>1</v>
      </c>
      <c r="AT253" s="19"/>
      <c r="AU253" s="19"/>
      <c r="AV253" s="19"/>
      <c r="AW253" s="19"/>
      <c r="AX253" s="19"/>
      <c r="AY253" s="19"/>
      <c r="AZ253" s="19"/>
      <c r="BA253" s="19">
        <v>1</v>
      </c>
      <c r="BB253" s="19">
        <v>1</v>
      </c>
      <c r="BC253" s="19">
        <v>1</v>
      </c>
      <c r="BD253" s="19">
        <v>1</v>
      </c>
      <c r="BE253" s="19"/>
      <c r="BF253" s="19">
        <v>1</v>
      </c>
      <c r="BG253" s="19">
        <v>1</v>
      </c>
      <c r="BH253" s="19">
        <v>1</v>
      </c>
      <c r="BI253" s="19">
        <v>1</v>
      </c>
      <c r="BJ253" s="19">
        <v>1</v>
      </c>
      <c r="BK253" s="19">
        <v>1</v>
      </c>
      <c r="BL253" s="19">
        <v>1</v>
      </c>
      <c r="BM253" s="19">
        <v>1</v>
      </c>
      <c r="BN253" s="19"/>
      <c r="BO253" s="19"/>
      <c r="BP253" s="19"/>
      <c r="BQ253" s="19"/>
      <c r="BR253" s="19"/>
      <c r="BS253" s="19"/>
      <c r="BT253" s="19"/>
      <c r="BU253" s="19">
        <v>1</v>
      </c>
      <c r="BV253" s="19">
        <v>1</v>
      </c>
      <c r="BW253" s="19">
        <v>1</v>
      </c>
      <c r="BX253" s="19">
        <v>1</v>
      </c>
      <c r="BY253" s="19">
        <v>1</v>
      </c>
      <c r="BZ253" s="19">
        <v>1</v>
      </c>
      <c r="CA253" s="19">
        <v>1</v>
      </c>
      <c r="CB253" s="19">
        <v>1</v>
      </c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 t="s">
        <v>239</v>
      </c>
      <c r="B254" s="19"/>
      <c r="C254" s="19">
        <v>350</v>
      </c>
      <c r="D254" s="19">
        <v>350</v>
      </c>
      <c r="E254" s="19" t="s">
        <v>169</v>
      </c>
      <c r="F254" s="20"/>
      <c r="G254" s="21"/>
      <c r="H254" s="21"/>
      <c r="I254" s="19">
        <f t="shared" si="49"/>
        <v>5</v>
      </c>
      <c r="J254" s="19">
        <f t="shared" si="44"/>
        <v>4</v>
      </c>
      <c r="K254" s="19">
        <f t="shared" si="45"/>
        <v>0</v>
      </c>
      <c r="L254" s="19">
        <f t="shared" si="46"/>
        <v>0</v>
      </c>
      <c r="M254" s="19">
        <f t="shared" si="47"/>
        <v>1</v>
      </c>
      <c r="N254" s="19">
        <f t="shared" si="48"/>
        <v>0</v>
      </c>
      <c r="O254" s="19">
        <v>2</v>
      </c>
      <c r="P254" s="19">
        <v>2</v>
      </c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>
        <v>1</v>
      </c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 t="s">
        <v>239</v>
      </c>
      <c r="B255" s="19"/>
      <c r="C255" s="19">
        <v>350</v>
      </c>
      <c r="D255" s="19">
        <v>300</v>
      </c>
      <c r="E255" s="19" t="s">
        <v>169</v>
      </c>
      <c r="F255" s="20"/>
      <c r="G255" s="21"/>
      <c r="H255" s="21"/>
      <c r="I255" s="19">
        <f t="shared" si="49"/>
        <v>120</v>
      </c>
      <c r="J255" s="19">
        <f t="shared" si="44"/>
        <v>0</v>
      </c>
      <c r="K255" s="19">
        <f t="shared" si="45"/>
        <v>120</v>
      </c>
      <c r="L255" s="19">
        <f t="shared" si="46"/>
        <v>0</v>
      </c>
      <c r="M255" s="19">
        <f t="shared" si="47"/>
        <v>0</v>
      </c>
      <c r="N255" s="19">
        <f t="shared" si="48"/>
        <v>0</v>
      </c>
      <c r="O255" s="19"/>
      <c r="P255" s="19"/>
      <c r="Q255" s="19"/>
      <c r="R255" s="19"/>
      <c r="S255" s="19">
        <v>3</v>
      </c>
      <c r="T255" s="19">
        <v>3</v>
      </c>
      <c r="U255" s="19">
        <v>3</v>
      </c>
      <c r="V255" s="19">
        <v>3</v>
      </c>
      <c r="W255" s="19">
        <v>3</v>
      </c>
      <c r="X255" s="19">
        <v>3</v>
      </c>
      <c r="Y255" s="19">
        <v>3</v>
      </c>
      <c r="Z255" s="19">
        <v>3</v>
      </c>
      <c r="AA255" s="19">
        <v>3</v>
      </c>
      <c r="AB255" s="19">
        <v>3</v>
      </c>
      <c r="AC255" s="19">
        <v>3</v>
      </c>
      <c r="AD255" s="19">
        <v>3</v>
      </c>
      <c r="AE255" s="19"/>
      <c r="AF255" s="19"/>
      <c r="AG255" s="19"/>
      <c r="AH255" s="19"/>
      <c r="AI255" s="19"/>
      <c r="AJ255" s="19"/>
      <c r="AK255" s="19"/>
      <c r="AL255" s="19">
        <v>3</v>
      </c>
      <c r="AM255" s="19">
        <v>3</v>
      </c>
      <c r="AN255" s="19">
        <v>3</v>
      </c>
      <c r="AO255" s="19">
        <v>3</v>
      </c>
      <c r="AP255" s="19">
        <v>3</v>
      </c>
      <c r="AQ255" s="19">
        <v>3</v>
      </c>
      <c r="AR255" s="19">
        <v>3</v>
      </c>
      <c r="AS255" s="19">
        <v>3</v>
      </c>
      <c r="AT255" s="19"/>
      <c r="AU255" s="19"/>
      <c r="AV255" s="19"/>
      <c r="AW255" s="19"/>
      <c r="AX255" s="19"/>
      <c r="AY255" s="19"/>
      <c r="AZ255" s="19"/>
      <c r="BA255" s="19">
        <v>3</v>
      </c>
      <c r="BB255" s="19">
        <v>3</v>
      </c>
      <c r="BC255" s="19">
        <v>3</v>
      </c>
      <c r="BD255" s="19">
        <v>3</v>
      </c>
      <c r="BE255" s="19"/>
      <c r="BF255" s="19">
        <v>3</v>
      </c>
      <c r="BG255" s="19">
        <v>3</v>
      </c>
      <c r="BH255" s="19">
        <v>3</v>
      </c>
      <c r="BI255" s="19">
        <v>3</v>
      </c>
      <c r="BJ255" s="19">
        <v>3</v>
      </c>
      <c r="BK255" s="19">
        <v>3</v>
      </c>
      <c r="BL255" s="19">
        <v>3</v>
      </c>
      <c r="BM255" s="19">
        <v>3</v>
      </c>
      <c r="BN255" s="19"/>
      <c r="BO255" s="19"/>
      <c r="BP255" s="19"/>
      <c r="BQ255" s="19"/>
      <c r="BR255" s="19"/>
      <c r="BS255" s="19"/>
      <c r="BT255" s="19"/>
      <c r="BU255" s="19">
        <v>3</v>
      </c>
      <c r="BV255" s="19">
        <v>3</v>
      </c>
      <c r="BW255" s="19">
        <v>3</v>
      </c>
      <c r="BX255" s="19">
        <v>3</v>
      </c>
      <c r="BY255" s="19">
        <v>3</v>
      </c>
      <c r="BZ255" s="19">
        <v>3</v>
      </c>
      <c r="CA255" s="19">
        <v>3</v>
      </c>
      <c r="CB255" s="19">
        <v>3</v>
      </c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 t="s">
        <v>412</v>
      </c>
      <c r="B256" s="19"/>
      <c r="C256" s="19">
        <v>1000</v>
      </c>
      <c r="D256" s="19">
        <v>1000</v>
      </c>
      <c r="E256" s="19" t="s">
        <v>169</v>
      </c>
      <c r="F256" s="20"/>
      <c r="G256" s="21"/>
      <c r="H256" s="21"/>
      <c r="I256" s="19">
        <f t="shared" si="49"/>
        <v>1</v>
      </c>
      <c r="J256" s="19">
        <f t="shared" si="44"/>
        <v>0</v>
      </c>
      <c r="K256" s="19">
        <f t="shared" si="45"/>
        <v>0</v>
      </c>
      <c r="L256" s="19">
        <f t="shared" si="46"/>
        <v>1</v>
      </c>
      <c r="M256" s="19">
        <f t="shared" si="47"/>
        <v>0</v>
      </c>
      <c r="N256" s="19">
        <f t="shared" si="48"/>
        <v>0</v>
      </c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>
        <v>1</v>
      </c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 t="s">
        <v>412</v>
      </c>
      <c r="B257" s="19"/>
      <c r="C257" s="24" t="s">
        <v>159</v>
      </c>
      <c r="D257" s="19">
        <v>700</v>
      </c>
      <c r="E257" s="19" t="s">
        <v>169</v>
      </c>
      <c r="F257" s="20"/>
      <c r="G257" s="21"/>
      <c r="H257" s="21"/>
      <c r="I257" s="19">
        <f t="shared" si="49"/>
        <v>1</v>
      </c>
      <c r="J257" s="19">
        <f t="shared" si="44"/>
        <v>0</v>
      </c>
      <c r="K257" s="19">
        <f t="shared" si="45"/>
        <v>0</v>
      </c>
      <c r="L257" s="19">
        <f t="shared" si="46"/>
        <v>0</v>
      </c>
      <c r="M257" s="19">
        <f t="shared" si="47"/>
        <v>1</v>
      </c>
      <c r="N257" s="19">
        <f t="shared" si="48"/>
        <v>0</v>
      </c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>
        <v>1</v>
      </c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 t="s">
        <v>412</v>
      </c>
      <c r="B258" s="19"/>
      <c r="C258" s="24" t="s">
        <v>159</v>
      </c>
      <c r="D258" s="19">
        <v>650</v>
      </c>
      <c r="E258" s="19" t="s">
        <v>169</v>
      </c>
      <c r="F258" s="20"/>
      <c r="G258" s="21"/>
      <c r="H258" s="21"/>
      <c r="I258" s="19">
        <f t="shared" si="49"/>
        <v>9</v>
      </c>
      <c r="J258" s="19">
        <f t="shared" si="44"/>
        <v>0</v>
      </c>
      <c r="K258" s="19">
        <f t="shared" si="45"/>
        <v>4</v>
      </c>
      <c r="L258" s="19">
        <f t="shared" si="46"/>
        <v>0</v>
      </c>
      <c r="M258" s="19">
        <f t="shared" si="47"/>
        <v>5</v>
      </c>
      <c r="N258" s="19">
        <f t="shared" si="48"/>
        <v>0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>
        <v>1</v>
      </c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>
        <v>1</v>
      </c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>
        <v>1</v>
      </c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>
        <v>1</v>
      </c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>
        <v>1</v>
      </c>
      <c r="DB258" s="19">
        <v>1</v>
      </c>
      <c r="DC258" s="19">
        <v>1</v>
      </c>
      <c r="DD258" s="19">
        <v>1</v>
      </c>
      <c r="DE258" s="19">
        <v>1</v>
      </c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 t="s">
        <v>412</v>
      </c>
      <c r="B259" s="19"/>
      <c r="C259" s="19">
        <v>650</v>
      </c>
      <c r="D259" s="19">
        <v>650</v>
      </c>
      <c r="E259" s="19" t="s">
        <v>169</v>
      </c>
      <c r="F259" s="20"/>
      <c r="G259" s="21"/>
      <c r="H259" s="21"/>
      <c r="I259" s="19">
        <f t="shared" si="49"/>
        <v>4</v>
      </c>
      <c r="J259" s="19">
        <f t="shared" si="44"/>
        <v>0</v>
      </c>
      <c r="K259" s="19">
        <f t="shared" si="45"/>
        <v>0</v>
      </c>
      <c r="L259" s="19">
        <f t="shared" si="46"/>
        <v>4</v>
      </c>
      <c r="M259" s="19">
        <f t="shared" si="47"/>
        <v>0</v>
      </c>
      <c r="N259" s="19">
        <f t="shared" si="48"/>
        <v>0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>
        <v>1</v>
      </c>
      <c r="CR259" s="19">
        <v>1</v>
      </c>
      <c r="CS259" s="19">
        <v>1</v>
      </c>
      <c r="CT259" s="19">
        <v>1</v>
      </c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 t="s">
        <v>412</v>
      </c>
      <c r="B260" s="19"/>
      <c r="C260" s="24" t="s">
        <v>159</v>
      </c>
      <c r="D260" s="19">
        <v>550</v>
      </c>
      <c r="E260" s="19" t="s">
        <v>169</v>
      </c>
      <c r="F260" s="20"/>
      <c r="G260" s="21"/>
      <c r="H260" s="21"/>
      <c r="I260" s="19">
        <f t="shared" si="49"/>
        <v>1</v>
      </c>
      <c r="J260" s="19">
        <f t="shared" si="44"/>
        <v>0</v>
      </c>
      <c r="K260" s="19">
        <f t="shared" si="45"/>
        <v>0</v>
      </c>
      <c r="L260" s="19">
        <f t="shared" si="46"/>
        <v>0</v>
      </c>
      <c r="M260" s="19">
        <f t="shared" si="47"/>
        <v>1</v>
      </c>
      <c r="N260" s="19">
        <f t="shared" si="48"/>
        <v>0</v>
      </c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>
        <v>1</v>
      </c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 t="s">
        <v>412</v>
      </c>
      <c r="B261" s="19"/>
      <c r="C261" s="24" t="s">
        <v>159</v>
      </c>
      <c r="D261" s="19">
        <v>500</v>
      </c>
      <c r="E261" s="19" t="s">
        <v>169</v>
      </c>
      <c r="F261" s="20"/>
      <c r="G261" s="21"/>
      <c r="H261" s="21"/>
      <c r="I261" s="19">
        <f t="shared" si="49"/>
        <v>1</v>
      </c>
      <c r="J261" s="19">
        <f>SUM(O261:R261)</f>
        <v>0</v>
      </c>
      <c r="K261" s="19">
        <f>SUM(S261:CI261)</f>
        <v>0</v>
      </c>
      <c r="L261" s="19">
        <f>SUM(CJ261:CT261)</f>
        <v>1</v>
      </c>
      <c r="M261" s="19">
        <f>SUM(CU261:DF261)</f>
        <v>0</v>
      </c>
      <c r="N261" s="19">
        <f>SUM(DG261:FH261)</f>
        <v>0</v>
      </c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>
        <v>1</v>
      </c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</sheetData>
  <customSheetViews>
    <customSheetView guid="{387918E5-7B77-4020-A141-306F5AFCED74}">
      <pane xSplit="14" topLeftCell="O1" activePane="topRight" state="frozen"/>
      <selection pane="topRight" sqref="A1:DG1048576"/>
      <pageMargins left="0.75" right="0.75" top="1" bottom="1" header="0.5" footer="0.5"/>
    </customSheetView>
  </customSheetViews>
  <mergeCells count="34">
    <mergeCell ref="O1:R1"/>
    <mergeCell ref="S1:AZ1"/>
    <mergeCell ref="BA1:CI1"/>
    <mergeCell ref="CJ1:CT1"/>
    <mergeCell ref="CU1:DF1"/>
    <mergeCell ref="DG1:FH1"/>
    <mergeCell ref="DG2:DM2"/>
    <mergeCell ref="DO2:DU2"/>
    <mergeCell ref="DV2:EB2"/>
    <mergeCell ref="EC2:EE2"/>
    <mergeCell ref="EF2:FH2"/>
    <mergeCell ref="FC3:FD3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221:D221"/>
    <mergeCell ref="C222:D222"/>
    <mergeCell ref="C223:D223"/>
    <mergeCell ref="C232:D232"/>
    <mergeCell ref="F130:F137"/>
    <mergeCell ref="F138:F139"/>
    <mergeCell ref="F140:F167"/>
    <mergeCell ref="F168:F172"/>
    <mergeCell ref="F173:F176"/>
    <mergeCell ref="F177:F195"/>
    <mergeCell ref="F197:F204"/>
  </mergeCells>
  <phoneticPr fontId="1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2"/>
  <sheetViews>
    <sheetView workbookViewId="0">
      <selection activeCell="J45" sqref="J45"/>
    </sheetView>
  </sheetViews>
  <sheetFormatPr defaultColWidth="9" defaultRowHeight="14" x14ac:dyDescent="0.25"/>
  <cols>
    <col min="2" max="2" width="10.453125" customWidth="1"/>
    <col min="18" max="18" width="9" style="12"/>
    <col min="19" max="19" width="14.36328125" customWidth="1"/>
  </cols>
  <sheetData>
    <row r="1" spans="1:19" x14ac:dyDescent="0.25">
      <c r="A1" s="54" t="s">
        <v>240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9" ht="25" x14ac:dyDescent="0.25">
      <c r="A2" s="3" t="s">
        <v>413</v>
      </c>
      <c r="B2" s="3" t="s">
        <v>414</v>
      </c>
      <c r="C2" s="3" t="s">
        <v>415</v>
      </c>
      <c r="D2" s="3" t="s">
        <v>416</v>
      </c>
      <c r="E2" s="3" t="s">
        <v>417</v>
      </c>
      <c r="F2" s="3" t="s">
        <v>418</v>
      </c>
      <c r="G2" s="3" t="s">
        <v>419</v>
      </c>
      <c r="H2" s="3" t="s">
        <v>420</v>
      </c>
      <c r="I2" s="3" t="s">
        <v>421</v>
      </c>
      <c r="J2" s="3" t="s">
        <v>422</v>
      </c>
      <c r="K2" s="3" t="s">
        <v>423</v>
      </c>
      <c r="L2" s="3" t="s">
        <v>424</v>
      </c>
      <c r="M2" s="3" t="s">
        <v>425</v>
      </c>
      <c r="N2" s="3" t="s">
        <v>426</v>
      </c>
      <c r="O2" s="3" t="s">
        <v>7</v>
      </c>
      <c r="R2" t="s">
        <v>427</v>
      </c>
    </row>
    <row r="3" spans="1:19" ht="25" x14ac:dyDescent="0.25">
      <c r="A3" s="3">
        <v>1</v>
      </c>
      <c r="B3" s="3" t="s">
        <v>325</v>
      </c>
      <c r="C3" s="3" t="s">
        <v>428</v>
      </c>
      <c r="D3" s="3" t="s">
        <v>429</v>
      </c>
      <c r="E3" s="3">
        <v>25124</v>
      </c>
      <c r="F3" s="3">
        <v>524</v>
      </c>
      <c r="G3" s="3">
        <v>7.5</v>
      </c>
      <c r="H3" s="3">
        <v>1450</v>
      </c>
      <c r="I3" s="3">
        <v>82</v>
      </c>
      <c r="J3" s="3">
        <v>205</v>
      </c>
      <c r="K3" s="3"/>
      <c r="L3" s="3">
        <v>1</v>
      </c>
      <c r="M3" s="3" t="s">
        <v>430</v>
      </c>
      <c r="N3" s="3" t="s">
        <v>431</v>
      </c>
      <c r="O3" s="3" t="s">
        <v>432</v>
      </c>
      <c r="R3">
        <v>1</v>
      </c>
    </row>
    <row r="4" spans="1:19" ht="25" x14ac:dyDescent="0.25">
      <c r="A4" s="3">
        <v>2</v>
      </c>
      <c r="B4" s="3" t="s">
        <v>326</v>
      </c>
      <c r="C4" s="3" t="s">
        <v>428</v>
      </c>
      <c r="D4" s="3" t="s">
        <v>433</v>
      </c>
      <c r="E4" s="3">
        <v>29880</v>
      </c>
      <c r="F4" s="3">
        <v>765</v>
      </c>
      <c r="G4" s="3">
        <v>11</v>
      </c>
      <c r="H4" s="3">
        <v>1450</v>
      </c>
      <c r="I4" s="3">
        <v>84</v>
      </c>
      <c r="J4" s="3">
        <v>250</v>
      </c>
      <c r="K4" s="3"/>
      <c r="L4" s="3">
        <v>1</v>
      </c>
      <c r="M4" s="3" t="s">
        <v>430</v>
      </c>
      <c r="N4" s="3" t="s">
        <v>434</v>
      </c>
      <c r="O4" s="3" t="s">
        <v>432</v>
      </c>
      <c r="R4">
        <v>1</v>
      </c>
    </row>
    <row r="5" spans="1:19" ht="37.5" x14ac:dyDescent="0.25">
      <c r="A5" s="3">
        <v>3</v>
      </c>
      <c r="B5" s="3" t="s">
        <v>386</v>
      </c>
      <c r="C5" s="3" t="s">
        <v>435</v>
      </c>
      <c r="D5" s="3" t="s">
        <v>436</v>
      </c>
      <c r="E5" s="3">
        <v>400</v>
      </c>
      <c r="F5" s="3">
        <v>265</v>
      </c>
      <c r="G5" s="3" t="s">
        <v>437</v>
      </c>
      <c r="H5" s="3" t="s">
        <v>438</v>
      </c>
      <c r="I5" s="3">
        <v>46</v>
      </c>
      <c r="J5" s="3" t="s">
        <v>438</v>
      </c>
      <c r="K5" s="3">
        <v>0.13</v>
      </c>
      <c r="L5" s="3">
        <v>4</v>
      </c>
      <c r="M5" s="3" t="s">
        <v>439</v>
      </c>
      <c r="N5" s="3" t="s">
        <v>440</v>
      </c>
      <c r="O5" s="3" t="s">
        <v>441</v>
      </c>
      <c r="R5" s="5">
        <v>8</v>
      </c>
      <c r="S5" t="s">
        <v>442</v>
      </c>
    </row>
    <row r="6" spans="1:19" x14ac:dyDescent="0.25">
      <c r="A6" s="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9" x14ac:dyDescent="0.25">
      <c r="A7" s="55" t="s">
        <v>323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</row>
    <row r="8" spans="1:19" ht="25" x14ac:dyDescent="0.25">
      <c r="A8" s="48" t="s">
        <v>443</v>
      </c>
      <c r="B8" s="48" t="s">
        <v>444</v>
      </c>
      <c r="C8" s="48" t="s">
        <v>445</v>
      </c>
      <c r="D8" s="3" t="s">
        <v>446</v>
      </c>
      <c r="E8" s="3" t="s">
        <v>447</v>
      </c>
      <c r="F8" s="48" t="s">
        <v>448</v>
      </c>
      <c r="G8" s="48"/>
      <c r="H8" s="48"/>
      <c r="I8" s="48"/>
      <c r="J8" s="3" t="s">
        <v>449</v>
      </c>
      <c r="K8" s="3" t="s">
        <v>450</v>
      </c>
      <c r="L8" s="3" t="s">
        <v>451</v>
      </c>
      <c r="M8" s="3" t="s">
        <v>452</v>
      </c>
      <c r="N8" s="48" t="s">
        <v>423</v>
      </c>
      <c r="O8" s="48" t="s">
        <v>453</v>
      </c>
      <c r="P8" s="48" t="s">
        <v>454</v>
      </c>
      <c r="Q8" s="48" t="s">
        <v>7</v>
      </c>
      <c r="R8" s="49" t="s">
        <v>427</v>
      </c>
    </row>
    <row r="9" spans="1:19" ht="25" x14ac:dyDescent="0.25">
      <c r="A9" s="48"/>
      <c r="B9" s="48"/>
      <c r="C9" s="48"/>
      <c r="D9" s="3" t="s">
        <v>455</v>
      </c>
      <c r="E9" s="3" t="s">
        <v>456</v>
      </c>
      <c r="F9" s="3" t="s">
        <v>457</v>
      </c>
      <c r="G9" s="3" t="s">
        <v>458</v>
      </c>
      <c r="H9" s="3" t="s">
        <v>459</v>
      </c>
      <c r="I9" s="3" t="s">
        <v>460</v>
      </c>
      <c r="J9" s="3" t="s">
        <v>461</v>
      </c>
      <c r="K9" s="3" t="s">
        <v>462</v>
      </c>
      <c r="L9" s="3" t="s">
        <v>463</v>
      </c>
      <c r="M9" s="3" t="s">
        <v>150</v>
      </c>
      <c r="N9" s="48"/>
      <c r="O9" s="48"/>
      <c r="P9" s="48"/>
      <c r="Q9" s="48"/>
      <c r="R9" s="49"/>
    </row>
    <row r="10" spans="1:19" ht="37.5" x14ac:dyDescent="0.25">
      <c r="A10" s="3">
        <v>1</v>
      </c>
      <c r="B10" s="3" t="s">
        <v>329</v>
      </c>
      <c r="C10" s="3" t="s">
        <v>428</v>
      </c>
      <c r="D10" s="3">
        <v>35380</v>
      </c>
      <c r="E10" s="3">
        <v>992</v>
      </c>
      <c r="F10" s="3">
        <v>15</v>
      </c>
      <c r="G10" s="3" t="s">
        <v>464</v>
      </c>
      <c r="H10" s="3" t="s">
        <v>465</v>
      </c>
      <c r="I10" s="3">
        <v>380</v>
      </c>
      <c r="J10" s="3">
        <v>1450</v>
      </c>
      <c r="K10" s="3">
        <v>90</v>
      </c>
      <c r="L10" s="3">
        <v>235</v>
      </c>
      <c r="M10" s="3">
        <v>8</v>
      </c>
      <c r="N10" s="3"/>
      <c r="O10" s="3" t="s">
        <v>466</v>
      </c>
      <c r="P10" s="3" t="s">
        <v>467</v>
      </c>
      <c r="Q10" s="3"/>
      <c r="R10" s="12">
        <v>8</v>
      </c>
    </row>
    <row r="11" spans="1:19" ht="37.5" x14ac:dyDescent="0.25">
      <c r="A11" s="3">
        <v>2</v>
      </c>
      <c r="B11" s="3" t="s">
        <v>330</v>
      </c>
      <c r="C11" s="3" t="s">
        <v>428</v>
      </c>
      <c r="D11" s="3">
        <v>16820</v>
      </c>
      <c r="E11" s="3">
        <v>824</v>
      </c>
      <c r="F11" s="3">
        <v>7.5</v>
      </c>
      <c r="G11" s="3" t="s">
        <v>464</v>
      </c>
      <c r="H11" s="3" t="s">
        <v>465</v>
      </c>
      <c r="I11" s="3">
        <v>380</v>
      </c>
      <c r="J11" s="3">
        <v>2900</v>
      </c>
      <c r="K11" s="3">
        <v>84</v>
      </c>
      <c r="L11" s="3">
        <v>115</v>
      </c>
      <c r="M11" s="3">
        <v>8</v>
      </c>
      <c r="N11" s="3"/>
      <c r="O11" s="3" t="s">
        <v>466</v>
      </c>
      <c r="P11" s="3" t="s">
        <v>468</v>
      </c>
      <c r="Q11" s="3"/>
      <c r="R11" s="12">
        <v>8</v>
      </c>
    </row>
    <row r="12" spans="1:19" ht="25" x14ac:dyDescent="0.25">
      <c r="A12" s="3">
        <v>3</v>
      </c>
      <c r="B12" s="3" t="s">
        <v>331</v>
      </c>
      <c r="C12" s="3" t="s">
        <v>428</v>
      </c>
      <c r="D12" s="3">
        <v>28805</v>
      </c>
      <c r="E12" s="3">
        <v>968</v>
      </c>
      <c r="F12" s="3">
        <v>11</v>
      </c>
      <c r="G12" s="3" t="s">
        <v>464</v>
      </c>
      <c r="H12" s="3" t="s">
        <v>465</v>
      </c>
      <c r="I12" s="3">
        <v>380</v>
      </c>
      <c r="J12" s="3">
        <v>1450</v>
      </c>
      <c r="K12" s="3">
        <v>84</v>
      </c>
      <c r="L12" s="3">
        <v>195</v>
      </c>
      <c r="M12" s="3">
        <v>8</v>
      </c>
      <c r="N12" s="3"/>
      <c r="O12" s="3" t="s">
        <v>466</v>
      </c>
      <c r="P12" s="3" t="s">
        <v>469</v>
      </c>
      <c r="Q12" s="3"/>
      <c r="R12" s="12">
        <v>8</v>
      </c>
    </row>
    <row r="13" spans="1:19" ht="25" x14ac:dyDescent="0.25">
      <c r="A13" s="3">
        <v>4</v>
      </c>
      <c r="B13" s="3" t="s">
        <v>328</v>
      </c>
      <c r="C13" s="3" t="s">
        <v>428</v>
      </c>
      <c r="D13" s="3">
        <v>9424</v>
      </c>
      <c r="E13" s="3">
        <v>418</v>
      </c>
      <c r="F13" s="3">
        <v>2.2000000000000002</v>
      </c>
      <c r="G13" s="3" t="s">
        <v>464</v>
      </c>
      <c r="H13" s="3" t="s">
        <v>470</v>
      </c>
      <c r="I13" s="3">
        <v>380</v>
      </c>
      <c r="J13" s="3">
        <v>1450</v>
      </c>
      <c r="K13" s="3">
        <v>80</v>
      </c>
      <c r="L13" s="3">
        <v>89</v>
      </c>
      <c r="M13" s="3">
        <v>4</v>
      </c>
      <c r="N13" s="3">
        <v>0.18</v>
      </c>
      <c r="O13" s="3" t="s">
        <v>466</v>
      </c>
      <c r="P13" s="3" t="s">
        <v>440</v>
      </c>
      <c r="Q13" s="3"/>
      <c r="R13" s="12">
        <v>4</v>
      </c>
    </row>
    <row r="14" spans="1:19" ht="25" x14ac:dyDescent="0.25">
      <c r="A14" s="3">
        <v>5</v>
      </c>
      <c r="B14" s="3" t="s">
        <v>327</v>
      </c>
      <c r="C14" s="3" t="s">
        <v>383</v>
      </c>
      <c r="D14" s="3">
        <v>600</v>
      </c>
      <c r="E14" s="3">
        <v>190</v>
      </c>
      <c r="F14" s="3">
        <v>9.8000000000000004E-2</v>
      </c>
      <c r="G14" s="3" t="s">
        <v>464</v>
      </c>
      <c r="H14" s="3" t="s">
        <v>470</v>
      </c>
      <c r="I14" s="3">
        <v>220</v>
      </c>
      <c r="J14" s="3" t="s">
        <v>438</v>
      </c>
      <c r="K14" s="3">
        <v>28</v>
      </c>
      <c r="L14" s="3">
        <v>4.5</v>
      </c>
      <c r="M14" s="3" t="s">
        <v>471</v>
      </c>
      <c r="N14" s="3">
        <v>0.06</v>
      </c>
      <c r="O14" s="3" t="s">
        <v>439</v>
      </c>
      <c r="P14" s="3" t="s">
        <v>440</v>
      </c>
      <c r="Q14" s="3" t="s">
        <v>472</v>
      </c>
      <c r="R14" s="12">
        <v>80</v>
      </c>
    </row>
    <row r="15" spans="1:19" x14ac:dyDescent="0.25">
      <c r="A15" s="13">
        <v>6</v>
      </c>
      <c r="B15" s="14" t="s">
        <v>332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v>1</v>
      </c>
      <c r="S15" t="s">
        <v>473</v>
      </c>
    </row>
    <row r="17" spans="1:19" x14ac:dyDescent="0.25">
      <c r="A17" s="43" t="s">
        <v>243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9" ht="25" x14ac:dyDescent="0.25">
      <c r="A18" s="48" t="s">
        <v>443</v>
      </c>
      <c r="B18" s="48" t="s">
        <v>444</v>
      </c>
      <c r="C18" s="48" t="s">
        <v>445</v>
      </c>
      <c r="D18" s="3" t="s">
        <v>446</v>
      </c>
      <c r="E18" s="3" t="s">
        <v>447</v>
      </c>
      <c r="F18" s="48" t="s">
        <v>448</v>
      </c>
      <c r="G18" s="48"/>
      <c r="H18" s="48"/>
      <c r="I18" s="48"/>
      <c r="J18" s="3" t="s">
        <v>449</v>
      </c>
      <c r="K18" s="3" t="s">
        <v>450</v>
      </c>
      <c r="L18" s="3" t="s">
        <v>451</v>
      </c>
      <c r="M18" s="3" t="s">
        <v>452</v>
      </c>
      <c r="N18" s="48" t="s">
        <v>423</v>
      </c>
      <c r="O18" s="48" t="s">
        <v>453</v>
      </c>
      <c r="P18" s="48" t="s">
        <v>454</v>
      </c>
      <c r="Q18" s="48" t="s">
        <v>7</v>
      </c>
      <c r="R18" s="49" t="s">
        <v>427</v>
      </c>
    </row>
    <row r="19" spans="1:19" ht="25" x14ac:dyDescent="0.25">
      <c r="A19" s="48"/>
      <c r="B19" s="48"/>
      <c r="C19" s="48"/>
      <c r="D19" s="3" t="s">
        <v>455</v>
      </c>
      <c r="E19" s="3" t="s">
        <v>456</v>
      </c>
      <c r="F19" s="3" t="s">
        <v>457</v>
      </c>
      <c r="G19" s="3" t="s">
        <v>458</v>
      </c>
      <c r="H19" s="3" t="s">
        <v>459</v>
      </c>
      <c r="I19" s="3" t="s">
        <v>460</v>
      </c>
      <c r="J19" s="3" t="s">
        <v>461</v>
      </c>
      <c r="K19" s="3" t="s">
        <v>462</v>
      </c>
      <c r="L19" s="3" t="s">
        <v>463</v>
      </c>
      <c r="M19" s="3" t="s">
        <v>150</v>
      </c>
      <c r="N19" s="48"/>
      <c r="O19" s="48"/>
      <c r="P19" s="48"/>
      <c r="Q19" s="48"/>
      <c r="R19" s="49"/>
    </row>
    <row r="20" spans="1:19" ht="37.5" x14ac:dyDescent="0.25">
      <c r="A20" s="3">
        <v>1</v>
      </c>
      <c r="B20" s="3" t="s">
        <v>333</v>
      </c>
      <c r="C20" s="3" t="s">
        <v>474</v>
      </c>
      <c r="D20" s="3">
        <v>36000</v>
      </c>
      <c r="E20" s="3">
        <v>770</v>
      </c>
      <c r="F20" s="3">
        <v>11</v>
      </c>
      <c r="G20" s="3" t="s">
        <v>464</v>
      </c>
      <c r="H20" s="3" t="s">
        <v>465</v>
      </c>
      <c r="I20" s="3">
        <v>380</v>
      </c>
      <c r="J20" s="3">
        <v>1450</v>
      </c>
      <c r="K20" s="3">
        <v>90</v>
      </c>
      <c r="L20" s="3">
        <v>300</v>
      </c>
      <c r="M20" s="3">
        <v>1</v>
      </c>
      <c r="N20" s="3"/>
      <c r="O20" s="3" t="s">
        <v>475</v>
      </c>
      <c r="P20" s="3" t="s">
        <v>476</v>
      </c>
      <c r="Q20" s="3"/>
      <c r="R20" s="12">
        <v>1</v>
      </c>
    </row>
    <row r="21" spans="1:19" ht="37.5" x14ac:dyDescent="0.25">
      <c r="A21" s="3">
        <v>2</v>
      </c>
      <c r="B21" s="3" t="s">
        <v>334</v>
      </c>
      <c r="C21" s="3" t="s">
        <v>474</v>
      </c>
      <c r="D21" s="3">
        <v>48000</v>
      </c>
      <c r="E21" s="3">
        <v>690</v>
      </c>
      <c r="F21" s="3">
        <v>15</v>
      </c>
      <c r="G21" s="3" t="s">
        <v>464</v>
      </c>
      <c r="H21" s="3" t="s">
        <v>465</v>
      </c>
      <c r="I21" s="3">
        <v>380</v>
      </c>
      <c r="J21" s="3">
        <v>1450</v>
      </c>
      <c r="K21" s="3">
        <v>92</v>
      </c>
      <c r="L21" s="3">
        <v>380</v>
      </c>
      <c r="M21" s="3">
        <v>1</v>
      </c>
      <c r="N21" s="3"/>
      <c r="O21" s="3" t="s">
        <v>475</v>
      </c>
      <c r="P21" s="3" t="s">
        <v>477</v>
      </c>
      <c r="Q21" s="3"/>
      <c r="R21" s="12">
        <v>1</v>
      </c>
    </row>
    <row r="22" spans="1:19" ht="37.5" x14ac:dyDescent="0.25">
      <c r="A22" s="3">
        <v>3</v>
      </c>
      <c r="B22" s="3" t="s">
        <v>329</v>
      </c>
      <c r="C22" s="3" t="s">
        <v>428</v>
      </c>
      <c r="D22" s="3">
        <v>24000</v>
      </c>
      <c r="E22" s="3">
        <v>658</v>
      </c>
      <c r="F22" s="3">
        <v>7.5</v>
      </c>
      <c r="G22" s="3" t="s">
        <v>464</v>
      </c>
      <c r="H22" s="3" t="s">
        <v>465</v>
      </c>
      <c r="I22" s="3">
        <v>380</v>
      </c>
      <c r="J22" s="3">
        <v>1450</v>
      </c>
      <c r="K22" s="3">
        <v>82</v>
      </c>
      <c r="L22" s="3">
        <v>205</v>
      </c>
      <c r="M22" s="3">
        <v>1</v>
      </c>
      <c r="N22" s="3"/>
      <c r="O22" s="3" t="s">
        <v>475</v>
      </c>
      <c r="P22" s="3" t="s">
        <v>478</v>
      </c>
      <c r="Q22" s="3"/>
      <c r="R22" s="12">
        <v>1</v>
      </c>
    </row>
    <row r="23" spans="1:19" ht="37.5" x14ac:dyDescent="0.25">
      <c r="A23" s="3">
        <v>4</v>
      </c>
      <c r="B23" s="3" t="s">
        <v>330</v>
      </c>
      <c r="C23" s="3" t="s">
        <v>428</v>
      </c>
      <c r="D23" s="3">
        <v>21000</v>
      </c>
      <c r="E23" s="3">
        <v>952</v>
      </c>
      <c r="F23" s="3">
        <v>7.5</v>
      </c>
      <c r="G23" s="3" t="s">
        <v>464</v>
      </c>
      <c r="H23" s="3" t="s">
        <v>465</v>
      </c>
      <c r="I23" s="3">
        <v>380</v>
      </c>
      <c r="J23" s="3">
        <v>1450</v>
      </c>
      <c r="K23" s="3">
        <v>82</v>
      </c>
      <c r="L23" s="3">
        <v>205</v>
      </c>
      <c r="M23" s="3">
        <v>1</v>
      </c>
      <c r="N23" s="3"/>
      <c r="O23" s="3" t="s">
        <v>475</v>
      </c>
      <c r="P23" s="3" t="s">
        <v>479</v>
      </c>
      <c r="Q23" s="3"/>
      <c r="R23" s="12">
        <v>1</v>
      </c>
    </row>
    <row r="24" spans="1:19" ht="37.5" x14ac:dyDescent="0.25">
      <c r="A24" s="3">
        <v>5</v>
      </c>
      <c r="B24" s="3" t="s">
        <v>331</v>
      </c>
      <c r="C24" s="3" t="s">
        <v>428</v>
      </c>
      <c r="D24" s="3">
        <v>24000</v>
      </c>
      <c r="E24" s="3">
        <v>658</v>
      </c>
      <c r="F24" s="3">
        <v>7.5</v>
      </c>
      <c r="G24" s="3" t="s">
        <v>464</v>
      </c>
      <c r="H24" s="3" t="s">
        <v>465</v>
      </c>
      <c r="I24" s="3">
        <v>380</v>
      </c>
      <c r="J24" s="3">
        <v>1450</v>
      </c>
      <c r="K24" s="3">
        <v>82</v>
      </c>
      <c r="L24" s="3">
        <v>205</v>
      </c>
      <c r="M24" s="3">
        <v>1</v>
      </c>
      <c r="N24" s="3"/>
      <c r="O24" s="3" t="s">
        <v>475</v>
      </c>
      <c r="P24" s="3" t="s">
        <v>480</v>
      </c>
      <c r="Q24" s="3"/>
      <c r="R24" s="12">
        <v>1</v>
      </c>
    </row>
    <row r="25" spans="1:19" ht="37.5" x14ac:dyDescent="0.25">
      <c r="A25" s="3">
        <v>6</v>
      </c>
      <c r="B25" s="3" t="s">
        <v>335</v>
      </c>
      <c r="C25" s="3" t="s">
        <v>428</v>
      </c>
      <c r="D25" s="3">
        <v>21000</v>
      </c>
      <c r="E25" s="3">
        <v>952</v>
      </c>
      <c r="F25" s="3">
        <v>7.5</v>
      </c>
      <c r="G25" s="3" t="s">
        <v>464</v>
      </c>
      <c r="H25" s="3" t="s">
        <v>465</v>
      </c>
      <c r="I25" s="3">
        <v>380</v>
      </c>
      <c r="J25" s="3">
        <v>1450</v>
      </c>
      <c r="K25" s="3">
        <v>82</v>
      </c>
      <c r="L25" s="3">
        <v>205</v>
      </c>
      <c r="M25" s="3">
        <v>1</v>
      </c>
      <c r="N25" s="3"/>
      <c r="O25" s="3" t="s">
        <v>475</v>
      </c>
      <c r="P25" s="3" t="s">
        <v>481</v>
      </c>
      <c r="Q25" s="3"/>
      <c r="R25" s="12">
        <v>1</v>
      </c>
    </row>
    <row r="26" spans="1:19" ht="25" x14ac:dyDescent="0.25">
      <c r="A26" s="3">
        <v>7</v>
      </c>
      <c r="B26" s="3" t="s">
        <v>328</v>
      </c>
      <c r="C26" s="3" t="s">
        <v>428</v>
      </c>
      <c r="D26" s="3">
        <v>5000</v>
      </c>
      <c r="E26" s="3">
        <v>326</v>
      </c>
      <c r="F26" s="3">
        <v>1.1000000000000001</v>
      </c>
      <c r="G26" s="3" t="s">
        <v>464</v>
      </c>
      <c r="H26" s="3" t="s">
        <v>470</v>
      </c>
      <c r="I26" s="3">
        <v>380</v>
      </c>
      <c r="J26" s="3">
        <v>1450</v>
      </c>
      <c r="K26" s="3">
        <v>77</v>
      </c>
      <c r="L26" s="3">
        <v>80</v>
      </c>
      <c r="M26" s="3">
        <v>1</v>
      </c>
      <c r="N26" s="3">
        <v>0.11</v>
      </c>
      <c r="O26" s="3" t="s">
        <v>475</v>
      </c>
      <c r="P26" s="3" t="s">
        <v>440</v>
      </c>
      <c r="Q26" s="3"/>
      <c r="R26" s="12">
        <v>1</v>
      </c>
    </row>
    <row r="27" spans="1:19" ht="25" x14ac:dyDescent="0.25">
      <c r="A27" s="3">
        <v>8</v>
      </c>
      <c r="B27" s="3" t="s">
        <v>96</v>
      </c>
      <c r="C27" s="3" t="s">
        <v>96</v>
      </c>
      <c r="D27" s="3">
        <v>1500</v>
      </c>
      <c r="E27" s="3">
        <v>236</v>
      </c>
      <c r="F27" s="3">
        <v>0.25</v>
      </c>
      <c r="G27" s="3" t="s">
        <v>464</v>
      </c>
      <c r="H27" s="3" t="s">
        <v>470</v>
      </c>
      <c r="I27" s="3">
        <v>220</v>
      </c>
      <c r="J27" s="3">
        <v>1450</v>
      </c>
      <c r="K27" s="3">
        <v>66</v>
      </c>
      <c r="L27" s="3">
        <v>45</v>
      </c>
      <c r="M27" s="3">
        <v>1</v>
      </c>
      <c r="N27" s="3">
        <v>0.08</v>
      </c>
      <c r="O27" s="3" t="s">
        <v>482</v>
      </c>
      <c r="P27" s="3" t="s">
        <v>440</v>
      </c>
      <c r="Q27" s="3" t="s">
        <v>472</v>
      </c>
      <c r="R27" s="17">
        <v>4</v>
      </c>
      <c r="S27" t="s">
        <v>442</v>
      </c>
    </row>
    <row r="28" spans="1:19" ht="25" x14ac:dyDescent="0.25">
      <c r="A28" s="3">
        <v>9</v>
      </c>
      <c r="B28" s="3" t="s">
        <v>87</v>
      </c>
      <c r="C28" s="3" t="s">
        <v>336</v>
      </c>
      <c r="D28" s="3">
        <v>500</v>
      </c>
      <c r="E28" s="3">
        <v>55</v>
      </c>
      <c r="F28" s="3">
        <v>0.05</v>
      </c>
      <c r="G28" s="3" t="s">
        <v>464</v>
      </c>
      <c r="H28" s="3" t="s">
        <v>470</v>
      </c>
      <c r="I28" s="3">
        <v>220</v>
      </c>
      <c r="J28" s="3" t="s">
        <v>438</v>
      </c>
      <c r="K28" s="3">
        <v>40</v>
      </c>
      <c r="L28" s="3">
        <v>15</v>
      </c>
      <c r="M28" s="3" t="s">
        <v>471</v>
      </c>
      <c r="N28" s="3">
        <v>0.03</v>
      </c>
      <c r="O28" s="3" t="s">
        <v>483</v>
      </c>
      <c r="P28" s="3" t="s">
        <v>484</v>
      </c>
      <c r="Q28" s="3" t="s">
        <v>472</v>
      </c>
      <c r="R28" s="17"/>
      <c r="S28" t="s">
        <v>485</v>
      </c>
    </row>
    <row r="30" spans="1:19" x14ac:dyDescent="0.25">
      <c r="A30" s="50" t="s">
        <v>244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2"/>
    </row>
    <row r="31" spans="1:19" ht="25" x14ac:dyDescent="0.25">
      <c r="A31" s="48" t="s">
        <v>443</v>
      </c>
      <c r="B31" s="48" t="s">
        <v>444</v>
      </c>
      <c r="C31" s="48" t="s">
        <v>445</v>
      </c>
      <c r="D31" s="3" t="s">
        <v>446</v>
      </c>
      <c r="E31" s="3" t="s">
        <v>447</v>
      </c>
      <c r="F31" s="48" t="s">
        <v>448</v>
      </c>
      <c r="G31" s="48"/>
      <c r="H31" s="48"/>
      <c r="I31" s="48"/>
      <c r="J31" s="3" t="s">
        <v>449</v>
      </c>
      <c r="K31" s="3" t="s">
        <v>450</v>
      </c>
      <c r="L31" s="3" t="s">
        <v>451</v>
      </c>
      <c r="M31" s="3" t="s">
        <v>452</v>
      </c>
      <c r="N31" s="48" t="s">
        <v>423</v>
      </c>
      <c r="O31" s="48" t="s">
        <v>453</v>
      </c>
      <c r="P31" s="48" t="s">
        <v>454</v>
      </c>
      <c r="Q31" s="48" t="s">
        <v>7</v>
      </c>
      <c r="R31" s="49" t="s">
        <v>427</v>
      </c>
    </row>
    <row r="32" spans="1:19" ht="25" x14ac:dyDescent="0.25">
      <c r="A32" s="48"/>
      <c r="B32" s="48"/>
      <c r="C32" s="48"/>
      <c r="D32" s="3" t="s">
        <v>455</v>
      </c>
      <c r="E32" s="3" t="s">
        <v>456</v>
      </c>
      <c r="F32" s="3" t="s">
        <v>457</v>
      </c>
      <c r="G32" s="3" t="s">
        <v>458</v>
      </c>
      <c r="H32" s="3" t="s">
        <v>459</v>
      </c>
      <c r="I32" s="3" t="s">
        <v>460</v>
      </c>
      <c r="J32" s="3" t="s">
        <v>461</v>
      </c>
      <c r="K32" s="3" t="s">
        <v>462</v>
      </c>
      <c r="L32" s="3" t="s">
        <v>463</v>
      </c>
      <c r="M32" s="3" t="s">
        <v>150</v>
      </c>
      <c r="N32" s="48"/>
      <c r="O32" s="48"/>
      <c r="P32" s="48"/>
      <c r="Q32" s="48"/>
      <c r="R32" s="49"/>
    </row>
    <row r="33" spans="1:19" ht="50" x14ac:dyDescent="0.25">
      <c r="A33" s="3">
        <v>1</v>
      </c>
      <c r="B33" s="3" t="s">
        <v>333</v>
      </c>
      <c r="C33" s="3" t="s">
        <v>474</v>
      </c>
      <c r="D33" s="3">
        <v>13712</v>
      </c>
      <c r="E33" s="3">
        <v>324</v>
      </c>
      <c r="F33" s="3">
        <v>3</v>
      </c>
      <c r="G33" s="3" t="s">
        <v>464</v>
      </c>
      <c r="H33" s="3" t="s">
        <v>465</v>
      </c>
      <c r="I33" s="3">
        <v>380</v>
      </c>
      <c r="J33" s="3">
        <v>960</v>
      </c>
      <c r="K33" s="3">
        <v>79</v>
      </c>
      <c r="L33" s="3">
        <v>135</v>
      </c>
      <c r="M33" s="3">
        <v>1</v>
      </c>
      <c r="N33" s="3"/>
      <c r="O33" s="3" t="s">
        <v>475</v>
      </c>
      <c r="P33" s="3" t="s">
        <v>486</v>
      </c>
      <c r="Q33" s="3"/>
      <c r="R33" s="12">
        <v>1</v>
      </c>
    </row>
    <row r="34" spans="1:19" ht="37.5" x14ac:dyDescent="0.25">
      <c r="A34" s="3">
        <v>2</v>
      </c>
      <c r="B34" s="3" t="s">
        <v>334</v>
      </c>
      <c r="C34" s="3" t="s">
        <v>474</v>
      </c>
      <c r="D34" s="3">
        <v>18000</v>
      </c>
      <c r="E34" s="3">
        <v>620</v>
      </c>
      <c r="F34" s="3">
        <v>5.5</v>
      </c>
      <c r="G34" s="3" t="s">
        <v>464</v>
      </c>
      <c r="H34" s="3" t="s">
        <v>465</v>
      </c>
      <c r="I34" s="3">
        <v>380</v>
      </c>
      <c r="J34" s="3">
        <v>1450</v>
      </c>
      <c r="K34" s="3">
        <v>88</v>
      </c>
      <c r="L34" s="3">
        <v>170</v>
      </c>
      <c r="M34" s="3">
        <v>1</v>
      </c>
      <c r="N34" s="3"/>
      <c r="O34" s="3" t="s">
        <v>475</v>
      </c>
      <c r="P34" s="3" t="s">
        <v>487</v>
      </c>
      <c r="Q34" s="3"/>
      <c r="R34" s="12">
        <v>1</v>
      </c>
    </row>
    <row r="35" spans="1:19" ht="37.5" x14ac:dyDescent="0.25">
      <c r="A35" s="3">
        <v>3</v>
      </c>
      <c r="B35" s="3" t="s">
        <v>329</v>
      </c>
      <c r="C35" s="3" t="s">
        <v>428</v>
      </c>
      <c r="D35" s="3">
        <v>25000</v>
      </c>
      <c r="E35" s="3">
        <v>524</v>
      </c>
      <c r="F35" s="3">
        <v>7.5</v>
      </c>
      <c r="G35" s="3" t="s">
        <v>464</v>
      </c>
      <c r="H35" s="3" t="s">
        <v>465</v>
      </c>
      <c r="I35" s="3">
        <v>380</v>
      </c>
      <c r="J35" s="3">
        <v>1450</v>
      </c>
      <c r="K35" s="3">
        <v>82</v>
      </c>
      <c r="L35" s="3">
        <v>205</v>
      </c>
      <c r="M35" s="3">
        <v>1</v>
      </c>
      <c r="N35" s="3"/>
      <c r="O35" s="3" t="s">
        <v>475</v>
      </c>
      <c r="P35" s="3" t="s">
        <v>468</v>
      </c>
      <c r="Q35" s="3"/>
      <c r="R35" s="12">
        <v>1</v>
      </c>
    </row>
    <row r="36" spans="1:19" ht="37.5" x14ac:dyDescent="0.25">
      <c r="A36" s="3">
        <v>4</v>
      </c>
      <c r="B36" s="3" t="s">
        <v>330</v>
      </c>
      <c r="C36" s="3" t="s">
        <v>428</v>
      </c>
      <c r="D36" s="3">
        <v>25000</v>
      </c>
      <c r="E36" s="3">
        <v>524</v>
      </c>
      <c r="F36" s="3">
        <v>7.5</v>
      </c>
      <c r="G36" s="3" t="s">
        <v>464</v>
      </c>
      <c r="H36" s="3" t="s">
        <v>465</v>
      </c>
      <c r="I36" s="3">
        <v>380</v>
      </c>
      <c r="J36" s="3">
        <v>1450</v>
      </c>
      <c r="K36" s="3">
        <v>82</v>
      </c>
      <c r="L36" s="3">
        <v>205</v>
      </c>
      <c r="M36" s="3">
        <v>1</v>
      </c>
      <c r="N36" s="3"/>
      <c r="O36" s="3" t="s">
        <v>475</v>
      </c>
      <c r="P36" s="3" t="s">
        <v>467</v>
      </c>
      <c r="Q36" s="3"/>
      <c r="R36" s="12">
        <v>1</v>
      </c>
    </row>
    <row r="37" spans="1:19" ht="37.5" x14ac:dyDescent="0.25">
      <c r="A37" s="3">
        <v>5</v>
      </c>
      <c r="B37" s="3" t="s">
        <v>331</v>
      </c>
      <c r="C37" s="3" t="s">
        <v>428</v>
      </c>
      <c r="D37" s="3">
        <v>25000</v>
      </c>
      <c r="E37" s="3">
        <v>524</v>
      </c>
      <c r="F37" s="3">
        <v>7.5</v>
      </c>
      <c r="G37" s="3" t="s">
        <v>464</v>
      </c>
      <c r="H37" s="3" t="s">
        <v>465</v>
      </c>
      <c r="I37" s="3">
        <v>380</v>
      </c>
      <c r="J37" s="3">
        <v>1450</v>
      </c>
      <c r="K37" s="3">
        <v>82</v>
      </c>
      <c r="L37" s="3">
        <v>205</v>
      </c>
      <c r="M37" s="3">
        <v>1</v>
      </c>
      <c r="N37" s="3"/>
      <c r="O37" s="3" t="s">
        <v>475</v>
      </c>
      <c r="P37" s="3" t="s">
        <v>467</v>
      </c>
      <c r="Q37" s="3"/>
      <c r="R37" s="12">
        <v>1</v>
      </c>
    </row>
    <row r="38" spans="1:19" ht="37.5" x14ac:dyDescent="0.25">
      <c r="A38" s="3">
        <v>6</v>
      </c>
      <c r="B38" s="3" t="s">
        <v>335</v>
      </c>
      <c r="C38" s="3" t="s">
        <v>428</v>
      </c>
      <c r="D38" s="3">
        <v>25000</v>
      </c>
      <c r="E38" s="3">
        <v>524</v>
      </c>
      <c r="F38" s="3">
        <v>7.5</v>
      </c>
      <c r="G38" s="3" t="s">
        <v>464</v>
      </c>
      <c r="H38" s="3" t="s">
        <v>465</v>
      </c>
      <c r="I38" s="3">
        <v>380</v>
      </c>
      <c r="J38" s="3">
        <v>1450</v>
      </c>
      <c r="K38" s="3">
        <v>82</v>
      </c>
      <c r="L38" s="3">
        <v>205</v>
      </c>
      <c r="M38" s="3">
        <v>1</v>
      </c>
      <c r="N38" s="3"/>
      <c r="O38" s="3" t="s">
        <v>475</v>
      </c>
      <c r="P38" s="3" t="s">
        <v>468</v>
      </c>
      <c r="Q38" s="3"/>
      <c r="R38" s="12">
        <v>1</v>
      </c>
    </row>
    <row r="39" spans="1:19" ht="25" x14ac:dyDescent="0.25">
      <c r="A39" s="3">
        <v>7</v>
      </c>
      <c r="B39" s="3" t="s">
        <v>328</v>
      </c>
      <c r="C39" s="3" t="s">
        <v>428</v>
      </c>
      <c r="D39" s="3">
        <v>6000</v>
      </c>
      <c r="E39" s="3">
        <v>424</v>
      </c>
      <c r="F39" s="3">
        <v>1.5</v>
      </c>
      <c r="G39" s="3" t="s">
        <v>464</v>
      </c>
      <c r="H39" s="3" t="s">
        <v>470</v>
      </c>
      <c r="I39" s="3">
        <v>380</v>
      </c>
      <c r="J39" s="3">
        <v>2900</v>
      </c>
      <c r="K39" s="3">
        <v>78</v>
      </c>
      <c r="L39" s="3">
        <v>75</v>
      </c>
      <c r="M39" s="3">
        <v>1</v>
      </c>
      <c r="N39" s="3">
        <v>0.15</v>
      </c>
      <c r="O39" s="3" t="s">
        <v>475</v>
      </c>
      <c r="P39" s="3" t="s">
        <v>440</v>
      </c>
      <c r="Q39" s="3"/>
      <c r="R39" s="12">
        <v>1</v>
      </c>
    </row>
    <row r="40" spans="1:19" ht="37.5" x14ac:dyDescent="0.25">
      <c r="A40" s="3">
        <v>8</v>
      </c>
      <c r="B40" s="3" t="s">
        <v>87</v>
      </c>
      <c r="C40" s="3" t="s">
        <v>336</v>
      </c>
      <c r="D40" s="3">
        <v>500</v>
      </c>
      <c r="E40" s="3">
        <v>55</v>
      </c>
      <c r="F40" s="3">
        <v>0.05</v>
      </c>
      <c r="G40" s="3" t="s">
        <v>464</v>
      </c>
      <c r="H40" s="3" t="s">
        <v>470</v>
      </c>
      <c r="I40" s="3">
        <v>220</v>
      </c>
      <c r="J40" s="3" t="s">
        <v>438</v>
      </c>
      <c r="K40" s="3">
        <v>40</v>
      </c>
      <c r="L40" s="3">
        <v>15</v>
      </c>
      <c r="M40" s="3" t="s">
        <v>471</v>
      </c>
      <c r="N40" s="3">
        <v>0.03</v>
      </c>
      <c r="O40" s="3" t="s">
        <v>488</v>
      </c>
      <c r="P40" s="3" t="s">
        <v>489</v>
      </c>
      <c r="Q40" s="3" t="s">
        <v>472</v>
      </c>
      <c r="R40" s="12">
        <v>12</v>
      </c>
    </row>
    <row r="41" spans="1:19" x14ac:dyDescent="0.25">
      <c r="A41" s="3">
        <v>9</v>
      </c>
      <c r="B41" s="3" t="s">
        <v>337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7">
        <v>1</v>
      </c>
      <c r="S41" t="s">
        <v>473</v>
      </c>
    </row>
    <row r="43" spans="1:19" x14ac:dyDescent="0.25">
      <c r="A43" s="53" t="s">
        <v>245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9" x14ac:dyDescent="0.25">
      <c r="A44" s="48" t="s">
        <v>443</v>
      </c>
      <c r="B44" s="48" t="s">
        <v>444</v>
      </c>
      <c r="C44" s="48" t="s">
        <v>445</v>
      </c>
      <c r="D44" s="3" t="s">
        <v>446</v>
      </c>
      <c r="E44" s="3" t="s">
        <v>490</v>
      </c>
      <c r="F44" s="48" t="s">
        <v>448</v>
      </c>
      <c r="G44" s="48"/>
      <c r="H44" s="48"/>
      <c r="I44" s="48"/>
      <c r="J44" s="3" t="s">
        <v>449</v>
      </c>
      <c r="K44" s="3" t="s">
        <v>450</v>
      </c>
      <c r="L44" s="3" t="s">
        <v>451</v>
      </c>
      <c r="M44" s="3" t="s">
        <v>452</v>
      </c>
      <c r="N44" s="48" t="s">
        <v>423</v>
      </c>
      <c r="O44" s="48" t="s">
        <v>453</v>
      </c>
      <c r="P44" s="48" t="s">
        <v>454</v>
      </c>
      <c r="Q44" s="48" t="s">
        <v>7</v>
      </c>
      <c r="R44" s="49" t="s">
        <v>427</v>
      </c>
    </row>
    <row r="45" spans="1:19" ht="25" x14ac:dyDescent="0.25">
      <c r="A45" s="48"/>
      <c r="B45" s="48"/>
      <c r="C45" s="48"/>
      <c r="D45" s="3" t="s">
        <v>455</v>
      </c>
      <c r="E45" s="3" t="s">
        <v>456</v>
      </c>
      <c r="F45" s="3" t="s">
        <v>457</v>
      </c>
      <c r="G45" s="3" t="s">
        <v>458</v>
      </c>
      <c r="H45" s="3" t="s">
        <v>459</v>
      </c>
      <c r="I45" s="3" t="s">
        <v>460</v>
      </c>
      <c r="J45" s="3" t="s">
        <v>461</v>
      </c>
      <c r="K45" s="3" t="s">
        <v>462</v>
      </c>
      <c r="L45" s="3" t="s">
        <v>463</v>
      </c>
      <c r="M45" s="3" t="s">
        <v>150</v>
      </c>
      <c r="N45" s="48"/>
      <c r="O45" s="48"/>
      <c r="P45" s="48"/>
      <c r="Q45" s="48"/>
      <c r="R45" s="49"/>
    </row>
    <row r="46" spans="1:19" ht="37.5" x14ac:dyDescent="0.25">
      <c r="A46" s="3">
        <v>1</v>
      </c>
      <c r="B46" s="3" t="s">
        <v>329</v>
      </c>
      <c r="C46" s="3" t="s">
        <v>491</v>
      </c>
      <c r="D46" s="3">
        <v>42000</v>
      </c>
      <c r="E46" s="3">
        <v>946</v>
      </c>
      <c r="F46" s="3">
        <v>18.5</v>
      </c>
      <c r="G46" s="3" t="s">
        <v>464</v>
      </c>
      <c r="H46" s="3" t="s">
        <v>465</v>
      </c>
      <c r="I46" s="3">
        <v>380</v>
      </c>
      <c r="J46" s="3">
        <v>1450</v>
      </c>
      <c r="K46" s="3">
        <v>92</v>
      </c>
      <c r="L46" s="3">
        <v>400</v>
      </c>
      <c r="M46" s="3">
        <v>1</v>
      </c>
      <c r="N46" s="3" t="s">
        <v>492</v>
      </c>
      <c r="O46" s="3" t="s">
        <v>493</v>
      </c>
      <c r="P46" s="3" t="s">
        <v>478</v>
      </c>
      <c r="Q46" s="3"/>
      <c r="R46" s="12">
        <v>1</v>
      </c>
    </row>
    <row r="47" spans="1:19" ht="37.5" x14ac:dyDescent="0.25">
      <c r="A47" s="3">
        <v>2</v>
      </c>
      <c r="B47" s="3" t="s">
        <v>330</v>
      </c>
      <c r="C47" s="3" t="s">
        <v>491</v>
      </c>
      <c r="D47" s="3">
        <v>42000</v>
      </c>
      <c r="E47" s="3">
        <v>946</v>
      </c>
      <c r="F47" s="3">
        <v>18.5</v>
      </c>
      <c r="G47" s="3" t="s">
        <v>464</v>
      </c>
      <c r="H47" s="3" t="s">
        <v>465</v>
      </c>
      <c r="I47" s="3">
        <v>380</v>
      </c>
      <c r="J47" s="3">
        <v>1450</v>
      </c>
      <c r="K47" s="3">
        <v>92</v>
      </c>
      <c r="L47" s="3">
        <v>400</v>
      </c>
      <c r="M47" s="3">
        <v>1</v>
      </c>
      <c r="N47" s="3" t="s">
        <v>492</v>
      </c>
      <c r="O47" s="3" t="s">
        <v>493</v>
      </c>
      <c r="P47" s="3" t="s">
        <v>480</v>
      </c>
      <c r="Q47" s="3"/>
      <c r="R47" s="12">
        <v>1</v>
      </c>
    </row>
    <row r="48" spans="1:19" ht="37.5" x14ac:dyDescent="0.25">
      <c r="A48" s="3">
        <v>3</v>
      </c>
      <c r="B48" s="3" t="s">
        <v>331</v>
      </c>
      <c r="C48" s="3" t="s">
        <v>491</v>
      </c>
      <c r="D48" s="3">
        <v>21000</v>
      </c>
      <c r="E48" s="3">
        <v>952</v>
      </c>
      <c r="F48" s="3">
        <v>7.5</v>
      </c>
      <c r="G48" s="3" t="s">
        <v>464</v>
      </c>
      <c r="H48" s="3" t="s">
        <v>465</v>
      </c>
      <c r="I48" s="3">
        <v>380</v>
      </c>
      <c r="J48" s="3">
        <v>1450</v>
      </c>
      <c r="K48" s="3">
        <v>82</v>
      </c>
      <c r="L48" s="3">
        <v>205</v>
      </c>
      <c r="M48" s="3">
        <v>1</v>
      </c>
      <c r="N48" s="3" t="s">
        <v>492</v>
      </c>
      <c r="O48" s="3" t="s">
        <v>493</v>
      </c>
      <c r="P48" s="3" t="s">
        <v>481</v>
      </c>
      <c r="Q48" s="3"/>
      <c r="R48" s="12">
        <v>1</v>
      </c>
    </row>
    <row r="49" spans="1:18" ht="37.5" x14ac:dyDescent="0.25">
      <c r="A49" s="3">
        <v>4</v>
      </c>
      <c r="B49" s="3" t="s">
        <v>335</v>
      </c>
      <c r="C49" s="3" t="s">
        <v>491</v>
      </c>
      <c r="D49" s="3">
        <v>42000</v>
      </c>
      <c r="E49" s="3">
        <v>946</v>
      </c>
      <c r="F49" s="3">
        <v>18.5</v>
      </c>
      <c r="G49" s="3" t="s">
        <v>464</v>
      </c>
      <c r="H49" s="3" t="s">
        <v>465</v>
      </c>
      <c r="I49" s="3">
        <v>380</v>
      </c>
      <c r="J49" s="3">
        <v>1450</v>
      </c>
      <c r="K49" s="3">
        <v>92</v>
      </c>
      <c r="L49" s="3">
        <v>400</v>
      </c>
      <c r="M49" s="3">
        <v>1</v>
      </c>
      <c r="N49" s="3" t="s">
        <v>492</v>
      </c>
      <c r="O49" s="3" t="s">
        <v>493</v>
      </c>
      <c r="P49" s="3" t="s">
        <v>494</v>
      </c>
      <c r="Q49" s="3"/>
      <c r="R49" s="12">
        <v>1</v>
      </c>
    </row>
    <row r="50" spans="1:18" ht="37.5" x14ac:dyDescent="0.25">
      <c r="A50" s="3">
        <v>5</v>
      </c>
      <c r="B50" s="3" t="s">
        <v>338</v>
      </c>
      <c r="C50" s="3" t="s">
        <v>491</v>
      </c>
      <c r="D50" s="3">
        <v>21000</v>
      </c>
      <c r="E50" s="3">
        <v>952</v>
      </c>
      <c r="F50" s="3">
        <v>7.5</v>
      </c>
      <c r="G50" s="3" t="s">
        <v>464</v>
      </c>
      <c r="H50" s="3" t="s">
        <v>465</v>
      </c>
      <c r="I50" s="3">
        <v>380</v>
      </c>
      <c r="J50" s="3">
        <v>1450</v>
      </c>
      <c r="K50" s="3">
        <v>82</v>
      </c>
      <c r="L50" s="3">
        <v>205</v>
      </c>
      <c r="M50" s="3">
        <v>1</v>
      </c>
      <c r="N50" s="3" t="s">
        <v>492</v>
      </c>
      <c r="O50" s="3" t="s">
        <v>493</v>
      </c>
      <c r="P50" s="3" t="s">
        <v>495</v>
      </c>
      <c r="Q50" s="3"/>
      <c r="R50" s="12">
        <v>1</v>
      </c>
    </row>
    <row r="51" spans="1:18" ht="37.5" x14ac:dyDescent="0.25">
      <c r="A51" s="3">
        <v>6</v>
      </c>
      <c r="B51" s="3" t="s">
        <v>339</v>
      </c>
      <c r="C51" s="3" t="s">
        <v>491</v>
      </c>
      <c r="D51" s="3">
        <v>42000</v>
      </c>
      <c r="E51" s="3">
        <v>946</v>
      </c>
      <c r="F51" s="3">
        <v>18.5</v>
      </c>
      <c r="G51" s="3" t="s">
        <v>464</v>
      </c>
      <c r="H51" s="3" t="s">
        <v>465</v>
      </c>
      <c r="I51" s="3">
        <v>380</v>
      </c>
      <c r="J51" s="3">
        <v>1450</v>
      </c>
      <c r="K51" s="3">
        <v>92</v>
      </c>
      <c r="L51" s="3">
        <v>400</v>
      </c>
      <c r="M51" s="3">
        <v>1</v>
      </c>
      <c r="N51" s="3" t="s">
        <v>492</v>
      </c>
      <c r="O51" s="3" t="s">
        <v>493</v>
      </c>
      <c r="P51" s="3" t="s">
        <v>496</v>
      </c>
      <c r="Q51" s="3"/>
      <c r="R51" s="12">
        <v>1</v>
      </c>
    </row>
    <row r="52" spans="1:18" ht="37.5" x14ac:dyDescent="0.25">
      <c r="A52" s="3">
        <v>7</v>
      </c>
      <c r="B52" s="3" t="s">
        <v>340</v>
      </c>
      <c r="C52" s="3" t="s">
        <v>491</v>
      </c>
      <c r="D52" s="3">
        <v>21000</v>
      </c>
      <c r="E52" s="3">
        <v>952</v>
      </c>
      <c r="F52" s="3">
        <v>7.5</v>
      </c>
      <c r="G52" s="3" t="s">
        <v>464</v>
      </c>
      <c r="H52" s="3" t="s">
        <v>465</v>
      </c>
      <c r="I52" s="3">
        <v>380</v>
      </c>
      <c r="J52" s="3">
        <v>1450</v>
      </c>
      <c r="K52" s="3">
        <v>82</v>
      </c>
      <c r="L52" s="3">
        <v>205</v>
      </c>
      <c r="M52" s="3">
        <v>1</v>
      </c>
      <c r="N52" s="3" t="s">
        <v>492</v>
      </c>
      <c r="O52" s="3" t="s">
        <v>493</v>
      </c>
      <c r="P52" s="3" t="s">
        <v>497</v>
      </c>
      <c r="Q52" s="3"/>
      <c r="R52" s="12">
        <v>1</v>
      </c>
    </row>
    <row r="53" spans="1:18" ht="25" x14ac:dyDescent="0.25">
      <c r="A53" s="3">
        <v>8</v>
      </c>
      <c r="B53" s="3" t="s">
        <v>333</v>
      </c>
      <c r="C53" s="3" t="s">
        <v>498</v>
      </c>
      <c r="D53" s="3">
        <v>37200</v>
      </c>
      <c r="E53" s="3">
        <v>736</v>
      </c>
      <c r="F53" s="3">
        <v>11</v>
      </c>
      <c r="G53" s="3" t="s">
        <v>464</v>
      </c>
      <c r="H53" s="3" t="s">
        <v>465</v>
      </c>
      <c r="I53" s="3">
        <v>380</v>
      </c>
      <c r="J53" s="3">
        <v>1000</v>
      </c>
      <c r="K53" s="3">
        <v>90</v>
      </c>
      <c r="L53" s="3">
        <v>300</v>
      </c>
      <c r="M53" s="3">
        <v>1</v>
      </c>
      <c r="N53" s="3" t="s">
        <v>492</v>
      </c>
      <c r="O53" s="3" t="s">
        <v>493</v>
      </c>
      <c r="P53" s="3" t="s">
        <v>476</v>
      </c>
      <c r="Q53" s="3"/>
      <c r="R53" s="12">
        <v>1</v>
      </c>
    </row>
    <row r="54" spans="1:18" x14ac:dyDescent="0.25">
      <c r="A54" s="48" t="s">
        <v>443</v>
      </c>
      <c r="B54" s="48" t="s">
        <v>444</v>
      </c>
      <c r="C54" s="48" t="s">
        <v>445</v>
      </c>
      <c r="D54" s="3" t="s">
        <v>446</v>
      </c>
      <c r="E54" s="3" t="s">
        <v>490</v>
      </c>
      <c r="F54" s="48" t="s">
        <v>448</v>
      </c>
      <c r="G54" s="48"/>
      <c r="H54" s="48"/>
      <c r="I54" s="48"/>
      <c r="J54" s="3" t="s">
        <v>449</v>
      </c>
      <c r="K54" s="3" t="s">
        <v>450</v>
      </c>
      <c r="L54" s="3" t="s">
        <v>451</v>
      </c>
      <c r="M54" s="3" t="s">
        <v>452</v>
      </c>
      <c r="N54" s="48" t="s">
        <v>423</v>
      </c>
      <c r="O54" s="48" t="s">
        <v>453</v>
      </c>
      <c r="P54" s="48" t="s">
        <v>454</v>
      </c>
      <c r="Q54" s="48" t="s">
        <v>7</v>
      </c>
      <c r="R54" s="49" t="s">
        <v>427</v>
      </c>
    </row>
    <row r="55" spans="1:18" ht="25" x14ac:dyDescent="0.25">
      <c r="A55" s="48"/>
      <c r="B55" s="48"/>
      <c r="C55" s="48"/>
      <c r="D55" s="3" t="s">
        <v>455</v>
      </c>
      <c r="E55" s="3" t="s">
        <v>456</v>
      </c>
      <c r="F55" s="3" t="s">
        <v>457</v>
      </c>
      <c r="G55" s="3" t="s">
        <v>458</v>
      </c>
      <c r="H55" s="3" t="s">
        <v>459</v>
      </c>
      <c r="I55" s="3" t="s">
        <v>460</v>
      </c>
      <c r="J55" s="3" t="s">
        <v>461</v>
      </c>
      <c r="K55" s="3" t="s">
        <v>462</v>
      </c>
      <c r="L55" s="3" t="s">
        <v>463</v>
      </c>
      <c r="M55" s="3" t="s">
        <v>150</v>
      </c>
      <c r="N55" s="48"/>
      <c r="O55" s="48"/>
      <c r="P55" s="48"/>
      <c r="Q55" s="48"/>
      <c r="R55" s="49"/>
    </row>
    <row r="56" spans="1:18" ht="37.5" x14ac:dyDescent="0.25">
      <c r="A56" s="3">
        <v>1</v>
      </c>
      <c r="B56" s="3" t="s">
        <v>328</v>
      </c>
      <c r="C56" s="3" t="s">
        <v>499</v>
      </c>
      <c r="D56" s="3">
        <v>25000</v>
      </c>
      <c r="E56" s="3">
        <v>717</v>
      </c>
      <c r="F56" s="3">
        <v>11</v>
      </c>
      <c r="G56" s="3" t="s">
        <v>464</v>
      </c>
      <c r="H56" s="3" t="s">
        <v>470</v>
      </c>
      <c r="I56" s="3">
        <v>380</v>
      </c>
      <c r="J56" s="3">
        <v>800</v>
      </c>
      <c r="K56" s="3">
        <v>74</v>
      </c>
      <c r="L56" s="3">
        <v>430</v>
      </c>
      <c r="M56" s="3">
        <v>1</v>
      </c>
      <c r="N56" s="3">
        <v>0.26</v>
      </c>
      <c r="O56" s="3" t="s">
        <v>493</v>
      </c>
      <c r="P56" s="3" t="s">
        <v>500</v>
      </c>
      <c r="Q56" s="3"/>
      <c r="R56" s="12">
        <v>1</v>
      </c>
    </row>
    <row r="57" spans="1:18" ht="62.5" x14ac:dyDescent="0.25">
      <c r="A57" s="3">
        <v>2</v>
      </c>
      <c r="B57" s="3" t="s">
        <v>501</v>
      </c>
      <c r="C57" s="3" t="s">
        <v>499</v>
      </c>
      <c r="D57" s="3">
        <v>13000</v>
      </c>
      <c r="E57" s="3">
        <v>483</v>
      </c>
      <c r="F57" s="3">
        <v>4</v>
      </c>
      <c r="G57" s="3" t="s">
        <v>464</v>
      </c>
      <c r="H57" s="3" t="s">
        <v>470</v>
      </c>
      <c r="I57" s="3">
        <v>380</v>
      </c>
      <c r="J57" s="3">
        <v>800</v>
      </c>
      <c r="K57" s="3">
        <v>65</v>
      </c>
      <c r="L57" s="3">
        <v>225</v>
      </c>
      <c r="M57" s="3">
        <v>1</v>
      </c>
      <c r="N57" s="3">
        <v>0.18</v>
      </c>
      <c r="O57" s="3" t="s">
        <v>493</v>
      </c>
      <c r="P57" s="3" t="s">
        <v>502</v>
      </c>
      <c r="Q57" s="3" t="s">
        <v>503</v>
      </c>
      <c r="R57" s="12">
        <v>1</v>
      </c>
    </row>
    <row r="58" spans="1:18" ht="37.5" x14ac:dyDescent="0.25">
      <c r="A58" s="3">
        <v>3</v>
      </c>
      <c r="B58" s="3" t="s">
        <v>504</v>
      </c>
      <c r="C58" s="3" t="s">
        <v>499</v>
      </c>
      <c r="D58" s="3">
        <v>25000</v>
      </c>
      <c r="E58" s="3">
        <v>717</v>
      </c>
      <c r="F58" s="3">
        <v>11</v>
      </c>
      <c r="G58" s="3" t="s">
        <v>464</v>
      </c>
      <c r="H58" s="3" t="s">
        <v>470</v>
      </c>
      <c r="I58" s="3">
        <v>380</v>
      </c>
      <c r="J58" s="3">
        <v>800</v>
      </c>
      <c r="K58" s="3">
        <v>74</v>
      </c>
      <c r="L58" s="3">
        <v>430</v>
      </c>
      <c r="M58" s="3">
        <v>1</v>
      </c>
      <c r="N58" s="3">
        <v>0.26</v>
      </c>
      <c r="O58" s="3" t="s">
        <v>493</v>
      </c>
      <c r="P58" s="3" t="s">
        <v>505</v>
      </c>
      <c r="Q58" s="3"/>
      <c r="R58" s="12">
        <v>1</v>
      </c>
    </row>
    <row r="59" spans="1:18" ht="62.5" x14ac:dyDescent="0.25">
      <c r="A59" s="3">
        <v>4</v>
      </c>
      <c r="B59" s="3" t="s">
        <v>506</v>
      </c>
      <c r="C59" s="3" t="s">
        <v>499</v>
      </c>
      <c r="D59" s="3">
        <v>13000</v>
      </c>
      <c r="E59" s="3">
        <v>483</v>
      </c>
      <c r="F59" s="3">
        <v>4</v>
      </c>
      <c r="G59" s="3" t="s">
        <v>464</v>
      </c>
      <c r="H59" s="3" t="s">
        <v>470</v>
      </c>
      <c r="I59" s="3">
        <v>380</v>
      </c>
      <c r="J59" s="3">
        <v>800</v>
      </c>
      <c r="K59" s="3">
        <v>65</v>
      </c>
      <c r="L59" s="3">
        <v>225</v>
      </c>
      <c r="M59" s="3">
        <v>1</v>
      </c>
      <c r="N59" s="3">
        <v>0.18</v>
      </c>
      <c r="O59" s="3" t="s">
        <v>493</v>
      </c>
      <c r="P59" s="3" t="s">
        <v>507</v>
      </c>
      <c r="Q59" s="3" t="s">
        <v>503</v>
      </c>
      <c r="R59" s="12">
        <v>1</v>
      </c>
    </row>
    <row r="60" spans="1:18" ht="37.5" x14ac:dyDescent="0.25">
      <c r="A60" s="3">
        <v>5</v>
      </c>
      <c r="B60" s="3" t="s">
        <v>367</v>
      </c>
      <c r="C60" s="3" t="s">
        <v>499</v>
      </c>
      <c r="D60" s="3">
        <v>25000</v>
      </c>
      <c r="E60" s="3">
        <v>717</v>
      </c>
      <c r="F60" s="3">
        <v>11</v>
      </c>
      <c r="G60" s="3" t="s">
        <v>464</v>
      </c>
      <c r="H60" s="3" t="s">
        <v>470</v>
      </c>
      <c r="I60" s="3">
        <v>380</v>
      </c>
      <c r="J60" s="3">
        <v>800</v>
      </c>
      <c r="K60" s="3">
        <v>74</v>
      </c>
      <c r="L60" s="3">
        <v>430</v>
      </c>
      <c r="M60" s="3">
        <v>1</v>
      </c>
      <c r="N60" s="3">
        <v>0.26</v>
      </c>
      <c r="O60" s="3" t="s">
        <v>493</v>
      </c>
      <c r="P60" s="3" t="s">
        <v>508</v>
      </c>
      <c r="Q60" s="3"/>
      <c r="R60" s="12">
        <v>1</v>
      </c>
    </row>
    <row r="61" spans="1:18" ht="62.5" x14ac:dyDescent="0.25">
      <c r="A61" s="3">
        <v>6</v>
      </c>
      <c r="B61" s="3" t="s">
        <v>368</v>
      </c>
      <c r="C61" s="3" t="s">
        <v>499</v>
      </c>
      <c r="D61" s="3">
        <v>13000</v>
      </c>
      <c r="E61" s="3">
        <v>483</v>
      </c>
      <c r="F61" s="3">
        <v>4</v>
      </c>
      <c r="G61" s="3" t="s">
        <v>464</v>
      </c>
      <c r="H61" s="3" t="s">
        <v>470</v>
      </c>
      <c r="I61" s="3">
        <v>380</v>
      </c>
      <c r="J61" s="3">
        <v>800</v>
      </c>
      <c r="K61" s="3">
        <v>65</v>
      </c>
      <c r="L61" s="3">
        <v>225</v>
      </c>
      <c r="M61" s="3">
        <v>1</v>
      </c>
      <c r="N61" s="3">
        <v>0.18</v>
      </c>
      <c r="O61" s="3" t="s">
        <v>493</v>
      </c>
      <c r="P61" s="3" t="s">
        <v>509</v>
      </c>
      <c r="Q61" s="3" t="s">
        <v>503</v>
      </c>
      <c r="R61" s="12">
        <v>1</v>
      </c>
    </row>
    <row r="62" spans="1:18" ht="37.5" x14ac:dyDescent="0.25">
      <c r="A62" s="3">
        <v>7</v>
      </c>
      <c r="B62" s="3" t="s">
        <v>370</v>
      </c>
      <c r="C62" s="3" t="s">
        <v>499</v>
      </c>
      <c r="D62" s="3">
        <v>25000</v>
      </c>
      <c r="E62" s="3">
        <v>717</v>
      </c>
      <c r="F62" s="3">
        <v>11</v>
      </c>
      <c r="G62" s="3" t="s">
        <v>464</v>
      </c>
      <c r="H62" s="3" t="s">
        <v>470</v>
      </c>
      <c r="I62" s="3">
        <v>380</v>
      </c>
      <c r="J62" s="3">
        <v>800</v>
      </c>
      <c r="K62" s="3">
        <v>74</v>
      </c>
      <c r="L62" s="3">
        <v>430</v>
      </c>
      <c r="M62" s="3">
        <v>1</v>
      </c>
      <c r="N62" s="3">
        <v>0.26</v>
      </c>
      <c r="O62" s="3" t="s">
        <v>493</v>
      </c>
      <c r="P62" s="3" t="s">
        <v>510</v>
      </c>
      <c r="Q62" s="3"/>
      <c r="R62" s="12">
        <v>1</v>
      </c>
    </row>
    <row r="63" spans="1:18" ht="62.5" x14ac:dyDescent="0.25">
      <c r="A63" s="3">
        <v>8</v>
      </c>
      <c r="B63" s="3" t="s">
        <v>369</v>
      </c>
      <c r="C63" s="3" t="s">
        <v>499</v>
      </c>
      <c r="D63" s="3">
        <v>13000</v>
      </c>
      <c r="E63" s="3">
        <v>483</v>
      </c>
      <c r="F63" s="3">
        <v>4</v>
      </c>
      <c r="G63" s="3" t="s">
        <v>464</v>
      </c>
      <c r="H63" s="3" t="s">
        <v>470</v>
      </c>
      <c r="I63" s="3">
        <v>380</v>
      </c>
      <c r="J63" s="3">
        <v>800</v>
      </c>
      <c r="K63" s="3">
        <v>65</v>
      </c>
      <c r="L63" s="3">
        <v>225</v>
      </c>
      <c r="M63" s="3">
        <v>1</v>
      </c>
      <c r="N63" s="3">
        <v>0.18</v>
      </c>
      <c r="O63" s="3" t="s">
        <v>493</v>
      </c>
      <c r="P63" s="3" t="s">
        <v>511</v>
      </c>
      <c r="Q63" s="3" t="s">
        <v>503</v>
      </c>
      <c r="R63" s="12">
        <v>1</v>
      </c>
    </row>
    <row r="64" spans="1:18" ht="37.5" x14ac:dyDescent="0.25">
      <c r="A64" s="3">
        <v>9</v>
      </c>
      <c r="B64" s="3" t="s">
        <v>512</v>
      </c>
      <c r="C64" s="3" t="s">
        <v>499</v>
      </c>
      <c r="D64" s="3">
        <v>25000</v>
      </c>
      <c r="E64" s="3">
        <v>717</v>
      </c>
      <c r="F64" s="3">
        <v>11</v>
      </c>
      <c r="G64" s="3" t="s">
        <v>464</v>
      </c>
      <c r="H64" s="3" t="s">
        <v>470</v>
      </c>
      <c r="I64" s="3">
        <v>380</v>
      </c>
      <c r="J64" s="3">
        <v>800</v>
      </c>
      <c r="K64" s="3">
        <v>74</v>
      </c>
      <c r="L64" s="3">
        <v>430</v>
      </c>
      <c r="M64" s="3">
        <v>1</v>
      </c>
      <c r="N64" s="3">
        <v>0.26</v>
      </c>
      <c r="O64" s="3" t="s">
        <v>493</v>
      </c>
      <c r="P64" s="3" t="s">
        <v>513</v>
      </c>
      <c r="Q64" s="3"/>
      <c r="R64" s="12">
        <v>1</v>
      </c>
    </row>
    <row r="65" spans="1:18" ht="62.5" x14ac:dyDescent="0.25">
      <c r="A65" s="3">
        <v>10</v>
      </c>
      <c r="B65" s="3" t="s">
        <v>376</v>
      </c>
      <c r="C65" s="3" t="s">
        <v>499</v>
      </c>
      <c r="D65" s="3">
        <v>13000</v>
      </c>
      <c r="E65" s="3">
        <v>483</v>
      </c>
      <c r="F65" s="3">
        <v>4</v>
      </c>
      <c r="G65" s="3" t="s">
        <v>464</v>
      </c>
      <c r="H65" s="3" t="s">
        <v>470</v>
      </c>
      <c r="I65" s="3">
        <v>380</v>
      </c>
      <c r="J65" s="3">
        <v>800</v>
      </c>
      <c r="K65" s="3">
        <v>65</v>
      </c>
      <c r="L65" s="3">
        <v>225</v>
      </c>
      <c r="M65" s="3">
        <v>1</v>
      </c>
      <c r="N65" s="3">
        <v>0.18</v>
      </c>
      <c r="O65" s="3" t="s">
        <v>493</v>
      </c>
      <c r="P65" s="3" t="s">
        <v>514</v>
      </c>
      <c r="Q65" s="3" t="s">
        <v>503</v>
      </c>
      <c r="R65" s="12">
        <v>1</v>
      </c>
    </row>
    <row r="66" spans="1:18" ht="37.5" x14ac:dyDescent="0.25">
      <c r="A66" s="3">
        <v>11</v>
      </c>
      <c r="B66" s="3" t="s">
        <v>357</v>
      </c>
      <c r="C66" s="3" t="s">
        <v>499</v>
      </c>
      <c r="D66" s="3">
        <v>25000</v>
      </c>
      <c r="E66" s="3">
        <v>717</v>
      </c>
      <c r="F66" s="3">
        <v>11</v>
      </c>
      <c r="G66" s="3" t="s">
        <v>464</v>
      </c>
      <c r="H66" s="3" t="s">
        <v>470</v>
      </c>
      <c r="I66" s="3">
        <v>380</v>
      </c>
      <c r="J66" s="3">
        <v>800</v>
      </c>
      <c r="K66" s="3">
        <v>74</v>
      </c>
      <c r="L66" s="3">
        <v>430</v>
      </c>
      <c r="M66" s="3">
        <v>1</v>
      </c>
      <c r="N66" s="3">
        <v>0.26</v>
      </c>
      <c r="O66" s="3" t="s">
        <v>493</v>
      </c>
      <c r="P66" s="3" t="s">
        <v>515</v>
      </c>
      <c r="Q66" s="3"/>
      <c r="R66" s="12">
        <v>1</v>
      </c>
    </row>
    <row r="67" spans="1:18" ht="62.5" x14ac:dyDescent="0.25">
      <c r="A67" s="3">
        <v>12</v>
      </c>
      <c r="B67" s="3" t="s">
        <v>358</v>
      </c>
      <c r="C67" s="3" t="s">
        <v>499</v>
      </c>
      <c r="D67" s="3">
        <v>13000</v>
      </c>
      <c r="E67" s="3">
        <v>483</v>
      </c>
      <c r="F67" s="3">
        <v>4</v>
      </c>
      <c r="G67" s="3" t="s">
        <v>464</v>
      </c>
      <c r="H67" s="3" t="s">
        <v>470</v>
      </c>
      <c r="I67" s="3">
        <v>380</v>
      </c>
      <c r="J67" s="3">
        <v>800</v>
      </c>
      <c r="K67" s="3">
        <v>65</v>
      </c>
      <c r="L67" s="3">
        <v>225</v>
      </c>
      <c r="M67" s="3">
        <v>1</v>
      </c>
      <c r="N67" s="3">
        <v>0.18</v>
      </c>
      <c r="O67" s="3" t="s">
        <v>493</v>
      </c>
      <c r="P67" s="3" t="s">
        <v>516</v>
      </c>
      <c r="Q67" s="3" t="s">
        <v>503</v>
      </c>
      <c r="R67" s="12">
        <v>1</v>
      </c>
    </row>
    <row r="68" spans="1:18" ht="37.5" x14ac:dyDescent="0.25">
      <c r="A68" s="3">
        <v>13</v>
      </c>
      <c r="B68" s="3" t="s">
        <v>361</v>
      </c>
      <c r="C68" s="3" t="s">
        <v>499</v>
      </c>
      <c r="D68" s="3">
        <v>25000</v>
      </c>
      <c r="E68" s="3">
        <v>717</v>
      </c>
      <c r="F68" s="3">
        <v>11</v>
      </c>
      <c r="G68" s="3" t="s">
        <v>464</v>
      </c>
      <c r="H68" s="3" t="s">
        <v>470</v>
      </c>
      <c r="I68" s="3">
        <v>380</v>
      </c>
      <c r="J68" s="3">
        <v>800</v>
      </c>
      <c r="K68" s="3">
        <v>74</v>
      </c>
      <c r="L68" s="3">
        <v>430</v>
      </c>
      <c r="M68" s="3">
        <v>1</v>
      </c>
      <c r="N68" s="3">
        <v>0.26</v>
      </c>
      <c r="O68" s="3" t="s">
        <v>493</v>
      </c>
      <c r="P68" s="3" t="s">
        <v>517</v>
      </c>
      <c r="Q68" s="3"/>
      <c r="R68" s="12">
        <v>1</v>
      </c>
    </row>
    <row r="69" spans="1:18" ht="62.5" x14ac:dyDescent="0.25">
      <c r="A69" s="3">
        <v>14</v>
      </c>
      <c r="B69" s="3" t="s">
        <v>362</v>
      </c>
      <c r="C69" s="3" t="s">
        <v>499</v>
      </c>
      <c r="D69" s="3">
        <v>13000</v>
      </c>
      <c r="E69" s="3">
        <v>483</v>
      </c>
      <c r="F69" s="3">
        <v>4</v>
      </c>
      <c r="G69" s="3" t="s">
        <v>464</v>
      </c>
      <c r="H69" s="3" t="s">
        <v>470</v>
      </c>
      <c r="I69" s="3">
        <v>380</v>
      </c>
      <c r="J69" s="3">
        <v>800</v>
      </c>
      <c r="K69" s="3">
        <v>65</v>
      </c>
      <c r="L69" s="3">
        <v>225</v>
      </c>
      <c r="M69" s="3">
        <v>1</v>
      </c>
      <c r="N69" s="3">
        <v>0.18</v>
      </c>
      <c r="O69" s="3" t="s">
        <v>493</v>
      </c>
      <c r="P69" s="3" t="s">
        <v>518</v>
      </c>
      <c r="Q69" s="3" t="s">
        <v>503</v>
      </c>
      <c r="R69" s="12">
        <v>1</v>
      </c>
    </row>
    <row r="70" spans="1:18" ht="37.5" x14ac:dyDescent="0.25">
      <c r="A70" s="3">
        <v>15</v>
      </c>
      <c r="B70" s="3" t="s">
        <v>365</v>
      </c>
      <c r="C70" s="3" t="s">
        <v>499</v>
      </c>
      <c r="D70" s="3">
        <v>25000</v>
      </c>
      <c r="E70" s="3">
        <v>717</v>
      </c>
      <c r="F70" s="3">
        <v>11</v>
      </c>
      <c r="G70" s="3" t="s">
        <v>464</v>
      </c>
      <c r="H70" s="3" t="s">
        <v>470</v>
      </c>
      <c r="I70" s="3">
        <v>380</v>
      </c>
      <c r="J70" s="3">
        <v>800</v>
      </c>
      <c r="K70" s="3">
        <v>74</v>
      </c>
      <c r="L70" s="3">
        <v>430</v>
      </c>
      <c r="M70" s="3">
        <v>1</v>
      </c>
      <c r="N70" s="3">
        <v>0.26</v>
      </c>
      <c r="O70" s="3" t="s">
        <v>493</v>
      </c>
      <c r="P70" s="3" t="s">
        <v>519</v>
      </c>
      <c r="Q70" s="3"/>
      <c r="R70" s="12">
        <v>1</v>
      </c>
    </row>
    <row r="71" spans="1:18" ht="62.5" x14ac:dyDescent="0.25">
      <c r="A71" s="3">
        <v>16</v>
      </c>
      <c r="B71" s="3" t="s">
        <v>366</v>
      </c>
      <c r="C71" s="3" t="s">
        <v>499</v>
      </c>
      <c r="D71" s="3">
        <v>13000</v>
      </c>
      <c r="E71" s="3">
        <v>483</v>
      </c>
      <c r="F71" s="3">
        <v>4</v>
      </c>
      <c r="G71" s="3" t="s">
        <v>464</v>
      </c>
      <c r="H71" s="3" t="s">
        <v>470</v>
      </c>
      <c r="I71" s="3">
        <v>380</v>
      </c>
      <c r="J71" s="3">
        <v>800</v>
      </c>
      <c r="K71" s="3">
        <v>65</v>
      </c>
      <c r="L71" s="3">
        <v>225</v>
      </c>
      <c r="M71" s="3">
        <v>1</v>
      </c>
      <c r="N71" s="3">
        <v>0.18</v>
      </c>
      <c r="O71" s="3" t="s">
        <v>493</v>
      </c>
      <c r="P71" s="3" t="s">
        <v>520</v>
      </c>
      <c r="Q71" s="3" t="s">
        <v>503</v>
      </c>
      <c r="R71" s="12">
        <v>1</v>
      </c>
    </row>
    <row r="72" spans="1:18" ht="37.5" x14ac:dyDescent="0.25">
      <c r="A72" s="3">
        <v>17</v>
      </c>
      <c r="B72" s="3" t="s">
        <v>374</v>
      </c>
      <c r="C72" s="3" t="s">
        <v>499</v>
      </c>
      <c r="D72" s="3">
        <v>25000</v>
      </c>
      <c r="E72" s="3">
        <v>717</v>
      </c>
      <c r="F72" s="3">
        <v>11</v>
      </c>
      <c r="G72" s="3" t="s">
        <v>464</v>
      </c>
      <c r="H72" s="3" t="s">
        <v>470</v>
      </c>
      <c r="I72" s="3">
        <v>380</v>
      </c>
      <c r="J72" s="3">
        <v>800</v>
      </c>
      <c r="K72" s="3">
        <v>74</v>
      </c>
      <c r="L72" s="3">
        <v>430</v>
      </c>
      <c r="M72" s="3">
        <v>1</v>
      </c>
      <c r="N72" s="3">
        <v>0.26</v>
      </c>
      <c r="O72" s="3" t="s">
        <v>493</v>
      </c>
      <c r="P72" s="3" t="s">
        <v>521</v>
      </c>
      <c r="Q72" s="3"/>
      <c r="R72" s="12">
        <v>1</v>
      </c>
    </row>
    <row r="73" spans="1:18" ht="62.5" x14ac:dyDescent="0.25">
      <c r="A73" s="3">
        <v>18</v>
      </c>
      <c r="B73" s="3" t="s">
        <v>375</v>
      </c>
      <c r="C73" s="3" t="s">
        <v>499</v>
      </c>
      <c r="D73" s="3">
        <v>13000</v>
      </c>
      <c r="E73" s="3">
        <v>483</v>
      </c>
      <c r="F73" s="3">
        <v>4</v>
      </c>
      <c r="G73" s="3" t="s">
        <v>464</v>
      </c>
      <c r="H73" s="3" t="s">
        <v>470</v>
      </c>
      <c r="I73" s="3">
        <v>380</v>
      </c>
      <c r="J73" s="3">
        <v>800</v>
      </c>
      <c r="K73" s="3">
        <v>65</v>
      </c>
      <c r="L73" s="3">
        <v>225</v>
      </c>
      <c r="M73" s="3">
        <v>1</v>
      </c>
      <c r="N73" s="3">
        <v>0.18</v>
      </c>
      <c r="O73" s="3" t="s">
        <v>493</v>
      </c>
      <c r="P73" s="3" t="s">
        <v>522</v>
      </c>
      <c r="Q73" s="3" t="s">
        <v>503</v>
      </c>
      <c r="R73" s="12">
        <v>1</v>
      </c>
    </row>
    <row r="74" spans="1:18" ht="50" x14ac:dyDescent="0.25">
      <c r="A74" s="3">
        <v>19</v>
      </c>
      <c r="B74" s="3" t="s">
        <v>380</v>
      </c>
      <c r="C74" s="3" t="s">
        <v>499</v>
      </c>
      <c r="D74" s="3">
        <v>25000</v>
      </c>
      <c r="E74" s="3">
        <v>717</v>
      </c>
      <c r="F74" s="3">
        <v>11</v>
      </c>
      <c r="G74" s="3" t="s">
        <v>464</v>
      </c>
      <c r="H74" s="3" t="s">
        <v>470</v>
      </c>
      <c r="I74" s="3">
        <v>380</v>
      </c>
      <c r="J74" s="3">
        <v>800</v>
      </c>
      <c r="K74" s="3">
        <v>74</v>
      </c>
      <c r="L74" s="3">
        <v>430</v>
      </c>
      <c r="M74" s="3">
        <v>1</v>
      </c>
      <c r="N74" s="3">
        <v>0.26</v>
      </c>
      <c r="O74" s="3" t="s">
        <v>493</v>
      </c>
      <c r="P74" s="3" t="s">
        <v>523</v>
      </c>
      <c r="Q74" s="3"/>
      <c r="R74" s="12">
        <v>1</v>
      </c>
    </row>
    <row r="75" spans="1:18" ht="62.5" x14ac:dyDescent="0.25">
      <c r="A75" s="3">
        <v>20</v>
      </c>
      <c r="B75" s="3" t="s">
        <v>381</v>
      </c>
      <c r="C75" s="3" t="s">
        <v>499</v>
      </c>
      <c r="D75" s="3">
        <v>13000</v>
      </c>
      <c r="E75" s="3">
        <v>483</v>
      </c>
      <c r="F75" s="3">
        <v>4</v>
      </c>
      <c r="G75" s="3" t="s">
        <v>464</v>
      </c>
      <c r="H75" s="3" t="s">
        <v>470</v>
      </c>
      <c r="I75" s="3">
        <v>380</v>
      </c>
      <c r="J75" s="3">
        <v>800</v>
      </c>
      <c r="K75" s="3">
        <v>65</v>
      </c>
      <c r="L75" s="3">
        <v>225</v>
      </c>
      <c r="M75" s="3">
        <v>1</v>
      </c>
      <c r="N75" s="3">
        <v>0.18</v>
      </c>
      <c r="O75" s="3" t="s">
        <v>493</v>
      </c>
      <c r="P75" s="3" t="s">
        <v>524</v>
      </c>
      <c r="Q75" s="3" t="s">
        <v>503</v>
      </c>
      <c r="R75" s="12">
        <v>1</v>
      </c>
    </row>
    <row r="76" spans="1:18" ht="50" x14ac:dyDescent="0.25">
      <c r="A76" s="3">
        <v>21</v>
      </c>
      <c r="B76" s="3" t="s">
        <v>364</v>
      </c>
      <c r="C76" s="3" t="s">
        <v>499</v>
      </c>
      <c r="D76" s="3">
        <v>25000</v>
      </c>
      <c r="E76" s="3">
        <v>717</v>
      </c>
      <c r="F76" s="3">
        <v>11</v>
      </c>
      <c r="G76" s="3" t="s">
        <v>464</v>
      </c>
      <c r="H76" s="3" t="s">
        <v>470</v>
      </c>
      <c r="I76" s="3">
        <v>380</v>
      </c>
      <c r="J76" s="3">
        <v>800</v>
      </c>
      <c r="K76" s="3">
        <v>74</v>
      </c>
      <c r="L76" s="3">
        <v>430</v>
      </c>
      <c r="M76" s="3">
        <v>1</v>
      </c>
      <c r="N76" s="3">
        <v>0.26</v>
      </c>
      <c r="O76" s="3" t="s">
        <v>493</v>
      </c>
      <c r="P76" s="3" t="s">
        <v>525</v>
      </c>
      <c r="Q76" s="3"/>
      <c r="R76" s="12">
        <v>1</v>
      </c>
    </row>
    <row r="77" spans="1:18" ht="62.5" x14ac:dyDescent="0.25">
      <c r="A77" s="3">
        <v>22</v>
      </c>
      <c r="B77" s="3" t="s">
        <v>363</v>
      </c>
      <c r="C77" s="3" t="s">
        <v>499</v>
      </c>
      <c r="D77" s="3">
        <v>13000</v>
      </c>
      <c r="E77" s="3">
        <v>483</v>
      </c>
      <c r="F77" s="3">
        <v>4</v>
      </c>
      <c r="G77" s="3" t="s">
        <v>464</v>
      </c>
      <c r="H77" s="3" t="s">
        <v>470</v>
      </c>
      <c r="I77" s="3">
        <v>380</v>
      </c>
      <c r="J77" s="3">
        <v>800</v>
      </c>
      <c r="K77" s="3">
        <v>65</v>
      </c>
      <c r="L77" s="3">
        <v>225</v>
      </c>
      <c r="M77" s="3">
        <v>1</v>
      </c>
      <c r="N77" s="3">
        <v>0.18</v>
      </c>
      <c r="O77" s="3" t="s">
        <v>493</v>
      </c>
      <c r="P77" s="3" t="s">
        <v>526</v>
      </c>
      <c r="Q77" s="3" t="s">
        <v>503</v>
      </c>
      <c r="R77" s="12">
        <v>1</v>
      </c>
    </row>
    <row r="78" spans="1:18" ht="50" x14ac:dyDescent="0.25">
      <c r="A78" s="3">
        <v>23</v>
      </c>
      <c r="B78" s="3" t="s">
        <v>378</v>
      </c>
      <c r="C78" s="3" t="s">
        <v>499</v>
      </c>
      <c r="D78" s="3">
        <v>25000</v>
      </c>
      <c r="E78" s="3">
        <v>717</v>
      </c>
      <c r="F78" s="3">
        <v>11</v>
      </c>
      <c r="G78" s="3" t="s">
        <v>464</v>
      </c>
      <c r="H78" s="3" t="s">
        <v>470</v>
      </c>
      <c r="I78" s="3">
        <v>380</v>
      </c>
      <c r="J78" s="3">
        <v>800</v>
      </c>
      <c r="K78" s="3">
        <v>74</v>
      </c>
      <c r="L78" s="3">
        <v>430</v>
      </c>
      <c r="M78" s="3">
        <v>1</v>
      </c>
      <c r="N78" s="3">
        <v>0.26</v>
      </c>
      <c r="O78" s="3" t="s">
        <v>493</v>
      </c>
      <c r="P78" s="3" t="s">
        <v>527</v>
      </c>
      <c r="Q78" s="3"/>
      <c r="R78" s="12">
        <v>1</v>
      </c>
    </row>
    <row r="79" spans="1:18" ht="62.5" x14ac:dyDescent="0.25">
      <c r="A79" s="3">
        <v>24</v>
      </c>
      <c r="B79" s="3" t="s">
        <v>379</v>
      </c>
      <c r="C79" s="3" t="s">
        <v>499</v>
      </c>
      <c r="D79" s="3">
        <v>13000</v>
      </c>
      <c r="E79" s="3">
        <v>483</v>
      </c>
      <c r="F79" s="3">
        <v>4</v>
      </c>
      <c r="G79" s="3" t="s">
        <v>464</v>
      </c>
      <c r="H79" s="3" t="s">
        <v>470</v>
      </c>
      <c r="I79" s="3">
        <v>380</v>
      </c>
      <c r="J79" s="3">
        <v>800</v>
      </c>
      <c r="K79" s="3">
        <v>65</v>
      </c>
      <c r="L79" s="3">
        <v>225</v>
      </c>
      <c r="M79" s="3">
        <v>1</v>
      </c>
      <c r="N79" s="3">
        <v>0.18</v>
      </c>
      <c r="O79" s="3" t="s">
        <v>493</v>
      </c>
      <c r="P79" s="3" t="s">
        <v>528</v>
      </c>
      <c r="Q79" s="3" t="s">
        <v>503</v>
      </c>
      <c r="R79" s="12">
        <v>1</v>
      </c>
    </row>
    <row r="80" spans="1:18" ht="50" x14ac:dyDescent="0.25">
      <c r="A80" s="3">
        <v>25</v>
      </c>
      <c r="B80" s="3" t="s">
        <v>371</v>
      </c>
      <c r="C80" s="3" t="s">
        <v>499</v>
      </c>
      <c r="D80" s="3">
        <v>30000</v>
      </c>
      <c r="E80" s="3">
        <v>810</v>
      </c>
      <c r="F80" s="3">
        <v>15</v>
      </c>
      <c r="G80" s="3" t="s">
        <v>464</v>
      </c>
      <c r="H80" s="3" t="s">
        <v>470</v>
      </c>
      <c r="I80" s="3">
        <v>380</v>
      </c>
      <c r="J80" s="3">
        <v>650</v>
      </c>
      <c r="K80" s="3">
        <v>74</v>
      </c>
      <c r="L80" s="3">
        <v>615</v>
      </c>
      <c r="M80" s="3">
        <v>1</v>
      </c>
      <c r="N80" s="3">
        <v>0.27</v>
      </c>
      <c r="O80" s="3" t="s">
        <v>493</v>
      </c>
      <c r="P80" s="3" t="s">
        <v>529</v>
      </c>
      <c r="Q80" s="3"/>
      <c r="R80" s="12">
        <v>1</v>
      </c>
    </row>
    <row r="81" spans="1:18" ht="50" x14ac:dyDescent="0.25">
      <c r="A81" s="3">
        <v>26</v>
      </c>
      <c r="B81" s="3" t="s">
        <v>372</v>
      </c>
      <c r="C81" s="3" t="s">
        <v>499</v>
      </c>
      <c r="D81" s="3">
        <v>30000</v>
      </c>
      <c r="E81" s="3">
        <v>810</v>
      </c>
      <c r="F81" s="3">
        <v>15</v>
      </c>
      <c r="G81" s="3" t="s">
        <v>464</v>
      </c>
      <c r="H81" s="3" t="s">
        <v>470</v>
      </c>
      <c r="I81" s="3">
        <v>380</v>
      </c>
      <c r="J81" s="3">
        <v>650</v>
      </c>
      <c r="K81" s="3">
        <v>74</v>
      </c>
      <c r="L81" s="3">
        <v>615</v>
      </c>
      <c r="M81" s="3">
        <v>1</v>
      </c>
      <c r="N81" s="3">
        <v>0.27</v>
      </c>
      <c r="O81" s="3" t="s">
        <v>493</v>
      </c>
      <c r="P81" s="3" t="s">
        <v>529</v>
      </c>
      <c r="Q81" s="3"/>
      <c r="R81" s="12">
        <v>1</v>
      </c>
    </row>
    <row r="82" spans="1:18" ht="62.5" x14ac:dyDescent="0.25">
      <c r="A82" s="3">
        <v>27</v>
      </c>
      <c r="B82" s="3" t="s">
        <v>373</v>
      </c>
      <c r="C82" s="3" t="s">
        <v>499</v>
      </c>
      <c r="D82" s="3">
        <v>30000</v>
      </c>
      <c r="E82" s="3">
        <v>688</v>
      </c>
      <c r="F82" s="3">
        <v>11</v>
      </c>
      <c r="G82" s="3" t="s">
        <v>464</v>
      </c>
      <c r="H82" s="3" t="s">
        <v>470</v>
      </c>
      <c r="I82" s="3">
        <v>380</v>
      </c>
      <c r="J82" s="3">
        <v>600</v>
      </c>
      <c r="K82" s="3">
        <v>73</v>
      </c>
      <c r="L82" s="3">
        <v>580</v>
      </c>
      <c r="M82" s="3">
        <v>1</v>
      </c>
      <c r="N82" s="3">
        <v>0.25</v>
      </c>
      <c r="O82" s="3" t="s">
        <v>493</v>
      </c>
      <c r="P82" s="3" t="s">
        <v>530</v>
      </c>
      <c r="Q82" s="3" t="s">
        <v>503</v>
      </c>
      <c r="R82" s="12">
        <v>1</v>
      </c>
    </row>
    <row r="83" spans="1:18" ht="25" x14ac:dyDescent="0.25">
      <c r="A83" s="3">
        <v>28</v>
      </c>
      <c r="B83" s="3" t="s">
        <v>353</v>
      </c>
      <c r="C83" s="3" t="s">
        <v>428</v>
      </c>
      <c r="D83" s="3">
        <v>7000</v>
      </c>
      <c r="E83" s="3">
        <v>385</v>
      </c>
      <c r="F83" s="3">
        <v>1.5</v>
      </c>
      <c r="G83" s="3" t="s">
        <v>464</v>
      </c>
      <c r="H83" s="3" t="s">
        <v>470</v>
      </c>
      <c r="I83" s="3">
        <v>380</v>
      </c>
      <c r="J83" s="3">
        <v>1450</v>
      </c>
      <c r="K83" s="3">
        <v>78</v>
      </c>
      <c r="L83" s="3">
        <v>100</v>
      </c>
      <c r="M83" s="3">
        <v>1</v>
      </c>
      <c r="N83" s="3">
        <v>0.16</v>
      </c>
      <c r="O83" s="3" t="s">
        <v>493</v>
      </c>
      <c r="P83" s="3" t="s">
        <v>440</v>
      </c>
      <c r="Q83" s="3"/>
      <c r="R83" s="12">
        <v>1</v>
      </c>
    </row>
    <row r="84" spans="1:18" ht="25" x14ac:dyDescent="0.25">
      <c r="A84" s="3">
        <v>29</v>
      </c>
      <c r="B84" s="3" t="s">
        <v>354</v>
      </c>
      <c r="C84" s="3" t="s">
        <v>428</v>
      </c>
      <c r="D84" s="3">
        <v>7000</v>
      </c>
      <c r="E84" s="3">
        <v>385</v>
      </c>
      <c r="F84" s="3">
        <v>1.5</v>
      </c>
      <c r="G84" s="3" t="s">
        <v>464</v>
      </c>
      <c r="H84" s="3" t="s">
        <v>470</v>
      </c>
      <c r="I84" s="3">
        <v>380</v>
      </c>
      <c r="J84" s="3">
        <v>1450</v>
      </c>
      <c r="K84" s="3">
        <v>78</v>
      </c>
      <c r="L84" s="3">
        <v>100</v>
      </c>
      <c r="M84" s="3">
        <v>1</v>
      </c>
      <c r="N84" s="3">
        <v>0.16</v>
      </c>
      <c r="O84" s="3" t="s">
        <v>493</v>
      </c>
      <c r="P84" s="3" t="s">
        <v>440</v>
      </c>
      <c r="Q84" s="3"/>
      <c r="R84" s="12">
        <v>1</v>
      </c>
    </row>
    <row r="85" spans="1:18" ht="25" x14ac:dyDescent="0.25">
      <c r="A85" s="3">
        <v>30</v>
      </c>
      <c r="B85" s="3" t="s">
        <v>96</v>
      </c>
      <c r="C85" s="3" t="s">
        <v>96</v>
      </c>
      <c r="D85" s="3">
        <v>1500</v>
      </c>
      <c r="E85" s="3">
        <v>236</v>
      </c>
      <c r="F85" s="3">
        <v>0.25</v>
      </c>
      <c r="G85" s="3" t="s">
        <v>464</v>
      </c>
      <c r="H85" s="3" t="s">
        <v>470</v>
      </c>
      <c r="I85" s="3">
        <v>220</v>
      </c>
      <c r="J85" s="3">
        <v>1450</v>
      </c>
      <c r="K85" s="3">
        <v>66</v>
      </c>
      <c r="L85" s="3">
        <v>45</v>
      </c>
      <c r="M85" s="3" t="s">
        <v>471</v>
      </c>
      <c r="N85" s="3">
        <v>0.08</v>
      </c>
      <c r="O85" s="3" t="s">
        <v>482</v>
      </c>
      <c r="P85" s="3" t="s">
        <v>440</v>
      </c>
      <c r="Q85" s="3"/>
      <c r="R85" s="12">
        <v>10</v>
      </c>
    </row>
    <row r="86" spans="1:18" ht="25" x14ac:dyDescent="0.25">
      <c r="A86" s="3">
        <v>31</v>
      </c>
      <c r="B86" s="3" t="s">
        <v>384</v>
      </c>
      <c r="C86" s="3" t="s">
        <v>531</v>
      </c>
      <c r="D86" s="3">
        <v>25000</v>
      </c>
      <c r="E86" s="3"/>
      <c r="F86" s="3">
        <v>1.25</v>
      </c>
      <c r="G86" s="3" t="s">
        <v>464</v>
      </c>
      <c r="H86" s="3" t="s">
        <v>470</v>
      </c>
      <c r="I86" s="3">
        <v>220</v>
      </c>
      <c r="J86" s="3"/>
      <c r="K86" s="3"/>
      <c r="L86" s="3"/>
      <c r="M86" s="3" t="s">
        <v>471</v>
      </c>
      <c r="N86" s="3"/>
      <c r="O86" s="3" t="s">
        <v>493</v>
      </c>
      <c r="P86" s="3"/>
      <c r="Q86" s="3"/>
      <c r="R86" s="12">
        <v>12</v>
      </c>
    </row>
    <row r="87" spans="1:18" ht="25" x14ac:dyDescent="0.25">
      <c r="A87" s="3">
        <v>32</v>
      </c>
      <c r="B87" s="3" t="s">
        <v>385</v>
      </c>
      <c r="C87" s="3" t="s">
        <v>531</v>
      </c>
      <c r="D87" s="3">
        <v>30000</v>
      </c>
      <c r="E87" s="3"/>
      <c r="F87" s="3">
        <v>1.5</v>
      </c>
      <c r="G87" s="3" t="s">
        <v>464</v>
      </c>
      <c r="H87" s="3" t="s">
        <v>470</v>
      </c>
      <c r="I87" s="3">
        <v>220</v>
      </c>
      <c r="J87" s="3"/>
      <c r="K87" s="3"/>
      <c r="L87" s="3"/>
      <c r="M87" s="3" t="s">
        <v>471</v>
      </c>
      <c r="N87" s="3"/>
      <c r="O87" s="3" t="s">
        <v>493</v>
      </c>
      <c r="P87" s="3"/>
      <c r="Q87" s="3"/>
      <c r="R87" s="12">
        <v>2</v>
      </c>
    </row>
    <row r="88" spans="1:18" x14ac:dyDescent="0.25">
      <c r="A88" s="48" t="s">
        <v>532</v>
      </c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spans="1:18" x14ac:dyDescent="0.25">
      <c r="A89" s="48" t="s">
        <v>443</v>
      </c>
      <c r="B89" s="48" t="s">
        <v>444</v>
      </c>
      <c r="C89" s="48" t="s">
        <v>445</v>
      </c>
      <c r="D89" s="3" t="s">
        <v>446</v>
      </c>
      <c r="E89" s="3" t="s">
        <v>490</v>
      </c>
      <c r="F89" s="48" t="s">
        <v>448</v>
      </c>
      <c r="G89" s="48"/>
      <c r="H89" s="48"/>
      <c r="I89" s="48"/>
      <c r="J89" s="3" t="s">
        <v>449</v>
      </c>
      <c r="K89" s="3" t="s">
        <v>450</v>
      </c>
      <c r="L89" s="3" t="s">
        <v>451</v>
      </c>
      <c r="M89" s="3" t="s">
        <v>452</v>
      </c>
      <c r="N89" s="48" t="s">
        <v>423</v>
      </c>
      <c r="O89" s="48" t="s">
        <v>453</v>
      </c>
      <c r="P89" s="48" t="s">
        <v>454</v>
      </c>
      <c r="Q89" s="48" t="s">
        <v>7</v>
      </c>
      <c r="R89" s="49" t="s">
        <v>427</v>
      </c>
    </row>
    <row r="90" spans="1:18" ht="25" x14ac:dyDescent="0.25">
      <c r="A90" s="48"/>
      <c r="B90" s="48"/>
      <c r="C90" s="48"/>
      <c r="D90" s="3" t="s">
        <v>455</v>
      </c>
      <c r="E90" s="3" t="s">
        <v>456</v>
      </c>
      <c r="F90" s="3" t="s">
        <v>457</v>
      </c>
      <c r="G90" s="3" t="s">
        <v>458</v>
      </c>
      <c r="H90" s="3" t="s">
        <v>459</v>
      </c>
      <c r="I90" s="3" t="s">
        <v>460</v>
      </c>
      <c r="J90" s="3" t="s">
        <v>461</v>
      </c>
      <c r="K90" s="3" t="s">
        <v>462</v>
      </c>
      <c r="L90" s="3" t="s">
        <v>463</v>
      </c>
      <c r="M90" s="3" t="s">
        <v>150</v>
      </c>
      <c r="N90" s="48"/>
      <c r="O90" s="48"/>
      <c r="P90" s="48"/>
      <c r="Q90" s="48"/>
      <c r="R90" s="49"/>
    </row>
    <row r="91" spans="1:18" ht="37.5" x14ac:dyDescent="0.25">
      <c r="A91" s="3">
        <v>1</v>
      </c>
      <c r="B91" s="3" t="s">
        <v>341</v>
      </c>
      <c r="C91" s="3" t="s">
        <v>491</v>
      </c>
      <c r="D91" s="3">
        <v>20000</v>
      </c>
      <c r="E91" s="3">
        <v>420</v>
      </c>
      <c r="F91" s="3">
        <v>4</v>
      </c>
      <c r="G91" s="3" t="s">
        <v>464</v>
      </c>
      <c r="H91" s="3" t="s">
        <v>470</v>
      </c>
      <c r="I91" s="3">
        <v>380</v>
      </c>
      <c r="J91" s="3">
        <v>1450</v>
      </c>
      <c r="K91" s="3">
        <v>82</v>
      </c>
      <c r="L91" s="3">
        <v>195</v>
      </c>
      <c r="M91" s="3">
        <v>1</v>
      </c>
      <c r="N91" s="3">
        <v>0.17</v>
      </c>
      <c r="O91" s="3" t="s">
        <v>533</v>
      </c>
      <c r="P91" s="3" t="s">
        <v>534</v>
      </c>
      <c r="Q91" s="3"/>
      <c r="R91" s="9">
        <v>1</v>
      </c>
    </row>
    <row r="92" spans="1:18" ht="37.5" x14ac:dyDescent="0.25">
      <c r="A92" s="3">
        <v>2</v>
      </c>
      <c r="B92" s="3" t="s">
        <v>342</v>
      </c>
      <c r="C92" s="3" t="s">
        <v>491</v>
      </c>
      <c r="D92" s="3">
        <v>20000</v>
      </c>
      <c r="E92" s="3">
        <v>420</v>
      </c>
      <c r="F92" s="3">
        <v>4</v>
      </c>
      <c r="G92" s="3" t="s">
        <v>464</v>
      </c>
      <c r="H92" s="3" t="s">
        <v>470</v>
      </c>
      <c r="I92" s="3">
        <v>380</v>
      </c>
      <c r="J92" s="3">
        <v>1450</v>
      </c>
      <c r="K92" s="3">
        <v>82</v>
      </c>
      <c r="L92" s="3">
        <v>195</v>
      </c>
      <c r="M92" s="3">
        <v>1</v>
      </c>
      <c r="N92" s="3">
        <v>0.17</v>
      </c>
      <c r="O92" s="3" t="s">
        <v>535</v>
      </c>
      <c r="P92" s="3" t="s">
        <v>536</v>
      </c>
      <c r="Q92" s="3"/>
      <c r="R92" s="9">
        <v>1</v>
      </c>
    </row>
    <row r="93" spans="1:18" ht="37.5" x14ac:dyDescent="0.25">
      <c r="A93" s="3">
        <v>3</v>
      </c>
      <c r="B93" s="3" t="s">
        <v>343</v>
      </c>
      <c r="C93" s="3" t="s">
        <v>491</v>
      </c>
      <c r="D93" s="3">
        <v>20000</v>
      </c>
      <c r="E93" s="3">
        <v>420</v>
      </c>
      <c r="F93" s="3">
        <v>4</v>
      </c>
      <c r="G93" s="3" t="s">
        <v>464</v>
      </c>
      <c r="H93" s="3" t="s">
        <v>470</v>
      </c>
      <c r="I93" s="3">
        <v>380</v>
      </c>
      <c r="J93" s="3">
        <v>1450</v>
      </c>
      <c r="K93" s="3">
        <v>82</v>
      </c>
      <c r="L93" s="3">
        <v>195</v>
      </c>
      <c r="M93" s="3">
        <v>1</v>
      </c>
      <c r="N93" s="3">
        <v>0.17</v>
      </c>
      <c r="O93" s="3" t="s">
        <v>537</v>
      </c>
      <c r="P93" s="3" t="s">
        <v>538</v>
      </c>
      <c r="Q93" s="3"/>
      <c r="R93" s="9">
        <v>1</v>
      </c>
    </row>
    <row r="94" spans="1:18" ht="37.5" x14ac:dyDescent="0.25">
      <c r="A94" s="3">
        <v>4</v>
      </c>
      <c r="B94" s="3" t="s">
        <v>344</v>
      </c>
      <c r="C94" s="3" t="s">
        <v>491</v>
      </c>
      <c r="D94" s="3">
        <v>20000</v>
      </c>
      <c r="E94" s="3">
        <v>420</v>
      </c>
      <c r="F94" s="3">
        <v>4</v>
      </c>
      <c r="G94" s="3" t="s">
        <v>464</v>
      </c>
      <c r="H94" s="3" t="s">
        <v>470</v>
      </c>
      <c r="I94" s="3">
        <v>380</v>
      </c>
      <c r="J94" s="3">
        <v>1450</v>
      </c>
      <c r="K94" s="3">
        <v>82</v>
      </c>
      <c r="L94" s="3">
        <v>195</v>
      </c>
      <c r="M94" s="3">
        <v>1</v>
      </c>
      <c r="N94" s="3">
        <v>0.17</v>
      </c>
      <c r="O94" s="3" t="s">
        <v>539</v>
      </c>
      <c r="P94" s="3" t="s">
        <v>540</v>
      </c>
      <c r="Q94" s="3"/>
      <c r="R94" s="9">
        <v>1</v>
      </c>
    </row>
    <row r="95" spans="1:18" ht="37.5" x14ac:dyDescent="0.25">
      <c r="A95" s="3">
        <v>5</v>
      </c>
      <c r="B95" s="3" t="s">
        <v>345</v>
      </c>
      <c r="C95" s="3" t="s">
        <v>491</v>
      </c>
      <c r="D95" s="3">
        <v>20000</v>
      </c>
      <c r="E95" s="3">
        <v>420</v>
      </c>
      <c r="F95" s="3">
        <v>4</v>
      </c>
      <c r="G95" s="3" t="s">
        <v>464</v>
      </c>
      <c r="H95" s="3" t="s">
        <v>470</v>
      </c>
      <c r="I95" s="3">
        <v>380</v>
      </c>
      <c r="J95" s="3">
        <v>1450</v>
      </c>
      <c r="K95" s="3">
        <v>82</v>
      </c>
      <c r="L95" s="3">
        <v>195</v>
      </c>
      <c r="M95" s="3">
        <v>1</v>
      </c>
      <c r="N95" s="3">
        <v>0.17</v>
      </c>
      <c r="O95" s="3" t="s">
        <v>541</v>
      </c>
      <c r="P95" s="3" t="s">
        <v>542</v>
      </c>
      <c r="Q95" s="3"/>
      <c r="R95" s="9">
        <v>1</v>
      </c>
    </row>
    <row r="96" spans="1:18" ht="37.5" x14ac:dyDescent="0.25">
      <c r="A96" s="3">
        <v>6</v>
      </c>
      <c r="B96" s="3" t="s">
        <v>346</v>
      </c>
      <c r="C96" s="3" t="s">
        <v>491</v>
      </c>
      <c r="D96" s="3">
        <v>20000</v>
      </c>
      <c r="E96" s="3">
        <v>420</v>
      </c>
      <c r="F96" s="3">
        <v>4</v>
      </c>
      <c r="G96" s="3" t="s">
        <v>464</v>
      </c>
      <c r="H96" s="3" t="s">
        <v>470</v>
      </c>
      <c r="I96" s="3">
        <v>380</v>
      </c>
      <c r="J96" s="3">
        <v>1450</v>
      </c>
      <c r="K96" s="3">
        <v>82</v>
      </c>
      <c r="L96" s="3">
        <v>195</v>
      </c>
      <c r="M96" s="3">
        <v>1</v>
      </c>
      <c r="N96" s="3">
        <v>0.17</v>
      </c>
      <c r="O96" s="3" t="s">
        <v>543</v>
      </c>
      <c r="P96" s="3" t="s">
        <v>544</v>
      </c>
      <c r="Q96" s="3"/>
      <c r="R96" s="9">
        <v>1</v>
      </c>
    </row>
    <row r="97" spans="1:18" ht="37.5" x14ac:dyDescent="0.25">
      <c r="A97" s="3">
        <v>7</v>
      </c>
      <c r="B97" s="3" t="s">
        <v>347</v>
      </c>
      <c r="C97" s="3" t="s">
        <v>491</v>
      </c>
      <c r="D97" s="3">
        <v>20000</v>
      </c>
      <c r="E97" s="3">
        <v>420</v>
      </c>
      <c r="F97" s="3">
        <v>4</v>
      </c>
      <c r="G97" s="3" t="s">
        <v>464</v>
      </c>
      <c r="H97" s="3" t="s">
        <v>470</v>
      </c>
      <c r="I97" s="3">
        <v>380</v>
      </c>
      <c r="J97" s="3">
        <v>1450</v>
      </c>
      <c r="K97" s="3">
        <v>82</v>
      </c>
      <c r="L97" s="3">
        <v>195</v>
      </c>
      <c r="M97" s="3">
        <v>1</v>
      </c>
      <c r="N97" s="3">
        <v>0.17</v>
      </c>
      <c r="O97" s="3" t="s">
        <v>545</v>
      </c>
      <c r="P97" s="3" t="s">
        <v>546</v>
      </c>
      <c r="Q97" s="3"/>
      <c r="R97" s="9">
        <v>1</v>
      </c>
    </row>
    <row r="98" spans="1:18" ht="37.5" x14ac:dyDescent="0.25">
      <c r="A98" s="3">
        <v>8</v>
      </c>
      <c r="B98" s="3" t="s">
        <v>348</v>
      </c>
      <c r="C98" s="3" t="s">
        <v>491</v>
      </c>
      <c r="D98" s="3">
        <v>20000</v>
      </c>
      <c r="E98" s="3">
        <v>420</v>
      </c>
      <c r="F98" s="3">
        <v>4</v>
      </c>
      <c r="G98" s="3" t="s">
        <v>464</v>
      </c>
      <c r="H98" s="3" t="s">
        <v>470</v>
      </c>
      <c r="I98" s="3">
        <v>380</v>
      </c>
      <c r="J98" s="3">
        <v>1450</v>
      </c>
      <c r="K98" s="3">
        <v>82</v>
      </c>
      <c r="L98" s="3">
        <v>195</v>
      </c>
      <c r="M98" s="3">
        <v>1</v>
      </c>
      <c r="N98" s="3">
        <v>0.17</v>
      </c>
      <c r="O98" s="3" t="s">
        <v>547</v>
      </c>
      <c r="P98" s="3" t="s">
        <v>548</v>
      </c>
      <c r="Q98" s="3"/>
      <c r="R98" s="9">
        <v>1</v>
      </c>
    </row>
    <row r="99" spans="1:18" ht="37.5" x14ac:dyDescent="0.25">
      <c r="A99" s="3">
        <v>9</v>
      </c>
      <c r="B99" s="3" t="s">
        <v>349</v>
      </c>
      <c r="C99" s="3" t="s">
        <v>491</v>
      </c>
      <c r="D99" s="3">
        <v>20000</v>
      </c>
      <c r="E99" s="3">
        <v>420</v>
      </c>
      <c r="F99" s="3">
        <v>4</v>
      </c>
      <c r="G99" s="3" t="s">
        <v>464</v>
      </c>
      <c r="H99" s="3" t="s">
        <v>470</v>
      </c>
      <c r="I99" s="3">
        <v>380</v>
      </c>
      <c r="J99" s="3">
        <v>1450</v>
      </c>
      <c r="K99" s="3">
        <v>82</v>
      </c>
      <c r="L99" s="3">
        <v>195</v>
      </c>
      <c r="M99" s="3">
        <v>1</v>
      </c>
      <c r="N99" s="3">
        <v>0.17</v>
      </c>
      <c r="O99" s="3" t="s">
        <v>549</v>
      </c>
      <c r="P99" s="3" t="s">
        <v>550</v>
      </c>
      <c r="Q99" s="3"/>
      <c r="R99" s="9">
        <v>1</v>
      </c>
    </row>
    <row r="100" spans="1:18" ht="50" x14ac:dyDescent="0.25">
      <c r="A100" s="3">
        <v>10</v>
      </c>
      <c r="B100" s="3" t="s">
        <v>350</v>
      </c>
      <c r="C100" s="3" t="s">
        <v>491</v>
      </c>
      <c r="D100" s="3">
        <v>20000</v>
      </c>
      <c r="E100" s="3">
        <v>420</v>
      </c>
      <c r="F100" s="3">
        <v>4</v>
      </c>
      <c r="G100" s="3" t="s">
        <v>464</v>
      </c>
      <c r="H100" s="3" t="s">
        <v>470</v>
      </c>
      <c r="I100" s="3">
        <v>380</v>
      </c>
      <c r="J100" s="3">
        <v>1450</v>
      </c>
      <c r="K100" s="3">
        <v>82</v>
      </c>
      <c r="L100" s="3">
        <v>195</v>
      </c>
      <c r="M100" s="3">
        <v>1</v>
      </c>
      <c r="N100" s="3">
        <v>0.17</v>
      </c>
      <c r="O100" s="3" t="s">
        <v>551</v>
      </c>
      <c r="P100" s="3" t="s">
        <v>552</v>
      </c>
      <c r="Q100" s="3"/>
      <c r="R100" s="9">
        <v>1</v>
      </c>
    </row>
    <row r="101" spans="1:18" ht="50" x14ac:dyDescent="0.25">
      <c r="A101" s="3">
        <v>11</v>
      </c>
      <c r="B101" s="3" t="s">
        <v>351</v>
      </c>
      <c r="C101" s="3" t="s">
        <v>491</v>
      </c>
      <c r="D101" s="3">
        <v>20000</v>
      </c>
      <c r="E101" s="3">
        <v>420</v>
      </c>
      <c r="F101" s="3">
        <v>4</v>
      </c>
      <c r="G101" s="3" t="s">
        <v>464</v>
      </c>
      <c r="H101" s="3" t="s">
        <v>470</v>
      </c>
      <c r="I101" s="3">
        <v>380</v>
      </c>
      <c r="J101" s="3">
        <v>1450</v>
      </c>
      <c r="K101" s="3">
        <v>82</v>
      </c>
      <c r="L101" s="3">
        <v>195</v>
      </c>
      <c r="M101" s="3">
        <v>1</v>
      </c>
      <c r="N101" s="3">
        <v>0.17</v>
      </c>
      <c r="O101" s="3" t="s">
        <v>553</v>
      </c>
      <c r="P101" s="3" t="s">
        <v>554</v>
      </c>
      <c r="Q101" s="3"/>
      <c r="R101" s="9">
        <v>1</v>
      </c>
    </row>
    <row r="102" spans="1:18" ht="50" x14ac:dyDescent="0.25">
      <c r="A102" s="3">
        <v>12</v>
      </c>
      <c r="B102" s="3" t="s">
        <v>352</v>
      </c>
      <c r="C102" s="3" t="s">
        <v>491</v>
      </c>
      <c r="D102" s="3">
        <v>20000</v>
      </c>
      <c r="E102" s="3">
        <v>420</v>
      </c>
      <c r="F102" s="3">
        <v>4</v>
      </c>
      <c r="G102" s="3" t="s">
        <v>464</v>
      </c>
      <c r="H102" s="3" t="s">
        <v>470</v>
      </c>
      <c r="I102" s="3">
        <v>380</v>
      </c>
      <c r="J102" s="3">
        <v>1450</v>
      </c>
      <c r="K102" s="3">
        <v>82</v>
      </c>
      <c r="L102" s="3">
        <v>195</v>
      </c>
      <c r="M102" s="3">
        <v>1</v>
      </c>
      <c r="N102" s="3">
        <v>0.17</v>
      </c>
      <c r="O102" s="3" t="s">
        <v>555</v>
      </c>
      <c r="P102" s="3" t="s">
        <v>556</v>
      </c>
      <c r="Q102" s="3"/>
      <c r="R102" s="9">
        <v>1</v>
      </c>
    </row>
  </sheetData>
  <customSheetViews>
    <customSheetView guid="{387918E5-7B77-4020-A141-306F5AFCED74}">
      <selection activeCell="J45" sqref="J45"/>
      <pageMargins left="0.75" right="0.75" top="1" bottom="1" header="0.5" footer="0.5"/>
    </customSheetView>
  </customSheetViews>
  <mergeCells count="60">
    <mergeCell ref="A1:O1"/>
    <mergeCell ref="A7:Q7"/>
    <mergeCell ref="F8:I8"/>
    <mergeCell ref="A17:Q17"/>
    <mergeCell ref="F18:I18"/>
    <mergeCell ref="O8:O9"/>
    <mergeCell ref="O18:O19"/>
    <mergeCell ref="Q8:Q9"/>
    <mergeCell ref="Q18:Q19"/>
    <mergeCell ref="F44:I44"/>
    <mergeCell ref="F54:I54"/>
    <mergeCell ref="C31:C32"/>
    <mergeCell ref="C44:C45"/>
    <mergeCell ref="C54:C55"/>
    <mergeCell ref="C8:C9"/>
    <mergeCell ref="C18:C19"/>
    <mergeCell ref="A30:Q30"/>
    <mergeCell ref="F31:I31"/>
    <mergeCell ref="A43:Q43"/>
    <mergeCell ref="O31:O32"/>
    <mergeCell ref="Q31:Q32"/>
    <mergeCell ref="B18:B19"/>
    <mergeCell ref="B31:B32"/>
    <mergeCell ref="B44:B45"/>
    <mergeCell ref="B54:B55"/>
    <mergeCell ref="B89:B90"/>
    <mergeCell ref="C89:C90"/>
    <mergeCell ref="N8:N9"/>
    <mergeCell ref="N18:N19"/>
    <mergeCell ref="N31:N32"/>
    <mergeCell ref="N44:N45"/>
    <mergeCell ref="N54:N55"/>
    <mergeCell ref="N89:N90"/>
    <mergeCell ref="A88:Q88"/>
    <mergeCell ref="F89:I89"/>
    <mergeCell ref="A8:A9"/>
    <mergeCell ref="A18:A19"/>
    <mergeCell ref="A31:A32"/>
    <mergeCell ref="A44:A45"/>
    <mergeCell ref="A54:A55"/>
    <mergeCell ref="A89:A90"/>
    <mergeCell ref="B8:B9"/>
    <mergeCell ref="O89:O90"/>
    <mergeCell ref="P8:P9"/>
    <mergeCell ref="P18:P19"/>
    <mergeCell ref="P31:P32"/>
    <mergeCell ref="P44:P45"/>
    <mergeCell ref="P54:P55"/>
    <mergeCell ref="P89:P90"/>
    <mergeCell ref="O44:O45"/>
    <mergeCell ref="O54:O55"/>
    <mergeCell ref="Q89:Q90"/>
    <mergeCell ref="R8:R9"/>
    <mergeCell ref="R18:R19"/>
    <mergeCell ref="R31:R32"/>
    <mergeCell ref="R44:R45"/>
    <mergeCell ref="R54:R55"/>
    <mergeCell ref="R89:R90"/>
    <mergeCell ref="Q44:Q45"/>
    <mergeCell ref="Q54:Q55"/>
  </mergeCells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8"/>
  <sheetViews>
    <sheetView workbookViewId="0">
      <selection activeCell="L95" sqref="L95"/>
    </sheetView>
  </sheetViews>
  <sheetFormatPr defaultColWidth="9" defaultRowHeight="14" x14ac:dyDescent="0.25"/>
  <cols>
    <col min="2" max="2" width="13.6328125" customWidth="1"/>
    <col min="16" max="16" width="26.08984375" customWidth="1"/>
    <col min="17" max="17" width="17.90625" customWidth="1"/>
    <col min="18" max="18" width="5.453125" customWidth="1"/>
    <col min="19" max="19" width="22.26953125" customWidth="1"/>
    <col min="20" max="20" width="20.26953125" customWidth="1"/>
    <col min="21" max="21" width="6.26953125" customWidth="1"/>
    <col min="23" max="23" width="11.6328125" customWidth="1"/>
  </cols>
  <sheetData>
    <row r="1" spans="1:15" x14ac:dyDescent="0.25">
      <c r="A1" s="58" t="s">
        <v>557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ht="25" x14ac:dyDescent="0.25">
      <c r="A2" s="3" t="s">
        <v>413</v>
      </c>
      <c r="B2" s="3" t="s">
        <v>414</v>
      </c>
      <c r="C2" s="3" t="s">
        <v>415</v>
      </c>
      <c r="D2" s="3" t="s">
        <v>416</v>
      </c>
      <c r="E2" s="3" t="s">
        <v>417</v>
      </c>
      <c r="F2" s="3" t="s">
        <v>418</v>
      </c>
      <c r="G2" s="3" t="s">
        <v>419</v>
      </c>
      <c r="H2" s="3" t="s">
        <v>420</v>
      </c>
      <c r="I2" s="3" t="s">
        <v>421</v>
      </c>
      <c r="J2" s="3" t="s">
        <v>422</v>
      </c>
      <c r="K2" s="3" t="s">
        <v>423</v>
      </c>
      <c r="L2" s="3" t="s">
        <v>424</v>
      </c>
      <c r="M2" s="3" t="s">
        <v>426</v>
      </c>
      <c r="N2" s="3" t="s">
        <v>7</v>
      </c>
      <c r="O2" t="s">
        <v>427</v>
      </c>
    </row>
    <row r="3" spans="1:15" ht="37.5" x14ac:dyDescent="0.25">
      <c r="A3" s="3">
        <v>1</v>
      </c>
      <c r="B3" s="3" t="s">
        <v>558</v>
      </c>
      <c r="C3" s="3" t="s">
        <v>559</v>
      </c>
      <c r="D3" s="3" t="s">
        <v>560</v>
      </c>
      <c r="E3" s="3" t="s">
        <v>561</v>
      </c>
      <c r="F3" s="3" t="s">
        <v>562</v>
      </c>
      <c r="G3" s="3" t="s">
        <v>563</v>
      </c>
      <c r="H3" s="3">
        <v>1450</v>
      </c>
      <c r="I3" s="3" t="s">
        <v>564</v>
      </c>
      <c r="J3" s="3">
        <v>305</v>
      </c>
      <c r="K3" s="3">
        <v>0.18</v>
      </c>
      <c r="L3" s="3">
        <v>2</v>
      </c>
      <c r="M3" s="3" t="s">
        <v>565</v>
      </c>
      <c r="N3" s="3" t="s">
        <v>566</v>
      </c>
      <c r="O3">
        <v>2</v>
      </c>
    </row>
    <row r="4" spans="1:15" ht="37.5" x14ac:dyDescent="0.25">
      <c r="A4" s="3">
        <v>2</v>
      </c>
      <c r="B4" s="3" t="s">
        <v>567</v>
      </c>
      <c r="C4" s="3" t="s">
        <v>568</v>
      </c>
      <c r="D4" s="3" t="s">
        <v>569</v>
      </c>
      <c r="E4" s="3">
        <v>22538</v>
      </c>
      <c r="F4" s="3">
        <v>378</v>
      </c>
      <c r="G4" s="3">
        <v>4</v>
      </c>
      <c r="H4" s="3">
        <v>1450</v>
      </c>
      <c r="I4" s="3">
        <v>82</v>
      </c>
      <c r="J4" s="3">
        <v>195</v>
      </c>
      <c r="K4" s="3">
        <v>0.23</v>
      </c>
      <c r="L4" s="3">
        <v>2</v>
      </c>
      <c r="M4" s="3" t="s">
        <v>565</v>
      </c>
      <c r="N4" s="3" t="s">
        <v>570</v>
      </c>
      <c r="O4">
        <v>2</v>
      </c>
    </row>
    <row r="5" spans="1:15" ht="37.5" x14ac:dyDescent="0.25">
      <c r="A5" s="3">
        <v>3</v>
      </c>
      <c r="B5" s="3" t="s">
        <v>571</v>
      </c>
      <c r="C5" s="3" t="s">
        <v>559</v>
      </c>
      <c r="D5" s="3" t="s">
        <v>560</v>
      </c>
      <c r="E5" s="3" t="s">
        <v>561</v>
      </c>
      <c r="F5" s="3" t="s">
        <v>562</v>
      </c>
      <c r="G5" s="3" t="s">
        <v>563</v>
      </c>
      <c r="H5" s="3">
        <v>1450</v>
      </c>
      <c r="I5" s="3" t="s">
        <v>564</v>
      </c>
      <c r="J5" s="3">
        <v>305</v>
      </c>
      <c r="K5" s="3">
        <v>0.18</v>
      </c>
      <c r="L5" s="3">
        <v>2</v>
      </c>
      <c r="M5" s="3" t="s">
        <v>565</v>
      </c>
      <c r="N5" s="3" t="s">
        <v>566</v>
      </c>
      <c r="O5">
        <v>2</v>
      </c>
    </row>
    <row r="6" spans="1:15" ht="37.5" x14ac:dyDescent="0.25">
      <c r="A6" s="3">
        <v>4</v>
      </c>
      <c r="B6" s="3" t="s">
        <v>572</v>
      </c>
      <c r="C6" s="3" t="s">
        <v>568</v>
      </c>
      <c r="D6" s="3" t="s">
        <v>569</v>
      </c>
      <c r="E6" s="3">
        <v>22538</v>
      </c>
      <c r="F6" s="3">
        <v>378</v>
      </c>
      <c r="G6" s="3">
        <v>4</v>
      </c>
      <c r="H6" s="3">
        <v>1450</v>
      </c>
      <c r="I6" s="3">
        <v>82</v>
      </c>
      <c r="J6" s="3">
        <v>195</v>
      </c>
      <c r="K6" s="3">
        <v>0.23</v>
      </c>
      <c r="L6" s="3">
        <v>2</v>
      </c>
      <c r="M6" s="3" t="s">
        <v>565</v>
      </c>
      <c r="N6" s="3" t="s">
        <v>570</v>
      </c>
      <c r="O6">
        <v>2</v>
      </c>
    </row>
    <row r="7" spans="1:15" ht="37.5" x14ac:dyDescent="0.25">
      <c r="A7" s="3">
        <v>5</v>
      </c>
      <c r="B7" s="3" t="s">
        <v>573</v>
      </c>
      <c r="C7" s="3" t="s">
        <v>559</v>
      </c>
      <c r="D7" s="3" t="s">
        <v>560</v>
      </c>
      <c r="E7" s="3" t="s">
        <v>561</v>
      </c>
      <c r="F7" s="3" t="s">
        <v>562</v>
      </c>
      <c r="G7" s="3" t="s">
        <v>563</v>
      </c>
      <c r="H7" s="3">
        <v>1450</v>
      </c>
      <c r="I7" s="3" t="s">
        <v>564</v>
      </c>
      <c r="J7" s="3">
        <v>305</v>
      </c>
      <c r="K7" s="3">
        <v>0.18</v>
      </c>
      <c r="L7" s="3">
        <v>2</v>
      </c>
      <c r="M7" s="3" t="s">
        <v>565</v>
      </c>
      <c r="N7" s="3" t="s">
        <v>566</v>
      </c>
      <c r="O7">
        <v>2</v>
      </c>
    </row>
    <row r="8" spans="1:15" ht="37.5" x14ac:dyDescent="0.25">
      <c r="A8" s="3">
        <v>6</v>
      </c>
      <c r="B8" s="3" t="s">
        <v>574</v>
      </c>
      <c r="C8" s="3" t="s">
        <v>568</v>
      </c>
      <c r="D8" s="3" t="s">
        <v>569</v>
      </c>
      <c r="E8" s="3">
        <v>22538</v>
      </c>
      <c r="F8" s="3">
        <v>378</v>
      </c>
      <c r="G8" s="3">
        <v>4</v>
      </c>
      <c r="H8" s="3">
        <v>1450</v>
      </c>
      <c r="I8" s="3">
        <v>82</v>
      </c>
      <c r="J8" s="3">
        <v>195</v>
      </c>
      <c r="K8" s="3">
        <v>0.23</v>
      </c>
      <c r="L8" s="3">
        <v>2</v>
      </c>
      <c r="M8" s="3" t="s">
        <v>565</v>
      </c>
      <c r="N8" s="3" t="s">
        <v>570</v>
      </c>
      <c r="O8">
        <v>2</v>
      </c>
    </row>
    <row r="9" spans="1:15" ht="37.5" x14ac:dyDescent="0.25">
      <c r="A9" s="3">
        <v>7</v>
      </c>
      <c r="B9" s="3" t="s">
        <v>575</v>
      </c>
      <c r="C9" s="3" t="s">
        <v>559</v>
      </c>
      <c r="D9" s="3" t="s">
        <v>576</v>
      </c>
      <c r="E9" s="3">
        <v>38200</v>
      </c>
      <c r="F9" s="3">
        <v>770</v>
      </c>
      <c r="G9" s="3">
        <v>12</v>
      </c>
      <c r="H9" s="3">
        <v>1450</v>
      </c>
      <c r="I9" s="3">
        <v>90</v>
      </c>
      <c r="J9" s="3">
        <v>305</v>
      </c>
      <c r="K9" s="3">
        <v>0.18</v>
      </c>
      <c r="L9" s="3">
        <v>2</v>
      </c>
      <c r="M9" s="3" t="s">
        <v>577</v>
      </c>
      <c r="N9" s="3" t="s">
        <v>578</v>
      </c>
      <c r="O9">
        <v>2</v>
      </c>
    </row>
    <row r="10" spans="1:15" ht="25" x14ac:dyDescent="0.25">
      <c r="A10" s="3">
        <v>8</v>
      </c>
      <c r="B10" s="3" t="s">
        <v>579</v>
      </c>
      <c r="C10" s="3" t="s">
        <v>568</v>
      </c>
      <c r="D10" s="3" t="s">
        <v>580</v>
      </c>
      <c r="E10" s="3">
        <v>4945</v>
      </c>
      <c r="F10" s="3">
        <v>431</v>
      </c>
      <c r="G10" s="3">
        <v>1.1000000000000001</v>
      </c>
      <c r="H10" s="3">
        <v>1450</v>
      </c>
      <c r="I10" s="3">
        <v>66</v>
      </c>
      <c r="J10" s="3">
        <v>95</v>
      </c>
      <c r="K10" s="3">
        <v>0.15</v>
      </c>
      <c r="L10" s="3">
        <v>2</v>
      </c>
      <c r="M10" s="3" t="s">
        <v>577</v>
      </c>
      <c r="N10" s="3" t="s">
        <v>581</v>
      </c>
      <c r="O10">
        <v>2</v>
      </c>
    </row>
    <row r="11" spans="1:15" ht="25" x14ac:dyDescent="0.25">
      <c r="A11" s="3">
        <v>9</v>
      </c>
      <c r="B11" s="3" t="s">
        <v>582</v>
      </c>
      <c r="C11" s="3" t="s">
        <v>568</v>
      </c>
      <c r="D11" s="3" t="s">
        <v>569</v>
      </c>
      <c r="E11" s="3">
        <v>18382</v>
      </c>
      <c r="F11" s="3">
        <v>504</v>
      </c>
      <c r="G11" s="3">
        <v>4</v>
      </c>
      <c r="H11" s="3">
        <v>1450</v>
      </c>
      <c r="I11" s="3">
        <v>82</v>
      </c>
      <c r="J11" s="3">
        <v>124</v>
      </c>
      <c r="K11" s="3">
        <v>0.23</v>
      </c>
      <c r="L11" s="3">
        <v>2</v>
      </c>
      <c r="M11" s="3" t="s">
        <v>577</v>
      </c>
      <c r="N11" s="3" t="s">
        <v>583</v>
      </c>
      <c r="O11">
        <v>2</v>
      </c>
    </row>
    <row r="12" spans="1:15" ht="25" x14ac:dyDescent="0.25">
      <c r="A12" s="3">
        <v>10</v>
      </c>
      <c r="B12" s="3" t="s">
        <v>584</v>
      </c>
      <c r="C12" s="3" t="s">
        <v>568</v>
      </c>
      <c r="D12" s="3" t="s">
        <v>580</v>
      </c>
      <c r="E12" s="3">
        <v>4945</v>
      </c>
      <c r="F12" s="3">
        <v>431</v>
      </c>
      <c r="G12" s="3">
        <v>1.1000000000000001</v>
      </c>
      <c r="H12" s="3">
        <v>1450</v>
      </c>
      <c r="I12" s="3">
        <v>66</v>
      </c>
      <c r="J12" s="3">
        <v>95</v>
      </c>
      <c r="K12" s="3">
        <v>0.15</v>
      </c>
      <c r="L12" s="3">
        <v>2</v>
      </c>
      <c r="M12" s="3" t="s">
        <v>577</v>
      </c>
      <c r="N12" s="3" t="s">
        <v>585</v>
      </c>
      <c r="O12">
        <v>2</v>
      </c>
    </row>
    <row r="13" spans="1:15" ht="37.5" x14ac:dyDescent="0.25">
      <c r="A13" s="3">
        <v>11</v>
      </c>
      <c r="B13" s="3" t="s">
        <v>143</v>
      </c>
      <c r="C13" s="3" t="s">
        <v>559</v>
      </c>
      <c r="D13" s="3" t="s">
        <v>560</v>
      </c>
      <c r="E13" s="3" t="s">
        <v>561</v>
      </c>
      <c r="F13" s="3" t="s">
        <v>562</v>
      </c>
      <c r="G13" s="3" t="s">
        <v>563</v>
      </c>
      <c r="H13" s="3">
        <v>1450</v>
      </c>
      <c r="I13" s="3" t="s">
        <v>564</v>
      </c>
      <c r="J13" s="3">
        <v>305</v>
      </c>
      <c r="K13" s="3">
        <v>0.18</v>
      </c>
      <c r="L13" s="3">
        <v>1</v>
      </c>
      <c r="M13" s="3" t="s">
        <v>565</v>
      </c>
      <c r="N13" s="3" t="s">
        <v>566</v>
      </c>
      <c r="O13">
        <v>1</v>
      </c>
    </row>
    <row r="14" spans="1:15" ht="37.5" x14ac:dyDescent="0.25">
      <c r="A14" s="3">
        <v>12</v>
      </c>
      <c r="B14" s="3" t="s">
        <v>136</v>
      </c>
      <c r="C14" s="3" t="s">
        <v>568</v>
      </c>
      <c r="D14" s="3" t="s">
        <v>569</v>
      </c>
      <c r="E14" s="3">
        <v>22538</v>
      </c>
      <c r="F14" s="3">
        <v>378</v>
      </c>
      <c r="G14" s="3">
        <v>4</v>
      </c>
      <c r="H14" s="3">
        <v>1450</v>
      </c>
      <c r="I14" s="3">
        <v>82</v>
      </c>
      <c r="J14" s="3">
        <v>195</v>
      </c>
      <c r="K14" s="3">
        <v>0.23</v>
      </c>
      <c r="L14" s="3">
        <v>1</v>
      </c>
      <c r="M14" s="3" t="s">
        <v>565</v>
      </c>
      <c r="N14" s="3" t="s">
        <v>570</v>
      </c>
      <c r="O14">
        <v>1</v>
      </c>
    </row>
    <row r="15" spans="1:15" ht="37.5" x14ac:dyDescent="0.25">
      <c r="A15" s="3">
        <v>13</v>
      </c>
      <c r="B15" s="3" t="s">
        <v>586</v>
      </c>
      <c r="C15" s="3" t="s">
        <v>559</v>
      </c>
      <c r="D15" s="3" t="s">
        <v>587</v>
      </c>
      <c r="E15" s="3">
        <v>15718</v>
      </c>
      <c r="F15" s="3">
        <v>552</v>
      </c>
      <c r="G15" s="3">
        <v>5.5</v>
      </c>
      <c r="H15" s="3">
        <v>2900</v>
      </c>
      <c r="I15" s="3">
        <v>86</v>
      </c>
      <c r="J15" s="3">
        <v>164</v>
      </c>
      <c r="K15" s="3">
        <v>0.24</v>
      </c>
      <c r="L15" s="3">
        <v>2</v>
      </c>
      <c r="M15" s="3" t="s">
        <v>588</v>
      </c>
      <c r="N15" s="3" t="s">
        <v>589</v>
      </c>
      <c r="O15">
        <v>2</v>
      </c>
    </row>
    <row r="16" spans="1:15" ht="25" x14ac:dyDescent="0.25">
      <c r="A16" s="3">
        <v>14</v>
      </c>
      <c r="B16" s="3" t="s">
        <v>590</v>
      </c>
      <c r="C16" s="3" t="s">
        <v>568</v>
      </c>
      <c r="D16" s="3" t="s">
        <v>591</v>
      </c>
      <c r="E16" s="3">
        <v>7938</v>
      </c>
      <c r="F16" s="3">
        <v>328</v>
      </c>
      <c r="G16" s="3">
        <v>1.5</v>
      </c>
      <c r="H16" s="3">
        <v>1450</v>
      </c>
      <c r="I16" s="3">
        <v>78</v>
      </c>
      <c r="J16" s="3">
        <v>100</v>
      </c>
      <c r="K16" s="3">
        <v>0.18</v>
      </c>
      <c r="L16" s="3">
        <v>2</v>
      </c>
      <c r="M16" s="3" t="s">
        <v>592</v>
      </c>
      <c r="N16" s="3" t="s">
        <v>593</v>
      </c>
      <c r="O16">
        <v>2</v>
      </c>
    </row>
    <row r="17" spans="1:16" ht="25" x14ac:dyDescent="0.25">
      <c r="A17" s="3">
        <v>15</v>
      </c>
      <c r="B17" s="3" t="s">
        <v>101</v>
      </c>
      <c r="C17" s="3" t="s">
        <v>568</v>
      </c>
      <c r="D17" s="3" t="s">
        <v>594</v>
      </c>
      <c r="E17" s="3">
        <v>9866</v>
      </c>
      <c r="F17" s="3">
        <v>394</v>
      </c>
      <c r="G17" s="3">
        <v>2.2000000000000002</v>
      </c>
      <c r="H17" s="3">
        <v>960</v>
      </c>
      <c r="I17" s="3">
        <v>66</v>
      </c>
      <c r="J17" s="3">
        <v>210</v>
      </c>
      <c r="K17" s="3">
        <v>0.21</v>
      </c>
      <c r="L17" s="3">
        <v>1</v>
      </c>
      <c r="M17" s="3" t="s">
        <v>595</v>
      </c>
      <c r="N17" s="3" t="s">
        <v>596</v>
      </c>
      <c r="O17">
        <v>1</v>
      </c>
    </row>
    <row r="18" spans="1:16" ht="37.5" x14ac:dyDescent="0.25">
      <c r="A18" s="3">
        <v>16</v>
      </c>
      <c r="B18" s="3" t="s">
        <v>124</v>
      </c>
      <c r="C18" s="3" t="s">
        <v>559</v>
      </c>
      <c r="D18" s="3" t="s">
        <v>597</v>
      </c>
      <c r="E18" s="3">
        <v>19780</v>
      </c>
      <c r="F18" s="3">
        <v>558</v>
      </c>
      <c r="G18" s="3">
        <v>5.5</v>
      </c>
      <c r="H18" s="3">
        <v>2900</v>
      </c>
      <c r="I18" s="3">
        <v>88</v>
      </c>
      <c r="J18" s="3">
        <v>170</v>
      </c>
      <c r="K18" s="3">
        <v>0.24</v>
      </c>
      <c r="L18" s="3">
        <v>1</v>
      </c>
      <c r="M18" s="3" t="s">
        <v>592</v>
      </c>
      <c r="N18" s="3" t="s">
        <v>598</v>
      </c>
      <c r="O18">
        <v>1</v>
      </c>
    </row>
    <row r="19" spans="1:16" ht="25" x14ac:dyDescent="0.25">
      <c r="A19" s="3">
        <v>17</v>
      </c>
      <c r="B19" s="3" t="s">
        <v>332</v>
      </c>
      <c r="C19" s="3" t="s">
        <v>568</v>
      </c>
      <c r="D19" s="3" t="s">
        <v>429</v>
      </c>
      <c r="E19" s="3">
        <v>10840</v>
      </c>
      <c r="F19" s="3">
        <v>382</v>
      </c>
      <c r="G19" s="3">
        <v>2.2000000000000002</v>
      </c>
      <c r="H19" s="3">
        <v>1450</v>
      </c>
      <c r="I19" s="3">
        <v>80</v>
      </c>
      <c r="J19" s="3">
        <v>145</v>
      </c>
      <c r="K19" s="3">
        <v>0.19</v>
      </c>
      <c r="L19" s="3">
        <v>1</v>
      </c>
      <c r="M19" s="3" t="s">
        <v>592</v>
      </c>
      <c r="N19" s="3" t="s">
        <v>593</v>
      </c>
      <c r="O19" s="5"/>
      <c r="P19" t="s">
        <v>599</v>
      </c>
    </row>
    <row r="20" spans="1:16" ht="37.5" x14ac:dyDescent="0.25">
      <c r="A20" s="3">
        <v>18</v>
      </c>
      <c r="B20" s="3" t="s">
        <v>142</v>
      </c>
      <c r="C20" s="3" t="s">
        <v>559</v>
      </c>
      <c r="D20" s="3" t="s">
        <v>597</v>
      </c>
      <c r="E20" s="3">
        <v>19780</v>
      </c>
      <c r="F20" s="3">
        <v>558</v>
      </c>
      <c r="G20" s="3">
        <v>5.5</v>
      </c>
      <c r="H20" s="3">
        <v>2900</v>
      </c>
      <c r="I20" s="3">
        <v>88</v>
      </c>
      <c r="J20" s="3">
        <v>170</v>
      </c>
      <c r="K20" s="3">
        <v>0.24</v>
      </c>
      <c r="L20" s="3">
        <v>1</v>
      </c>
      <c r="M20" s="3" t="s">
        <v>592</v>
      </c>
      <c r="N20" s="3" t="s">
        <v>598</v>
      </c>
      <c r="O20">
        <v>1</v>
      </c>
    </row>
    <row r="21" spans="1:16" ht="25" x14ac:dyDescent="0.25">
      <c r="A21" s="3">
        <v>19</v>
      </c>
      <c r="B21" s="3" t="s">
        <v>139</v>
      </c>
      <c r="C21" s="3" t="s">
        <v>568</v>
      </c>
      <c r="D21" s="3" t="s">
        <v>429</v>
      </c>
      <c r="E21" s="3">
        <v>10840</v>
      </c>
      <c r="F21" s="3">
        <v>382</v>
      </c>
      <c r="G21" s="3">
        <v>2.2000000000000002</v>
      </c>
      <c r="H21" s="3">
        <v>1450</v>
      </c>
      <c r="I21" s="3">
        <v>80</v>
      </c>
      <c r="J21" s="3">
        <v>145</v>
      </c>
      <c r="K21" s="3">
        <v>0.19</v>
      </c>
      <c r="L21" s="3">
        <v>1</v>
      </c>
      <c r="M21" s="3" t="s">
        <v>592</v>
      </c>
      <c r="N21" s="3" t="s">
        <v>593</v>
      </c>
      <c r="O21">
        <v>1</v>
      </c>
    </row>
    <row r="22" spans="1:16" ht="37.5" x14ac:dyDescent="0.25">
      <c r="A22" s="3">
        <v>20</v>
      </c>
      <c r="B22" s="3" t="s">
        <v>132</v>
      </c>
      <c r="C22" s="3" t="s">
        <v>559</v>
      </c>
      <c r="D22" s="3" t="s">
        <v>600</v>
      </c>
      <c r="E22" s="3">
        <v>48500</v>
      </c>
      <c r="F22" s="3">
        <v>690</v>
      </c>
      <c r="G22" s="3">
        <v>15</v>
      </c>
      <c r="H22" s="3">
        <v>1450</v>
      </c>
      <c r="I22" s="3">
        <v>92</v>
      </c>
      <c r="J22" s="3">
        <v>350</v>
      </c>
      <c r="K22" s="3">
        <v>0.24</v>
      </c>
      <c r="L22" s="3">
        <v>1</v>
      </c>
      <c r="M22" s="3" t="s">
        <v>601</v>
      </c>
      <c r="N22" s="3" t="s">
        <v>602</v>
      </c>
      <c r="O22">
        <v>1</v>
      </c>
    </row>
    <row r="23" spans="1:16" ht="25" x14ac:dyDescent="0.25">
      <c r="A23" s="3">
        <v>21</v>
      </c>
      <c r="B23" s="3" t="s">
        <v>131</v>
      </c>
      <c r="C23" s="3" t="s">
        <v>568</v>
      </c>
      <c r="D23" s="3" t="s">
        <v>429</v>
      </c>
      <c r="E23" s="3">
        <v>25124</v>
      </c>
      <c r="F23" s="3">
        <v>524</v>
      </c>
      <c r="G23" s="3">
        <v>7.5</v>
      </c>
      <c r="H23" s="3">
        <v>1450</v>
      </c>
      <c r="I23" s="3">
        <v>82</v>
      </c>
      <c r="J23" s="3">
        <v>158</v>
      </c>
      <c r="K23" s="3">
        <v>0.24</v>
      </c>
      <c r="L23" s="3">
        <v>1</v>
      </c>
      <c r="M23" s="3" t="s">
        <v>601</v>
      </c>
      <c r="N23" s="3" t="s">
        <v>603</v>
      </c>
      <c r="O23">
        <v>1</v>
      </c>
    </row>
    <row r="24" spans="1:16" ht="37.5" x14ac:dyDescent="0.25">
      <c r="A24" s="3">
        <v>22</v>
      </c>
      <c r="B24" s="3" t="s">
        <v>84</v>
      </c>
      <c r="C24" s="3" t="s">
        <v>559</v>
      </c>
      <c r="D24" s="3" t="s">
        <v>600</v>
      </c>
      <c r="E24" s="3">
        <v>48500</v>
      </c>
      <c r="F24" s="3">
        <v>690</v>
      </c>
      <c r="G24" s="3">
        <v>15</v>
      </c>
      <c r="H24" s="3">
        <v>1450</v>
      </c>
      <c r="I24" s="3">
        <v>92</v>
      </c>
      <c r="J24" s="3">
        <v>350</v>
      </c>
      <c r="K24" s="3">
        <v>0.24</v>
      </c>
      <c r="L24" s="3">
        <v>1</v>
      </c>
      <c r="M24" s="3" t="s">
        <v>601</v>
      </c>
      <c r="N24" s="3" t="s">
        <v>602</v>
      </c>
      <c r="O24">
        <v>1</v>
      </c>
    </row>
    <row r="25" spans="1:16" ht="26" x14ac:dyDescent="0.25">
      <c r="A25" s="3">
        <v>23</v>
      </c>
      <c r="B25" s="3" t="s">
        <v>78</v>
      </c>
      <c r="C25" s="3" t="s">
        <v>568</v>
      </c>
      <c r="D25" s="3" t="s">
        <v>604</v>
      </c>
      <c r="E25" s="3">
        <v>1680</v>
      </c>
      <c r="F25" s="3">
        <v>243</v>
      </c>
      <c r="G25" s="3">
        <v>0.37</v>
      </c>
      <c r="H25" s="3">
        <v>2900</v>
      </c>
      <c r="I25" s="3">
        <v>77</v>
      </c>
      <c r="J25" s="3">
        <v>14</v>
      </c>
      <c r="K25" s="3">
        <v>0.14000000000000001</v>
      </c>
      <c r="L25" s="3">
        <v>2</v>
      </c>
      <c r="M25" s="3" t="s">
        <v>601</v>
      </c>
      <c r="N25" s="2" t="s">
        <v>605</v>
      </c>
      <c r="O25" s="5">
        <v>1</v>
      </c>
      <c r="P25" t="s">
        <v>606</v>
      </c>
    </row>
    <row r="26" spans="1:16" ht="25" x14ac:dyDescent="0.25">
      <c r="A26" s="3">
        <v>24</v>
      </c>
      <c r="B26" s="3" t="s">
        <v>607</v>
      </c>
      <c r="C26" s="3" t="s">
        <v>608</v>
      </c>
      <c r="D26" s="3" t="s">
        <v>429</v>
      </c>
      <c r="E26" s="3">
        <v>25124</v>
      </c>
      <c r="F26" s="3">
        <v>524</v>
      </c>
      <c r="G26" s="3">
        <v>7.5</v>
      </c>
      <c r="H26" s="3">
        <v>1450</v>
      </c>
      <c r="I26" s="3">
        <v>82</v>
      </c>
      <c r="J26" s="3">
        <v>158</v>
      </c>
      <c r="K26" s="3">
        <v>0.24</v>
      </c>
      <c r="L26" s="3">
        <v>1</v>
      </c>
      <c r="M26" s="3" t="s">
        <v>601</v>
      </c>
      <c r="N26" s="3" t="s">
        <v>603</v>
      </c>
      <c r="O26" s="5">
        <v>2</v>
      </c>
      <c r="P26" t="s">
        <v>609</v>
      </c>
    </row>
    <row r="27" spans="1:16" ht="87.5" x14ac:dyDescent="0.25">
      <c r="A27" s="3">
        <v>25</v>
      </c>
      <c r="B27" s="3" t="s">
        <v>610</v>
      </c>
      <c r="C27" s="3" t="s">
        <v>568</v>
      </c>
      <c r="D27" s="3" t="s">
        <v>429</v>
      </c>
      <c r="E27" s="3">
        <v>25124</v>
      </c>
      <c r="F27" s="3">
        <v>524</v>
      </c>
      <c r="G27" s="3">
        <v>7.5</v>
      </c>
      <c r="H27" s="3">
        <v>1450</v>
      </c>
      <c r="I27" s="3">
        <v>82</v>
      </c>
      <c r="J27" s="3">
        <v>158</v>
      </c>
      <c r="K27" s="3">
        <v>0.24</v>
      </c>
      <c r="L27" s="3">
        <v>3</v>
      </c>
      <c r="M27" s="3" t="s">
        <v>601</v>
      </c>
      <c r="N27" s="3" t="s">
        <v>611</v>
      </c>
      <c r="O27">
        <v>3</v>
      </c>
    </row>
    <row r="28" spans="1:16" ht="25" x14ac:dyDescent="0.25">
      <c r="A28" s="3">
        <v>26</v>
      </c>
      <c r="B28" s="3" t="s">
        <v>111</v>
      </c>
      <c r="C28" s="3" t="s">
        <v>568</v>
      </c>
      <c r="D28" s="3" t="s">
        <v>569</v>
      </c>
      <c r="E28" s="3">
        <v>16260</v>
      </c>
      <c r="F28" s="3">
        <v>504</v>
      </c>
      <c r="G28" s="3">
        <v>4</v>
      </c>
      <c r="H28" s="3">
        <v>1450</v>
      </c>
      <c r="I28" s="3">
        <v>82</v>
      </c>
      <c r="J28" s="3">
        <v>124</v>
      </c>
      <c r="K28" s="3">
        <v>0.18</v>
      </c>
      <c r="L28" s="3">
        <v>1</v>
      </c>
      <c r="M28" s="3" t="s">
        <v>612</v>
      </c>
      <c r="N28" s="3" t="s">
        <v>613</v>
      </c>
      <c r="O28">
        <v>1</v>
      </c>
    </row>
    <row r="29" spans="1:16" ht="25" x14ac:dyDescent="0.25">
      <c r="A29" s="3">
        <v>27</v>
      </c>
      <c r="B29" s="3" t="s">
        <v>110</v>
      </c>
      <c r="C29" s="3" t="s">
        <v>568</v>
      </c>
      <c r="D29" s="3" t="s">
        <v>569</v>
      </c>
      <c r="E29" s="3">
        <v>14136</v>
      </c>
      <c r="F29" s="3">
        <v>542</v>
      </c>
      <c r="G29" s="3">
        <v>4</v>
      </c>
      <c r="H29" s="3">
        <v>1450</v>
      </c>
      <c r="I29" s="3">
        <v>82</v>
      </c>
      <c r="J29" s="3">
        <v>124</v>
      </c>
      <c r="K29" s="3">
        <v>0.19</v>
      </c>
      <c r="L29" s="3">
        <v>1</v>
      </c>
      <c r="M29" s="3" t="s">
        <v>612</v>
      </c>
      <c r="N29" s="3" t="s">
        <v>614</v>
      </c>
      <c r="O29">
        <v>1</v>
      </c>
    </row>
    <row r="30" spans="1:16" ht="25" x14ac:dyDescent="0.25">
      <c r="A30" s="3">
        <v>28</v>
      </c>
      <c r="B30" s="3" t="s">
        <v>123</v>
      </c>
      <c r="C30" s="3" t="s">
        <v>568</v>
      </c>
      <c r="D30" s="3" t="s">
        <v>429</v>
      </c>
      <c r="E30" s="3">
        <v>10840</v>
      </c>
      <c r="F30" s="3">
        <v>382</v>
      </c>
      <c r="G30" s="3">
        <v>2.2000000000000002</v>
      </c>
      <c r="H30" s="3">
        <v>1450</v>
      </c>
      <c r="I30" s="3">
        <v>80</v>
      </c>
      <c r="J30" s="3">
        <v>89</v>
      </c>
      <c r="K30" s="3">
        <v>0.21</v>
      </c>
      <c r="L30" s="3">
        <v>1</v>
      </c>
      <c r="M30" s="3" t="s">
        <v>615</v>
      </c>
      <c r="N30" s="3" t="s">
        <v>613</v>
      </c>
      <c r="O30">
        <v>1</v>
      </c>
    </row>
    <row r="31" spans="1:16" ht="25" x14ac:dyDescent="0.25">
      <c r="A31" s="3">
        <v>29</v>
      </c>
      <c r="B31" s="3" t="s">
        <v>122</v>
      </c>
      <c r="C31" s="3" t="s">
        <v>568</v>
      </c>
      <c r="D31" s="3" t="s">
        <v>429</v>
      </c>
      <c r="E31" s="3">
        <v>9424</v>
      </c>
      <c r="F31" s="3">
        <v>418</v>
      </c>
      <c r="G31" s="3">
        <v>2.2000000000000002</v>
      </c>
      <c r="H31" s="3">
        <v>1450</v>
      </c>
      <c r="I31" s="3">
        <v>80</v>
      </c>
      <c r="J31" s="3">
        <v>89</v>
      </c>
      <c r="K31" s="3">
        <v>0.21</v>
      </c>
      <c r="L31" s="3">
        <v>1</v>
      </c>
      <c r="M31" s="3" t="s">
        <v>615</v>
      </c>
      <c r="N31" s="3" t="s">
        <v>614</v>
      </c>
      <c r="O31">
        <v>1</v>
      </c>
    </row>
    <row r="32" spans="1:16" ht="25" x14ac:dyDescent="0.25">
      <c r="A32" s="3">
        <v>30</v>
      </c>
      <c r="B32" s="3" t="s">
        <v>137</v>
      </c>
      <c r="C32" s="3" t="s">
        <v>568</v>
      </c>
      <c r="D32" s="3" t="s">
        <v>429</v>
      </c>
      <c r="E32" s="3">
        <v>10840</v>
      </c>
      <c r="F32" s="3">
        <v>382</v>
      </c>
      <c r="G32" s="3">
        <v>2.2000000000000002</v>
      </c>
      <c r="H32" s="3">
        <v>1450</v>
      </c>
      <c r="I32" s="3">
        <v>80</v>
      </c>
      <c r="J32" s="3">
        <v>89</v>
      </c>
      <c r="K32" s="3">
        <v>0.21</v>
      </c>
      <c r="L32" s="3">
        <v>1</v>
      </c>
      <c r="M32" s="3" t="s">
        <v>616</v>
      </c>
      <c r="N32" s="3" t="s">
        <v>613</v>
      </c>
      <c r="O32">
        <v>1</v>
      </c>
    </row>
    <row r="33" spans="1:16" ht="25" x14ac:dyDescent="0.25">
      <c r="A33" s="3">
        <v>31</v>
      </c>
      <c r="B33" s="3" t="s">
        <v>138</v>
      </c>
      <c r="C33" s="3" t="s">
        <v>568</v>
      </c>
      <c r="D33" s="3" t="s">
        <v>429</v>
      </c>
      <c r="E33" s="3">
        <v>9424</v>
      </c>
      <c r="F33" s="3">
        <v>418</v>
      </c>
      <c r="G33" s="3">
        <v>2.2000000000000002</v>
      </c>
      <c r="H33" s="3">
        <v>1450</v>
      </c>
      <c r="I33" s="3">
        <v>80</v>
      </c>
      <c r="J33" s="3">
        <v>89</v>
      </c>
      <c r="K33" s="3">
        <v>0.21</v>
      </c>
      <c r="L33" s="3">
        <v>1</v>
      </c>
      <c r="M33" s="3" t="s">
        <v>616</v>
      </c>
      <c r="N33" s="3" t="s">
        <v>614</v>
      </c>
      <c r="O33">
        <v>1</v>
      </c>
    </row>
    <row r="34" spans="1:16" ht="25" x14ac:dyDescent="0.25">
      <c r="A34" s="3">
        <v>32</v>
      </c>
      <c r="B34" s="3" t="s">
        <v>103</v>
      </c>
      <c r="C34" s="3" t="s">
        <v>568</v>
      </c>
      <c r="D34" s="3" t="s">
        <v>594</v>
      </c>
      <c r="E34" s="3">
        <v>11863</v>
      </c>
      <c r="F34" s="3">
        <v>335</v>
      </c>
      <c r="G34" s="3">
        <v>2.2000000000000002</v>
      </c>
      <c r="H34" s="3">
        <v>960</v>
      </c>
      <c r="I34" s="3">
        <v>66</v>
      </c>
      <c r="J34" s="3">
        <v>210</v>
      </c>
      <c r="K34" s="3">
        <v>0.19</v>
      </c>
      <c r="L34" s="3">
        <v>1</v>
      </c>
      <c r="M34" s="3" t="s">
        <v>617</v>
      </c>
      <c r="N34" s="3" t="s">
        <v>618</v>
      </c>
      <c r="O34">
        <v>1</v>
      </c>
    </row>
    <row r="35" spans="1:16" ht="25" x14ac:dyDescent="0.25">
      <c r="A35" s="3">
        <v>33</v>
      </c>
      <c r="B35" s="3" t="s">
        <v>107</v>
      </c>
      <c r="C35" s="3" t="s">
        <v>568</v>
      </c>
      <c r="D35" s="3" t="s">
        <v>594</v>
      </c>
      <c r="E35" s="3">
        <v>9866</v>
      </c>
      <c r="F35" s="3">
        <v>394</v>
      </c>
      <c r="G35" s="3">
        <v>2.2000000000000002</v>
      </c>
      <c r="H35" s="3">
        <v>960</v>
      </c>
      <c r="I35" s="3">
        <v>66</v>
      </c>
      <c r="J35" s="3">
        <v>210</v>
      </c>
      <c r="K35" s="3">
        <v>0.2</v>
      </c>
      <c r="L35" s="3">
        <v>1</v>
      </c>
      <c r="M35" s="3" t="s">
        <v>617</v>
      </c>
      <c r="N35" s="3" t="s">
        <v>619</v>
      </c>
      <c r="O35">
        <v>1</v>
      </c>
    </row>
    <row r="36" spans="1:16" ht="25" x14ac:dyDescent="0.25">
      <c r="A36" s="3">
        <v>34</v>
      </c>
      <c r="B36" s="3" t="s">
        <v>116</v>
      </c>
      <c r="C36" s="3" t="s">
        <v>568</v>
      </c>
      <c r="D36" s="3" t="s">
        <v>620</v>
      </c>
      <c r="E36" s="3" t="s">
        <v>621</v>
      </c>
      <c r="F36" s="3" t="s">
        <v>622</v>
      </c>
      <c r="G36" s="3" t="s">
        <v>623</v>
      </c>
      <c r="H36" s="3" t="s">
        <v>624</v>
      </c>
      <c r="I36" s="3" t="s">
        <v>625</v>
      </c>
      <c r="J36" s="3">
        <v>200</v>
      </c>
      <c r="K36" s="3">
        <v>0.13</v>
      </c>
      <c r="L36" s="3">
        <v>1</v>
      </c>
      <c r="M36" s="3" t="s">
        <v>626</v>
      </c>
      <c r="N36" s="3" t="s">
        <v>627</v>
      </c>
      <c r="O36">
        <v>1</v>
      </c>
    </row>
    <row r="37" spans="1:16" ht="25" x14ac:dyDescent="0.25">
      <c r="A37" s="3">
        <v>35</v>
      </c>
      <c r="B37" s="3" t="s">
        <v>112</v>
      </c>
      <c r="C37" s="3" t="s">
        <v>568</v>
      </c>
      <c r="D37" s="3" t="s">
        <v>429</v>
      </c>
      <c r="E37" s="3">
        <v>13600</v>
      </c>
      <c r="F37" s="3">
        <v>315</v>
      </c>
      <c r="G37" s="3">
        <v>2.2000000000000002</v>
      </c>
      <c r="H37" s="3">
        <v>1450</v>
      </c>
      <c r="I37" s="3">
        <v>80</v>
      </c>
      <c r="J37" s="3">
        <v>89</v>
      </c>
      <c r="K37" s="3">
        <v>0.17</v>
      </c>
      <c r="L37" s="3">
        <v>1</v>
      </c>
      <c r="M37" s="3" t="s">
        <v>626</v>
      </c>
      <c r="N37" s="3" t="s">
        <v>628</v>
      </c>
      <c r="O37">
        <v>1</v>
      </c>
    </row>
    <row r="38" spans="1:16" ht="25" x14ac:dyDescent="0.25">
      <c r="A38" s="3">
        <v>36</v>
      </c>
      <c r="B38" s="3" t="s">
        <v>141</v>
      </c>
      <c r="C38" s="3" t="s">
        <v>568</v>
      </c>
      <c r="D38" s="3" t="s">
        <v>594</v>
      </c>
      <c r="E38" s="3">
        <v>11863</v>
      </c>
      <c r="F38" s="3">
        <v>335</v>
      </c>
      <c r="G38" s="3">
        <v>2.2000000000000002</v>
      </c>
      <c r="H38" s="3">
        <v>960</v>
      </c>
      <c r="I38" s="3">
        <v>66</v>
      </c>
      <c r="J38" s="3">
        <v>210</v>
      </c>
      <c r="K38" s="3">
        <v>0.19</v>
      </c>
      <c r="L38" s="3">
        <v>1</v>
      </c>
      <c r="M38" s="3" t="s">
        <v>629</v>
      </c>
      <c r="N38" s="3" t="s">
        <v>630</v>
      </c>
      <c r="O38">
        <v>1</v>
      </c>
    </row>
    <row r="39" spans="1:16" ht="25" x14ac:dyDescent="0.25">
      <c r="A39" s="3">
        <v>37</v>
      </c>
      <c r="B39" s="3" t="s">
        <v>140</v>
      </c>
      <c r="C39" s="3" t="s">
        <v>568</v>
      </c>
      <c r="D39" s="3" t="s">
        <v>594</v>
      </c>
      <c r="E39" s="3">
        <v>9866</v>
      </c>
      <c r="F39" s="3">
        <v>394</v>
      </c>
      <c r="G39" s="3">
        <v>2.2000000000000002</v>
      </c>
      <c r="H39" s="3">
        <v>960</v>
      </c>
      <c r="I39" s="3">
        <v>66</v>
      </c>
      <c r="J39" s="3">
        <v>210</v>
      </c>
      <c r="K39" s="3">
        <v>0.21</v>
      </c>
      <c r="L39" s="3">
        <v>1</v>
      </c>
      <c r="M39" s="3" t="s">
        <v>629</v>
      </c>
      <c r="N39" s="3" t="s">
        <v>631</v>
      </c>
      <c r="O39">
        <v>1</v>
      </c>
    </row>
    <row r="40" spans="1:16" ht="25" x14ac:dyDescent="0.25">
      <c r="A40" s="3">
        <v>38</v>
      </c>
      <c r="B40" s="3" t="s">
        <v>632</v>
      </c>
      <c r="C40" s="3" t="s">
        <v>568</v>
      </c>
      <c r="D40" s="3" t="s">
        <v>569</v>
      </c>
      <c r="E40" s="3">
        <v>18382</v>
      </c>
      <c r="F40" s="3">
        <v>504</v>
      </c>
      <c r="G40" s="3">
        <v>4</v>
      </c>
      <c r="H40" s="3">
        <v>1450</v>
      </c>
      <c r="I40" s="3">
        <v>82</v>
      </c>
      <c r="J40" s="3">
        <v>124</v>
      </c>
      <c r="K40" s="3">
        <v>0.23</v>
      </c>
      <c r="L40" s="3">
        <v>3</v>
      </c>
      <c r="M40" s="3" t="s">
        <v>633</v>
      </c>
      <c r="N40" s="3" t="s">
        <v>634</v>
      </c>
      <c r="O40">
        <v>3</v>
      </c>
    </row>
    <row r="41" spans="1:16" ht="25" x14ac:dyDescent="0.25">
      <c r="A41" s="3">
        <v>39</v>
      </c>
      <c r="B41" s="3" t="s">
        <v>635</v>
      </c>
      <c r="C41" s="3" t="s">
        <v>568</v>
      </c>
      <c r="D41" s="3" t="s">
        <v>569</v>
      </c>
      <c r="E41" s="3">
        <v>16260</v>
      </c>
      <c r="F41" s="3">
        <v>504</v>
      </c>
      <c r="G41" s="3">
        <v>4</v>
      </c>
      <c r="H41" s="3">
        <v>1450</v>
      </c>
      <c r="I41" s="3">
        <v>82</v>
      </c>
      <c r="J41" s="3">
        <v>124</v>
      </c>
      <c r="K41" s="3">
        <v>0.23</v>
      </c>
      <c r="L41" s="3">
        <v>3</v>
      </c>
      <c r="M41" s="3" t="s">
        <v>633</v>
      </c>
      <c r="N41" s="3" t="s">
        <v>634</v>
      </c>
      <c r="O41">
        <v>3</v>
      </c>
    </row>
    <row r="42" spans="1:16" ht="25" x14ac:dyDescent="0.25">
      <c r="A42" s="3">
        <v>40</v>
      </c>
      <c r="B42" s="3" t="s">
        <v>636</v>
      </c>
      <c r="C42" s="3" t="s">
        <v>96</v>
      </c>
      <c r="D42" s="3"/>
      <c r="E42" s="3">
        <v>600</v>
      </c>
      <c r="F42" s="3">
        <v>190</v>
      </c>
      <c r="G42" s="3">
        <v>9.8000000000000004E-2</v>
      </c>
      <c r="H42" s="3"/>
      <c r="I42" s="3">
        <v>28</v>
      </c>
      <c r="J42" s="3">
        <v>4.5</v>
      </c>
      <c r="K42" s="3"/>
      <c r="L42" s="3">
        <v>5</v>
      </c>
      <c r="M42" s="3" t="s">
        <v>439</v>
      </c>
      <c r="N42" s="3" t="s">
        <v>440</v>
      </c>
      <c r="O42">
        <v>5</v>
      </c>
    </row>
    <row r="43" spans="1:16" x14ac:dyDescent="0.25">
      <c r="A43" s="3">
        <v>41</v>
      </c>
      <c r="B43" t="s">
        <v>60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>
        <v>32</v>
      </c>
      <c r="P43" t="s">
        <v>637</v>
      </c>
    </row>
    <row r="44" spans="1:16" ht="25" x14ac:dyDescent="0.25">
      <c r="A44" s="3">
        <v>42</v>
      </c>
      <c r="B44" s="3" t="s">
        <v>327</v>
      </c>
      <c r="C44" s="3" t="s">
        <v>324</v>
      </c>
      <c r="D44" s="3" t="s">
        <v>436</v>
      </c>
      <c r="E44" s="3">
        <v>400</v>
      </c>
      <c r="F44" s="3">
        <v>265</v>
      </c>
      <c r="G44" s="3" t="s">
        <v>437</v>
      </c>
      <c r="H44" s="3" t="s">
        <v>438</v>
      </c>
      <c r="I44" s="3">
        <v>46</v>
      </c>
      <c r="J44" s="3" t="s">
        <v>438</v>
      </c>
      <c r="K44" s="3"/>
      <c r="L44" s="3"/>
      <c r="M44" s="3"/>
      <c r="N44" s="3"/>
      <c r="O44">
        <v>11</v>
      </c>
    </row>
    <row r="45" spans="1:16" ht="25" x14ac:dyDescent="0.25">
      <c r="A45" s="3">
        <v>43</v>
      </c>
      <c r="B45" s="3" t="s">
        <v>638</v>
      </c>
      <c r="C45" s="3" t="s">
        <v>324</v>
      </c>
      <c r="D45" s="3" t="s">
        <v>639</v>
      </c>
      <c r="E45" s="3">
        <v>800</v>
      </c>
      <c r="F45" s="3">
        <v>410</v>
      </c>
      <c r="G45" s="3" t="s">
        <v>640</v>
      </c>
      <c r="H45" s="3" t="s">
        <v>438</v>
      </c>
      <c r="I45" s="3">
        <v>58</v>
      </c>
      <c r="J45" s="3" t="s">
        <v>438</v>
      </c>
      <c r="K45" s="3"/>
      <c r="L45" s="3"/>
      <c r="M45" s="3"/>
      <c r="N45" s="3"/>
      <c r="O45">
        <v>1</v>
      </c>
    </row>
    <row r="46" spans="1:16" ht="25" x14ac:dyDescent="0.25">
      <c r="A46" s="3">
        <v>44</v>
      </c>
      <c r="B46" s="3"/>
      <c r="C46" s="3" t="s">
        <v>62</v>
      </c>
      <c r="D46" s="3" t="s">
        <v>641</v>
      </c>
      <c r="E46" s="3" t="s">
        <v>642</v>
      </c>
      <c r="F46" s="3"/>
      <c r="G46" s="3">
        <v>0.3</v>
      </c>
      <c r="H46" s="3"/>
      <c r="I46" s="3">
        <v>60</v>
      </c>
      <c r="J46" s="3">
        <v>35</v>
      </c>
      <c r="K46" s="3"/>
      <c r="L46" s="3">
        <v>80</v>
      </c>
      <c r="M46" s="3" t="s">
        <v>643</v>
      </c>
      <c r="N46" s="3"/>
      <c r="O46" s="5">
        <v>173</v>
      </c>
      <c r="P46" t="s">
        <v>606</v>
      </c>
    </row>
    <row r="47" spans="1:16" ht="37.5" x14ac:dyDescent="0.25">
      <c r="A47" s="3">
        <v>45</v>
      </c>
      <c r="B47" s="3" t="s">
        <v>146</v>
      </c>
      <c r="C47" s="3" t="s">
        <v>559</v>
      </c>
      <c r="D47" s="3" t="s">
        <v>576</v>
      </c>
      <c r="E47" s="3">
        <v>38200</v>
      </c>
      <c r="F47" s="3">
        <v>770</v>
      </c>
      <c r="G47" s="3">
        <v>12</v>
      </c>
      <c r="H47" s="3">
        <v>1450</v>
      </c>
      <c r="I47" s="3">
        <v>90</v>
      </c>
      <c r="J47" s="3">
        <v>305</v>
      </c>
      <c r="K47" s="3">
        <v>0.18</v>
      </c>
      <c r="L47" s="3">
        <v>1</v>
      </c>
      <c r="M47" s="3" t="s">
        <v>577</v>
      </c>
      <c r="N47" s="3" t="s">
        <v>578</v>
      </c>
      <c r="O47">
        <v>1</v>
      </c>
    </row>
    <row r="48" spans="1:16" ht="25" x14ac:dyDescent="0.25">
      <c r="A48" s="3">
        <v>46</v>
      </c>
      <c r="B48" s="3" t="s">
        <v>147</v>
      </c>
      <c r="C48" s="3" t="s">
        <v>568</v>
      </c>
      <c r="D48" s="3" t="s">
        <v>580</v>
      </c>
      <c r="E48" s="3">
        <v>4945</v>
      </c>
      <c r="F48" s="3">
        <v>431</v>
      </c>
      <c r="G48" s="3">
        <v>1.1000000000000001</v>
      </c>
      <c r="H48" s="3">
        <v>1450</v>
      </c>
      <c r="I48" s="3">
        <v>66</v>
      </c>
      <c r="J48" s="3">
        <v>95</v>
      </c>
      <c r="K48" s="3">
        <v>0.15</v>
      </c>
      <c r="L48" s="3">
        <v>1</v>
      </c>
      <c r="M48" s="3" t="s">
        <v>577</v>
      </c>
      <c r="N48" s="3" t="s">
        <v>581</v>
      </c>
      <c r="O48">
        <v>1</v>
      </c>
    </row>
    <row r="49" spans="1:16" ht="25" x14ac:dyDescent="0.25">
      <c r="A49" s="3">
        <v>47</v>
      </c>
      <c r="B49" s="3" t="s">
        <v>145</v>
      </c>
      <c r="C49" s="3" t="s">
        <v>568</v>
      </c>
      <c r="D49" s="3" t="s">
        <v>569</v>
      </c>
      <c r="E49" s="3">
        <v>18382</v>
      </c>
      <c r="F49" s="3">
        <v>504</v>
      </c>
      <c r="G49" s="3">
        <v>4</v>
      </c>
      <c r="H49" s="3">
        <v>1450</v>
      </c>
      <c r="I49" s="3">
        <v>82</v>
      </c>
      <c r="J49" s="3">
        <v>124</v>
      </c>
      <c r="K49" s="3">
        <v>0.23</v>
      </c>
      <c r="L49" s="3">
        <v>1</v>
      </c>
      <c r="M49" s="3" t="s">
        <v>577</v>
      </c>
      <c r="N49" s="3" t="s">
        <v>583</v>
      </c>
      <c r="O49">
        <v>1</v>
      </c>
    </row>
    <row r="50" spans="1:16" ht="25" x14ac:dyDescent="0.25">
      <c r="A50" s="3">
        <v>48</v>
      </c>
      <c r="B50" s="3" t="s">
        <v>144</v>
      </c>
      <c r="C50" s="3" t="s">
        <v>568</v>
      </c>
      <c r="D50" s="3" t="s">
        <v>580</v>
      </c>
      <c r="E50" s="3">
        <v>4945</v>
      </c>
      <c r="F50" s="3">
        <v>431</v>
      </c>
      <c r="G50" s="3">
        <v>1.1000000000000001</v>
      </c>
      <c r="H50" s="3">
        <v>1450</v>
      </c>
      <c r="I50" s="3">
        <v>66</v>
      </c>
      <c r="J50" s="3">
        <v>95</v>
      </c>
      <c r="K50" s="3">
        <v>0.15</v>
      </c>
      <c r="L50" s="3">
        <v>1</v>
      </c>
      <c r="M50" s="3" t="s">
        <v>577</v>
      </c>
      <c r="N50" s="3" t="s">
        <v>585</v>
      </c>
      <c r="O50">
        <v>1</v>
      </c>
    </row>
    <row r="51" spans="1:16" x14ac:dyDescent="0.25">
      <c r="A51" s="3">
        <v>49</v>
      </c>
      <c r="B51" s="4" t="s">
        <v>127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>
        <v>1</v>
      </c>
      <c r="P51" s="59" t="s">
        <v>644</v>
      </c>
    </row>
    <row r="52" spans="1:16" x14ac:dyDescent="0.25">
      <c r="A52" s="3">
        <v>50</v>
      </c>
      <c r="B52" s="4" t="s">
        <v>128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>
        <v>1</v>
      </c>
      <c r="P52" s="59"/>
    </row>
    <row r="53" spans="1:16" x14ac:dyDescent="0.25">
      <c r="A53" s="58" t="s">
        <v>645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6" s="1" customFormat="1" ht="25.5" customHeight="1" x14ac:dyDescent="0.25">
      <c r="A54" s="3" t="s">
        <v>413</v>
      </c>
      <c r="B54" s="3" t="s">
        <v>414</v>
      </c>
      <c r="C54" s="3" t="s">
        <v>415</v>
      </c>
      <c r="D54" s="3" t="s">
        <v>416</v>
      </c>
      <c r="E54" s="3" t="s">
        <v>417</v>
      </c>
      <c r="F54" s="3" t="s">
        <v>418</v>
      </c>
      <c r="G54" s="3" t="s">
        <v>646</v>
      </c>
      <c r="H54" s="3" t="s">
        <v>420</v>
      </c>
      <c r="I54" s="3" t="s">
        <v>421</v>
      </c>
      <c r="J54" s="3" t="s">
        <v>422</v>
      </c>
      <c r="K54" s="3" t="s">
        <v>423</v>
      </c>
      <c r="L54" s="3" t="s">
        <v>424</v>
      </c>
      <c r="M54" s="3" t="s">
        <v>426</v>
      </c>
      <c r="N54" s="3" t="s">
        <v>7</v>
      </c>
    </row>
    <row r="55" spans="1:16" s="1" customFormat="1" ht="62.5" x14ac:dyDescent="0.25">
      <c r="A55" s="3">
        <v>1</v>
      </c>
      <c r="B55" s="4" t="s">
        <v>127</v>
      </c>
      <c r="C55" s="3" t="s">
        <v>647</v>
      </c>
      <c r="D55" s="3" t="s">
        <v>597</v>
      </c>
      <c r="E55" s="3">
        <v>19780</v>
      </c>
      <c r="F55" s="3">
        <v>558</v>
      </c>
      <c r="G55" s="3">
        <v>5.5</v>
      </c>
      <c r="H55" s="3">
        <v>2900</v>
      </c>
      <c r="I55" s="3">
        <v>88</v>
      </c>
      <c r="J55" s="3">
        <v>170</v>
      </c>
      <c r="K55" s="3"/>
      <c r="L55" s="3">
        <v>1</v>
      </c>
      <c r="M55" s="3" t="s">
        <v>592</v>
      </c>
      <c r="N55" s="3" t="s">
        <v>598</v>
      </c>
      <c r="O55" s="7">
        <v>0</v>
      </c>
      <c r="P55" s="8" t="s">
        <v>648</v>
      </c>
    </row>
    <row r="56" spans="1:16" s="1" customFormat="1" ht="50" x14ac:dyDescent="0.25">
      <c r="A56" s="3">
        <v>2</v>
      </c>
      <c r="B56" s="4" t="s">
        <v>128</v>
      </c>
      <c r="C56" s="3" t="s">
        <v>649</v>
      </c>
      <c r="D56" s="3" t="s">
        <v>429</v>
      </c>
      <c r="E56" s="3">
        <v>10840</v>
      </c>
      <c r="F56" s="3">
        <v>382</v>
      </c>
      <c r="G56" s="3">
        <v>2.2000000000000002</v>
      </c>
      <c r="H56" s="3">
        <v>1450</v>
      </c>
      <c r="I56" s="3">
        <v>80</v>
      </c>
      <c r="J56" s="3">
        <v>145</v>
      </c>
      <c r="K56" s="3"/>
      <c r="L56" s="3">
        <v>1</v>
      </c>
      <c r="M56" s="3" t="s">
        <v>592</v>
      </c>
      <c r="N56" s="3" t="s">
        <v>593</v>
      </c>
      <c r="O56" s="7">
        <v>0</v>
      </c>
      <c r="P56" s="8" t="s">
        <v>648</v>
      </c>
    </row>
    <row r="57" spans="1:16" s="1" customFormat="1" ht="37.5" x14ac:dyDescent="0.25">
      <c r="A57" s="3">
        <v>3</v>
      </c>
      <c r="B57" s="3" t="s">
        <v>650</v>
      </c>
      <c r="C57" s="3" t="s">
        <v>559</v>
      </c>
      <c r="D57" s="3" t="s">
        <v>560</v>
      </c>
      <c r="E57" s="3" t="s">
        <v>651</v>
      </c>
      <c r="F57" s="3" t="s">
        <v>652</v>
      </c>
      <c r="G57" s="3" t="s">
        <v>563</v>
      </c>
      <c r="H57" s="3">
        <v>1450</v>
      </c>
      <c r="I57" s="3" t="s">
        <v>564</v>
      </c>
      <c r="J57" s="3">
        <v>305</v>
      </c>
      <c r="K57" s="3">
        <v>0.21</v>
      </c>
      <c r="L57" s="3">
        <v>2</v>
      </c>
      <c r="M57" s="3" t="s">
        <v>565</v>
      </c>
      <c r="N57" s="3" t="s">
        <v>566</v>
      </c>
      <c r="O57" s="9">
        <v>2</v>
      </c>
    </row>
    <row r="58" spans="1:16" s="1" customFormat="1" ht="37.5" x14ac:dyDescent="0.25">
      <c r="A58" s="3">
        <v>4</v>
      </c>
      <c r="B58" s="3" t="s">
        <v>653</v>
      </c>
      <c r="C58" s="3" t="s">
        <v>568</v>
      </c>
      <c r="D58" s="3" t="s">
        <v>569</v>
      </c>
      <c r="E58" s="3">
        <v>20490</v>
      </c>
      <c r="F58" s="3">
        <v>420</v>
      </c>
      <c r="G58" s="3">
        <v>4</v>
      </c>
      <c r="H58" s="3">
        <v>1450</v>
      </c>
      <c r="I58" s="3">
        <v>82</v>
      </c>
      <c r="J58" s="3">
        <v>195</v>
      </c>
      <c r="K58" s="3">
        <v>0.21</v>
      </c>
      <c r="L58" s="3">
        <v>2</v>
      </c>
      <c r="M58" s="3" t="s">
        <v>565</v>
      </c>
      <c r="N58" s="3" t="s">
        <v>570</v>
      </c>
      <c r="O58" s="9">
        <v>2</v>
      </c>
    </row>
    <row r="59" spans="1:16" s="1" customFormat="1" ht="37.5" x14ac:dyDescent="0.25">
      <c r="A59" s="3">
        <v>5</v>
      </c>
      <c r="B59" s="3" t="s">
        <v>654</v>
      </c>
      <c r="C59" s="3" t="s">
        <v>559</v>
      </c>
      <c r="D59" s="3" t="s">
        <v>560</v>
      </c>
      <c r="E59" s="3" t="s">
        <v>655</v>
      </c>
      <c r="F59" s="3" t="s">
        <v>656</v>
      </c>
      <c r="G59" s="3" t="s">
        <v>657</v>
      </c>
      <c r="H59" s="3">
        <v>1450</v>
      </c>
      <c r="I59" s="3" t="s">
        <v>564</v>
      </c>
      <c r="J59" s="3">
        <v>305</v>
      </c>
      <c r="K59" s="3">
        <v>0.21</v>
      </c>
      <c r="L59" s="3">
        <v>2</v>
      </c>
      <c r="M59" s="3" t="s">
        <v>565</v>
      </c>
      <c r="N59" s="3" t="s">
        <v>566</v>
      </c>
      <c r="O59" s="9">
        <v>2</v>
      </c>
    </row>
    <row r="60" spans="1:16" s="1" customFormat="1" ht="37.5" x14ac:dyDescent="0.25">
      <c r="A60" s="3">
        <v>6</v>
      </c>
      <c r="B60" s="3" t="s">
        <v>658</v>
      </c>
      <c r="C60" s="3" t="s">
        <v>568</v>
      </c>
      <c r="D60" s="3" t="s">
        <v>569</v>
      </c>
      <c r="E60" s="3">
        <v>20490</v>
      </c>
      <c r="F60" s="3">
        <v>420</v>
      </c>
      <c r="G60" s="3">
        <v>4</v>
      </c>
      <c r="H60" s="3">
        <v>1450</v>
      </c>
      <c r="I60" s="3">
        <v>82</v>
      </c>
      <c r="J60" s="3">
        <v>195</v>
      </c>
      <c r="K60" s="3">
        <v>0.21</v>
      </c>
      <c r="L60" s="3">
        <v>2</v>
      </c>
      <c r="M60" s="3" t="s">
        <v>565</v>
      </c>
      <c r="N60" s="3" t="s">
        <v>570</v>
      </c>
      <c r="O60" s="9">
        <v>2</v>
      </c>
    </row>
    <row r="61" spans="1:16" s="1" customFormat="1" ht="37.5" x14ac:dyDescent="0.25">
      <c r="A61" s="3">
        <v>7</v>
      </c>
      <c r="B61" s="3" t="s">
        <v>659</v>
      </c>
      <c r="C61" s="3" t="s">
        <v>559</v>
      </c>
      <c r="D61" s="3" t="s">
        <v>560</v>
      </c>
      <c r="E61" s="3" t="s">
        <v>655</v>
      </c>
      <c r="F61" s="3" t="s">
        <v>656</v>
      </c>
      <c r="G61" s="3" t="s">
        <v>657</v>
      </c>
      <c r="H61" s="3">
        <v>1450</v>
      </c>
      <c r="I61" s="3" t="s">
        <v>564</v>
      </c>
      <c r="J61" s="3">
        <v>305</v>
      </c>
      <c r="K61" s="3">
        <v>0.21</v>
      </c>
      <c r="L61" s="3">
        <v>2</v>
      </c>
      <c r="M61" s="3" t="s">
        <v>565</v>
      </c>
      <c r="N61" s="3" t="s">
        <v>566</v>
      </c>
      <c r="O61" s="9">
        <v>2</v>
      </c>
    </row>
    <row r="62" spans="1:16" s="1" customFormat="1" ht="37.5" x14ac:dyDescent="0.25">
      <c r="A62" s="3">
        <v>8</v>
      </c>
      <c r="B62" s="3" t="s">
        <v>660</v>
      </c>
      <c r="C62" s="3" t="s">
        <v>568</v>
      </c>
      <c r="D62" s="3" t="s">
        <v>569</v>
      </c>
      <c r="E62" s="3">
        <v>20490</v>
      </c>
      <c r="F62" s="3">
        <v>420</v>
      </c>
      <c r="G62" s="3">
        <v>4</v>
      </c>
      <c r="H62" s="3">
        <v>1450</v>
      </c>
      <c r="I62" s="3">
        <v>82</v>
      </c>
      <c r="J62" s="3">
        <v>195</v>
      </c>
      <c r="K62" s="3">
        <v>0.21</v>
      </c>
      <c r="L62" s="3">
        <v>2</v>
      </c>
      <c r="M62" s="3" t="s">
        <v>565</v>
      </c>
      <c r="N62" s="3" t="s">
        <v>570</v>
      </c>
      <c r="O62" s="9">
        <v>2</v>
      </c>
    </row>
    <row r="63" spans="1:16" s="1" customFormat="1" ht="37.5" x14ac:dyDescent="0.25">
      <c r="A63" s="3">
        <v>9</v>
      </c>
      <c r="B63" s="3" t="s">
        <v>84</v>
      </c>
      <c r="C63" s="3" t="s">
        <v>559</v>
      </c>
      <c r="D63" s="3" t="s">
        <v>597</v>
      </c>
      <c r="E63" s="3">
        <v>19780</v>
      </c>
      <c r="F63" s="3">
        <v>558</v>
      </c>
      <c r="G63" s="3">
        <v>5.5</v>
      </c>
      <c r="H63" s="3">
        <v>2900</v>
      </c>
      <c r="I63" s="3">
        <v>88</v>
      </c>
      <c r="J63" s="3">
        <v>170</v>
      </c>
      <c r="K63" s="3"/>
      <c r="L63" s="3">
        <v>1</v>
      </c>
      <c r="M63" s="3" t="s">
        <v>592</v>
      </c>
      <c r="N63" s="3" t="s">
        <v>598</v>
      </c>
      <c r="O63" s="9">
        <v>1</v>
      </c>
    </row>
    <row r="64" spans="1:16" s="1" customFormat="1" ht="25" x14ac:dyDescent="0.25">
      <c r="A64" s="3">
        <v>10</v>
      </c>
      <c r="B64" s="3" t="s">
        <v>78</v>
      </c>
      <c r="C64" s="3" t="s">
        <v>568</v>
      </c>
      <c r="D64" s="3" t="s">
        <v>429</v>
      </c>
      <c r="E64" s="3">
        <v>10840</v>
      </c>
      <c r="F64" s="3">
        <v>382</v>
      </c>
      <c r="G64" s="3">
        <v>2.2000000000000002</v>
      </c>
      <c r="H64" s="3">
        <v>1450</v>
      </c>
      <c r="I64" s="3">
        <v>80</v>
      </c>
      <c r="J64" s="3">
        <v>145</v>
      </c>
      <c r="K64" s="3"/>
      <c r="L64" s="3">
        <v>1</v>
      </c>
      <c r="M64" s="3" t="s">
        <v>592</v>
      </c>
      <c r="N64" s="3" t="s">
        <v>593</v>
      </c>
      <c r="O64" s="9">
        <v>1</v>
      </c>
    </row>
    <row r="65" spans="1:26" s="1" customFormat="1" ht="25" x14ac:dyDescent="0.25">
      <c r="A65" s="3">
        <v>11</v>
      </c>
      <c r="B65" s="3" t="s">
        <v>82</v>
      </c>
      <c r="C65" s="3" t="s">
        <v>568</v>
      </c>
      <c r="D65" s="3" t="s">
        <v>594</v>
      </c>
      <c r="E65" s="3">
        <v>11863</v>
      </c>
      <c r="F65" s="3">
        <v>335</v>
      </c>
      <c r="G65" s="3">
        <v>2.2000000000000002</v>
      </c>
      <c r="H65" s="3">
        <v>960</v>
      </c>
      <c r="I65" s="3">
        <v>66</v>
      </c>
      <c r="J65" s="3">
        <v>210</v>
      </c>
      <c r="K65" s="3">
        <v>0.17</v>
      </c>
      <c r="L65" s="3">
        <v>1</v>
      </c>
      <c r="M65" s="3" t="s">
        <v>661</v>
      </c>
      <c r="N65" s="3" t="s">
        <v>613</v>
      </c>
      <c r="O65" s="9">
        <v>1</v>
      </c>
    </row>
    <row r="66" spans="1:26" s="1" customFormat="1" ht="25" x14ac:dyDescent="0.25">
      <c r="A66" s="3">
        <v>12</v>
      </c>
      <c r="B66" s="3" t="s">
        <v>80</v>
      </c>
      <c r="C66" s="3" t="s">
        <v>568</v>
      </c>
      <c r="D66" s="3" t="s">
        <v>594</v>
      </c>
      <c r="E66" s="3">
        <v>9866</v>
      </c>
      <c r="F66" s="3">
        <v>394</v>
      </c>
      <c r="G66" s="3">
        <v>2.2000000000000002</v>
      </c>
      <c r="H66" s="3">
        <v>960</v>
      </c>
      <c r="I66" s="3">
        <v>66</v>
      </c>
      <c r="J66" s="3">
        <v>210</v>
      </c>
      <c r="K66" s="3">
        <v>0.2</v>
      </c>
      <c r="L66" s="3">
        <v>1</v>
      </c>
      <c r="M66" s="3" t="s">
        <v>661</v>
      </c>
      <c r="N66" s="3" t="s">
        <v>614</v>
      </c>
      <c r="O66" s="9">
        <v>1</v>
      </c>
    </row>
    <row r="67" spans="1:26" s="1" customFormat="1" ht="25" x14ac:dyDescent="0.25">
      <c r="A67" s="3">
        <v>13</v>
      </c>
      <c r="B67" s="3" t="s">
        <v>75</v>
      </c>
      <c r="C67" s="3" t="s">
        <v>568</v>
      </c>
      <c r="D67" s="3" t="s">
        <v>580</v>
      </c>
      <c r="E67" s="3">
        <v>4945</v>
      </c>
      <c r="F67" s="3">
        <v>431</v>
      </c>
      <c r="G67" s="3">
        <v>1.1000000000000001</v>
      </c>
      <c r="H67" s="3">
        <v>1450</v>
      </c>
      <c r="I67" s="3">
        <v>66</v>
      </c>
      <c r="J67" s="3">
        <v>95</v>
      </c>
      <c r="K67" s="3">
        <v>0.22</v>
      </c>
      <c r="L67" s="3">
        <v>1</v>
      </c>
      <c r="M67" s="3" t="s">
        <v>662</v>
      </c>
      <c r="N67" s="3" t="s">
        <v>663</v>
      </c>
      <c r="O67" s="9">
        <v>1</v>
      </c>
    </row>
    <row r="68" spans="1:26" s="1" customFormat="1" ht="25" x14ac:dyDescent="0.25">
      <c r="A68" s="3">
        <v>14</v>
      </c>
      <c r="B68" s="3" t="s">
        <v>76</v>
      </c>
      <c r="C68" s="3" t="s">
        <v>568</v>
      </c>
      <c r="D68" s="3" t="s">
        <v>664</v>
      </c>
      <c r="E68" s="3">
        <v>3064</v>
      </c>
      <c r="F68" s="3">
        <v>347</v>
      </c>
      <c r="G68" s="3">
        <v>0.75</v>
      </c>
      <c r="H68" s="3">
        <v>1450</v>
      </c>
      <c r="I68" s="3">
        <v>64</v>
      </c>
      <c r="J68" s="3">
        <v>75</v>
      </c>
      <c r="K68" s="3">
        <v>0.18</v>
      </c>
      <c r="L68" s="3">
        <v>1</v>
      </c>
      <c r="M68" s="3" t="s">
        <v>665</v>
      </c>
      <c r="N68" s="3" t="s">
        <v>666</v>
      </c>
      <c r="O68" s="9">
        <v>1</v>
      </c>
    </row>
    <row r="69" spans="1:26" s="1" customFormat="1" ht="37.5" x14ac:dyDescent="0.25">
      <c r="A69" s="3">
        <v>15</v>
      </c>
      <c r="B69" s="3" t="s">
        <v>77</v>
      </c>
      <c r="C69" s="3" t="s">
        <v>568</v>
      </c>
      <c r="D69" s="3" t="s">
        <v>580</v>
      </c>
      <c r="E69" s="3">
        <v>4945</v>
      </c>
      <c r="F69" s="3">
        <v>431</v>
      </c>
      <c r="G69" s="3">
        <v>1.1000000000000001</v>
      </c>
      <c r="H69" s="3">
        <v>1450</v>
      </c>
      <c r="I69" s="3">
        <v>66</v>
      </c>
      <c r="J69" s="3">
        <v>95</v>
      </c>
      <c r="K69" s="3">
        <v>0.22</v>
      </c>
      <c r="L69" s="3">
        <v>1</v>
      </c>
      <c r="M69" s="3" t="s">
        <v>662</v>
      </c>
      <c r="N69" s="3" t="s">
        <v>667</v>
      </c>
      <c r="O69" s="9">
        <v>1</v>
      </c>
    </row>
    <row r="70" spans="1:26" s="1" customFormat="1" ht="25" x14ac:dyDescent="0.25">
      <c r="A70" s="3">
        <v>16</v>
      </c>
      <c r="B70" s="3" t="s">
        <v>668</v>
      </c>
      <c r="C70" s="3" t="s">
        <v>568</v>
      </c>
      <c r="D70" s="3" t="s">
        <v>580</v>
      </c>
      <c r="E70" s="3">
        <v>4945</v>
      </c>
      <c r="F70" s="3">
        <v>431</v>
      </c>
      <c r="G70" s="3">
        <v>1.1000000000000001</v>
      </c>
      <c r="H70" s="3">
        <v>1450</v>
      </c>
      <c r="I70" s="3">
        <v>66</v>
      </c>
      <c r="J70" s="3">
        <v>95</v>
      </c>
      <c r="K70" s="3">
        <v>0.22</v>
      </c>
      <c r="L70" s="3">
        <v>1</v>
      </c>
      <c r="M70" s="3" t="s">
        <v>669</v>
      </c>
      <c r="N70" s="3" t="s">
        <v>670</v>
      </c>
      <c r="O70" s="10">
        <v>2</v>
      </c>
      <c r="P70" s="1" t="s">
        <v>671</v>
      </c>
    </row>
    <row r="71" spans="1:26" s="1" customFormat="1" ht="25" x14ac:dyDescent="0.25">
      <c r="A71" s="3">
        <v>17</v>
      </c>
      <c r="B71" s="3" t="s">
        <v>672</v>
      </c>
      <c r="C71" s="3" t="s">
        <v>568</v>
      </c>
      <c r="D71" s="3" t="s">
        <v>580</v>
      </c>
      <c r="E71" s="3">
        <v>4945</v>
      </c>
      <c r="F71" s="3">
        <v>431</v>
      </c>
      <c r="G71" s="3">
        <v>1.1000000000000001</v>
      </c>
      <c r="H71" s="3">
        <v>1450</v>
      </c>
      <c r="I71" s="3">
        <v>66</v>
      </c>
      <c r="J71" s="3">
        <v>95</v>
      </c>
      <c r="K71" s="3">
        <v>0.22</v>
      </c>
      <c r="L71" s="3">
        <v>1</v>
      </c>
      <c r="M71" s="3" t="s">
        <v>669</v>
      </c>
      <c r="N71" s="3" t="s">
        <v>673</v>
      </c>
      <c r="O71" s="10">
        <v>2</v>
      </c>
      <c r="P71" s="1" t="s">
        <v>674</v>
      </c>
    </row>
    <row r="72" spans="1:26" x14ac:dyDescent="0.25">
      <c r="A72" s="3">
        <v>18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26" ht="37.5" x14ac:dyDescent="0.25">
      <c r="A73" s="3">
        <v>19</v>
      </c>
      <c r="B73" s="3" t="s">
        <v>675</v>
      </c>
      <c r="C73" s="3" t="s">
        <v>559</v>
      </c>
      <c r="D73" s="3" t="s">
        <v>560</v>
      </c>
      <c r="E73" s="3" t="s">
        <v>655</v>
      </c>
      <c r="F73" s="3" t="s">
        <v>656</v>
      </c>
      <c r="G73" s="3" t="s">
        <v>563</v>
      </c>
      <c r="H73" s="3">
        <v>1450</v>
      </c>
      <c r="I73" s="3" t="s">
        <v>564</v>
      </c>
      <c r="J73" s="3">
        <v>305</v>
      </c>
      <c r="K73" s="3">
        <v>0.18</v>
      </c>
      <c r="L73" s="3">
        <v>2</v>
      </c>
      <c r="M73" s="3" t="s">
        <v>565</v>
      </c>
      <c r="N73" s="3" t="s">
        <v>566</v>
      </c>
      <c r="O73">
        <v>2</v>
      </c>
    </row>
    <row r="74" spans="1:26" ht="37.5" x14ac:dyDescent="0.25">
      <c r="A74" s="3">
        <v>20</v>
      </c>
      <c r="B74" s="3" t="s">
        <v>676</v>
      </c>
      <c r="C74" s="3" t="s">
        <v>568</v>
      </c>
      <c r="D74" s="3" t="s">
        <v>569</v>
      </c>
      <c r="E74" s="3">
        <v>20490</v>
      </c>
      <c r="F74" s="3">
        <v>420</v>
      </c>
      <c r="G74" s="3">
        <v>4</v>
      </c>
      <c r="H74" s="3">
        <v>1450</v>
      </c>
      <c r="I74" s="3">
        <v>82</v>
      </c>
      <c r="J74" s="3">
        <v>195</v>
      </c>
      <c r="K74" s="3">
        <v>0.23</v>
      </c>
      <c r="L74" s="3">
        <v>2</v>
      </c>
      <c r="M74" s="3" t="s">
        <v>565</v>
      </c>
      <c r="N74" s="3" t="s">
        <v>570</v>
      </c>
      <c r="O74">
        <v>2</v>
      </c>
    </row>
    <row r="75" spans="1:26" ht="37.5" x14ac:dyDescent="0.25">
      <c r="A75" s="3">
        <v>21</v>
      </c>
      <c r="B75" s="3" t="s">
        <v>50</v>
      </c>
      <c r="C75" s="3" t="s">
        <v>559</v>
      </c>
      <c r="D75" s="3" t="s">
        <v>560</v>
      </c>
      <c r="E75" s="3" t="s">
        <v>655</v>
      </c>
      <c r="F75" s="3" t="s">
        <v>656</v>
      </c>
      <c r="G75" s="3" t="s">
        <v>563</v>
      </c>
      <c r="H75" s="3">
        <v>1450</v>
      </c>
      <c r="I75" s="3" t="s">
        <v>564</v>
      </c>
      <c r="J75" s="3">
        <v>305</v>
      </c>
      <c r="K75" s="3">
        <v>0.18</v>
      </c>
      <c r="L75" s="3">
        <v>1</v>
      </c>
      <c r="M75" s="3" t="s">
        <v>565</v>
      </c>
      <c r="N75" s="3" t="s">
        <v>566</v>
      </c>
      <c r="O75">
        <v>1</v>
      </c>
    </row>
    <row r="76" spans="1:26" ht="37.5" x14ac:dyDescent="0.25">
      <c r="A76" s="3">
        <v>22</v>
      </c>
      <c r="B76" s="3" t="s">
        <v>53</v>
      </c>
      <c r="C76" s="3" t="s">
        <v>568</v>
      </c>
      <c r="D76" s="3" t="s">
        <v>569</v>
      </c>
      <c r="E76" s="3">
        <v>20490</v>
      </c>
      <c r="F76" s="3">
        <v>420</v>
      </c>
      <c r="G76" s="3">
        <v>4</v>
      </c>
      <c r="H76" s="3">
        <v>1450</v>
      </c>
      <c r="I76" s="3">
        <v>82</v>
      </c>
      <c r="J76" s="3">
        <v>195</v>
      </c>
      <c r="K76" s="3">
        <v>0.23</v>
      </c>
      <c r="L76" s="3">
        <v>1</v>
      </c>
      <c r="M76" s="3" t="s">
        <v>565</v>
      </c>
      <c r="N76" s="3" t="s">
        <v>570</v>
      </c>
      <c r="O76">
        <v>1</v>
      </c>
    </row>
    <row r="77" spans="1:26" ht="37.5" x14ac:dyDescent="0.25">
      <c r="A77" s="3">
        <v>23</v>
      </c>
      <c r="B77" s="3" t="s">
        <v>52</v>
      </c>
      <c r="C77" s="3" t="s">
        <v>559</v>
      </c>
      <c r="D77" s="3" t="s">
        <v>560</v>
      </c>
      <c r="E77" s="3" t="s">
        <v>655</v>
      </c>
      <c r="F77" s="3" t="s">
        <v>656</v>
      </c>
      <c r="G77" s="3" t="s">
        <v>563</v>
      </c>
      <c r="H77" s="3">
        <v>1450</v>
      </c>
      <c r="I77" s="3" t="s">
        <v>564</v>
      </c>
      <c r="J77" s="3">
        <v>305</v>
      </c>
      <c r="K77" s="3">
        <v>0.18</v>
      </c>
      <c r="L77" s="3">
        <v>1</v>
      </c>
      <c r="M77" s="3" t="s">
        <v>565</v>
      </c>
      <c r="N77" s="3" t="s">
        <v>566</v>
      </c>
      <c r="O77">
        <v>1</v>
      </c>
    </row>
    <row r="78" spans="1:26" ht="37.5" x14ac:dyDescent="0.25">
      <c r="A78" s="3">
        <v>24</v>
      </c>
      <c r="B78" s="3" t="s">
        <v>55</v>
      </c>
      <c r="C78" s="3" t="s">
        <v>568</v>
      </c>
      <c r="D78" s="3" t="s">
        <v>569</v>
      </c>
      <c r="E78" s="3">
        <v>20490</v>
      </c>
      <c r="F78" s="3">
        <v>420</v>
      </c>
      <c r="G78" s="3">
        <v>4</v>
      </c>
      <c r="H78" s="3">
        <v>1450</v>
      </c>
      <c r="I78" s="3">
        <v>82</v>
      </c>
      <c r="J78" s="3">
        <v>195</v>
      </c>
      <c r="K78" s="3">
        <v>0.23</v>
      </c>
      <c r="L78" s="3">
        <v>1</v>
      </c>
      <c r="M78" s="3" t="s">
        <v>565</v>
      </c>
      <c r="N78" s="3" t="s">
        <v>570</v>
      </c>
      <c r="O78">
        <v>1</v>
      </c>
    </row>
    <row r="79" spans="1:26" ht="37.5" x14ac:dyDescent="0.25">
      <c r="A79" s="3">
        <v>25</v>
      </c>
      <c r="B79" s="3" t="s">
        <v>677</v>
      </c>
      <c r="C79" s="3" t="s">
        <v>559</v>
      </c>
      <c r="D79" s="3" t="s">
        <v>560</v>
      </c>
      <c r="E79" s="3" t="s">
        <v>655</v>
      </c>
      <c r="F79" s="3" t="s">
        <v>656</v>
      </c>
      <c r="G79" s="3" t="s">
        <v>563</v>
      </c>
      <c r="H79" s="3">
        <v>1450</v>
      </c>
      <c r="I79" s="3" t="s">
        <v>564</v>
      </c>
      <c r="J79" s="3">
        <v>305</v>
      </c>
      <c r="K79" s="3">
        <v>0.18</v>
      </c>
      <c r="L79" s="3">
        <v>2</v>
      </c>
      <c r="M79" s="3" t="s">
        <v>565</v>
      </c>
      <c r="N79" s="3" t="s">
        <v>566</v>
      </c>
      <c r="O79">
        <v>2</v>
      </c>
    </row>
    <row r="80" spans="1:26" ht="37.5" x14ac:dyDescent="0.25">
      <c r="A80" s="3">
        <v>26</v>
      </c>
      <c r="B80" s="3" t="s">
        <v>678</v>
      </c>
      <c r="C80" s="3" t="s">
        <v>568</v>
      </c>
      <c r="D80" s="3" t="s">
        <v>569</v>
      </c>
      <c r="E80" s="3">
        <v>20490</v>
      </c>
      <c r="F80" s="3">
        <v>420</v>
      </c>
      <c r="G80" s="3">
        <v>4</v>
      </c>
      <c r="H80" s="3">
        <v>1450</v>
      </c>
      <c r="I80" s="3">
        <v>82</v>
      </c>
      <c r="J80" s="3">
        <v>195</v>
      </c>
      <c r="K80" s="3">
        <v>0.23</v>
      </c>
      <c r="L80" s="3">
        <v>2</v>
      </c>
      <c r="M80" s="3" t="s">
        <v>565</v>
      </c>
      <c r="N80" s="3" t="s">
        <v>570</v>
      </c>
      <c r="O80">
        <v>2</v>
      </c>
      <c r="Q80" s="3" t="s">
        <v>679</v>
      </c>
      <c r="R80" s="48" t="s">
        <v>27</v>
      </c>
      <c r="S80" s="48"/>
      <c r="T80" s="48" t="s">
        <v>680</v>
      </c>
      <c r="U80" s="48"/>
      <c r="V80" s="48" t="s">
        <v>30</v>
      </c>
      <c r="W80" s="48"/>
      <c r="X80" s="48" t="s">
        <v>452</v>
      </c>
      <c r="Y80" s="48"/>
      <c r="Z80" s="3" t="s">
        <v>7</v>
      </c>
    </row>
    <row r="81" spans="1:26" ht="25" x14ac:dyDescent="0.25">
      <c r="A81" s="3">
        <v>27</v>
      </c>
      <c r="B81" s="3" t="s">
        <v>51</v>
      </c>
      <c r="C81" s="3" t="s">
        <v>568</v>
      </c>
      <c r="D81" s="3" t="s">
        <v>681</v>
      </c>
      <c r="E81" s="3">
        <v>15319</v>
      </c>
      <c r="F81" s="3">
        <v>404</v>
      </c>
      <c r="G81" s="3">
        <v>3</v>
      </c>
      <c r="H81" s="3">
        <v>1450</v>
      </c>
      <c r="I81" s="3">
        <v>81</v>
      </c>
      <c r="J81" s="3">
        <v>104</v>
      </c>
      <c r="K81" s="3">
        <v>0.22</v>
      </c>
      <c r="L81" s="3">
        <v>1</v>
      </c>
      <c r="M81" s="3" t="s">
        <v>565</v>
      </c>
      <c r="N81" s="3" t="s">
        <v>566</v>
      </c>
      <c r="O81" s="5">
        <v>1</v>
      </c>
      <c r="P81" t="s">
        <v>682</v>
      </c>
      <c r="Q81" s="3">
        <v>1</v>
      </c>
      <c r="R81" s="48" t="s">
        <v>683</v>
      </c>
      <c r="S81" s="48"/>
      <c r="T81" s="48" t="s">
        <v>684</v>
      </c>
      <c r="U81" s="48"/>
      <c r="V81" s="48" t="s">
        <v>150</v>
      </c>
      <c r="W81" s="48"/>
      <c r="X81" s="48">
        <v>1</v>
      </c>
      <c r="Y81" s="48"/>
      <c r="Z81" s="3" t="s">
        <v>685</v>
      </c>
    </row>
    <row r="82" spans="1:26" ht="37.5" x14ac:dyDescent="0.25">
      <c r="A82" s="3">
        <v>28</v>
      </c>
      <c r="B82" s="3" t="s">
        <v>686</v>
      </c>
      <c r="C82" s="3" t="s">
        <v>568</v>
      </c>
      <c r="D82" s="3" t="s">
        <v>429</v>
      </c>
      <c r="E82" s="3">
        <v>12255</v>
      </c>
      <c r="F82" s="3">
        <v>350</v>
      </c>
      <c r="G82" s="3">
        <v>2.2000000000000002</v>
      </c>
      <c r="H82" s="3">
        <v>1450</v>
      </c>
      <c r="I82" s="3">
        <v>80</v>
      </c>
      <c r="J82" s="3">
        <v>89</v>
      </c>
      <c r="K82" s="3">
        <v>0.19</v>
      </c>
      <c r="L82" s="3">
        <v>1</v>
      </c>
      <c r="M82" s="3" t="s">
        <v>565</v>
      </c>
      <c r="N82" s="3" t="s">
        <v>570</v>
      </c>
      <c r="O82">
        <v>1</v>
      </c>
      <c r="Q82" s="3">
        <v>2</v>
      </c>
      <c r="R82" s="48" t="s">
        <v>687</v>
      </c>
      <c r="S82" s="48"/>
      <c r="T82" s="48" t="s">
        <v>688</v>
      </c>
      <c r="U82" s="48"/>
      <c r="V82" s="48" t="s">
        <v>150</v>
      </c>
      <c r="W82" s="48"/>
      <c r="X82" s="48">
        <v>1</v>
      </c>
      <c r="Y82" s="48"/>
      <c r="Z82" s="3" t="s">
        <v>689</v>
      </c>
    </row>
    <row r="83" spans="1:26" ht="37.5" x14ac:dyDescent="0.25">
      <c r="A83" s="3">
        <v>29</v>
      </c>
      <c r="B83" s="3" t="s">
        <v>690</v>
      </c>
      <c r="C83" s="3" t="s">
        <v>559</v>
      </c>
      <c r="D83" s="3" t="s">
        <v>576</v>
      </c>
      <c r="E83" s="3">
        <v>38200</v>
      </c>
      <c r="F83" s="3">
        <v>770</v>
      </c>
      <c r="G83" s="3">
        <v>12</v>
      </c>
      <c r="H83" s="3">
        <v>1450</v>
      </c>
      <c r="I83" s="3">
        <v>90</v>
      </c>
      <c r="J83" s="3">
        <v>305</v>
      </c>
      <c r="K83" s="3">
        <v>0.24</v>
      </c>
      <c r="L83" s="3">
        <v>2</v>
      </c>
      <c r="M83" s="3" t="s">
        <v>577</v>
      </c>
      <c r="N83" s="3" t="s">
        <v>578</v>
      </c>
      <c r="O83">
        <v>2</v>
      </c>
    </row>
    <row r="84" spans="1:26" ht="25" x14ac:dyDescent="0.25">
      <c r="A84" s="3">
        <v>30</v>
      </c>
      <c r="B84" s="3" t="s">
        <v>691</v>
      </c>
      <c r="C84" s="3" t="s">
        <v>568</v>
      </c>
      <c r="D84" s="3" t="s">
        <v>580</v>
      </c>
      <c r="E84" s="3">
        <v>4945</v>
      </c>
      <c r="F84" s="3">
        <v>431</v>
      </c>
      <c r="G84" s="3">
        <v>1.1000000000000001</v>
      </c>
      <c r="H84" s="3">
        <v>1450</v>
      </c>
      <c r="I84" s="3">
        <v>66</v>
      </c>
      <c r="J84" s="3">
        <v>95</v>
      </c>
      <c r="K84" s="3">
        <v>0.15</v>
      </c>
      <c r="L84" s="3">
        <v>2</v>
      </c>
      <c r="M84" s="3" t="s">
        <v>577</v>
      </c>
      <c r="N84" s="3" t="s">
        <v>581</v>
      </c>
      <c r="O84">
        <v>2</v>
      </c>
    </row>
    <row r="85" spans="1:26" ht="25" x14ac:dyDescent="0.25">
      <c r="A85" s="3">
        <v>31</v>
      </c>
      <c r="B85" s="3" t="s">
        <v>692</v>
      </c>
      <c r="C85" s="3" t="s">
        <v>568</v>
      </c>
      <c r="D85" s="3" t="s">
        <v>569</v>
      </c>
      <c r="E85" s="3">
        <v>18382</v>
      </c>
      <c r="F85" s="3">
        <v>504</v>
      </c>
      <c r="G85" s="3">
        <v>4</v>
      </c>
      <c r="H85" s="3">
        <v>1450</v>
      </c>
      <c r="I85" s="3">
        <v>82</v>
      </c>
      <c r="J85" s="3">
        <v>124</v>
      </c>
      <c r="K85" s="3">
        <v>0.23</v>
      </c>
      <c r="L85" s="3">
        <v>2</v>
      </c>
      <c r="M85" s="3" t="s">
        <v>577</v>
      </c>
      <c r="N85" s="3" t="s">
        <v>583</v>
      </c>
      <c r="O85">
        <v>2</v>
      </c>
    </row>
    <row r="86" spans="1:26" ht="25" x14ac:dyDescent="0.25">
      <c r="A86" s="3">
        <v>32</v>
      </c>
      <c r="B86" s="3" t="s">
        <v>693</v>
      </c>
      <c r="C86" s="3" t="s">
        <v>568</v>
      </c>
      <c r="D86" s="3" t="s">
        <v>580</v>
      </c>
      <c r="E86" s="3">
        <v>4945</v>
      </c>
      <c r="F86" s="3">
        <v>431</v>
      </c>
      <c r="G86" s="3">
        <v>1.1000000000000001</v>
      </c>
      <c r="H86" s="3">
        <v>1450</v>
      </c>
      <c r="I86" s="3">
        <v>66</v>
      </c>
      <c r="J86" s="3">
        <v>95</v>
      </c>
      <c r="K86" s="3">
        <v>0.15</v>
      </c>
      <c r="L86" s="3">
        <v>2</v>
      </c>
      <c r="M86" s="3" t="s">
        <v>577</v>
      </c>
      <c r="N86" s="3" t="s">
        <v>585</v>
      </c>
      <c r="O86">
        <v>2</v>
      </c>
    </row>
    <row r="87" spans="1:26" ht="25" x14ac:dyDescent="0.25">
      <c r="A87" s="3">
        <v>33</v>
      </c>
      <c r="B87" s="3" t="s">
        <v>327</v>
      </c>
      <c r="C87" s="3" t="s">
        <v>324</v>
      </c>
      <c r="D87" s="3" t="s">
        <v>436</v>
      </c>
      <c r="E87" s="3">
        <v>400</v>
      </c>
      <c r="F87" s="3">
        <v>265</v>
      </c>
      <c r="G87" s="3" t="s">
        <v>437</v>
      </c>
      <c r="H87" s="3" t="s">
        <v>438</v>
      </c>
      <c r="I87" s="3">
        <v>46</v>
      </c>
      <c r="J87" s="3" t="s">
        <v>438</v>
      </c>
      <c r="K87" s="3"/>
      <c r="L87" s="3"/>
      <c r="M87" s="3"/>
      <c r="N87" s="3"/>
      <c r="O87">
        <v>26</v>
      </c>
      <c r="P87" t="s">
        <v>694</v>
      </c>
    </row>
    <row r="88" spans="1:26" ht="25" x14ac:dyDescent="0.25">
      <c r="A88" s="3">
        <v>34</v>
      </c>
      <c r="B88" s="3" t="s">
        <v>638</v>
      </c>
      <c r="C88" s="3" t="s">
        <v>324</v>
      </c>
      <c r="D88" s="3" t="s">
        <v>639</v>
      </c>
      <c r="E88" s="3">
        <v>800</v>
      </c>
      <c r="F88" s="3">
        <v>410</v>
      </c>
      <c r="G88" s="3" t="s">
        <v>640</v>
      </c>
      <c r="H88" s="3" t="s">
        <v>438</v>
      </c>
      <c r="I88" s="3">
        <v>58</v>
      </c>
      <c r="J88" s="3" t="s">
        <v>438</v>
      </c>
      <c r="K88" s="3"/>
      <c r="L88" s="3"/>
      <c r="M88" s="3"/>
      <c r="N88" s="3"/>
      <c r="O88">
        <v>1</v>
      </c>
    </row>
    <row r="89" spans="1:26" ht="37.5" x14ac:dyDescent="0.25">
      <c r="A89" s="3">
        <v>35</v>
      </c>
      <c r="B89" s="3" t="s">
        <v>677</v>
      </c>
      <c r="C89" s="3" t="s">
        <v>559</v>
      </c>
      <c r="D89" s="3" t="s">
        <v>560</v>
      </c>
      <c r="E89" s="3" t="s">
        <v>651</v>
      </c>
      <c r="F89" s="3" t="s">
        <v>652</v>
      </c>
      <c r="G89" s="3" t="s">
        <v>563</v>
      </c>
      <c r="H89" s="3">
        <v>1450</v>
      </c>
      <c r="I89" s="3" t="s">
        <v>564</v>
      </c>
      <c r="J89" s="3">
        <v>305</v>
      </c>
      <c r="K89" s="3">
        <v>0.21</v>
      </c>
      <c r="L89" s="3">
        <v>2</v>
      </c>
      <c r="M89" s="3" t="s">
        <v>565</v>
      </c>
      <c r="N89" s="3" t="s">
        <v>566</v>
      </c>
      <c r="O89" s="11">
        <v>2</v>
      </c>
      <c r="P89" t="s">
        <v>695</v>
      </c>
    </row>
    <row r="90" spans="1:26" ht="37.5" x14ac:dyDescent="0.25">
      <c r="A90" s="3">
        <v>36</v>
      </c>
      <c r="B90" s="3" t="s">
        <v>678</v>
      </c>
      <c r="C90" s="3" t="s">
        <v>568</v>
      </c>
      <c r="D90" s="3" t="s">
        <v>569</v>
      </c>
      <c r="E90" s="3">
        <v>20490</v>
      </c>
      <c r="F90" s="3">
        <v>420</v>
      </c>
      <c r="G90" s="3">
        <v>4</v>
      </c>
      <c r="H90" s="3">
        <v>1450</v>
      </c>
      <c r="I90" s="3">
        <v>82</v>
      </c>
      <c r="J90" s="3">
        <v>195</v>
      </c>
      <c r="K90" s="3">
        <v>0.21</v>
      </c>
      <c r="L90" s="3">
        <v>2</v>
      </c>
      <c r="M90" s="3" t="s">
        <v>565</v>
      </c>
      <c r="N90" s="3" t="s">
        <v>570</v>
      </c>
      <c r="O90" s="11">
        <v>2</v>
      </c>
      <c r="P90" t="s">
        <v>695</v>
      </c>
    </row>
    <row r="91" spans="1:26" ht="25" x14ac:dyDescent="0.25">
      <c r="A91" s="3">
        <v>37</v>
      </c>
      <c r="B91" s="3"/>
      <c r="C91" s="3" t="s">
        <v>62</v>
      </c>
      <c r="D91" s="3" t="s">
        <v>641</v>
      </c>
      <c r="E91" s="3" t="s">
        <v>642</v>
      </c>
      <c r="F91" s="3"/>
      <c r="G91" s="3">
        <v>0.3</v>
      </c>
      <c r="H91" s="3"/>
      <c r="I91" s="3">
        <v>60</v>
      </c>
      <c r="J91" s="3">
        <v>35</v>
      </c>
      <c r="K91" s="3"/>
      <c r="L91" s="3"/>
      <c r="M91" s="3" t="s">
        <v>643</v>
      </c>
      <c r="N91" s="3"/>
      <c r="O91" s="5">
        <v>97</v>
      </c>
      <c r="P91" t="s">
        <v>696</v>
      </c>
    </row>
    <row r="94" spans="1:26" x14ac:dyDescent="0.25">
      <c r="A94" s="58" t="s">
        <v>697</v>
      </c>
      <c r="B94" s="48"/>
      <c r="C94" s="48"/>
      <c r="D94" s="48"/>
      <c r="E94" s="48"/>
      <c r="F94" s="48"/>
    </row>
    <row r="95" spans="1:26" x14ac:dyDescent="0.25">
      <c r="A95" s="3" t="s">
        <v>679</v>
      </c>
      <c r="B95" s="3" t="s">
        <v>698</v>
      </c>
      <c r="C95" s="3" t="s">
        <v>680</v>
      </c>
      <c r="D95" s="3" t="s">
        <v>30</v>
      </c>
      <c r="E95" s="3" t="s">
        <v>452</v>
      </c>
      <c r="F95" s="3" t="s">
        <v>7</v>
      </c>
    </row>
    <row r="96" spans="1:26" ht="37.5" x14ac:dyDescent="0.25">
      <c r="A96" s="3">
        <v>1</v>
      </c>
      <c r="B96" s="3" t="s">
        <v>699</v>
      </c>
      <c r="C96" s="3" t="s">
        <v>700</v>
      </c>
      <c r="D96" s="3" t="s">
        <v>701</v>
      </c>
      <c r="E96" s="3">
        <v>32</v>
      </c>
      <c r="F96" s="3"/>
      <c r="O96">
        <v>32</v>
      </c>
    </row>
    <row r="97" spans="1:15" ht="62.5" x14ac:dyDescent="0.25">
      <c r="A97" s="3">
        <v>2</v>
      </c>
      <c r="B97" s="3" t="s">
        <v>702</v>
      </c>
      <c r="C97" s="3" t="s">
        <v>703</v>
      </c>
      <c r="D97" s="3" t="s">
        <v>150</v>
      </c>
      <c r="E97" s="3">
        <v>11</v>
      </c>
      <c r="F97" s="3"/>
      <c r="O97">
        <v>11</v>
      </c>
    </row>
    <row r="98" spans="1:15" ht="87.5" x14ac:dyDescent="0.25">
      <c r="A98" s="3">
        <v>3</v>
      </c>
      <c r="B98" s="3" t="s">
        <v>704</v>
      </c>
      <c r="C98" s="3" t="s">
        <v>705</v>
      </c>
      <c r="D98" s="3" t="s">
        <v>150</v>
      </c>
      <c r="E98" s="3">
        <v>19</v>
      </c>
      <c r="F98" s="3" t="s">
        <v>689</v>
      </c>
      <c r="O98">
        <v>19</v>
      </c>
    </row>
    <row r="99" spans="1:15" ht="125" x14ac:dyDescent="0.25">
      <c r="A99" s="3">
        <v>4</v>
      </c>
      <c r="B99" s="2" t="s">
        <v>706</v>
      </c>
      <c r="C99" s="3" t="s">
        <v>707</v>
      </c>
      <c r="D99" s="3" t="s">
        <v>150</v>
      </c>
      <c r="E99" s="3">
        <v>1</v>
      </c>
      <c r="F99" s="3" t="s">
        <v>47</v>
      </c>
      <c r="O99">
        <v>1</v>
      </c>
    </row>
    <row r="100" spans="1:15" ht="125" x14ac:dyDescent="0.25">
      <c r="A100" s="3">
        <v>5</v>
      </c>
      <c r="B100" s="2" t="s">
        <v>706</v>
      </c>
      <c r="C100" s="3" t="s">
        <v>708</v>
      </c>
      <c r="D100" s="3" t="s">
        <v>150</v>
      </c>
      <c r="E100" s="3">
        <v>2</v>
      </c>
      <c r="F100" s="3" t="s">
        <v>47</v>
      </c>
      <c r="O100">
        <v>2</v>
      </c>
    </row>
    <row r="157" spans="17:18" x14ac:dyDescent="0.25">
      <c r="Q157" t="s">
        <v>155</v>
      </c>
      <c r="R157">
        <v>11</v>
      </c>
    </row>
    <row r="158" spans="17:18" x14ac:dyDescent="0.25">
      <c r="Q158" t="s">
        <v>61</v>
      </c>
      <c r="R158">
        <v>1</v>
      </c>
    </row>
  </sheetData>
  <customSheetViews>
    <customSheetView guid="{387918E5-7B77-4020-A141-306F5AFCED74}">
      <selection activeCell="L95" sqref="L95"/>
      <pageMargins left="0.75" right="0.75" top="1" bottom="1" header="0.5" footer="0.5"/>
    </customSheetView>
  </customSheetViews>
  <mergeCells count="16">
    <mergeCell ref="A1:N1"/>
    <mergeCell ref="A53:N53"/>
    <mergeCell ref="R80:S80"/>
    <mergeCell ref="T80:U80"/>
    <mergeCell ref="V80:W80"/>
    <mergeCell ref="P51:P52"/>
    <mergeCell ref="X80:Y80"/>
    <mergeCell ref="R81:S81"/>
    <mergeCell ref="T81:U81"/>
    <mergeCell ref="V81:W81"/>
    <mergeCell ref="X81:Y81"/>
    <mergeCell ref="R82:S82"/>
    <mergeCell ref="T82:U82"/>
    <mergeCell ref="V82:W82"/>
    <mergeCell ref="X82:Y82"/>
    <mergeCell ref="A94:F94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车库李书元</vt:lpstr>
      <vt:lpstr>车库荣艳民</vt:lpstr>
      <vt:lpstr>地上</vt:lpstr>
      <vt:lpstr>地上设备</vt:lpstr>
      <vt:lpstr>地下设备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djk</cp:lastModifiedBy>
  <dcterms:created xsi:type="dcterms:W3CDTF">2021-01-07T08:11:00Z</dcterms:created>
  <dcterms:modified xsi:type="dcterms:W3CDTF">2022-07-19T08:04:41Z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