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120" windowWidth="15600" windowHeight="11640" tabRatio="690" activeTab="8"/>
  </bookViews>
  <sheets>
    <sheet name="January" sheetId="1" r:id="rId1"/>
    <sheet name="February" sheetId="6" r:id="rId2"/>
    <sheet name="March" sheetId="7" r:id="rId3"/>
    <sheet name="April" sheetId="8" r:id="rId4"/>
    <sheet name="May" sheetId="9" r:id="rId5"/>
    <sheet name="June" sheetId="10" r:id="rId6"/>
    <sheet name="July" sheetId="11" r:id="rId7"/>
    <sheet name="August" sheetId="12" r:id="rId8"/>
    <sheet name="September" sheetId="13" r:id="rId9"/>
    <sheet name="October" sheetId="14" r:id="rId10"/>
    <sheet name="November" sheetId="15" r:id="rId11"/>
    <sheet name="December" sheetId="16" r:id="rId12"/>
  </sheets>
  <definedNames>
    <definedName name="AprSun1">DATE(CalendarYear,4,1)-WEEKDAY(DATE(CalendarYear,4,1))+1</definedName>
    <definedName name="AssignmentDays" localSheetId="3">April!$L$4:$L$33</definedName>
    <definedName name="AssignmentDays" localSheetId="7">August!$L$4:$L$33</definedName>
    <definedName name="AssignmentDays" localSheetId="11">December!$L$4:$L$33</definedName>
    <definedName name="AssignmentDays" localSheetId="1">February!$L$4:$L$33</definedName>
    <definedName name="AssignmentDays" localSheetId="6">July!$L$4:$L$33</definedName>
    <definedName name="AssignmentDays" localSheetId="5">June!$L$4:$L$33</definedName>
    <definedName name="AssignmentDays" localSheetId="2">March!$L$4:$L$33</definedName>
    <definedName name="AssignmentDays" localSheetId="4">May!$L$4:$L$33</definedName>
    <definedName name="AssignmentDays" localSheetId="10">November!$L$4:$L$33</definedName>
    <definedName name="AssignmentDays" localSheetId="9">October!$L$4:$L$33</definedName>
    <definedName name="AssignmentDays" localSheetId="8">September!$L$4:$L$33</definedName>
    <definedName name="AssignmentDays">January!$L$4:$L$33</definedName>
    <definedName name="AugSun1">DATE(CalendarYear,8,1)-WEEKDAY(DATE(CalendarYear,8,1))+1</definedName>
    <definedName name="CalendarYear">January!$N$2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April!$L$4:$M$8</definedName>
    <definedName name="ImportantDatesTable" localSheetId="7">August!$L$4:$M$8</definedName>
    <definedName name="ImportantDatesTable" localSheetId="11">December!$L$4:$M$8</definedName>
    <definedName name="ImportantDatesTable" localSheetId="1">February!$L$4:$M$8</definedName>
    <definedName name="ImportantDatesTable" localSheetId="6">July!$L$4:$M$8</definedName>
    <definedName name="ImportantDatesTable" localSheetId="5">June!$L$4:$M$8</definedName>
    <definedName name="ImportantDatesTable" localSheetId="2">March!$L$4:$M$8</definedName>
    <definedName name="ImportantDatesTable" localSheetId="4">May!$L$4:$M$8</definedName>
    <definedName name="ImportantDatesTable" localSheetId="10">November!$L$4:$M$8</definedName>
    <definedName name="ImportantDatesTable" localSheetId="9">October!$L$4:$M$8</definedName>
    <definedName name="ImportantDatesTable" localSheetId="8">September!$L$4:$M$8</definedName>
    <definedName name="ImportantDatesTable">January!$L$4:$M$8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3">April!$A$1:$N$33</definedName>
    <definedName name="_xlnm.Print_Area" localSheetId="7">August!$A$1:$N$33</definedName>
    <definedName name="_xlnm.Print_Area" localSheetId="11">December!$A$1:$N$33</definedName>
    <definedName name="_xlnm.Print_Area" localSheetId="1">February!$A$1:$N$33</definedName>
    <definedName name="_xlnm.Print_Area" localSheetId="0">January!$A$1:$N$33</definedName>
    <definedName name="_xlnm.Print_Area" localSheetId="6">July!$A$1:$N$33</definedName>
    <definedName name="_xlnm.Print_Area" localSheetId="5">June!$A$1:$N$33</definedName>
    <definedName name="_xlnm.Print_Area" localSheetId="2">March!$A$1:$N$33</definedName>
    <definedName name="_xlnm.Print_Area" localSheetId="4">May!$A$1:$N$33</definedName>
    <definedName name="_xlnm.Print_Area" localSheetId="10">November!$A$1:$N$33</definedName>
    <definedName name="_xlnm.Print_Area" localSheetId="9">October!$A$1:$N$33</definedName>
    <definedName name="_xlnm.Print_Area" localSheetId="8">September!$A$1:$N$33</definedName>
    <definedName name="SepSun1">DATE(CalendarYear,9,1)-WEEKDAY(DATE(CalendarYear,9,1))+1</definedName>
  </definedNames>
  <calcPr calcId="144525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8" l="1"/>
  <c r="H9" i="8"/>
  <c r="G9" i="8"/>
  <c r="F9" i="8"/>
  <c r="E9" i="8"/>
  <c r="D9" i="8"/>
  <c r="C9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9" i="16"/>
  <c r="H9" i="16"/>
  <c r="G9" i="16"/>
  <c r="F9" i="16"/>
  <c r="E9" i="16"/>
  <c r="D9" i="16"/>
  <c r="C9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I6" i="16"/>
  <c r="H6" i="16"/>
  <c r="G6" i="16"/>
  <c r="F6" i="16"/>
  <c r="E6" i="16"/>
  <c r="D6" i="16"/>
  <c r="C6" i="16"/>
  <c r="I5" i="16"/>
  <c r="H5" i="16"/>
  <c r="G5" i="16"/>
  <c r="F5" i="16"/>
  <c r="E5" i="16"/>
  <c r="D5" i="16"/>
  <c r="C5" i="16"/>
  <c r="I4" i="16"/>
  <c r="H4" i="16"/>
  <c r="G4" i="16"/>
  <c r="F4" i="16"/>
  <c r="E4" i="16"/>
  <c r="D4" i="16"/>
  <c r="C4" i="16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C4" i="14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9" i="9"/>
  <c r="H9" i="9"/>
  <c r="G9" i="9"/>
  <c r="F9" i="9"/>
  <c r="E9" i="9"/>
  <c r="D9" i="9"/>
  <c r="C9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I6" i="9"/>
  <c r="H6" i="9"/>
  <c r="G6" i="9"/>
  <c r="F6" i="9"/>
  <c r="E6" i="9"/>
  <c r="D6" i="9"/>
  <c r="C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4" i="1" l="1"/>
  <c r="I9" i="1" l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<sst xmlns="http://schemas.openxmlformats.org/spreadsheetml/2006/main" count="555" uniqueCount="48">
  <si>
    <t>S</t>
  </si>
  <si>
    <t>M</t>
  </si>
  <si>
    <t>T</t>
  </si>
  <si>
    <t>W</t>
  </si>
  <si>
    <t>F</t>
  </si>
  <si>
    <t>MON</t>
  </si>
  <si>
    <t>ASSIGNMENTS</t>
  </si>
  <si>
    <t>TUES</t>
  </si>
  <si>
    <t>WED</t>
  </si>
  <si>
    <t>THURS</t>
  </si>
  <si>
    <t>FRI</t>
  </si>
  <si>
    <t>JANUARY</t>
  </si>
  <si>
    <t>WEEKLY SCHEDULE</t>
  </si>
  <si>
    <t>French</t>
  </si>
  <si>
    <t>Math</t>
  </si>
  <si>
    <t>English</t>
  </si>
  <si>
    <t>Programming</t>
  </si>
  <si>
    <t>Art History</t>
  </si>
  <si>
    <t>8:00</t>
  </si>
  <si>
    <t>9:00</t>
  </si>
  <si>
    <t>2:00</t>
  </si>
  <si>
    <t>10:00</t>
  </si>
  <si>
    <t>4:00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</si>
  <si>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</si>
  <si>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</si>
  <si>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</si>
  <si>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</si>
  <si>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</si>
  <si>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</si>
  <si>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</si>
  <si>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</si>
  <si>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</si>
  <si>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</si>
  <si>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</si>
  <si>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 school get books organized by tomorrow</t>
  </si>
  <si>
    <t>Turn in proof of prereqs 135</t>
  </si>
  <si>
    <t>Senior project</t>
  </si>
  <si>
    <t>Child lit</t>
  </si>
  <si>
    <t>10:30</t>
  </si>
  <si>
    <t>CSC 135</t>
  </si>
  <si>
    <t>12:00</t>
  </si>
  <si>
    <t>CSC 133</t>
  </si>
  <si>
    <t>4:30</t>
  </si>
  <si>
    <t>Anth 101</t>
  </si>
  <si>
    <t>6:00</t>
  </si>
  <si>
    <t>work</t>
  </si>
  <si>
    <t>Work</t>
  </si>
  <si>
    <t>Find a quote about social justice state authors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</si>
</sst>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3" x14ac:knownFonts="1">
    <font>
      <sz val="10"/>
      <color theme="1"/>
      <name val="Arial"/>
      <family val="2"/>
      <scheme val="minor"/>
    </font>
    <font>
      <sz val="12"/>
      <color rgb="FF00206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0"/>
      <color indexed="63"/>
      <name val="Arial"/>
      <family val="4"/>
      <scheme val="minor"/>
    </font>
    <font>
      <b/>
      <sz val="28"/>
      <color theme="1" tint="0.34998626667073579"/>
      <name val="Arial"/>
      <family val="2"/>
      <scheme val="minor"/>
    </font>
    <font>
      <sz val="12"/>
      <color theme="4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2"/>
      <color theme="4"/>
      <name val="Arial"/>
      <family val="2"/>
      <scheme val="minor"/>
    </font>
    <font>
      <sz val="10"/>
      <color theme="0"/>
      <name val="Arial"/>
      <family val="2"/>
      <scheme val="minor"/>
    </font>
    <font>
      <b/>
      <sz val="17"/>
      <color theme="4"/>
      <name val="Arial"/>
      <family val="4"/>
      <scheme val="minor"/>
    </font>
    <font>
      <b/>
      <sz val="8.5"/>
      <color theme="1"/>
      <name val="Arial"/>
      <family val="2"/>
      <scheme val="minor"/>
    </font>
    <font>
      <sz val="8.5"/>
      <color theme="1"/>
      <name val="Arial"/>
      <family val="2"/>
      <scheme val="minor"/>
    </font>
    <font>
      <b/>
      <sz val="17"/>
      <color theme="4"/>
      <name val="Arial"/>
      <family val="2"/>
      <scheme val="major"/>
    </font>
    <font>
      <b/>
      <sz val="8.5"/>
      <color theme="1"/>
      <name val="Arial"/>
      <family val="2"/>
      <scheme val="maj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.5"/>
      <color theme="1" tint="0.249977111117893"/>
      <name val="Arial"/>
      <family val="2"/>
      <scheme val="minor"/>
    </font>
    <font>
      <b/>
      <sz val="10.5"/>
      <name val="Arial"/>
      <family val="2"/>
      <scheme val="minor"/>
    </font>
    <font>
      <b/>
      <sz val="24"/>
      <color theme="4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5"/>
      </top>
      <bottom style="thin">
        <color theme="4" tint="0.79998168889431442"/>
      </bottom>
      <diagonal/>
    </border>
    <border>
      <left/>
      <right style="thin">
        <color theme="0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 style="thin">
        <color theme="4" tint="0.79995117038483843"/>
      </bottom>
      <diagonal/>
    </border>
    <border>
      <left style="thin">
        <color theme="0"/>
      </left>
      <right/>
      <top/>
      <bottom style="thin">
        <color theme="4" tint="0.79995117038483843"/>
      </bottom>
      <diagonal/>
    </border>
    <border>
      <left/>
      <right style="thin">
        <color theme="0"/>
      </right>
      <top/>
      <bottom style="thin">
        <color theme="4" tint="0.79995117038483843"/>
      </bottom>
      <diagonal/>
    </border>
    <border>
      <left/>
      <right/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/>
      <diagonal/>
    </border>
    <border>
      <left/>
      <right/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4" tint="0.79992065187536243"/>
      </right>
      <top/>
      <bottom style="thin">
        <color theme="0"/>
      </bottom>
      <diagonal/>
    </border>
    <border>
      <left/>
      <right style="thin">
        <color theme="4" tint="0.79992065187536243"/>
      </right>
      <top style="thin">
        <color theme="0"/>
      </top>
      <bottom/>
      <diagonal/>
    </border>
    <border>
      <left style="thin">
        <color theme="4" tint="0.79992065187536243"/>
      </left>
      <right/>
      <top/>
      <bottom/>
      <diagonal/>
    </border>
    <border>
      <left style="thin">
        <color theme="4" tint="0.79992065187536243"/>
      </left>
      <right/>
      <top/>
      <bottom style="thin">
        <color theme="4" tint="0.79989013336588644"/>
      </bottom>
      <diagonal/>
    </border>
    <border>
      <left/>
      <right/>
      <top/>
      <bottom style="thin">
        <color theme="4" tint="0.79989013336588644"/>
      </bottom>
      <diagonal/>
    </border>
    <border>
      <left/>
      <right style="thin">
        <color theme="4" tint="0.79989013336588644"/>
      </right>
      <top/>
      <bottom style="thin">
        <color theme="4" tint="0.79989013336588644"/>
      </bottom>
      <diagonal/>
    </border>
    <border>
      <left style="thin">
        <color theme="4" tint="0.79992065187536243"/>
      </left>
      <right/>
      <top style="thin">
        <color theme="4" tint="0.79989013336588644"/>
      </top>
      <bottom/>
      <diagonal/>
    </border>
    <border>
      <left/>
      <right/>
      <top style="thin">
        <color theme="4" tint="0.79989013336588644"/>
      </top>
      <bottom/>
      <diagonal/>
    </border>
    <border>
      <left/>
      <right style="thin">
        <color theme="4" tint="0.79989013336588644"/>
      </right>
      <top style="thin">
        <color theme="4" tint="0.79989013336588644"/>
      </top>
      <bottom/>
      <diagonal/>
    </border>
    <border>
      <left style="thin">
        <color theme="4" tint="0.79992065187536243"/>
      </left>
      <right/>
      <top style="thin">
        <color theme="4" tint="0.79998168889431442"/>
      </top>
      <bottom/>
      <diagonal/>
    </border>
    <border>
      <left/>
      <right/>
      <top style="thin">
        <color theme="4" tint="0.79989013336588644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89013336588644"/>
      </top>
      <bottom style="thin">
        <color theme="5"/>
      </bottom>
      <diagonal/>
    </border>
    <border>
      <left style="thin">
        <color theme="4" tint="0.79998168889431442"/>
      </left>
      <right/>
      <top style="thin">
        <color theme="4" tint="0.79995117038483843"/>
      </top>
      <bottom/>
      <diagonal/>
    </border>
    <border>
      <left/>
      <right/>
      <top style="thin">
        <color theme="4" tint="0.79995117038483843"/>
      </top>
      <bottom/>
      <diagonal/>
    </border>
    <border>
      <left/>
      <right style="thin">
        <color theme="4" tint="0.79992065187536243"/>
      </right>
      <top style="thin">
        <color theme="4" tint="0.79995117038483843"/>
      </top>
      <bottom/>
      <diagonal/>
    </border>
    <border>
      <left style="thin">
        <color theme="4" tint="0.79998168889431442"/>
      </left>
      <right/>
      <top/>
      <bottom style="thin">
        <color theme="4" tint="0.79995117038483843"/>
      </bottom>
      <diagonal/>
    </border>
    <border>
      <left/>
      <right style="thin">
        <color theme="4" tint="0.79985961485641044"/>
      </right>
      <top style="thin">
        <color theme="4" tint="0.79985961485641044"/>
      </top>
      <bottom/>
      <diagonal/>
    </border>
    <border>
      <left/>
      <right style="thin">
        <color theme="4" tint="0.79985961485641044"/>
      </right>
      <top/>
      <bottom style="thin">
        <color theme="4" tint="0.79989013336588644"/>
      </bottom>
      <diagonal/>
    </border>
  </borders>
  <cellStyleXfs count="5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</cellStyleXfs>
  <cellXfs count="80">
    <xf numFmtId="0" fontId="0" fillId="0" borderId="0" xfId="0"/>
    <xf numFmtId="0" fontId="0" fillId="0" borderId="0" xfId="0" applyFont="1"/>
    <xf numFmtId="0" fontId="8" fillId="0" borderId="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indent="1"/>
    </xf>
    <xf numFmtId="0" fontId="0" fillId="0" borderId="9" xfId="0" applyFont="1" applyBorder="1"/>
    <xf numFmtId="0" fontId="0" fillId="0" borderId="16" xfId="0" applyFont="1" applyBorder="1"/>
    <xf numFmtId="0" fontId="15" fillId="5" borderId="21" xfId="0" applyFont="1" applyFill="1" applyBorder="1" applyAlignment="1">
      <alignment horizontal="left" vertical="top" indent="1"/>
    </xf>
    <xf numFmtId="0" fontId="15" fillId="5" borderId="11" xfId="0" applyFont="1" applyFill="1" applyBorder="1" applyAlignment="1">
      <alignment horizontal="left" vertical="top" indent="1"/>
    </xf>
    <xf numFmtId="49" fontId="14" fillId="5" borderId="8" xfId="0" applyNumberFormat="1" applyFont="1" applyFill="1" applyBorder="1" applyAlignment="1">
      <alignment horizontal="left" indent="1"/>
    </xf>
    <xf numFmtId="49" fontId="14" fillId="5" borderId="24" xfId="0" applyNumberFormat="1" applyFont="1" applyFill="1" applyBorder="1" applyAlignment="1">
      <alignment horizontal="left" indent="1"/>
    </xf>
    <xf numFmtId="164" fontId="2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textRotation="90"/>
    </xf>
    <xf numFmtId="0" fontId="10" fillId="0" borderId="0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 textRotation="90"/>
    </xf>
    <xf numFmtId="164" fontId="1" fillId="0" borderId="14" xfId="0" applyNumberFormat="1" applyFont="1" applyFill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0" fontId="0" fillId="0" borderId="40" xfId="0" applyFont="1" applyBorder="1"/>
    <xf numFmtId="0" fontId="0" fillId="0" borderId="41" xfId="0" applyFont="1" applyBorder="1"/>
    <xf numFmtId="164" fontId="21" fillId="0" borderId="14" xfId="0" applyNumberFormat="1" applyFont="1" applyFill="1" applyBorder="1" applyAlignment="1">
      <alignment horizontal="left" vertical="center" wrapText="1" indent="1"/>
    </xf>
    <xf numFmtId="0" fontId="0" fillId="0" borderId="15" xfId="0" applyFont="1" applyBorder="1"/>
    <xf numFmtId="0" fontId="0" fillId="0" borderId="43" xfId="0" applyFont="1" applyBorder="1"/>
    <xf numFmtId="0" fontId="0" fillId="0" borderId="44" xfId="0" applyFont="1" applyBorder="1"/>
    <xf numFmtId="0" fontId="9" fillId="0" borderId="36" xfId="0" applyFont="1" applyBorder="1" applyAlignment="1">
      <alignment vertical="center" textRotation="90"/>
    </xf>
    <xf numFmtId="0" fontId="9" fillId="0" borderId="29" xfId="0" applyFont="1" applyBorder="1" applyAlignment="1">
      <alignment vertical="center" textRotation="90"/>
    </xf>
    <xf numFmtId="0" fontId="18" fillId="0" borderId="3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9" fillId="0" borderId="36" xfId="0" applyFont="1" applyBorder="1" applyAlignment="1">
      <alignment horizontal="right" vertical="center" textRotation="90"/>
    </xf>
    <xf numFmtId="0" fontId="9" fillId="0" borderId="29" xfId="0" applyFont="1" applyBorder="1" applyAlignment="1">
      <alignment horizontal="right" vertical="center" textRotation="90"/>
    </xf>
    <xf numFmtId="0" fontId="12" fillId="4" borderId="10" xfId="0" applyFont="1" applyFill="1" applyBorder="1" applyAlignment="1">
      <alignment horizontal="left" indent="1"/>
    </xf>
    <xf numFmtId="0" fontId="12" fillId="4" borderId="16" xfId="0" applyFont="1" applyFill="1" applyBorder="1" applyAlignment="1">
      <alignment horizontal="left" indent="1"/>
    </xf>
    <xf numFmtId="0" fontId="12" fillId="4" borderId="6" xfId="0" applyFont="1" applyFill="1" applyBorder="1" applyAlignment="1">
      <alignment horizontal="left" indent="1"/>
    </xf>
    <xf numFmtId="0" fontId="16" fillId="0" borderId="33" xfId="0" applyFont="1" applyBorder="1" applyAlignment="1">
      <alignment horizontal="left" vertical="center" indent="2"/>
    </xf>
    <xf numFmtId="0" fontId="16" fillId="0" borderId="34" xfId="0" applyFont="1" applyBorder="1" applyAlignment="1">
      <alignment horizontal="left" vertical="center" indent="2"/>
    </xf>
    <xf numFmtId="0" fontId="16" fillId="0" borderId="30" xfId="0" applyFont="1" applyBorder="1" applyAlignment="1">
      <alignment horizontal="left" vertical="center" indent="2"/>
    </xf>
    <xf numFmtId="0" fontId="16" fillId="0" borderId="31" xfId="0" applyFont="1" applyBorder="1" applyAlignment="1">
      <alignment horizontal="left" vertical="center" indent="2"/>
    </xf>
    <xf numFmtId="0" fontId="9" fillId="0" borderId="33" xfId="0" applyFont="1" applyBorder="1" applyAlignment="1">
      <alignment horizontal="right" vertical="center" textRotation="90"/>
    </xf>
    <xf numFmtId="0" fontId="18" fillId="0" borderId="37" xfId="0" applyFont="1" applyBorder="1" applyAlignment="1">
      <alignment horizontal="left"/>
    </xf>
    <xf numFmtId="0" fontId="18" fillId="0" borderId="38" xfId="0" applyFont="1" applyBorder="1" applyAlignment="1">
      <alignment horizontal="left"/>
    </xf>
    <xf numFmtId="0" fontId="13" fillId="0" borderId="35" xfId="0" applyFont="1" applyFill="1" applyBorder="1" applyAlignment="1">
      <alignment vertical="center"/>
    </xf>
    <xf numFmtId="0" fontId="13" fillId="0" borderId="32" xfId="0" applyFont="1" applyFill="1" applyBorder="1" applyAlignment="1">
      <alignment vertical="center"/>
    </xf>
    <xf numFmtId="0" fontId="15" fillId="5" borderId="22" xfId="0" applyFont="1" applyFill="1" applyBorder="1" applyAlignment="1">
      <alignment horizontal="left" vertical="top" indent="1"/>
    </xf>
    <xf numFmtId="0" fontId="15" fillId="5" borderId="23" xfId="0" applyFont="1" applyFill="1" applyBorder="1" applyAlignment="1">
      <alignment horizontal="left" vertical="top" indent="1"/>
    </xf>
    <xf numFmtId="49" fontId="14" fillId="5" borderId="10" xfId="0" applyNumberFormat="1" applyFont="1" applyFill="1" applyBorder="1" applyAlignment="1">
      <alignment horizontal="left" indent="1"/>
    </xf>
    <xf numFmtId="49" fontId="14" fillId="5" borderId="6" xfId="0" applyNumberFormat="1" applyFont="1" applyFill="1" applyBorder="1" applyAlignment="1">
      <alignment horizontal="left" indent="1"/>
    </xf>
    <xf numFmtId="49" fontId="14" fillId="5" borderId="25" xfId="0" applyNumberFormat="1" applyFont="1" applyFill="1" applyBorder="1" applyAlignment="1">
      <alignment horizontal="left" indent="1"/>
    </xf>
    <xf numFmtId="49" fontId="14" fillId="5" borderId="26" xfId="0" applyNumberFormat="1" applyFont="1" applyFill="1" applyBorder="1" applyAlignment="1">
      <alignment horizontal="left" indent="1"/>
    </xf>
    <xf numFmtId="0" fontId="15" fillId="5" borderId="12" xfId="0" applyFont="1" applyFill="1" applyBorder="1" applyAlignment="1">
      <alignment horizontal="left" vertical="top" indent="1"/>
    </xf>
    <xf numFmtId="0" fontId="15" fillId="5" borderId="13" xfId="0" applyFont="1" applyFill="1" applyBorder="1" applyAlignment="1">
      <alignment horizontal="left" vertical="top" indent="1"/>
    </xf>
    <xf numFmtId="164" fontId="15" fillId="5" borderId="22" xfId="0" applyNumberFormat="1" applyFont="1" applyFill="1" applyBorder="1" applyAlignment="1">
      <alignment horizontal="left" vertical="top" indent="1"/>
    </xf>
    <xf numFmtId="164" fontId="15" fillId="5" borderId="27" xfId="0" applyNumberFormat="1" applyFont="1" applyFill="1" applyBorder="1" applyAlignment="1">
      <alignment horizontal="left" vertical="top" indent="1"/>
    </xf>
    <xf numFmtId="49" fontId="14" fillId="5" borderId="28" xfId="0" applyNumberFormat="1" applyFont="1" applyFill="1" applyBorder="1" applyAlignment="1">
      <alignment horizontal="left" indent="1"/>
    </xf>
    <xf numFmtId="49" fontId="14" fillId="5" borderId="16" xfId="0" applyNumberFormat="1" applyFont="1" applyFill="1" applyBorder="1" applyAlignment="1">
      <alignment horizontal="left" indent="1"/>
    </xf>
    <xf numFmtId="49" fontId="14" fillId="5" borderId="10" xfId="0" applyNumberFormat="1" applyFont="1" applyFill="1" applyBorder="1" applyAlignment="1">
      <alignment horizontal="left" vertical="center" indent="1"/>
    </xf>
    <xf numFmtId="49" fontId="14" fillId="5" borderId="16" xfId="0" applyNumberFormat="1" applyFont="1" applyFill="1" applyBorder="1" applyAlignment="1">
      <alignment horizontal="left" vertical="center" indent="1"/>
    </xf>
    <xf numFmtId="0" fontId="17" fillId="5" borderId="22" xfId="0" applyFont="1" applyFill="1" applyBorder="1" applyAlignment="1">
      <alignment horizontal="left" vertical="top" indent="1"/>
    </xf>
    <xf numFmtId="0" fontId="17" fillId="5" borderId="27" xfId="0" applyFont="1" applyFill="1" applyBorder="1" applyAlignment="1">
      <alignment horizontal="left" vertical="top" indent="1"/>
    </xf>
    <xf numFmtId="0" fontId="15" fillId="5" borderId="27" xfId="0" applyFont="1" applyFill="1" applyBorder="1" applyAlignment="1">
      <alignment horizontal="left" vertical="top" indent="1"/>
    </xf>
    <xf numFmtId="0" fontId="22" fillId="0" borderId="39" xfId="0" applyFont="1" applyFill="1" applyBorder="1" applyAlignment="1">
      <alignment horizontal="center" vertical="center" textRotation="90"/>
    </xf>
    <xf numFmtId="0" fontId="22" fillId="0" borderId="7" xfId="0" applyFont="1" applyFill="1" applyBorder="1" applyAlignment="1">
      <alignment horizontal="center" vertical="center" textRotation="90"/>
    </xf>
    <xf numFmtId="0" fontId="22" fillId="0" borderId="42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164" fontId="19" fillId="0" borderId="5" xfId="0" applyNumberFormat="1" applyFont="1" applyFill="1" applyBorder="1" applyAlignment="1">
      <alignment horizontal="left"/>
    </xf>
    <xf numFmtId="164" fontId="19" fillId="0" borderId="20" xfId="0" applyNumberFormat="1" applyFont="1" applyFill="1" applyBorder="1" applyAlignment="1">
      <alignment horizontal="left"/>
    </xf>
    <xf numFmtId="49" fontId="17" fillId="5" borderId="10" xfId="0" applyNumberFormat="1" applyFont="1" applyFill="1" applyBorder="1" applyAlignment="1">
      <alignment horizontal="left" indent="1"/>
    </xf>
    <xf numFmtId="49" fontId="17" fillId="5" borderId="16" xfId="0" applyNumberFormat="1" applyFont="1" applyFill="1" applyBorder="1" applyAlignment="1">
      <alignment horizontal="left" indent="1"/>
    </xf>
    <xf numFmtId="164" fontId="15" fillId="5" borderId="12" xfId="0" applyNumberFormat="1" applyFont="1" applyFill="1" applyBorder="1" applyAlignment="1">
      <alignment horizontal="left" vertical="top" indent="1"/>
    </xf>
    <xf numFmtId="164" fontId="15" fillId="5" borderId="15" xfId="0" applyNumberFormat="1" applyFont="1" applyFill="1" applyBorder="1" applyAlignment="1">
      <alignment horizontal="left" vertical="top" indent="1"/>
    </xf>
    <xf numFmtId="0" fontId="18" fillId="6" borderId="17" xfId="0" applyFont="1" applyFill="1" applyBorder="1" applyAlignment="1">
      <alignment horizontal="left"/>
    </xf>
    <xf numFmtId="0" fontId="18" fillId="6" borderId="19" xfId="0" applyFont="1" applyFill="1" applyBorder="1" applyAlignment="1">
      <alignment horizontal="left"/>
    </xf>
  </cellXfs>
  <cellStyles count="5">
    <cellStyle name="40% - Accent1 2" xfId="3"/>
    <cellStyle name="Accent1 2" xfId="2"/>
    <cellStyle name="Heading 1 2" xfId="4"/>
    <cellStyle name="Normal" xfId="0" builtinId="0" customBuiltin="1"/>
    <cellStyle name="Normal 2" xfId="1"/>
  </cellStyles>
  <dxfs count="7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Light9 2" pivot="0" count="4">
      <tableStyleElement type="wholeTable" dxfId="62"/>
      <tableStyleElement type="headerRow" dxfId="61"/>
      <tableStyleElement type="totalRow" dxfId="60"/>
      <tableStyleElement type="firstColumn" dxfId="5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N$2" max="2999" min="1900" page="10" val="20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83820</xdr:rowOff>
        </xdr:from>
        <xdr:to>
          <xdr:col>15</xdr:col>
          <xdr:colOff>0</xdr:colOff>
          <xdr:row>2</xdr:row>
          <xdr:rowOff>160020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>
      <selection activeCell="L4" sqref="L4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11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47">
        <v>2017</v>
      </c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48"/>
    </row>
    <row r="4" spans="1:14" ht="18" customHeight="1" x14ac:dyDescent="0.25">
      <c r="A4" s="4"/>
      <c r="B4" s="67"/>
      <c r="C4" s="10">
        <f>IF(DAY(JanSun1)=1,JanSun1-6,JanSun1+1)</f>
        <v>42730</v>
      </c>
      <c r="D4" s="10">
        <f>IF(DAY(JanSun1)=1,JanSun1-5,JanSun1+2)</f>
        <v>42731</v>
      </c>
      <c r="E4" s="10">
        <f>IF(DAY(JanSun1)=1,JanSun1-4,JanSun1+3)</f>
        <v>42732</v>
      </c>
      <c r="F4" s="10">
        <f>IF(DAY(JanSun1)=1,JanSun1-3,JanSun1+4)</f>
        <v>42733</v>
      </c>
      <c r="G4" s="10">
        <f>IF(DAY(JanSun1)=1,JanSun1-2,JanSun1+5)</f>
        <v>42734</v>
      </c>
      <c r="H4" s="10">
        <f>IF(DAY(JanSun1)=1,JanSun1-1,JanSun1+6)</f>
        <v>42735</v>
      </c>
      <c r="I4" s="10">
        <f>IF(DAY(JanSun1)=1,JanSun1,JanSun1+7)</f>
        <v>42736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IF(DAY(JanSun1)=1,JanSun1+1,JanSun1+8)</f>
        <v>42737</v>
      </c>
      <c r="D5" s="10">
        <f>IF(DAY(JanSun1)=1,JanSun1+2,JanSun1+9)</f>
        <v>42738</v>
      </c>
      <c r="E5" s="10">
        <f>IF(DAY(JanSun1)=1,JanSun1+3,JanSun1+10)</f>
        <v>42739</v>
      </c>
      <c r="F5" s="10">
        <f>IF(DAY(JanSun1)=1,JanSun1+4,JanSun1+11)</f>
        <v>42740</v>
      </c>
      <c r="G5" s="10">
        <f>IF(DAY(JanSun1)=1,JanSun1+5,JanSun1+12)</f>
        <v>42741</v>
      </c>
      <c r="H5" s="10">
        <f>IF(DAY(JanSun1)=1,JanSun1+6,JanSun1+13)</f>
        <v>42742</v>
      </c>
      <c r="I5" s="10">
        <f>IF(DAY(JanSun1)=1,JanSun1+7,JanSun1+14)</f>
        <v>42743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IF(DAY(JanSun1)=1,JanSun1+8,JanSun1+15)</f>
        <v>42744</v>
      </c>
      <c r="D6" s="10">
        <f>IF(DAY(JanSun1)=1,JanSun1+9,JanSun1+16)</f>
        <v>42745</v>
      </c>
      <c r="E6" s="10">
        <f>IF(DAY(JanSun1)=1,JanSun1+10,JanSun1+17)</f>
        <v>42746</v>
      </c>
      <c r="F6" s="10">
        <f>IF(DAY(JanSun1)=1,JanSun1+11,JanSun1+18)</f>
        <v>42747</v>
      </c>
      <c r="G6" s="10">
        <f>IF(DAY(JanSun1)=1,JanSun1+12,JanSun1+19)</f>
        <v>42748</v>
      </c>
      <c r="H6" s="10">
        <f>IF(DAY(JanSun1)=1,JanSun1+13,JanSun1+20)</f>
        <v>42749</v>
      </c>
      <c r="I6" s="10">
        <f>IF(DAY(JanSun1)=1,JanSun1+14,JanSun1+21)</f>
        <v>42750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IF(DAY(JanSun1)=1,JanSun1+15,JanSun1+22)</f>
        <v>42751</v>
      </c>
      <c r="D7" s="10">
        <f>IF(DAY(JanSun1)=1,JanSun1+16,JanSun1+23)</f>
        <v>42752</v>
      </c>
      <c r="E7" s="10">
        <f>IF(DAY(JanSun1)=1,JanSun1+17,JanSun1+24)</f>
        <v>42753</v>
      </c>
      <c r="F7" s="10">
        <f>IF(DAY(JanSun1)=1,JanSun1+18,JanSun1+25)</f>
        <v>42754</v>
      </c>
      <c r="G7" s="10">
        <f>IF(DAY(JanSun1)=1,JanSun1+19,JanSun1+26)</f>
        <v>42755</v>
      </c>
      <c r="H7" s="10">
        <f>IF(DAY(JanSun1)=1,JanSun1+20,JanSun1+27)</f>
        <v>42756</v>
      </c>
      <c r="I7" s="10">
        <f>IF(DAY(JanSun1)=1,JanSun1+21,JanSun1+28)</f>
        <v>42757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IF(DAY(JanSun1)=1,JanSun1+22,JanSun1+29)</f>
        <v>42758</v>
      </c>
      <c r="D8" s="10">
        <f>IF(DAY(JanSun1)=1,JanSun1+23,JanSun1+30)</f>
        <v>42759</v>
      </c>
      <c r="E8" s="10">
        <f>IF(DAY(JanSun1)=1,JanSun1+24,JanSun1+31)</f>
        <v>42760</v>
      </c>
      <c r="F8" s="10">
        <f>IF(DAY(JanSun1)=1,JanSun1+25,JanSun1+32)</f>
        <v>42761</v>
      </c>
      <c r="G8" s="10">
        <f>IF(DAY(JanSun1)=1,JanSun1+26,JanSun1+33)</f>
        <v>42762</v>
      </c>
      <c r="H8" s="10">
        <f>IF(DAY(JanSun1)=1,JanSun1+27,JanSun1+34)</f>
        <v>42763</v>
      </c>
      <c r="I8" s="10">
        <f>IF(DAY(JanSun1)=1,JanSun1+28,JanSun1+35)</f>
        <v>42764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IF(DAY(JanSun1)=1,JanSun1+29,JanSun1+36)</f>
        <v>42765</v>
      </c>
      <c r="D9" s="10">
        <f>IF(DAY(JanSun1)=1,JanSun1+30,JanSun1+37)</f>
        <v>42766</v>
      </c>
      <c r="E9" s="10">
        <f>IF(DAY(JanSun1)=1,JanSun1+31,JanSun1+38)</f>
        <v>42767</v>
      </c>
      <c r="F9" s="10">
        <f>IF(DAY(JanSun1)=1,JanSun1+32,JanSun1+39)</f>
        <v>42768</v>
      </c>
      <c r="G9" s="10">
        <f>IF(DAY(JanSun1)=1,JanSun1+33,JanSun1+40)</f>
        <v>42769</v>
      </c>
      <c r="H9" s="10">
        <f>IF(DAY(JanSun1)=1,JanSun1+34,JanSun1+41)</f>
        <v>42770</v>
      </c>
      <c r="I9" s="10">
        <f>IF(DAY(JanSun1)=1,JanSun1+35,JanSun1+42)</f>
        <v>42771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3">
    <mergeCell ref="B2:B10"/>
    <mergeCell ref="B11:J12"/>
    <mergeCell ref="M31:N31"/>
    <mergeCell ref="M32:N32"/>
    <mergeCell ref="M33:N33"/>
    <mergeCell ref="M26:N26"/>
    <mergeCell ref="M27:N27"/>
    <mergeCell ref="M28:N28"/>
    <mergeCell ref="M29:N29"/>
    <mergeCell ref="M30:N30"/>
    <mergeCell ref="M21:N21"/>
    <mergeCell ref="M22:N22"/>
    <mergeCell ref="M23:N23"/>
    <mergeCell ref="M24:N24"/>
    <mergeCell ref="M25:N25"/>
    <mergeCell ref="G30:H30"/>
    <mergeCell ref="G31:H31"/>
    <mergeCell ref="G32:H32"/>
    <mergeCell ref="G33:H33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G25:H25"/>
    <mergeCell ref="G26:H26"/>
    <mergeCell ref="G27:H27"/>
    <mergeCell ref="G28:H28"/>
    <mergeCell ref="G29:H29"/>
    <mergeCell ref="I22:J22"/>
    <mergeCell ref="I23:J23"/>
    <mergeCell ref="G22:H22"/>
    <mergeCell ref="G23:H23"/>
    <mergeCell ref="G24:H24"/>
    <mergeCell ref="I24:J24"/>
    <mergeCell ref="G20:H20"/>
    <mergeCell ref="G21:H21"/>
    <mergeCell ref="I19:J19"/>
    <mergeCell ref="I20:J20"/>
    <mergeCell ref="I21:J21"/>
    <mergeCell ref="G17:H17"/>
    <mergeCell ref="I17:J17"/>
    <mergeCell ref="G18:H18"/>
    <mergeCell ref="I18:J18"/>
    <mergeCell ref="G19:H19"/>
    <mergeCell ref="G14:H14"/>
    <mergeCell ref="I14:J14"/>
    <mergeCell ref="G15:H15"/>
    <mergeCell ref="I15:J15"/>
    <mergeCell ref="G16:H16"/>
    <mergeCell ref="I16:J16"/>
    <mergeCell ref="E18:F18"/>
    <mergeCell ref="E17:F17"/>
    <mergeCell ref="E16:F16"/>
    <mergeCell ref="E15:F15"/>
    <mergeCell ref="E14:F14"/>
    <mergeCell ref="E23:F23"/>
    <mergeCell ref="E22:F22"/>
    <mergeCell ref="E21:F21"/>
    <mergeCell ref="E20:F20"/>
    <mergeCell ref="E19:F19"/>
    <mergeCell ref="E28:F28"/>
    <mergeCell ref="E27:F27"/>
    <mergeCell ref="E26:F26"/>
    <mergeCell ref="E25:F25"/>
    <mergeCell ref="E24:F24"/>
    <mergeCell ref="E33:F33"/>
    <mergeCell ref="E32:F32"/>
    <mergeCell ref="E31:F31"/>
    <mergeCell ref="E30:F30"/>
    <mergeCell ref="E29:F29"/>
    <mergeCell ref="C16:D16"/>
    <mergeCell ref="C17:D17"/>
    <mergeCell ref="C18:D1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K28:K30"/>
    <mergeCell ref="I13:J13"/>
    <mergeCell ref="G13:H13"/>
    <mergeCell ref="E13:F13"/>
    <mergeCell ref="C13:D13"/>
    <mergeCell ref="K2:M3"/>
    <mergeCell ref="K10:K12"/>
    <mergeCell ref="K4:K6"/>
    <mergeCell ref="M4:N4"/>
    <mergeCell ref="M5:N5"/>
    <mergeCell ref="M6:N6"/>
    <mergeCell ref="M7:N7"/>
    <mergeCell ref="M8:N8"/>
    <mergeCell ref="M9:N9"/>
    <mergeCell ref="M10:N10"/>
    <mergeCell ref="M11:N11"/>
    <mergeCell ref="N2:N3"/>
    <mergeCell ref="C19:D19"/>
    <mergeCell ref="C20:D20"/>
    <mergeCell ref="C21:D21"/>
    <mergeCell ref="C22:D22"/>
    <mergeCell ref="C23:D23"/>
    <mergeCell ref="C14:D14"/>
    <mergeCell ref="C15:D15"/>
    <mergeCell ref="K16:K18"/>
    <mergeCell ref="K22:K25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</mergeCells>
  <phoneticPr fontId="2" type="noConversion"/>
  <conditionalFormatting sqref="C4:H4">
    <cfRule type="expression" dxfId="58" priority="4" stopIfTrue="1">
      <formula>DAY(C4)&gt;8</formula>
    </cfRule>
  </conditionalFormatting>
  <conditionalFormatting sqref="C8:I10">
    <cfRule type="expression" dxfId="57" priority="3" stopIfTrue="1">
      <formula>AND(DAY(C8)&gt;=1,DAY(C8)&lt;=15)</formula>
    </cfRule>
  </conditionalFormatting>
  <conditionalFormatting sqref="C4:I9">
    <cfRule type="expression" dxfId="56" priority="15">
      <formula>VLOOKUP(DAY(C4),AssignmentDays,1,FALSE)=DAY(C4)</formula>
    </cfRule>
  </conditionalFormatting>
  <conditionalFormatting sqref="B14:J33">
    <cfRule type="expression" dxfId="55" priority="1">
      <formula>B14&lt;&gt;""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/>
  <pageMargins left="0.5" right="0.5" top="0.5" bottom="0.5" header="0.3" footer="0.3"/>
  <pageSetup scale="91" orientation="landscape" verticalDpi="0" r:id="rId1"/>
  <drawing r:id="rId2"/>
  <legacyDrawing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1025">
              <objectPr defaultSize="0" print="0" autoPict="0" altText="Spinner control. Use spinner to change calendar year or type desired year in cell L2 ">
                <anchor moveWithCells="1">
                  <from>
                    <xdr:col>14</xdr:col>
                    <xdr:colOff>30480</xdr:colOff>
                    <xdr:row>1</xdr:row>
                    <xdr:rowOff>83820</xdr:rowOff>
                  </from>
                  <to>
                    <xdr:col>15</xdr:col>
                    <xdr:colOff>0</xdr:colOff>
                    <xdr:row>2</xdr:row>
                    <xdr:rowOff>160020</xdr:rowOff>
                  </to>
                </anchor>
              </objectPr>
            </oleObject>
          </mc:Choice>
        </mc:AlternateContent>
      </oleObjects>
    </mc:Choice>
  </mc:AlternateContent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 altText="Spinner control. Use spinner to change calendar year or type desired year in cell L2 ">
                <anchor moveWithCells="1">
                  <from>
                    <xdr:col>14</xdr:col>
                    <xdr:colOff>30480</xdr:colOff>
                    <xdr:row>1</xdr:row>
                    <xdr:rowOff>83820</xdr:rowOff>
                  </from>
                  <to>
                    <xdr:col>15</xdr:col>
                    <xdr:colOff>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topLeftCell="A9" zoomScaleNormal="100" zoomScalePageLayoutView="84" workbookViewId="0">
      <selection activeCell="I26" sqref="I26:J26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31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IF(DAY(OctSun1)=1,OctSun1-6,OctSun1+1)</f>
        <v>43003</v>
      </c>
      <c r="D4" s="10">
        <f>IF(DAY(OctSun1)=1,OctSun1-5,OctSun1+2)</f>
        <v>43004</v>
      </c>
      <c r="E4" s="10">
        <f>IF(DAY(OctSun1)=1,OctSun1-4,OctSun1+3)</f>
        <v>43005</v>
      </c>
      <c r="F4" s="10">
        <f>IF(DAY(OctSun1)=1,OctSun1-3,OctSun1+4)</f>
        <v>43006</v>
      </c>
      <c r="G4" s="10">
        <f>IF(DAY(OctSun1)=1,OctSun1-2,OctSun1+5)</f>
        <v>43007</v>
      </c>
      <c r="H4" s="10">
        <f>IF(DAY(OctSun1)=1,OctSun1-1,OctSun1+6)</f>
        <v>43008</v>
      </c>
      <c r="I4" s="10">
        <f>IF(DAY(OctSun1)=1,OctSun1,OctSun1+7)</f>
        <v>43009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IF(DAY(OctSun1)=1,OctSun1+1,OctSun1+8)</f>
        <v>43010</v>
      </c>
      <c r="D5" s="10">
        <f>IF(DAY(OctSun1)=1,OctSun1+2,OctSun1+9)</f>
        <v>43011</v>
      </c>
      <c r="E5" s="10">
        <f>IF(DAY(OctSun1)=1,OctSun1+3,OctSun1+10)</f>
        <v>43012</v>
      </c>
      <c r="F5" s="10">
        <f>IF(DAY(OctSun1)=1,OctSun1+4,OctSun1+11)</f>
        <v>43013</v>
      </c>
      <c r="G5" s="10">
        <f>IF(DAY(OctSun1)=1,OctSun1+5,OctSun1+12)</f>
        <v>43014</v>
      </c>
      <c r="H5" s="10">
        <f>IF(DAY(OctSun1)=1,OctSun1+6,OctSun1+13)</f>
        <v>43015</v>
      </c>
      <c r="I5" s="10">
        <f>IF(DAY(OctSun1)=1,OctSun1+7,OctSun1+14)</f>
        <v>43016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IF(DAY(OctSun1)=1,OctSun1+8,OctSun1+15)</f>
        <v>43017</v>
      </c>
      <c r="D6" s="10">
        <f>IF(DAY(OctSun1)=1,OctSun1+9,OctSun1+16)</f>
        <v>43018</v>
      </c>
      <c r="E6" s="10">
        <f>IF(DAY(OctSun1)=1,OctSun1+10,OctSun1+17)</f>
        <v>43019</v>
      </c>
      <c r="F6" s="10">
        <f>IF(DAY(OctSun1)=1,OctSun1+11,OctSun1+18)</f>
        <v>43020</v>
      </c>
      <c r="G6" s="10">
        <f>IF(DAY(OctSun1)=1,OctSun1+12,OctSun1+19)</f>
        <v>43021</v>
      </c>
      <c r="H6" s="10">
        <f>IF(DAY(OctSun1)=1,OctSun1+13,OctSun1+20)</f>
        <v>43022</v>
      </c>
      <c r="I6" s="10">
        <f>IF(DAY(OctSun1)=1,OctSun1+14,OctSun1+21)</f>
        <v>43023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IF(DAY(OctSun1)=1,OctSun1+15,OctSun1+22)</f>
        <v>43024</v>
      </c>
      <c r="D7" s="10">
        <f>IF(DAY(OctSun1)=1,OctSun1+16,OctSun1+23)</f>
        <v>43025</v>
      </c>
      <c r="E7" s="10">
        <f>IF(DAY(OctSun1)=1,OctSun1+17,OctSun1+24)</f>
        <v>43026</v>
      </c>
      <c r="F7" s="10">
        <f>IF(DAY(OctSun1)=1,OctSun1+18,OctSun1+25)</f>
        <v>43027</v>
      </c>
      <c r="G7" s="10">
        <f>IF(DAY(OctSun1)=1,OctSun1+19,OctSun1+26)</f>
        <v>43028</v>
      </c>
      <c r="H7" s="10">
        <f>IF(DAY(OctSun1)=1,OctSun1+20,OctSun1+27)</f>
        <v>43029</v>
      </c>
      <c r="I7" s="10">
        <f>IF(DAY(OctSun1)=1,OctSun1+21,OctSun1+28)</f>
        <v>43030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IF(DAY(OctSun1)=1,OctSun1+22,OctSun1+29)</f>
        <v>43031</v>
      </c>
      <c r="D8" s="10">
        <f>IF(DAY(OctSun1)=1,OctSun1+23,OctSun1+30)</f>
        <v>43032</v>
      </c>
      <c r="E8" s="10">
        <f>IF(DAY(OctSun1)=1,OctSun1+24,OctSun1+31)</f>
        <v>43033</v>
      </c>
      <c r="F8" s="10">
        <f>IF(DAY(OctSun1)=1,OctSun1+25,OctSun1+32)</f>
        <v>43034</v>
      </c>
      <c r="G8" s="10">
        <f>IF(DAY(OctSun1)=1,OctSun1+26,OctSun1+33)</f>
        <v>43035</v>
      </c>
      <c r="H8" s="10">
        <f>IF(DAY(OctSun1)=1,OctSun1+27,OctSun1+34)</f>
        <v>43036</v>
      </c>
      <c r="I8" s="10">
        <f>IF(DAY(OctSun1)=1,OctSun1+28,OctSun1+35)</f>
        <v>43037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IF(DAY(OctSun1)=1,OctSun1+29,OctSun1+36)</f>
        <v>43038</v>
      </c>
      <c r="D9" s="10">
        <f>IF(DAY(OctSun1)=1,OctSun1+30,OctSun1+37)</f>
        <v>43039</v>
      </c>
      <c r="E9" s="10">
        <f>IF(DAY(OctSun1)=1,OctSun1+31,OctSun1+38)</f>
        <v>43040</v>
      </c>
      <c r="F9" s="10">
        <f>IF(DAY(OctSun1)=1,OctSun1+32,OctSun1+39)</f>
        <v>43041</v>
      </c>
      <c r="G9" s="10">
        <f>IF(DAY(OctSun1)=1,OctSun1+33,OctSun1+40)</f>
        <v>43042</v>
      </c>
      <c r="H9" s="10">
        <f>IF(DAY(OctSun1)=1,OctSun1+34,OctSun1+41)</f>
        <v>43043</v>
      </c>
      <c r="I9" s="10">
        <f>IF(DAY(OctSun1)=1,OctSun1+35,OctSun1+42)</f>
        <v>43044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/>
      <c r="C14" s="51" t="s">
        <v>18</v>
      </c>
      <c r="D14" s="52"/>
      <c r="E14" s="51"/>
      <c r="F14" s="52"/>
      <c r="G14" s="51" t="s">
        <v>18</v>
      </c>
      <c r="H14" s="52"/>
      <c r="I14" s="51"/>
      <c r="J14" s="60"/>
      <c r="K14" s="11"/>
      <c r="L14" s="17"/>
      <c r="M14" s="29"/>
      <c r="N14" s="30"/>
    </row>
    <row r="15" spans="1:14" ht="18" customHeight="1" x14ac:dyDescent="0.25">
      <c r="B15" s="6"/>
      <c r="C15" s="49" t="s">
        <v>36</v>
      </c>
      <c r="D15" s="50"/>
      <c r="E15" s="49"/>
      <c r="F15" s="50"/>
      <c r="G15" s="49" t="s">
        <v>36</v>
      </c>
      <c r="H15" s="50"/>
      <c r="I15" s="57"/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37</v>
      </c>
      <c r="D17" s="50"/>
      <c r="E17" s="49"/>
      <c r="F17" s="50"/>
      <c r="G17" s="49" t="s">
        <v>37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/>
      <c r="C18" s="53" t="s">
        <v>38</v>
      </c>
      <c r="D18" s="54"/>
      <c r="E18" s="53"/>
      <c r="F18" s="54"/>
      <c r="G18" s="53" t="s">
        <v>38</v>
      </c>
      <c r="H18" s="54"/>
      <c r="I18" s="53"/>
      <c r="J18" s="59"/>
      <c r="K18" s="28"/>
      <c r="L18" s="17"/>
      <c r="M18" s="29"/>
      <c r="N18" s="30"/>
    </row>
    <row r="19" spans="2:14" ht="18" customHeight="1" x14ac:dyDescent="0.25">
      <c r="B19" s="6"/>
      <c r="C19" s="49" t="s">
        <v>39</v>
      </c>
      <c r="D19" s="50"/>
      <c r="E19" s="49"/>
      <c r="F19" s="50"/>
      <c r="G19" s="49" t="s">
        <v>39</v>
      </c>
      <c r="H19" s="50"/>
      <c r="I19" s="57"/>
      <c r="J19" s="58"/>
      <c r="K19" s="11"/>
      <c r="L19" s="17"/>
      <c r="M19" s="29"/>
      <c r="N19" s="30"/>
    </row>
    <row r="20" spans="2:14" ht="18" customHeight="1" x14ac:dyDescent="0.25">
      <c r="B20" s="8"/>
      <c r="C20" s="51" t="s">
        <v>40</v>
      </c>
      <c r="D20" s="52"/>
      <c r="E20" s="51"/>
      <c r="F20" s="52"/>
      <c r="G20" s="51" t="s">
        <v>40</v>
      </c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 t="s">
        <v>41</v>
      </c>
      <c r="D21" s="50"/>
      <c r="E21" s="49"/>
      <c r="F21" s="50"/>
      <c r="G21" s="49" t="s">
        <v>41</v>
      </c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/>
      <c r="C26" s="51"/>
      <c r="D26" s="52"/>
      <c r="E26" s="51"/>
      <c r="F26" s="52"/>
      <c r="G26" s="51"/>
      <c r="H26" s="52"/>
      <c r="I26" s="51"/>
      <c r="J26" s="60"/>
      <c r="K26" s="11"/>
      <c r="L26" s="17"/>
      <c r="M26" s="29"/>
      <c r="N26" s="30"/>
    </row>
    <row r="27" spans="2:14" ht="18" customHeight="1" x14ac:dyDescent="0.25">
      <c r="B27" s="6"/>
      <c r="C27" s="49"/>
      <c r="D27" s="50"/>
      <c r="E27" s="49"/>
      <c r="F27" s="50"/>
      <c r="G27" s="49"/>
      <c r="H27" s="50"/>
      <c r="I27" s="57"/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42</v>
      </c>
      <c r="D30" s="52"/>
      <c r="E30" s="51"/>
      <c r="F30" s="52"/>
      <c r="G30" s="51" t="s">
        <v>42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43</v>
      </c>
      <c r="D31" s="50"/>
      <c r="E31" s="49"/>
      <c r="F31" s="50"/>
      <c r="G31" s="49" t="s">
        <v>43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 t="s">
        <v>44</v>
      </c>
      <c r="C32" s="51" t="s">
        <v>44</v>
      </c>
      <c r="D32" s="52"/>
      <c r="E32" s="51"/>
      <c r="F32" s="52"/>
      <c r="G32" s="51" t="s">
        <v>44</v>
      </c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 t="s">
        <v>46</v>
      </c>
      <c r="C33" s="55" t="s">
        <v>45</v>
      </c>
      <c r="D33" s="56"/>
      <c r="E33" s="55"/>
      <c r="F33" s="56"/>
      <c r="G33" s="55" t="s">
        <v>45</v>
      </c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20" priority="6" stopIfTrue="1">
      <formula>DAY(C4)&gt;8</formula>
    </cfRule>
  </conditionalFormatting>
  <conditionalFormatting sqref="C8:I10">
    <cfRule type="expression" dxfId="19" priority="5" stopIfTrue="1">
      <formula>AND(DAY(C8)&gt;=1,DAY(C8)&lt;=15)</formula>
    </cfRule>
  </conditionalFormatting>
  <conditionalFormatting sqref="C4:I9">
    <cfRule type="expression" dxfId="18" priority="7">
      <formula>VLOOKUP(DAY(C4),AssignmentDays,1,FALSE)=DAY(C4)</formula>
    </cfRule>
  </conditionalFormatting>
  <conditionalFormatting sqref="I14:J33">
    <cfRule type="expression" dxfId="17" priority="4">
      <formula>I14&lt;&gt;""</formula>
    </cfRule>
  </conditionalFormatting>
  <conditionalFormatting sqref="B14:B33 E14:F33">
    <cfRule type="expression" dxfId="16" priority="3">
      <formula>B14&lt;&gt;""</formula>
    </cfRule>
  </conditionalFormatting>
  <conditionalFormatting sqref="C14:D33">
    <cfRule type="expression" dxfId="15" priority="2">
      <formula>C14&lt;&gt;""</formula>
    </cfRule>
  </conditionalFormatting>
  <conditionalFormatting sqref="G14:H33">
    <cfRule type="expression" dxfId="14" priority="1">
      <formula>G14&lt;&gt;""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topLeftCell="A22" zoomScaleNormal="100" zoomScalePageLayoutView="84" workbookViewId="0">
      <selection activeCell="I30" sqref="I30:J30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32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IF(DAY(NovSun1)=1,NovSun1-6,NovSun1+1)</f>
        <v>43038</v>
      </c>
      <c r="D4" s="10">
        <f>IF(DAY(NovSun1)=1,NovSun1-5,NovSun1+2)</f>
        <v>43039</v>
      </c>
      <c r="E4" s="10">
        <f>IF(DAY(NovSun1)=1,NovSun1-4,NovSun1+3)</f>
        <v>43040</v>
      </c>
      <c r="F4" s="10">
        <f>IF(DAY(NovSun1)=1,NovSun1-3,NovSun1+4)</f>
        <v>43041</v>
      </c>
      <c r="G4" s="10">
        <f>IF(DAY(NovSun1)=1,NovSun1-2,NovSun1+5)</f>
        <v>43042</v>
      </c>
      <c r="H4" s="10">
        <f>IF(DAY(NovSun1)=1,NovSun1-1,NovSun1+6)</f>
        <v>43043</v>
      </c>
      <c r="I4" s="10">
        <f>IF(DAY(NovSun1)=1,NovSun1,NovSun1+7)</f>
        <v>43044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IF(DAY(NovSun1)=1,NovSun1+1,NovSun1+8)</f>
        <v>43045</v>
      </c>
      <c r="D5" s="10">
        <f>IF(DAY(NovSun1)=1,NovSun1+2,NovSun1+9)</f>
        <v>43046</v>
      </c>
      <c r="E5" s="10">
        <f>IF(DAY(NovSun1)=1,NovSun1+3,NovSun1+10)</f>
        <v>43047</v>
      </c>
      <c r="F5" s="10">
        <f>IF(DAY(NovSun1)=1,NovSun1+4,NovSun1+11)</f>
        <v>43048</v>
      </c>
      <c r="G5" s="10">
        <f>IF(DAY(NovSun1)=1,NovSun1+5,NovSun1+12)</f>
        <v>43049</v>
      </c>
      <c r="H5" s="10">
        <f>IF(DAY(NovSun1)=1,NovSun1+6,NovSun1+13)</f>
        <v>43050</v>
      </c>
      <c r="I5" s="10">
        <f>IF(DAY(NovSun1)=1,NovSun1+7,NovSun1+14)</f>
        <v>43051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IF(DAY(NovSun1)=1,NovSun1+8,NovSun1+15)</f>
        <v>43052</v>
      </c>
      <c r="D6" s="10">
        <f>IF(DAY(NovSun1)=1,NovSun1+9,NovSun1+16)</f>
        <v>43053</v>
      </c>
      <c r="E6" s="10">
        <f>IF(DAY(NovSun1)=1,NovSun1+10,NovSun1+17)</f>
        <v>43054</v>
      </c>
      <c r="F6" s="10">
        <f>IF(DAY(NovSun1)=1,NovSun1+11,NovSun1+18)</f>
        <v>43055</v>
      </c>
      <c r="G6" s="10">
        <f>IF(DAY(NovSun1)=1,NovSun1+12,NovSun1+19)</f>
        <v>43056</v>
      </c>
      <c r="H6" s="10">
        <f>IF(DAY(NovSun1)=1,NovSun1+13,NovSun1+20)</f>
        <v>43057</v>
      </c>
      <c r="I6" s="10">
        <f>IF(DAY(NovSun1)=1,NovSun1+14,NovSun1+21)</f>
        <v>43058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IF(DAY(NovSun1)=1,NovSun1+15,NovSun1+22)</f>
        <v>43059</v>
      </c>
      <c r="D7" s="10">
        <f>IF(DAY(NovSun1)=1,NovSun1+16,NovSun1+23)</f>
        <v>43060</v>
      </c>
      <c r="E7" s="10">
        <f>IF(DAY(NovSun1)=1,NovSun1+17,NovSun1+24)</f>
        <v>43061</v>
      </c>
      <c r="F7" s="10">
        <f>IF(DAY(NovSun1)=1,NovSun1+18,NovSun1+25)</f>
        <v>43062</v>
      </c>
      <c r="G7" s="10">
        <f>IF(DAY(NovSun1)=1,NovSun1+19,NovSun1+26)</f>
        <v>43063</v>
      </c>
      <c r="H7" s="10">
        <f>IF(DAY(NovSun1)=1,NovSun1+20,NovSun1+27)</f>
        <v>43064</v>
      </c>
      <c r="I7" s="10">
        <f>IF(DAY(NovSun1)=1,NovSun1+21,NovSun1+28)</f>
        <v>43065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IF(DAY(NovSun1)=1,NovSun1+22,NovSun1+29)</f>
        <v>43066</v>
      </c>
      <c r="D8" s="10">
        <f>IF(DAY(NovSun1)=1,NovSun1+23,NovSun1+30)</f>
        <v>43067</v>
      </c>
      <c r="E8" s="10">
        <f>IF(DAY(NovSun1)=1,NovSun1+24,NovSun1+31)</f>
        <v>43068</v>
      </c>
      <c r="F8" s="10">
        <f>IF(DAY(NovSun1)=1,NovSun1+25,NovSun1+32)</f>
        <v>43069</v>
      </c>
      <c r="G8" s="10">
        <f>IF(DAY(NovSun1)=1,NovSun1+26,NovSun1+33)</f>
        <v>43070</v>
      </c>
      <c r="H8" s="10">
        <f>IF(DAY(NovSun1)=1,NovSun1+27,NovSun1+34)</f>
        <v>43071</v>
      </c>
      <c r="I8" s="10">
        <f>IF(DAY(NovSun1)=1,NovSun1+28,NovSun1+35)</f>
        <v>43072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IF(DAY(NovSun1)=1,NovSun1+29,NovSun1+36)</f>
        <v>43073</v>
      </c>
      <c r="D9" s="10">
        <f>IF(DAY(NovSun1)=1,NovSun1+30,NovSun1+37)</f>
        <v>43074</v>
      </c>
      <c r="E9" s="10">
        <f>IF(DAY(NovSun1)=1,NovSun1+31,NovSun1+38)</f>
        <v>43075</v>
      </c>
      <c r="F9" s="10">
        <f>IF(DAY(NovSun1)=1,NovSun1+32,NovSun1+39)</f>
        <v>43076</v>
      </c>
      <c r="G9" s="10">
        <f>IF(DAY(NovSun1)=1,NovSun1+33,NovSun1+40)</f>
        <v>43077</v>
      </c>
      <c r="H9" s="10">
        <f>IF(DAY(NovSun1)=1,NovSun1+34,NovSun1+41)</f>
        <v>43078</v>
      </c>
      <c r="I9" s="10">
        <f>IF(DAY(NovSun1)=1,NovSun1+35,NovSun1+42)</f>
        <v>43079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/>
      <c r="C14" s="51" t="s">
        <v>18</v>
      </c>
      <c r="D14" s="52"/>
      <c r="E14" s="51"/>
      <c r="F14" s="52"/>
      <c r="G14" s="51" t="s">
        <v>18</v>
      </c>
      <c r="H14" s="52"/>
      <c r="I14" s="51"/>
      <c r="J14" s="60"/>
      <c r="K14" s="11"/>
      <c r="L14" s="17"/>
      <c r="M14" s="29"/>
      <c r="N14" s="30"/>
    </row>
    <row r="15" spans="1:14" ht="18" customHeight="1" x14ac:dyDescent="0.25">
      <c r="B15" s="6"/>
      <c r="C15" s="49" t="s">
        <v>36</v>
      </c>
      <c r="D15" s="50"/>
      <c r="E15" s="49"/>
      <c r="F15" s="50"/>
      <c r="G15" s="49" t="s">
        <v>36</v>
      </c>
      <c r="H15" s="50"/>
      <c r="I15" s="57"/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37</v>
      </c>
      <c r="D17" s="50"/>
      <c r="E17" s="49"/>
      <c r="F17" s="50"/>
      <c r="G17" s="49" t="s">
        <v>37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/>
      <c r="C18" s="53" t="s">
        <v>38</v>
      </c>
      <c r="D18" s="54"/>
      <c r="E18" s="53"/>
      <c r="F18" s="54"/>
      <c r="G18" s="53" t="s">
        <v>38</v>
      </c>
      <c r="H18" s="54"/>
      <c r="I18" s="53"/>
      <c r="J18" s="59"/>
      <c r="K18" s="28"/>
      <c r="L18" s="17"/>
      <c r="M18" s="29"/>
      <c r="N18" s="30"/>
    </row>
    <row r="19" spans="2:14" ht="18" customHeight="1" x14ac:dyDescent="0.25">
      <c r="B19" s="6"/>
      <c r="C19" s="49" t="s">
        <v>39</v>
      </c>
      <c r="D19" s="50"/>
      <c r="E19" s="49"/>
      <c r="F19" s="50"/>
      <c r="G19" s="49" t="s">
        <v>39</v>
      </c>
      <c r="H19" s="50"/>
      <c r="I19" s="57"/>
      <c r="J19" s="58"/>
      <c r="K19" s="11"/>
      <c r="L19" s="17"/>
      <c r="M19" s="29"/>
      <c r="N19" s="30"/>
    </row>
    <row r="20" spans="2:14" ht="18" customHeight="1" x14ac:dyDescent="0.25">
      <c r="B20" s="8"/>
      <c r="C20" s="51" t="s">
        <v>40</v>
      </c>
      <c r="D20" s="52"/>
      <c r="E20" s="51"/>
      <c r="F20" s="52"/>
      <c r="G20" s="51" t="s">
        <v>40</v>
      </c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 t="s">
        <v>41</v>
      </c>
      <c r="D21" s="50"/>
      <c r="E21" s="49"/>
      <c r="F21" s="50"/>
      <c r="G21" s="49" t="s">
        <v>41</v>
      </c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/>
      <c r="C26" s="51"/>
      <c r="D26" s="52"/>
      <c r="E26" s="51"/>
      <c r="F26" s="52"/>
      <c r="G26" s="51"/>
      <c r="H26" s="52"/>
      <c r="I26" s="51"/>
      <c r="J26" s="60"/>
      <c r="K26" s="11"/>
      <c r="L26" s="17"/>
      <c r="M26" s="29"/>
      <c r="N26" s="30"/>
    </row>
    <row r="27" spans="2:14" ht="18" customHeight="1" x14ac:dyDescent="0.25">
      <c r="B27" s="6"/>
      <c r="C27" s="49"/>
      <c r="D27" s="50"/>
      <c r="E27" s="49"/>
      <c r="F27" s="50"/>
      <c r="G27" s="49"/>
      <c r="H27" s="50"/>
      <c r="I27" s="57"/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42</v>
      </c>
      <c r="D30" s="52"/>
      <c r="E30" s="51"/>
      <c r="F30" s="52"/>
      <c r="G30" s="51" t="s">
        <v>42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43</v>
      </c>
      <c r="D31" s="50"/>
      <c r="E31" s="49"/>
      <c r="F31" s="50"/>
      <c r="G31" s="49" t="s">
        <v>43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 t="s">
        <v>44</v>
      </c>
      <c r="C32" s="51" t="s">
        <v>44</v>
      </c>
      <c r="D32" s="52"/>
      <c r="E32" s="51"/>
      <c r="F32" s="52"/>
      <c r="G32" s="51" t="s">
        <v>44</v>
      </c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 t="s">
        <v>46</v>
      </c>
      <c r="C33" s="55" t="s">
        <v>45</v>
      </c>
      <c r="D33" s="56"/>
      <c r="E33" s="55"/>
      <c r="F33" s="56"/>
      <c r="G33" s="55" t="s">
        <v>45</v>
      </c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13" priority="6" stopIfTrue="1">
      <formula>DAY(C4)&gt;8</formula>
    </cfRule>
  </conditionalFormatting>
  <conditionalFormatting sqref="C8:I10">
    <cfRule type="expression" dxfId="12" priority="5" stopIfTrue="1">
      <formula>AND(DAY(C8)&gt;=1,DAY(C8)&lt;=15)</formula>
    </cfRule>
  </conditionalFormatting>
  <conditionalFormatting sqref="C4:I9">
    <cfRule type="expression" dxfId="11" priority="7">
      <formula>VLOOKUP(DAY(C4),AssignmentDays,1,FALSE)=DAY(C4)</formula>
    </cfRule>
  </conditionalFormatting>
  <conditionalFormatting sqref="I14:J33">
    <cfRule type="expression" dxfId="10" priority="4">
      <formula>I14&lt;&gt;""</formula>
    </cfRule>
  </conditionalFormatting>
  <conditionalFormatting sqref="B14:B33 E14:F33">
    <cfRule type="expression" dxfId="9" priority="3">
      <formula>B14&lt;&gt;""</formula>
    </cfRule>
  </conditionalFormatting>
  <conditionalFormatting sqref="C14:D33">
    <cfRule type="expression" dxfId="8" priority="2">
      <formula>C14&lt;&gt;""</formula>
    </cfRule>
  </conditionalFormatting>
  <conditionalFormatting sqref="G14:H33">
    <cfRule type="expression" dxfId="7" priority="1">
      <formula>G14&lt;&gt;""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topLeftCell="A11" zoomScaleNormal="100" zoomScalePageLayoutView="84" workbookViewId="0">
      <selection activeCell="J36" sqref="J36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33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IF(DAY(DecSun1)=1,DecSun1-6,DecSun1+1)</f>
        <v>43066</v>
      </c>
      <c r="D4" s="10">
        <f>IF(DAY(DecSun1)=1,DecSun1-5,DecSun1+2)</f>
        <v>43067</v>
      </c>
      <c r="E4" s="10">
        <f>IF(DAY(DecSun1)=1,DecSun1-4,DecSun1+3)</f>
        <v>43068</v>
      </c>
      <c r="F4" s="10">
        <f>IF(DAY(DecSun1)=1,DecSun1-3,DecSun1+4)</f>
        <v>43069</v>
      </c>
      <c r="G4" s="10">
        <f>IF(DAY(DecSun1)=1,DecSun1-2,DecSun1+5)</f>
        <v>43070</v>
      </c>
      <c r="H4" s="10">
        <f>IF(DAY(DecSun1)=1,DecSun1-1,DecSun1+6)</f>
        <v>43071</v>
      </c>
      <c r="I4" s="10">
        <f>IF(DAY(DecSun1)=1,DecSun1,DecSun1+7)</f>
        <v>43072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IF(DAY(DecSun1)=1,DecSun1+1,DecSun1+8)</f>
        <v>43073</v>
      </c>
      <c r="D5" s="10">
        <f>IF(DAY(DecSun1)=1,DecSun1+2,DecSun1+9)</f>
        <v>43074</v>
      </c>
      <c r="E5" s="10">
        <f>IF(DAY(DecSun1)=1,DecSun1+3,DecSun1+10)</f>
        <v>43075</v>
      </c>
      <c r="F5" s="10">
        <f>IF(DAY(DecSun1)=1,DecSun1+4,DecSun1+11)</f>
        <v>43076</v>
      </c>
      <c r="G5" s="10">
        <f>IF(DAY(DecSun1)=1,DecSun1+5,DecSun1+12)</f>
        <v>43077</v>
      </c>
      <c r="H5" s="10">
        <f>IF(DAY(DecSun1)=1,DecSun1+6,DecSun1+13)</f>
        <v>43078</v>
      </c>
      <c r="I5" s="10">
        <f>IF(DAY(DecSun1)=1,DecSun1+7,DecSun1+14)</f>
        <v>43079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IF(DAY(DecSun1)=1,DecSun1+8,DecSun1+15)</f>
        <v>43080</v>
      </c>
      <c r="D6" s="10">
        <f>IF(DAY(DecSun1)=1,DecSun1+9,DecSun1+16)</f>
        <v>43081</v>
      </c>
      <c r="E6" s="10">
        <f>IF(DAY(DecSun1)=1,DecSun1+10,DecSun1+17)</f>
        <v>43082</v>
      </c>
      <c r="F6" s="10">
        <f>IF(DAY(DecSun1)=1,DecSun1+11,DecSun1+18)</f>
        <v>43083</v>
      </c>
      <c r="G6" s="10">
        <f>IF(DAY(DecSun1)=1,DecSun1+12,DecSun1+19)</f>
        <v>43084</v>
      </c>
      <c r="H6" s="10">
        <f>IF(DAY(DecSun1)=1,DecSun1+13,DecSun1+20)</f>
        <v>43085</v>
      </c>
      <c r="I6" s="10">
        <f>IF(DAY(DecSun1)=1,DecSun1+14,DecSun1+21)</f>
        <v>43086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IF(DAY(DecSun1)=1,DecSun1+15,DecSun1+22)</f>
        <v>43087</v>
      </c>
      <c r="D7" s="10">
        <f>IF(DAY(DecSun1)=1,DecSun1+16,DecSun1+23)</f>
        <v>43088</v>
      </c>
      <c r="E7" s="10">
        <f>IF(DAY(DecSun1)=1,DecSun1+17,DecSun1+24)</f>
        <v>43089</v>
      </c>
      <c r="F7" s="10">
        <f>IF(DAY(DecSun1)=1,DecSun1+18,DecSun1+25)</f>
        <v>43090</v>
      </c>
      <c r="G7" s="10">
        <f>IF(DAY(DecSun1)=1,DecSun1+19,DecSun1+26)</f>
        <v>43091</v>
      </c>
      <c r="H7" s="10">
        <f>IF(DAY(DecSun1)=1,DecSun1+20,DecSun1+27)</f>
        <v>43092</v>
      </c>
      <c r="I7" s="10">
        <f>IF(DAY(DecSun1)=1,DecSun1+21,DecSun1+28)</f>
        <v>43093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IF(DAY(DecSun1)=1,DecSun1+22,DecSun1+29)</f>
        <v>43094</v>
      </c>
      <c r="D8" s="10">
        <f>IF(DAY(DecSun1)=1,DecSun1+23,DecSun1+30)</f>
        <v>43095</v>
      </c>
      <c r="E8" s="10">
        <f>IF(DAY(DecSun1)=1,DecSun1+24,DecSun1+31)</f>
        <v>43096</v>
      </c>
      <c r="F8" s="10">
        <f>IF(DAY(DecSun1)=1,DecSun1+25,DecSun1+32)</f>
        <v>43097</v>
      </c>
      <c r="G8" s="10">
        <f>IF(DAY(DecSun1)=1,DecSun1+26,DecSun1+33)</f>
        <v>43098</v>
      </c>
      <c r="H8" s="10">
        <f>IF(DAY(DecSun1)=1,DecSun1+27,DecSun1+34)</f>
        <v>43099</v>
      </c>
      <c r="I8" s="10">
        <f>IF(DAY(DecSun1)=1,DecSun1+28,DecSun1+35)</f>
        <v>43100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IF(DAY(DecSun1)=1,DecSun1+29,DecSun1+36)</f>
        <v>43101</v>
      </c>
      <c r="D9" s="10">
        <f>IF(DAY(DecSun1)=1,DecSun1+30,DecSun1+37)</f>
        <v>43102</v>
      </c>
      <c r="E9" s="10">
        <f>IF(DAY(DecSun1)=1,DecSun1+31,DecSun1+38)</f>
        <v>43103</v>
      </c>
      <c r="F9" s="10">
        <f>IF(DAY(DecSun1)=1,DecSun1+32,DecSun1+39)</f>
        <v>43104</v>
      </c>
      <c r="G9" s="10">
        <f>IF(DAY(DecSun1)=1,DecSun1+33,DecSun1+40)</f>
        <v>43105</v>
      </c>
      <c r="H9" s="10">
        <f>IF(DAY(DecSun1)=1,DecSun1+34,DecSun1+41)</f>
        <v>43106</v>
      </c>
      <c r="I9" s="10">
        <f>IF(DAY(DecSun1)=1,DecSun1+35,DecSun1+42)</f>
        <v>43107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/>
      <c r="C14" s="51" t="s">
        <v>18</v>
      </c>
      <c r="D14" s="52"/>
      <c r="E14" s="51"/>
      <c r="F14" s="52"/>
      <c r="G14" s="51" t="s">
        <v>18</v>
      </c>
      <c r="H14" s="52"/>
      <c r="I14" s="51"/>
      <c r="J14" s="60"/>
      <c r="K14" s="11"/>
      <c r="L14" s="17"/>
      <c r="M14" s="29"/>
      <c r="N14" s="30"/>
    </row>
    <row r="15" spans="1:14" ht="18" customHeight="1" x14ac:dyDescent="0.25">
      <c r="B15" s="6"/>
      <c r="C15" s="49" t="s">
        <v>36</v>
      </c>
      <c r="D15" s="50"/>
      <c r="E15" s="49"/>
      <c r="F15" s="50"/>
      <c r="G15" s="49" t="s">
        <v>36</v>
      </c>
      <c r="H15" s="50"/>
      <c r="I15" s="57"/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37</v>
      </c>
      <c r="D17" s="50"/>
      <c r="E17" s="49"/>
      <c r="F17" s="50"/>
      <c r="G17" s="49" t="s">
        <v>37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/>
      <c r="C18" s="53" t="s">
        <v>38</v>
      </c>
      <c r="D18" s="54"/>
      <c r="E18" s="53"/>
      <c r="F18" s="54"/>
      <c r="G18" s="53" t="s">
        <v>38</v>
      </c>
      <c r="H18" s="54"/>
      <c r="I18" s="53"/>
      <c r="J18" s="59"/>
      <c r="K18" s="28"/>
      <c r="L18" s="17"/>
      <c r="M18" s="29"/>
      <c r="N18" s="30"/>
    </row>
    <row r="19" spans="2:14" ht="18" customHeight="1" x14ac:dyDescent="0.25">
      <c r="B19" s="6"/>
      <c r="C19" s="49" t="s">
        <v>39</v>
      </c>
      <c r="D19" s="50"/>
      <c r="E19" s="49"/>
      <c r="F19" s="50"/>
      <c r="G19" s="49" t="s">
        <v>39</v>
      </c>
      <c r="H19" s="50"/>
      <c r="I19" s="57"/>
      <c r="J19" s="58"/>
      <c r="K19" s="11"/>
      <c r="L19" s="17"/>
      <c r="M19" s="29"/>
      <c r="N19" s="30"/>
    </row>
    <row r="20" spans="2:14" ht="18" customHeight="1" x14ac:dyDescent="0.25">
      <c r="B20" s="8"/>
      <c r="C20" s="51" t="s">
        <v>40</v>
      </c>
      <c r="D20" s="52"/>
      <c r="E20" s="51"/>
      <c r="F20" s="52"/>
      <c r="G20" s="51" t="s">
        <v>40</v>
      </c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 t="s">
        <v>41</v>
      </c>
      <c r="D21" s="50"/>
      <c r="E21" s="49"/>
      <c r="F21" s="50"/>
      <c r="G21" s="49" t="s">
        <v>41</v>
      </c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/>
      <c r="C26" s="51"/>
      <c r="D26" s="52"/>
      <c r="E26" s="51"/>
      <c r="F26" s="52"/>
      <c r="G26" s="51"/>
      <c r="H26" s="52"/>
      <c r="I26" s="51"/>
      <c r="J26" s="60"/>
      <c r="K26" s="11"/>
      <c r="L26" s="17"/>
      <c r="M26" s="29"/>
      <c r="N26" s="30"/>
    </row>
    <row r="27" spans="2:14" ht="18" customHeight="1" x14ac:dyDescent="0.25">
      <c r="B27" s="6"/>
      <c r="C27" s="49"/>
      <c r="D27" s="50"/>
      <c r="E27" s="49"/>
      <c r="F27" s="50"/>
      <c r="G27" s="49"/>
      <c r="H27" s="50"/>
      <c r="I27" s="57"/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42</v>
      </c>
      <c r="D30" s="52"/>
      <c r="E30" s="51"/>
      <c r="F30" s="52"/>
      <c r="G30" s="51" t="s">
        <v>42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43</v>
      </c>
      <c r="D31" s="50"/>
      <c r="E31" s="49"/>
      <c r="F31" s="50"/>
      <c r="G31" s="49" t="s">
        <v>43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 t="s">
        <v>44</v>
      </c>
      <c r="C32" s="51" t="s">
        <v>44</v>
      </c>
      <c r="D32" s="52"/>
      <c r="E32" s="51"/>
      <c r="F32" s="52"/>
      <c r="G32" s="51" t="s">
        <v>44</v>
      </c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 t="s">
        <v>46</v>
      </c>
      <c r="C33" s="55" t="s">
        <v>45</v>
      </c>
      <c r="D33" s="56"/>
      <c r="E33" s="55"/>
      <c r="F33" s="56"/>
      <c r="G33" s="55" t="s">
        <v>45</v>
      </c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6" priority="6" stopIfTrue="1">
      <formula>DAY(C4)&gt;8</formula>
    </cfRule>
  </conditionalFormatting>
  <conditionalFormatting sqref="C8:I10">
    <cfRule type="expression" dxfId="5" priority="5" stopIfTrue="1">
      <formula>AND(DAY(C8)&gt;=1,DAY(C8)&lt;=15)</formula>
    </cfRule>
  </conditionalFormatting>
  <conditionalFormatting sqref="C4:I9">
    <cfRule type="expression" dxfId="4" priority="7">
      <formula>VLOOKUP(DAY(C4),AssignmentDays,1,FALSE)=DAY(C4)</formula>
    </cfRule>
  </conditionalFormatting>
  <conditionalFormatting sqref="I14:J33">
    <cfRule type="expression" dxfId="3" priority="4">
      <formula>I14&lt;&gt;""</formula>
    </cfRule>
  </conditionalFormatting>
  <conditionalFormatting sqref="B14:B33 E14:F33">
    <cfRule type="expression" dxfId="2" priority="3">
      <formula>B14&lt;&gt;""</formula>
    </cfRule>
  </conditionalFormatting>
  <conditionalFormatting sqref="C14:D33">
    <cfRule type="expression" dxfId="1" priority="2">
      <formula>C14&lt;&gt;""</formula>
    </cfRule>
  </conditionalFormatting>
  <conditionalFormatting sqref="G14:H33">
    <cfRule type="expression" dxfId="0" priority="1">
      <formula>G14&lt;&gt;""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23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IF(DAY(FebSun1)=1,FebSun1-6,FebSun1+1)</f>
        <v>42765</v>
      </c>
      <c r="D4" s="10">
        <f>IF(DAY(FebSun1)=1,FebSun1-5,FebSun1+2)</f>
        <v>42766</v>
      </c>
      <c r="E4" s="10">
        <f>IF(DAY(FebSun1)=1,FebSun1-4,FebSun1+3)</f>
        <v>42767</v>
      </c>
      <c r="F4" s="10">
        <f>IF(DAY(FebSun1)=1,FebSun1-3,FebSun1+4)</f>
        <v>42768</v>
      </c>
      <c r="G4" s="10">
        <f>IF(DAY(FebSun1)=1,FebSun1-2,FebSun1+5)</f>
        <v>42769</v>
      </c>
      <c r="H4" s="10">
        <f>IF(DAY(FebSun1)=1,FebSun1-1,FebSun1+6)</f>
        <v>42770</v>
      </c>
      <c r="I4" s="10">
        <f>IF(DAY(FebSun1)=1,FebSun1,FebSun1+7)</f>
        <v>42771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IF(DAY(FebSun1)=1,FebSun1+1,FebSun1+8)</f>
        <v>42772</v>
      </c>
      <c r="D5" s="10">
        <f>IF(DAY(FebSun1)=1,FebSun1+2,FebSun1+9)</f>
        <v>42773</v>
      </c>
      <c r="E5" s="10">
        <f>IF(DAY(FebSun1)=1,FebSun1+3,FebSun1+10)</f>
        <v>42774</v>
      </c>
      <c r="F5" s="10">
        <f>IF(DAY(FebSun1)=1,FebSun1+4,FebSun1+11)</f>
        <v>42775</v>
      </c>
      <c r="G5" s="10">
        <f>IF(DAY(FebSun1)=1,FebSun1+5,FebSun1+12)</f>
        <v>42776</v>
      </c>
      <c r="H5" s="10">
        <f>IF(DAY(FebSun1)=1,FebSun1+6,FebSun1+13)</f>
        <v>42777</v>
      </c>
      <c r="I5" s="10">
        <f>IF(DAY(FebSun1)=1,FebSun1+7,FebSun1+14)</f>
        <v>42778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IF(DAY(FebSun1)=1,FebSun1+8,FebSun1+15)</f>
        <v>42779</v>
      </c>
      <c r="D6" s="10">
        <f>IF(DAY(FebSun1)=1,FebSun1+9,FebSun1+16)</f>
        <v>42780</v>
      </c>
      <c r="E6" s="10">
        <f>IF(DAY(FebSun1)=1,FebSun1+10,FebSun1+17)</f>
        <v>42781</v>
      </c>
      <c r="F6" s="10">
        <f>IF(DAY(FebSun1)=1,FebSun1+11,FebSun1+18)</f>
        <v>42782</v>
      </c>
      <c r="G6" s="10">
        <f>IF(DAY(FebSun1)=1,FebSun1+12,FebSun1+19)</f>
        <v>42783</v>
      </c>
      <c r="H6" s="10">
        <f>IF(DAY(FebSun1)=1,FebSun1+13,FebSun1+20)</f>
        <v>42784</v>
      </c>
      <c r="I6" s="10">
        <f>IF(DAY(FebSun1)=1,FebSun1+14,FebSun1+21)</f>
        <v>42785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IF(DAY(FebSun1)=1,FebSun1+15,FebSun1+22)</f>
        <v>42786</v>
      </c>
      <c r="D7" s="10">
        <f>IF(DAY(FebSun1)=1,FebSun1+16,FebSun1+23)</f>
        <v>42787</v>
      </c>
      <c r="E7" s="10">
        <f>IF(DAY(FebSun1)=1,FebSun1+17,FebSun1+24)</f>
        <v>42788</v>
      </c>
      <c r="F7" s="10">
        <f>IF(DAY(FebSun1)=1,FebSun1+18,FebSun1+25)</f>
        <v>42789</v>
      </c>
      <c r="G7" s="10">
        <f>IF(DAY(FebSun1)=1,FebSun1+19,FebSun1+26)</f>
        <v>42790</v>
      </c>
      <c r="H7" s="10">
        <f>IF(DAY(FebSun1)=1,FebSun1+20,FebSun1+27)</f>
        <v>42791</v>
      </c>
      <c r="I7" s="10">
        <f>IF(DAY(FebSun1)=1,FebSun1+21,FebSun1+28)</f>
        <v>42792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IF(DAY(FebSun1)=1,FebSun1+22,FebSun1+29)</f>
        <v>42793</v>
      </c>
      <c r="D8" s="10">
        <f>IF(DAY(FebSun1)=1,FebSun1+23,FebSun1+30)</f>
        <v>42794</v>
      </c>
      <c r="E8" s="10">
        <f>IF(DAY(FebSun1)=1,FebSun1+24,FebSun1+31)</f>
        <v>42795</v>
      </c>
      <c r="F8" s="10">
        <f>IF(DAY(FebSun1)=1,FebSun1+25,FebSun1+32)</f>
        <v>42796</v>
      </c>
      <c r="G8" s="10">
        <f>IF(DAY(FebSun1)=1,FebSun1+26,FebSun1+33)</f>
        <v>42797</v>
      </c>
      <c r="H8" s="10">
        <f>IF(DAY(FebSun1)=1,FebSun1+27,FebSun1+34)</f>
        <v>42798</v>
      </c>
      <c r="I8" s="10">
        <f>IF(DAY(FebSun1)=1,FebSun1+28,FebSun1+35)</f>
        <v>42799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IF(DAY(FebSun1)=1,FebSun1+29,FebSun1+36)</f>
        <v>42800</v>
      </c>
      <c r="D9" s="10">
        <f>IF(DAY(FebSun1)=1,FebSun1+30,FebSun1+37)</f>
        <v>42801</v>
      </c>
      <c r="E9" s="10">
        <f>IF(DAY(FebSun1)=1,FebSun1+31,FebSun1+38)</f>
        <v>42802</v>
      </c>
      <c r="F9" s="10">
        <f>IF(DAY(FebSun1)=1,FebSun1+32,FebSun1+39)</f>
        <v>42803</v>
      </c>
      <c r="G9" s="10">
        <f>IF(DAY(FebSun1)=1,FebSun1+33,FebSun1+40)</f>
        <v>42804</v>
      </c>
      <c r="H9" s="10">
        <f>IF(DAY(FebSun1)=1,FebSun1+34,FebSun1+41)</f>
        <v>42805</v>
      </c>
      <c r="I9" s="10">
        <f>IF(DAY(FebSun1)=1,FebSun1+35,FebSun1+42)</f>
        <v>42806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54" priority="3" stopIfTrue="1">
      <formula>DAY(C4)&gt;8</formula>
    </cfRule>
  </conditionalFormatting>
  <conditionalFormatting sqref="C8:I10">
    <cfRule type="expression" dxfId="53" priority="2" stopIfTrue="1">
      <formula>AND(DAY(C8)&gt;=1,DAY(C8)&lt;=15)</formula>
    </cfRule>
  </conditionalFormatting>
  <conditionalFormatting sqref="C4:I9">
    <cfRule type="expression" dxfId="52" priority="4">
      <formula>VLOOKUP(DAY(C4),AssignmentDays,1,FALSE)=DAY(C4)</formula>
    </cfRule>
  </conditionalFormatting>
  <conditionalFormatting sqref="B14:J33">
    <cfRule type="expression" dxfId="51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24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IF(DAY(MarSun1)=1,MarSun1-6,MarSun1+1)</f>
        <v>42793</v>
      </c>
      <c r="D4" s="10">
        <f>IF(DAY(MarSun1)=1,MarSun1-5,MarSun1+2)</f>
        <v>42794</v>
      </c>
      <c r="E4" s="10">
        <f>IF(DAY(MarSun1)=1,MarSun1-4,MarSun1+3)</f>
        <v>42795</v>
      </c>
      <c r="F4" s="10">
        <f>IF(DAY(MarSun1)=1,MarSun1-3,MarSun1+4)</f>
        <v>42796</v>
      </c>
      <c r="G4" s="10">
        <f>IF(DAY(MarSun1)=1,MarSun1-2,MarSun1+5)</f>
        <v>42797</v>
      </c>
      <c r="H4" s="10">
        <f>IF(DAY(MarSun1)=1,MarSun1-1,MarSun1+6)</f>
        <v>42798</v>
      </c>
      <c r="I4" s="10">
        <f>IF(DAY(MarSun1)=1,MarSun1,MarSun1+7)</f>
        <v>42799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IF(DAY(MarSun1)=1,MarSun1+1,MarSun1+8)</f>
        <v>42800</v>
      </c>
      <c r="D5" s="10">
        <f>IF(DAY(MarSun1)=1,MarSun1+2,MarSun1+9)</f>
        <v>42801</v>
      </c>
      <c r="E5" s="10">
        <f>IF(DAY(MarSun1)=1,MarSun1+3,MarSun1+10)</f>
        <v>42802</v>
      </c>
      <c r="F5" s="10">
        <f>IF(DAY(MarSun1)=1,MarSun1+4,MarSun1+11)</f>
        <v>42803</v>
      </c>
      <c r="G5" s="10">
        <f>IF(DAY(MarSun1)=1,MarSun1+5,MarSun1+12)</f>
        <v>42804</v>
      </c>
      <c r="H5" s="10">
        <f>IF(DAY(MarSun1)=1,MarSun1+6,MarSun1+13)</f>
        <v>42805</v>
      </c>
      <c r="I5" s="10">
        <f>IF(DAY(MarSun1)=1,MarSun1+7,MarSun1+14)</f>
        <v>42806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IF(DAY(MarSun1)=1,MarSun1+8,MarSun1+15)</f>
        <v>42807</v>
      </c>
      <c r="D6" s="10">
        <f>IF(DAY(MarSun1)=1,MarSun1+9,MarSun1+16)</f>
        <v>42808</v>
      </c>
      <c r="E6" s="10">
        <f>IF(DAY(MarSun1)=1,MarSun1+10,MarSun1+17)</f>
        <v>42809</v>
      </c>
      <c r="F6" s="10">
        <f>IF(DAY(MarSun1)=1,MarSun1+11,MarSun1+18)</f>
        <v>42810</v>
      </c>
      <c r="G6" s="10">
        <f>IF(DAY(MarSun1)=1,MarSun1+12,MarSun1+19)</f>
        <v>42811</v>
      </c>
      <c r="H6" s="10">
        <f>IF(DAY(MarSun1)=1,MarSun1+13,MarSun1+20)</f>
        <v>42812</v>
      </c>
      <c r="I6" s="10">
        <f>IF(DAY(MarSun1)=1,MarSun1+14,MarSun1+21)</f>
        <v>42813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IF(DAY(MarSun1)=1,MarSun1+15,MarSun1+22)</f>
        <v>42814</v>
      </c>
      <c r="D7" s="10">
        <f>IF(DAY(MarSun1)=1,MarSun1+16,MarSun1+23)</f>
        <v>42815</v>
      </c>
      <c r="E7" s="10">
        <f>IF(DAY(MarSun1)=1,MarSun1+17,MarSun1+24)</f>
        <v>42816</v>
      </c>
      <c r="F7" s="10">
        <f>IF(DAY(MarSun1)=1,MarSun1+18,MarSun1+25)</f>
        <v>42817</v>
      </c>
      <c r="G7" s="10">
        <f>IF(DAY(MarSun1)=1,MarSun1+19,MarSun1+26)</f>
        <v>42818</v>
      </c>
      <c r="H7" s="10">
        <f>IF(DAY(MarSun1)=1,MarSun1+20,MarSun1+27)</f>
        <v>42819</v>
      </c>
      <c r="I7" s="10">
        <f>IF(DAY(MarSun1)=1,MarSun1+21,MarSun1+28)</f>
        <v>42820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IF(DAY(MarSun1)=1,MarSun1+22,MarSun1+29)</f>
        <v>42821</v>
      </c>
      <c r="D8" s="10">
        <f>IF(DAY(MarSun1)=1,MarSun1+23,MarSun1+30)</f>
        <v>42822</v>
      </c>
      <c r="E8" s="10">
        <f>IF(DAY(MarSun1)=1,MarSun1+24,MarSun1+31)</f>
        <v>42823</v>
      </c>
      <c r="F8" s="10">
        <f>IF(DAY(MarSun1)=1,MarSun1+25,MarSun1+32)</f>
        <v>42824</v>
      </c>
      <c r="G8" s="10">
        <f>IF(DAY(MarSun1)=1,MarSun1+26,MarSun1+33)</f>
        <v>42825</v>
      </c>
      <c r="H8" s="10">
        <f>IF(DAY(MarSun1)=1,MarSun1+27,MarSun1+34)</f>
        <v>42826</v>
      </c>
      <c r="I8" s="10">
        <f>IF(DAY(MarSun1)=1,MarSun1+28,MarSun1+35)</f>
        <v>42827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IF(DAY(MarSun1)=1,MarSun1+29,MarSun1+36)</f>
        <v>42828</v>
      </c>
      <c r="D9" s="10">
        <f>IF(DAY(MarSun1)=1,MarSun1+30,MarSun1+37)</f>
        <v>42829</v>
      </c>
      <c r="E9" s="10">
        <f>IF(DAY(MarSun1)=1,MarSun1+31,MarSun1+38)</f>
        <v>42830</v>
      </c>
      <c r="F9" s="10">
        <f>IF(DAY(MarSun1)=1,MarSun1+32,MarSun1+39)</f>
        <v>42831</v>
      </c>
      <c r="G9" s="10">
        <f>IF(DAY(MarSun1)=1,MarSun1+33,MarSun1+40)</f>
        <v>42832</v>
      </c>
      <c r="H9" s="10">
        <f>IF(DAY(MarSun1)=1,MarSun1+34,MarSun1+41)</f>
        <v>42833</v>
      </c>
      <c r="I9" s="10">
        <f>IF(DAY(MarSun1)=1,MarSun1+35,MarSun1+42)</f>
        <v>42834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50" priority="3" stopIfTrue="1">
      <formula>DAY(C4)&gt;8</formula>
    </cfRule>
  </conditionalFormatting>
  <conditionalFormatting sqref="C8:I10">
    <cfRule type="expression" dxfId="49" priority="2" stopIfTrue="1">
      <formula>AND(DAY(C8)&gt;=1,DAY(C8)&lt;=15)</formula>
    </cfRule>
  </conditionalFormatting>
  <conditionalFormatting sqref="C4:I9">
    <cfRule type="expression" dxfId="48" priority="4">
      <formula>VLOOKUP(DAY(C4),AssignmentDays,1,FALSE)=DAY(C4)</formula>
    </cfRule>
  </conditionalFormatting>
  <conditionalFormatting sqref="B14:J33">
    <cfRule type="expression" dxfId="47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25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IF(DAY(AprSun1)=1,AprSun1-6,AprSun1+1)</f>
        <v>42821</v>
      </c>
      <c r="D4" s="10">
        <f>IF(DAY(AprSun1)=1,AprSun1-5,AprSun1+2)</f>
        <v>42822</v>
      </c>
      <c r="E4" s="10">
        <f>IF(DAY(AprSun1)=1,AprSun1-4,AprSun1+3)</f>
        <v>42823</v>
      </c>
      <c r="F4" s="10">
        <f>IF(DAY(AprSun1)=1,AprSun1-3,AprSun1+4)</f>
        <v>42824</v>
      </c>
      <c r="G4" s="10">
        <f>IF(DAY(AprSun1)=1,AprSun1-2,AprSun1+5)</f>
        <v>42825</v>
      </c>
      <c r="H4" s="10">
        <f>IF(DAY(AprSun1)=1,AprSun1-1,AprSun1+6)</f>
        <v>42826</v>
      </c>
      <c r="I4" s="10">
        <f>IF(DAY(AprSun1)=1,AprSun1,AprSun1+7)</f>
        <v>42827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IF(DAY(AprSun1)=1,AprSun1+1,AprSun1+8)</f>
        <v>42828</v>
      </c>
      <c r="D5" s="10">
        <f>IF(DAY(AprSun1)=1,AprSun1+2,AprSun1+9)</f>
        <v>42829</v>
      </c>
      <c r="E5" s="10">
        <f>IF(DAY(AprSun1)=1,AprSun1+3,AprSun1+10)</f>
        <v>42830</v>
      </c>
      <c r="F5" s="10">
        <f>IF(DAY(AprSun1)=1,AprSun1+4,AprSun1+11)</f>
        <v>42831</v>
      </c>
      <c r="G5" s="10">
        <f>IF(DAY(AprSun1)=1,AprSun1+5,AprSun1+12)</f>
        <v>42832</v>
      </c>
      <c r="H5" s="10">
        <f>IF(DAY(AprSun1)=1,AprSun1+6,AprSun1+13)</f>
        <v>42833</v>
      </c>
      <c r="I5" s="10">
        <f>IF(DAY(AprSun1)=1,AprSun1+7,AprSun1+14)</f>
        <v>42834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IF(DAY(AprSun1)=1,AprSun1+8,AprSun1+15)</f>
        <v>42835</v>
      </c>
      <c r="D6" s="10">
        <f>IF(DAY(AprSun1)=1,AprSun1+9,AprSun1+16)</f>
        <v>42836</v>
      </c>
      <c r="E6" s="10">
        <f>IF(DAY(AprSun1)=1,AprSun1+10,AprSun1+17)</f>
        <v>42837</v>
      </c>
      <c r="F6" s="10">
        <f>IF(DAY(AprSun1)=1,AprSun1+11,AprSun1+18)</f>
        <v>42838</v>
      </c>
      <c r="G6" s="10">
        <f>IF(DAY(AprSun1)=1,AprSun1+12,AprSun1+19)</f>
        <v>42839</v>
      </c>
      <c r="H6" s="10">
        <f>IF(DAY(AprSun1)=1,AprSun1+13,AprSun1+20)</f>
        <v>42840</v>
      </c>
      <c r="I6" s="10">
        <f>IF(DAY(AprSun1)=1,AprSun1+14,AprSun1+21)</f>
        <v>42841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IF(DAY(AprSun1)=1,AprSun1+15,AprSun1+22)</f>
        <v>42842</v>
      </c>
      <c r="D7" s="10">
        <f>IF(DAY(AprSun1)=1,AprSun1+16,AprSun1+23)</f>
        <v>42843</v>
      </c>
      <c r="E7" s="10">
        <f>IF(DAY(AprSun1)=1,AprSun1+17,AprSun1+24)</f>
        <v>42844</v>
      </c>
      <c r="F7" s="10">
        <f>IF(DAY(AprSun1)=1,AprSun1+18,AprSun1+25)</f>
        <v>42845</v>
      </c>
      <c r="G7" s="10">
        <f>IF(DAY(AprSun1)=1,AprSun1+19,AprSun1+26)</f>
        <v>42846</v>
      </c>
      <c r="H7" s="10">
        <f>IF(DAY(AprSun1)=1,AprSun1+20,AprSun1+27)</f>
        <v>42847</v>
      </c>
      <c r="I7" s="10">
        <f>IF(DAY(AprSun1)=1,AprSun1+21,AprSun1+28)</f>
        <v>42848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IF(DAY(AprSun1)=1,AprSun1+22,AprSun1+29)</f>
        <v>42849</v>
      </c>
      <c r="D8" s="10">
        <f>IF(DAY(AprSun1)=1,AprSun1+23,AprSun1+30)</f>
        <v>42850</v>
      </c>
      <c r="E8" s="10">
        <f>IF(DAY(AprSun1)=1,AprSun1+24,AprSun1+31)</f>
        <v>42851</v>
      </c>
      <c r="F8" s="10">
        <f>IF(DAY(AprSun1)=1,AprSun1+25,AprSun1+32)</f>
        <v>42852</v>
      </c>
      <c r="G8" s="10">
        <f>IF(DAY(AprSun1)=1,AprSun1+26,AprSun1+33)</f>
        <v>42853</v>
      </c>
      <c r="H8" s="10">
        <f>IF(DAY(AprSun1)=1,AprSun1+27,AprSun1+34)</f>
        <v>42854</v>
      </c>
      <c r="I8" s="10">
        <f>IF(DAY(AprSun1)=1,AprSun1+28,AprSun1+35)</f>
        <v>42855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IF(DAY(AprSun1)=1,AprSun1+29,AprSun1+36)</f>
        <v>42856</v>
      </c>
      <c r="D9" s="10">
        <f>IF(DAY(AprSun1)=1,AprSun1+30,AprSun1+37)</f>
        <v>42857</v>
      </c>
      <c r="E9" s="10">
        <f>IF(DAY(AprSun1)=1,AprSun1+31,AprSun1+38)</f>
        <v>42858</v>
      </c>
      <c r="F9" s="10">
        <f>IF(DAY(AprSun1)=1,AprSun1+32,AprSun1+39)</f>
        <v>42859</v>
      </c>
      <c r="G9" s="10">
        <f>IF(DAY(AprSun1)=1,AprSun1+33,AprSun1+40)</f>
        <v>42860</v>
      </c>
      <c r="H9" s="10">
        <f>IF(DAY(AprSun1)=1,AprSun1+34,AprSun1+41)</f>
        <v>42861</v>
      </c>
      <c r="I9" s="10">
        <f>IF(DAY(AprSun1)=1,AprSun1+35,AprSun1+42)</f>
        <v>42862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46" priority="3" stopIfTrue="1">
      <formula>DAY(C4)&gt;8</formula>
    </cfRule>
  </conditionalFormatting>
  <conditionalFormatting sqref="C8:I10">
    <cfRule type="expression" dxfId="45" priority="2" stopIfTrue="1">
      <formula>AND(DAY(C8)&gt;=1,DAY(C8)&lt;=15)</formula>
    </cfRule>
  </conditionalFormatting>
  <conditionalFormatting sqref="C4:I9">
    <cfRule type="expression" dxfId="44" priority="4">
      <formula>VLOOKUP(DAY(C4),AssignmentDays,1,FALSE)=DAY(C4)</formula>
    </cfRule>
  </conditionalFormatting>
  <conditionalFormatting sqref="B14:J33">
    <cfRule type="expression" dxfId="43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26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IF(DAY(MaySun1)=1,MaySun1-6,MaySun1+1)</f>
        <v>42856</v>
      </c>
      <c r="D4" s="10">
        <f>IF(DAY(MaySun1)=1,MaySun1-5,MaySun1+2)</f>
        <v>42857</v>
      </c>
      <c r="E4" s="10">
        <f>IF(DAY(MaySun1)=1,MaySun1-4,MaySun1+3)</f>
        <v>42858</v>
      </c>
      <c r="F4" s="10">
        <f>IF(DAY(MaySun1)=1,MaySun1-3,MaySun1+4)</f>
        <v>42859</v>
      </c>
      <c r="G4" s="10">
        <f>IF(DAY(MaySun1)=1,MaySun1-2,MaySun1+5)</f>
        <v>42860</v>
      </c>
      <c r="H4" s="10">
        <f>IF(DAY(MaySun1)=1,MaySun1-1,MaySun1+6)</f>
        <v>42861</v>
      </c>
      <c r="I4" s="10">
        <f>IF(DAY(MaySun1)=1,MaySun1,MaySun1+7)</f>
        <v>42862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IF(DAY(MaySun1)=1,MaySun1+1,MaySun1+8)</f>
        <v>42863</v>
      </c>
      <c r="D5" s="10">
        <f>IF(DAY(MaySun1)=1,MaySun1+2,MaySun1+9)</f>
        <v>42864</v>
      </c>
      <c r="E5" s="10">
        <f>IF(DAY(MaySun1)=1,MaySun1+3,MaySun1+10)</f>
        <v>42865</v>
      </c>
      <c r="F5" s="10">
        <f>IF(DAY(MaySun1)=1,MaySun1+4,MaySun1+11)</f>
        <v>42866</v>
      </c>
      <c r="G5" s="10">
        <f>IF(DAY(MaySun1)=1,MaySun1+5,MaySun1+12)</f>
        <v>42867</v>
      </c>
      <c r="H5" s="10">
        <f>IF(DAY(MaySun1)=1,MaySun1+6,MaySun1+13)</f>
        <v>42868</v>
      </c>
      <c r="I5" s="10">
        <f>IF(DAY(MaySun1)=1,MaySun1+7,MaySun1+14)</f>
        <v>42869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IF(DAY(MaySun1)=1,MaySun1+8,MaySun1+15)</f>
        <v>42870</v>
      </c>
      <c r="D6" s="10">
        <f>IF(DAY(MaySun1)=1,MaySun1+9,MaySun1+16)</f>
        <v>42871</v>
      </c>
      <c r="E6" s="10">
        <f>IF(DAY(MaySun1)=1,MaySun1+10,MaySun1+17)</f>
        <v>42872</v>
      </c>
      <c r="F6" s="10">
        <f>IF(DAY(MaySun1)=1,MaySun1+11,MaySun1+18)</f>
        <v>42873</v>
      </c>
      <c r="G6" s="10">
        <f>IF(DAY(MaySun1)=1,MaySun1+12,MaySun1+19)</f>
        <v>42874</v>
      </c>
      <c r="H6" s="10">
        <f>IF(DAY(MaySun1)=1,MaySun1+13,MaySun1+20)</f>
        <v>42875</v>
      </c>
      <c r="I6" s="10">
        <f>IF(DAY(MaySun1)=1,MaySun1+14,MaySun1+21)</f>
        <v>42876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IF(DAY(MaySun1)=1,MaySun1+15,MaySun1+22)</f>
        <v>42877</v>
      </c>
      <c r="D7" s="10">
        <f>IF(DAY(MaySun1)=1,MaySun1+16,MaySun1+23)</f>
        <v>42878</v>
      </c>
      <c r="E7" s="10">
        <f>IF(DAY(MaySun1)=1,MaySun1+17,MaySun1+24)</f>
        <v>42879</v>
      </c>
      <c r="F7" s="10">
        <f>IF(DAY(MaySun1)=1,MaySun1+18,MaySun1+25)</f>
        <v>42880</v>
      </c>
      <c r="G7" s="10">
        <f>IF(DAY(MaySun1)=1,MaySun1+19,MaySun1+26)</f>
        <v>42881</v>
      </c>
      <c r="H7" s="10">
        <f>IF(DAY(MaySun1)=1,MaySun1+20,MaySun1+27)</f>
        <v>42882</v>
      </c>
      <c r="I7" s="10">
        <f>IF(DAY(MaySun1)=1,MaySun1+21,MaySun1+28)</f>
        <v>42883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IF(DAY(MaySun1)=1,MaySun1+22,MaySun1+29)</f>
        <v>42884</v>
      </c>
      <c r="D8" s="10">
        <f>IF(DAY(MaySun1)=1,MaySun1+23,MaySun1+30)</f>
        <v>42885</v>
      </c>
      <c r="E8" s="10">
        <f>IF(DAY(MaySun1)=1,MaySun1+24,MaySun1+31)</f>
        <v>42886</v>
      </c>
      <c r="F8" s="10">
        <f>IF(DAY(MaySun1)=1,MaySun1+25,MaySun1+32)</f>
        <v>42887</v>
      </c>
      <c r="G8" s="10">
        <f>IF(DAY(MaySun1)=1,MaySun1+26,MaySun1+33)</f>
        <v>42888</v>
      </c>
      <c r="H8" s="10">
        <f>IF(DAY(MaySun1)=1,MaySun1+27,MaySun1+34)</f>
        <v>42889</v>
      </c>
      <c r="I8" s="10">
        <f>IF(DAY(MaySun1)=1,MaySun1+28,MaySun1+35)</f>
        <v>42890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IF(DAY(MaySun1)=1,MaySun1+29,MaySun1+36)</f>
        <v>42891</v>
      </c>
      <c r="D9" s="10">
        <f>IF(DAY(MaySun1)=1,MaySun1+30,MaySun1+37)</f>
        <v>42892</v>
      </c>
      <c r="E9" s="10">
        <f>IF(DAY(MaySun1)=1,MaySun1+31,MaySun1+38)</f>
        <v>42893</v>
      </c>
      <c r="F9" s="10">
        <f>IF(DAY(MaySun1)=1,MaySun1+32,MaySun1+39)</f>
        <v>42894</v>
      </c>
      <c r="G9" s="10">
        <f>IF(DAY(MaySun1)=1,MaySun1+33,MaySun1+40)</f>
        <v>42895</v>
      </c>
      <c r="H9" s="10">
        <f>IF(DAY(MaySun1)=1,MaySun1+34,MaySun1+41)</f>
        <v>42896</v>
      </c>
      <c r="I9" s="10">
        <f>IF(DAY(MaySun1)=1,MaySun1+35,MaySun1+42)</f>
        <v>42897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42" priority="3" stopIfTrue="1">
      <formula>DAY(C4)&gt;8</formula>
    </cfRule>
  </conditionalFormatting>
  <conditionalFormatting sqref="C8:I10">
    <cfRule type="expression" dxfId="41" priority="2" stopIfTrue="1">
      <formula>AND(DAY(C8)&gt;=1,DAY(C8)&lt;=15)</formula>
    </cfRule>
  </conditionalFormatting>
  <conditionalFormatting sqref="C4:I9">
    <cfRule type="expression" dxfId="40" priority="4">
      <formula>VLOOKUP(DAY(C4),AssignmentDays,1,FALSE)=DAY(C4)</formula>
    </cfRule>
  </conditionalFormatting>
  <conditionalFormatting sqref="B14:J33">
    <cfRule type="expression" dxfId="39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27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IF(DAY(JunSun1)=1,JunSun1-6,JunSun1+1)</f>
        <v>42884</v>
      </c>
      <c r="D4" s="10">
        <f>IF(DAY(JunSun1)=1,JunSun1-5,JunSun1+2)</f>
        <v>42885</v>
      </c>
      <c r="E4" s="10">
        <f>IF(DAY(JunSun1)=1,JunSun1-4,JunSun1+3)</f>
        <v>42886</v>
      </c>
      <c r="F4" s="10">
        <f>IF(DAY(JunSun1)=1,JunSun1-3,JunSun1+4)</f>
        <v>42887</v>
      </c>
      <c r="G4" s="10">
        <f>IF(DAY(JunSun1)=1,JunSun1-2,JunSun1+5)</f>
        <v>42888</v>
      </c>
      <c r="H4" s="10">
        <f>IF(DAY(JunSun1)=1,JunSun1-1,JunSun1+6)</f>
        <v>42889</v>
      </c>
      <c r="I4" s="10">
        <f>IF(DAY(JunSun1)=1,JunSun1,JunSun1+7)</f>
        <v>42890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IF(DAY(JunSun1)=1,JunSun1+1,JunSun1+8)</f>
        <v>42891</v>
      </c>
      <c r="D5" s="10">
        <f>IF(DAY(JunSun1)=1,JunSun1+2,JunSun1+9)</f>
        <v>42892</v>
      </c>
      <c r="E5" s="10">
        <f>IF(DAY(JunSun1)=1,JunSun1+3,JunSun1+10)</f>
        <v>42893</v>
      </c>
      <c r="F5" s="10">
        <f>IF(DAY(JunSun1)=1,JunSun1+4,JunSun1+11)</f>
        <v>42894</v>
      </c>
      <c r="G5" s="10">
        <f>IF(DAY(JunSun1)=1,JunSun1+5,JunSun1+12)</f>
        <v>42895</v>
      </c>
      <c r="H5" s="10">
        <f>IF(DAY(JunSun1)=1,JunSun1+6,JunSun1+13)</f>
        <v>42896</v>
      </c>
      <c r="I5" s="10">
        <f>IF(DAY(JunSun1)=1,JunSun1+7,JunSun1+14)</f>
        <v>42897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IF(DAY(JunSun1)=1,JunSun1+8,JunSun1+15)</f>
        <v>42898</v>
      </c>
      <c r="D6" s="10">
        <f>IF(DAY(JunSun1)=1,JunSun1+9,JunSun1+16)</f>
        <v>42899</v>
      </c>
      <c r="E6" s="10">
        <f>IF(DAY(JunSun1)=1,JunSun1+10,JunSun1+17)</f>
        <v>42900</v>
      </c>
      <c r="F6" s="10">
        <f>IF(DAY(JunSun1)=1,JunSun1+11,JunSun1+18)</f>
        <v>42901</v>
      </c>
      <c r="G6" s="10">
        <f>IF(DAY(JunSun1)=1,JunSun1+12,JunSun1+19)</f>
        <v>42902</v>
      </c>
      <c r="H6" s="10">
        <f>IF(DAY(JunSun1)=1,JunSun1+13,JunSun1+20)</f>
        <v>42903</v>
      </c>
      <c r="I6" s="10">
        <f>IF(DAY(JunSun1)=1,JunSun1+14,JunSun1+21)</f>
        <v>42904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IF(DAY(JunSun1)=1,JunSun1+15,JunSun1+22)</f>
        <v>42905</v>
      </c>
      <c r="D7" s="10">
        <f>IF(DAY(JunSun1)=1,JunSun1+16,JunSun1+23)</f>
        <v>42906</v>
      </c>
      <c r="E7" s="10">
        <f>IF(DAY(JunSun1)=1,JunSun1+17,JunSun1+24)</f>
        <v>42907</v>
      </c>
      <c r="F7" s="10">
        <f>IF(DAY(JunSun1)=1,JunSun1+18,JunSun1+25)</f>
        <v>42908</v>
      </c>
      <c r="G7" s="10">
        <f>IF(DAY(JunSun1)=1,JunSun1+19,JunSun1+26)</f>
        <v>42909</v>
      </c>
      <c r="H7" s="10">
        <f>IF(DAY(JunSun1)=1,JunSun1+20,JunSun1+27)</f>
        <v>42910</v>
      </c>
      <c r="I7" s="10">
        <f>IF(DAY(JunSun1)=1,JunSun1+21,JunSun1+28)</f>
        <v>42911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IF(DAY(JunSun1)=1,JunSun1+22,JunSun1+29)</f>
        <v>42912</v>
      </c>
      <c r="D8" s="10">
        <f>IF(DAY(JunSun1)=1,JunSun1+23,JunSun1+30)</f>
        <v>42913</v>
      </c>
      <c r="E8" s="10">
        <f>IF(DAY(JunSun1)=1,JunSun1+24,JunSun1+31)</f>
        <v>42914</v>
      </c>
      <c r="F8" s="10">
        <f>IF(DAY(JunSun1)=1,JunSun1+25,JunSun1+32)</f>
        <v>42915</v>
      </c>
      <c r="G8" s="10">
        <f>IF(DAY(JunSun1)=1,JunSun1+26,JunSun1+33)</f>
        <v>42916</v>
      </c>
      <c r="H8" s="10">
        <f>IF(DAY(JunSun1)=1,JunSun1+27,JunSun1+34)</f>
        <v>42917</v>
      </c>
      <c r="I8" s="10">
        <f>IF(DAY(JunSun1)=1,JunSun1+28,JunSun1+35)</f>
        <v>42918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IF(DAY(JunSun1)=1,JunSun1+29,JunSun1+36)</f>
        <v>42919</v>
      </c>
      <c r="D9" s="10">
        <f>IF(DAY(JunSun1)=1,JunSun1+30,JunSun1+37)</f>
        <v>42920</v>
      </c>
      <c r="E9" s="10">
        <f>IF(DAY(JunSun1)=1,JunSun1+31,JunSun1+38)</f>
        <v>42921</v>
      </c>
      <c r="F9" s="10">
        <f>IF(DAY(JunSun1)=1,JunSun1+32,JunSun1+39)</f>
        <v>42922</v>
      </c>
      <c r="G9" s="10">
        <f>IF(DAY(JunSun1)=1,JunSun1+33,JunSun1+40)</f>
        <v>42923</v>
      </c>
      <c r="H9" s="10">
        <f>IF(DAY(JunSun1)=1,JunSun1+34,JunSun1+41)</f>
        <v>42924</v>
      </c>
      <c r="I9" s="10">
        <f>IF(DAY(JunSun1)=1,JunSun1+35,JunSun1+42)</f>
        <v>42925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8" priority="3" stopIfTrue="1">
      <formula>DAY(C4)&gt;8</formula>
    </cfRule>
  </conditionalFormatting>
  <conditionalFormatting sqref="C8:I10">
    <cfRule type="expression" dxfId="37" priority="2" stopIfTrue="1">
      <formula>AND(DAY(C8)&gt;=1,DAY(C8)&lt;=15)</formula>
    </cfRule>
  </conditionalFormatting>
  <conditionalFormatting sqref="C4:I9">
    <cfRule type="expression" dxfId="36" priority="4">
      <formula>VLOOKUP(DAY(C4),AssignmentDays,1,FALSE)=DAY(C4)</formula>
    </cfRule>
  </conditionalFormatting>
  <conditionalFormatting sqref="B14:J33">
    <cfRule type="expression" dxfId="35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zoomScaleNormal="100" zoomScalePageLayoutView="84" workbookViewId="0"/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28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IF(DAY(JulSun1)=1,JulSun1-6,JulSun1+1)</f>
        <v>42912</v>
      </c>
      <c r="D4" s="10">
        <f>IF(DAY(JulSun1)=1,JulSun1-5,JulSun1+2)</f>
        <v>42913</v>
      </c>
      <c r="E4" s="10">
        <f>IF(DAY(JulSun1)=1,JulSun1-4,JulSun1+3)</f>
        <v>42914</v>
      </c>
      <c r="F4" s="10">
        <f>IF(DAY(JulSun1)=1,JulSun1-3,JulSun1+4)</f>
        <v>42915</v>
      </c>
      <c r="G4" s="10">
        <f>IF(DAY(JulSun1)=1,JulSun1-2,JulSun1+5)</f>
        <v>42916</v>
      </c>
      <c r="H4" s="10">
        <f>IF(DAY(JulSun1)=1,JulSun1-1,JulSun1+6)</f>
        <v>42917</v>
      </c>
      <c r="I4" s="10">
        <f>IF(DAY(JulSun1)=1,JulSun1,JulSun1+7)</f>
        <v>42918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IF(DAY(JulSun1)=1,JulSun1+1,JulSun1+8)</f>
        <v>42919</v>
      </c>
      <c r="D5" s="10">
        <f>IF(DAY(JulSun1)=1,JulSun1+2,JulSun1+9)</f>
        <v>42920</v>
      </c>
      <c r="E5" s="10">
        <f>IF(DAY(JulSun1)=1,JulSun1+3,JulSun1+10)</f>
        <v>42921</v>
      </c>
      <c r="F5" s="10">
        <f>IF(DAY(JulSun1)=1,JulSun1+4,JulSun1+11)</f>
        <v>42922</v>
      </c>
      <c r="G5" s="10">
        <f>IF(DAY(JulSun1)=1,JulSun1+5,JulSun1+12)</f>
        <v>42923</v>
      </c>
      <c r="H5" s="10">
        <f>IF(DAY(JulSun1)=1,JulSun1+6,JulSun1+13)</f>
        <v>42924</v>
      </c>
      <c r="I5" s="10">
        <f>IF(DAY(JulSun1)=1,JulSun1+7,JulSun1+14)</f>
        <v>42925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IF(DAY(JulSun1)=1,JulSun1+8,JulSun1+15)</f>
        <v>42926</v>
      </c>
      <c r="D6" s="10">
        <f>IF(DAY(JulSun1)=1,JulSun1+9,JulSun1+16)</f>
        <v>42927</v>
      </c>
      <c r="E6" s="10">
        <f>IF(DAY(JulSun1)=1,JulSun1+10,JulSun1+17)</f>
        <v>42928</v>
      </c>
      <c r="F6" s="10">
        <f>IF(DAY(JulSun1)=1,JulSun1+11,JulSun1+18)</f>
        <v>42929</v>
      </c>
      <c r="G6" s="10">
        <f>IF(DAY(JulSun1)=1,JulSun1+12,JulSun1+19)</f>
        <v>42930</v>
      </c>
      <c r="H6" s="10">
        <f>IF(DAY(JulSun1)=1,JulSun1+13,JulSun1+20)</f>
        <v>42931</v>
      </c>
      <c r="I6" s="10">
        <f>IF(DAY(JulSun1)=1,JulSun1+14,JulSun1+21)</f>
        <v>42932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IF(DAY(JulSun1)=1,JulSun1+15,JulSun1+22)</f>
        <v>42933</v>
      </c>
      <c r="D7" s="10">
        <f>IF(DAY(JulSun1)=1,JulSun1+16,JulSun1+23)</f>
        <v>42934</v>
      </c>
      <c r="E7" s="10">
        <f>IF(DAY(JulSun1)=1,JulSun1+17,JulSun1+24)</f>
        <v>42935</v>
      </c>
      <c r="F7" s="10">
        <f>IF(DAY(JulSun1)=1,JulSun1+18,JulSun1+25)</f>
        <v>42936</v>
      </c>
      <c r="G7" s="10">
        <f>IF(DAY(JulSun1)=1,JulSun1+19,JulSun1+26)</f>
        <v>42937</v>
      </c>
      <c r="H7" s="10">
        <f>IF(DAY(JulSun1)=1,JulSun1+20,JulSun1+27)</f>
        <v>42938</v>
      </c>
      <c r="I7" s="10">
        <f>IF(DAY(JulSun1)=1,JulSun1+21,JulSun1+28)</f>
        <v>42939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IF(DAY(JulSun1)=1,JulSun1+22,JulSun1+29)</f>
        <v>42940</v>
      </c>
      <c r="D8" s="10">
        <f>IF(DAY(JulSun1)=1,JulSun1+23,JulSun1+30)</f>
        <v>42941</v>
      </c>
      <c r="E8" s="10">
        <f>IF(DAY(JulSun1)=1,JulSun1+24,JulSun1+31)</f>
        <v>42942</v>
      </c>
      <c r="F8" s="10">
        <f>IF(DAY(JulSun1)=1,JulSun1+25,JulSun1+32)</f>
        <v>42943</v>
      </c>
      <c r="G8" s="10">
        <f>IF(DAY(JulSun1)=1,JulSun1+26,JulSun1+33)</f>
        <v>42944</v>
      </c>
      <c r="H8" s="10">
        <f>IF(DAY(JulSun1)=1,JulSun1+27,JulSun1+34)</f>
        <v>42945</v>
      </c>
      <c r="I8" s="10">
        <f>IF(DAY(JulSun1)=1,JulSun1+28,JulSun1+35)</f>
        <v>42946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IF(DAY(JulSun1)=1,JulSun1+29,JulSun1+36)</f>
        <v>42947</v>
      </c>
      <c r="D9" s="10">
        <f>IF(DAY(JulSun1)=1,JulSun1+30,JulSun1+37)</f>
        <v>42948</v>
      </c>
      <c r="E9" s="10">
        <f>IF(DAY(JulSun1)=1,JulSun1+31,JulSun1+38)</f>
        <v>42949</v>
      </c>
      <c r="F9" s="10">
        <f>IF(DAY(JulSun1)=1,JulSun1+32,JulSun1+39)</f>
        <v>42950</v>
      </c>
      <c r="G9" s="10">
        <f>IF(DAY(JulSun1)=1,JulSun1+33,JulSun1+40)</f>
        <v>42951</v>
      </c>
      <c r="H9" s="10">
        <f>IF(DAY(JulSun1)=1,JulSun1+34,JulSun1+41)</f>
        <v>42952</v>
      </c>
      <c r="I9" s="10">
        <f>IF(DAY(JulSun1)=1,JulSun1+35,JulSun1+42)</f>
        <v>42953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/>
      <c r="M10" s="33"/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 t="s">
        <v>18</v>
      </c>
      <c r="C14" s="51"/>
      <c r="D14" s="52"/>
      <c r="E14" s="51" t="s">
        <v>18</v>
      </c>
      <c r="F14" s="52"/>
      <c r="G14" s="51"/>
      <c r="H14" s="52"/>
      <c r="I14" s="51" t="s">
        <v>18</v>
      </c>
      <c r="J14" s="60"/>
      <c r="K14" s="11"/>
      <c r="L14" s="17"/>
      <c r="M14" s="29"/>
      <c r="N14" s="30"/>
    </row>
    <row r="15" spans="1:14" ht="18" customHeight="1" x14ac:dyDescent="0.25">
      <c r="B15" s="6" t="s">
        <v>13</v>
      </c>
      <c r="C15" s="49"/>
      <c r="D15" s="50"/>
      <c r="E15" s="49" t="s">
        <v>13</v>
      </c>
      <c r="F15" s="50"/>
      <c r="G15" s="49"/>
      <c r="H15" s="50"/>
      <c r="I15" s="57" t="s">
        <v>13</v>
      </c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17</v>
      </c>
      <c r="D17" s="50"/>
      <c r="E17" s="49"/>
      <c r="F17" s="50"/>
      <c r="G17" s="49" t="s">
        <v>17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 t="s">
        <v>21</v>
      </c>
      <c r="C18" s="53"/>
      <c r="D18" s="54"/>
      <c r="E18" s="53" t="s">
        <v>21</v>
      </c>
      <c r="F18" s="54"/>
      <c r="G18" s="53"/>
      <c r="H18" s="54"/>
      <c r="I18" s="53" t="s">
        <v>21</v>
      </c>
      <c r="J18" s="59"/>
      <c r="K18" s="28"/>
      <c r="L18" s="17"/>
      <c r="M18" s="29"/>
      <c r="N18" s="30"/>
    </row>
    <row r="19" spans="2:14" ht="18" customHeight="1" x14ac:dyDescent="0.25">
      <c r="B19" s="6" t="s">
        <v>14</v>
      </c>
      <c r="C19" s="49"/>
      <c r="D19" s="50"/>
      <c r="E19" s="49" t="s">
        <v>14</v>
      </c>
      <c r="F19" s="50"/>
      <c r="G19" s="49"/>
      <c r="H19" s="50"/>
      <c r="I19" s="57" t="s">
        <v>14</v>
      </c>
      <c r="J19" s="58"/>
      <c r="K19" s="11"/>
      <c r="L19" s="17"/>
      <c r="M19" s="29"/>
      <c r="N19" s="30"/>
    </row>
    <row r="20" spans="2:14" ht="18" customHeight="1" x14ac:dyDescent="0.25">
      <c r="B20" s="8"/>
      <c r="C20" s="51"/>
      <c r="D20" s="52"/>
      <c r="E20" s="51"/>
      <c r="F20" s="52"/>
      <c r="G20" s="51"/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/>
      <c r="D21" s="50"/>
      <c r="E21" s="49"/>
      <c r="F21" s="50"/>
      <c r="G21" s="49"/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 t="s">
        <v>20</v>
      </c>
      <c r="C26" s="51"/>
      <c r="D26" s="52"/>
      <c r="E26" s="51" t="s">
        <v>20</v>
      </c>
      <c r="F26" s="52"/>
      <c r="G26" s="51"/>
      <c r="H26" s="52"/>
      <c r="I26" s="51" t="s">
        <v>20</v>
      </c>
      <c r="J26" s="60"/>
      <c r="K26" s="11"/>
      <c r="L26" s="17"/>
      <c r="M26" s="29"/>
      <c r="N26" s="30"/>
    </row>
    <row r="27" spans="2:14" ht="18" customHeight="1" x14ac:dyDescent="0.25">
      <c r="B27" s="6" t="s">
        <v>15</v>
      </c>
      <c r="C27" s="49"/>
      <c r="D27" s="50"/>
      <c r="E27" s="49" t="s">
        <v>15</v>
      </c>
      <c r="F27" s="50"/>
      <c r="G27" s="49"/>
      <c r="H27" s="50"/>
      <c r="I27" s="57" t="s">
        <v>15</v>
      </c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22</v>
      </c>
      <c r="D30" s="52"/>
      <c r="E30" s="51"/>
      <c r="F30" s="52"/>
      <c r="G30" s="51" t="s">
        <v>22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16</v>
      </c>
      <c r="D31" s="50"/>
      <c r="E31" s="49"/>
      <c r="F31" s="50"/>
      <c r="G31" s="49" t="s">
        <v>16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/>
      <c r="C32" s="51"/>
      <c r="D32" s="52"/>
      <c r="E32" s="51"/>
      <c r="F32" s="52"/>
      <c r="G32" s="51"/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/>
      <c r="C33" s="55"/>
      <c r="D33" s="56"/>
      <c r="E33" s="55"/>
      <c r="F33" s="56"/>
      <c r="G33" s="55"/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4" priority="3" stopIfTrue="1">
      <formula>DAY(C4)&gt;8</formula>
    </cfRule>
  </conditionalFormatting>
  <conditionalFormatting sqref="C8:I10">
    <cfRule type="expression" dxfId="33" priority="2" stopIfTrue="1">
      <formula>AND(DAY(C8)&gt;=1,DAY(C8)&lt;=15)</formula>
    </cfRule>
  </conditionalFormatting>
  <conditionalFormatting sqref="C4:I9">
    <cfRule type="expression" dxfId="32" priority="4">
      <formula>VLOOKUP(DAY(C4),AssignmentDays,1,FALSE)=DAY(C4)</formula>
    </cfRule>
  </conditionalFormatting>
  <conditionalFormatting sqref="B14:J33">
    <cfRule type="expression" dxfId="31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topLeftCell="A13" zoomScaleNormal="100" zoomScalePageLayoutView="84" workbookViewId="0">
      <selection activeCell="M10" sqref="M10:N10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29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IF(DAY(AugSun1)=1,AugSun1-6,AugSun1+1)</f>
        <v>42947</v>
      </c>
      <c r="D4" s="10">
        <f>IF(DAY(AugSun1)=1,AugSun1-5,AugSun1+2)</f>
        <v>42948</v>
      </c>
      <c r="E4" s="10">
        <f>IF(DAY(AugSun1)=1,AugSun1-4,AugSun1+3)</f>
        <v>42949</v>
      </c>
      <c r="F4" s="10">
        <f>IF(DAY(AugSun1)=1,AugSun1-3,AugSun1+4)</f>
        <v>42950</v>
      </c>
      <c r="G4" s="10">
        <f>IF(DAY(AugSun1)=1,AugSun1-2,AugSun1+5)</f>
        <v>42951</v>
      </c>
      <c r="H4" s="10">
        <f>IF(DAY(AugSun1)=1,AugSun1-1,AugSun1+6)</f>
        <v>42952</v>
      </c>
      <c r="I4" s="10">
        <f>IF(DAY(AugSun1)=1,AugSun1,AugSun1+7)</f>
        <v>42953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IF(DAY(AugSun1)=1,AugSun1+1,AugSun1+8)</f>
        <v>42954</v>
      </c>
      <c r="D5" s="10">
        <f>IF(DAY(AugSun1)=1,AugSun1+2,AugSun1+9)</f>
        <v>42955</v>
      </c>
      <c r="E5" s="10">
        <f>IF(DAY(AugSun1)=1,AugSun1+3,AugSun1+10)</f>
        <v>42956</v>
      </c>
      <c r="F5" s="10">
        <f>IF(DAY(AugSun1)=1,AugSun1+4,AugSun1+11)</f>
        <v>42957</v>
      </c>
      <c r="G5" s="10">
        <f>IF(DAY(AugSun1)=1,AugSun1+5,AugSun1+12)</f>
        <v>42958</v>
      </c>
      <c r="H5" s="10">
        <f>IF(DAY(AugSun1)=1,AugSun1+6,AugSun1+13)</f>
        <v>42959</v>
      </c>
      <c r="I5" s="10">
        <f>IF(DAY(AugSun1)=1,AugSun1+7,AugSun1+14)</f>
        <v>42960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IF(DAY(AugSun1)=1,AugSun1+8,AugSun1+15)</f>
        <v>42961</v>
      </c>
      <c r="D6" s="10">
        <f>IF(DAY(AugSun1)=1,AugSun1+9,AugSun1+16)</f>
        <v>42962</v>
      </c>
      <c r="E6" s="10">
        <f>IF(DAY(AugSun1)=1,AugSun1+10,AugSun1+17)</f>
        <v>42963</v>
      </c>
      <c r="F6" s="10">
        <f>IF(DAY(AugSun1)=1,AugSun1+11,AugSun1+18)</f>
        <v>42964</v>
      </c>
      <c r="G6" s="10">
        <f>IF(DAY(AugSun1)=1,AugSun1+12,AugSun1+19)</f>
        <v>42965</v>
      </c>
      <c r="H6" s="10">
        <f>IF(DAY(AugSun1)=1,AugSun1+13,AugSun1+20)</f>
        <v>42966</v>
      </c>
      <c r="I6" s="10">
        <f>IF(DAY(AugSun1)=1,AugSun1+14,AugSun1+21)</f>
        <v>42967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IF(DAY(AugSun1)=1,AugSun1+15,AugSun1+22)</f>
        <v>42968</v>
      </c>
      <c r="D7" s="10">
        <f>IF(DAY(AugSun1)=1,AugSun1+16,AugSun1+23)</f>
        <v>42969</v>
      </c>
      <c r="E7" s="10">
        <f>IF(DAY(AugSun1)=1,AugSun1+17,AugSun1+24)</f>
        <v>42970</v>
      </c>
      <c r="F7" s="10">
        <f>IF(DAY(AugSun1)=1,AugSun1+18,AugSun1+25)</f>
        <v>42971</v>
      </c>
      <c r="G7" s="10">
        <f>IF(DAY(AugSun1)=1,AugSun1+19,AugSun1+26)</f>
        <v>42972</v>
      </c>
      <c r="H7" s="10">
        <f>IF(DAY(AugSun1)=1,AugSun1+20,AugSun1+27)</f>
        <v>42973</v>
      </c>
      <c r="I7" s="10">
        <f>IF(DAY(AugSun1)=1,AugSun1+21,AugSun1+28)</f>
        <v>42974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IF(DAY(AugSun1)=1,AugSun1+22,AugSun1+29)</f>
        <v>42975</v>
      </c>
      <c r="D8" s="10">
        <f>IF(DAY(AugSun1)=1,AugSun1+23,AugSun1+30)</f>
        <v>42976</v>
      </c>
      <c r="E8" s="10">
        <f>IF(DAY(AugSun1)=1,AugSun1+24,AugSun1+31)</f>
        <v>42977</v>
      </c>
      <c r="F8" s="10">
        <f>IF(DAY(AugSun1)=1,AugSun1+25,AugSun1+32)</f>
        <v>42978</v>
      </c>
      <c r="G8" s="10">
        <f>IF(DAY(AugSun1)=1,AugSun1+26,AugSun1+33)</f>
        <v>42979</v>
      </c>
      <c r="H8" s="10">
        <f>IF(DAY(AugSun1)=1,AugSun1+27,AugSun1+34)</f>
        <v>42980</v>
      </c>
      <c r="I8" s="10">
        <f>IF(DAY(AugSun1)=1,AugSun1+28,AugSun1+35)</f>
        <v>42981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IF(DAY(AugSun1)=1,AugSun1+29,AugSun1+36)</f>
        <v>42982</v>
      </c>
      <c r="D9" s="10">
        <f>IF(DAY(AugSun1)=1,AugSun1+30,AugSun1+37)</f>
        <v>42983</v>
      </c>
      <c r="E9" s="10">
        <f>IF(DAY(AugSun1)=1,AugSun1+31,AugSun1+38)</f>
        <v>42984</v>
      </c>
      <c r="F9" s="10">
        <f>IF(DAY(AugSun1)=1,AugSun1+32,AugSun1+39)</f>
        <v>42985</v>
      </c>
      <c r="G9" s="10">
        <f>IF(DAY(AugSun1)=1,AugSun1+33,AugSun1+40)</f>
        <v>42986</v>
      </c>
      <c r="H9" s="10">
        <f>IF(DAY(AugSun1)=1,AugSun1+34,AugSun1+41)</f>
        <v>42987</v>
      </c>
      <c r="I9" s="10">
        <f>IF(DAY(AugSun1)=1,AugSun1+35,AugSun1+42)</f>
        <v>42988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>
        <v>29</v>
      </c>
      <c r="M10" s="78" t="s">
        <v>34</v>
      </c>
      <c r="N10" s="79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/>
      <c r="C14" s="51" t="s">
        <v>18</v>
      </c>
      <c r="D14" s="52"/>
      <c r="E14" s="51"/>
      <c r="F14" s="52"/>
      <c r="G14" s="51" t="s">
        <v>18</v>
      </c>
      <c r="H14" s="52"/>
      <c r="I14" s="51"/>
      <c r="J14" s="60"/>
      <c r="K14" s="11"/>
      <c r="L14" s="17"/>
      <c r="M14" s="29"/>
      <c r="N14" s="30"/>
    </row>
    <row r="15" spans="1:14" ht="18" customHeight="1" x14ac:dyDescent="0.25">
      <c r="B15" s="6"/>
      <c r="C15" s="49" t="s">
        <v>36</v>
      </c>
      <c r="D15" s="50"/>
      <c r="E15" s="49"/>
      <c r="F15" s="50"/>
      <c r="G15" s="49" t="s">
        <v>36</v>
      </c>
      <c r="H15" s="50"/>
      <c r="I15" s="57"/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37</v>
      </c>
      <c r="D17" s="50"/>
      <c r="E17" s="49"/>
      <c r="F17" s="50"/>
      <c r="G17" s="49" t="s">
        <v>37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/>
      <c r="C18" s="53" t="s">
        <v>38</v>
      </c>
      <c r="D18" s="54"/>
      <c r="E18" s="53"/>
      <c r="F18" s="54"/>
      <c r="G18" s="53" t="s">
        <v>38</v>
      </c>
      <c r="H18" s="54"/>
      <c r="I18" s="53"/>
      <c r="J18" s="59"/>
      <c r="K18" s="28"/>
      <c r="L18" s="17"/>
      <c r="M18" s="29"/>
      <c r="N18" s="30"/>
    </row>
    <row r="19" spans="2:14" ht="18" customHeight="1" x14ac:dyDescent="0.25">
      <c r="B19" s="6"/>
      <c r="C19" s="49" t="s">
        <v>39</v>
      </c>
      <c r="D19" s="50"/>
      <c r="E19" s="49"/>
      <c r="F19" s="50"/>
      <c r="G19" s="49" t="s">
        <v>39</v>
      </c>
      <c r="H19" s="50"/>
      <c r="I19" s="57"/>
      <c r="J19" s="58"/>
      <c r="K19" s="11"/>
      <c r="L19" s="17"/>
      <c r="M19" s="29"/>
      <c r="N19" s="30"/>
    </row>
    <row r="20" spans="2:14" ht="18" customHeight="1" x14ac:dyDescent="0.25">
      <c r="B20" s="8"/>
      <c r="C20" s="51" t="s">
        <v>40</v>
      </c>
      <c r="D20" s="52"/>
      <c r="E20" s="51"/>
      <c r="F20" s="52"/>
      <c r="G20" s="51" t="s">
        <v>40</v>
      </c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 t="s">
        <v>41</v>
      </c>
      <c r="D21" s="50"/>
      <c r="E21" s="49"/>
      <c r="F21" s="50"/>
      <c r="G21" s="49" t="s">
        <v>41</v>
      </c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>
        <v>31</v>
      </c>
      <c r="M22" s="78" t="s">
        <v>35</v>
      </c>
      <c r="N22" s="79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/>
      <c r="C26" s="51"/>
      <c r="D26" s="52"/>
      <c r="E26" s="51"/>
      <c r="F26" s="52"/>
      <c r="G26" s="51"/>
      <c r="H26" s="52"/>
      <c r="I26" s="51"/>
      <c r="J26" s="60"/>
      <c r="K26" s="11"/>
      <c r="L26" s="17"/>
      <c r="M26" s="29"/>
      <c r="N26" s="30"/>
    </row>
    <row r="27" spans="2:14" ht="18" customHeight="1" x14ac:dyDescent="0.25">
      <c r="B27" s="6"/>
      <c r="C27" s="49"/>
      <c r="D27" s="50"/>
      <c r="E27" s="49"/>
      <c r="F27" s="50"/>
      <c r="G27" s="49"/>
      <c r="H27" s="50"/>
      <c r="I27" s="57"/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42</v>
      </c>
      <c r="D30" s="52"/>
      <c r="E30" s="51"/>
      <c r="F30" s="52"/>
      <c r="G30" s="51" t="s">
        <v>42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43</v>
      </c>
      <c r="D31" s="50"/>
      <c r="E31" s="49"/>
      <c r="F31" s="50"/>
      <c r="G31" s="49" t="s">
        <v>43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 t="s">
        <v>44</v>
      </c>
      <c r="C32" s="51" t="s">
        <v>44</v>
      </c>
      <c r="D32" s="52"/>
      <c r="E32" s="51"/>
      <c r="F32" s="52"/>
      <c r="G32" s="51" t="s">
        <v>44</v>
      </c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 t="s">
        <v>45</v>
      </c>
      <c r="C33" s="55" t="s">
        <v>45</v>
      </c>
      <c r="D33" s="56"/>
      <c r="E33" s="55"/>
      <c r="F33" s="56"/>
      <c r="G33" s="55" t="s">
        <v>45</v>
      </c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30" priority="3" stopIfTrue="1">
      <formula>DAY(C4)&gt;8</formula>
    </cfRule>
  </conditionalFormatting>
  <conditionalFormatting sqref="C8:I10">
    <cfRule type="expression" dxfId="29" priority="2" stopIfTrue="1">
      <formula>AND(DAY(C8)&gt;=1,DAY(C8)&lt;=15)</formula>
    </cfRule>
  </conditionalFormatting>
  <conditionalFormatting sqref="C4:I9">
    <cfRule type="expression" dxfId="28" priority="4">
      <formula>VLOOKUP(DAY(C4),AssignmentDays,1,FALSE)=DAY(C4)</formula>
    </cfRule>
  </conditionalFormatting>
  <conditionalFormatting sqref="B14:J33">
    <cfRule type="expression" dxfId="27" priority="1">
      <formula>B14&lt;&gt;""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O33"/>
  <sheetViews>
    <sheetView showGridLines="0" tabSelected="1" zoomScaleNormal="100" zoomScalePageLayoutView="84" workbookViewId="0">
      <selection activeCell="B14" sqref="B14"/>
    </sheetView>
  </sheetViews>
  <sheetFormatPr defaultColWidth="8.6640625" defaultRowHeight="16.5" customHeight="1" x14ac:dyDescent="0.25"/>
  <cols>
    <col min="1" max="1" width="2.33203125" style="1" customWidth="1"/>
    <col min="2" max="2" width="12.6640625" style="1" customWidth="1"/>
    <col min="3" max="10" width="6.6640625" style="1" customWidth="1"/>
    <col min="11" max="11" width="7.33203125" style="1" customWidth="1"/>
    <col min="12" max="12" width="3.88671875" customWidth="1"/>
    <col min="13" max="13" width="51.44140625" style="1" customWidth="1"/>
    <col min="14" max="14" width="10.6640625" style="1" customWidth="1"/>
    <col min="15" max="15" width="2.33203125" customWidth="1"/>
    <col min="16" max="22" width="8.88671875" customWidth="1"/>
    <col min="42" max="16384" width="8.6640625" style="1"/>
  </cols>
  <sheetData>
    <row r="1" spans="1:14" ht="11.25" customHeight="1" x14ac:dyDescent="0.25"/>
    <row r="2" spans="1:14" ht="18" customHeight="1" x14ac:dyDescent="0.25">
      <c r="A2" s="4"/>
      <c r="B2" s="66" t="s">
        <v>30</v>
      </c>
      <c r="C2" s="21"/>
      <c r="D2" s="21"/>
      <c r="E2" s="21"/>
      <c r="F2" s="21"/>
      <c r="G2" s="21"/>
      <c r="H2" s="21"/>
      <c r="I2" s="21"/>
      <c r="J2" s="22"/>
      <c r="K2" s="40" t="s">
        <v>6</v>
      </c>
      <c r="L2" s="41">
        <v>2013</v>
      </c>
      <c r="M2" s="41"/>
      <c r="N2" s="25"/>
    </row>
    <row r="3" spans="1:14" ht="21" customHeight="1" x14ac:dyDescent="0.25">
      <c r="A3" s="4"/>
      <c r="B3" s="67"/>
      <c r="C3" s="2" t="s">
        <v>1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0</v>
      </c>
      <c r="I3" s="2" t="s">
        <v>0</v>
      </c>
      <c r="J3" s="5"/>
      <c r="K3" s="42"/>
      <c r="L3" s="43"/>
      <c r="M3" s="43"/>
      <c r="N3" s="26"/>
    </row>
    <row r="4" spans="1:14" ht="18" customHeight="1" x14ac:dyDescent="0.25">
      <c r="A4" s="4"/>
      <c r="B4" s="67"/>
      <c r="C4" s="10">
        <f>IF(DAY(SepSun1)=1,SepSun1-6,SepSun1+1)</f>
        <v>42975</v>
      </c>
      <c r="D4" s="10">
        <f>IF(DAY(SepSun1)=1,SepSun1-5,SepSun1+2)</f>
        <v>42976</v>
      </c>
      <c r="E4" s="10">
        <f>IF(DAY(SepSun1)=1,SepSun1-4,SepSun1+3)</f>
        <v>42977</v>
      </c>
      <c r="F4" s="10">
        <f>IF(DAY(SepSun1)=1,SepSun1-3,SepSun1+4)</f>
        <v>42978</v>
      </c>
      <c r="G4" s="10">
        <f>IF(DAY(SepSun1)=1,SepSun1-2,SepSun1+5)</f>
        <v>42979</v>
      </c>
      <c r="H4" s="10">
        <f>IF(DAY(SepSun1)=1,SepSun1-1,SepSun1+6)</f>
        <v>42980</v>
      </c>
      <c r="I4" s="10">
        <f>IF(DAY(SepSun1)=1,SepSun1,SepSun1+7)</f>
        <v>42981</v>
      </c>
      <c r="J4" s="5"/>
      <c r="K4" s="44" t="s">
        <v>5</v>
      </c>
      <c r="L4" s="16"/>
      <c r="M4" s="45"/>
      <c r="N4" s="46"/>
    </row>
    <row r="5" spans="1:14" ht="18" customHeight="1" x14ac:dyDescent="0.25">
      <c r="A5" s="4"/>
      <c r="B5" s="67"/>
      <c r="C5" s="10">
        <f>IF(DAY(SepSun1)=1,SepSun1+1,SepSun1+8)</f>
        <v>42982</v>
      </c>
      <c r="D5" s="10">
        <f>IF(DAY(SepSun1)=1,SepSun1+2,SepSun1+9)</f>
        <v>42983</v>
      </c>
      <c r="E5" s="10">
        <f>IF(DAY(SepSun1)=1,SepSun1+3,SepSun1+10)</f>
        <v>42984</v>
      </c>
      <c r="F5" s="10">
        <f>IF(DAY(SepSun1)=1,SepSun1+4,SepSun1+11)</f>
        <v>42985</v>
      </c>
      <c r="G5" s="10">
        <f>IF(DAY(SepSun1)=1,SepSun1+5,SepSun1+12)</f>
        <v>42986</v>
      </c>
      <c r="H5" s="10">
        <f>IF(DAY(SepSun1)=1,SepSun1+6,SepSun1+13)</f>
        <v>42987</v>
      </c>
      <c r="I5" s="10">
        <f>IF(DAY(SepSun1)=1,SepSun1+7,SepSun1+14)</f>
        <v>42988</v>
      </c>
      <c r="J5" s="5"/>
      <c r="K5" s="36"/>
      <c r="L5" s="17"/>
      <c r="M5" s="29"/>
      <c r="N5" s="30"/>
    </row>
    <row r="6" spans="1:14" ht="18" customHeight="1" x14ac:dyDescent="0.25">
      <c r="A6" s="4"/>
      <c r="B6" s="67"/>
      <c r="C6" s="10">
        <f>IF(DAY(SepSun1)=1,SepSun1+8,SepSun1+15)</f>
        <v>42989</v>
      </c>
      <c r="D6" s="10">
        <f>IF(DAY(SepSun1)=1,SepSun1+9,SepSun1+16)</f>
        <v>42990</v>
      </c>
      <c r="E6" s="10">
        <f>IF(DAY(SepSun1)=1,SepSun1+10,SepSun1+17)</f>
        <v>42991</v>
      </c>
      <c r="F6" s="10">
        <f>IF(DAY(SepSun1)=1,SepSun1+11,SepSun1+18)</f>
        <v>42992</v>
      </c>
      <c r="G6" s="10">
        <f>IF(DAY(SepSun1)=1,SepSun1+12,SepSun1+19)</f>
        <v>42993</v>
      </c>
      <c r="H6" s="10">
        <f>IF(DAY(SepSun1)=1,SepSun1+13,SepSun1+20)</f>
        <v>42994</v>
      </c>
      <c r="I6" s="10">
        <f>IF(DAY(SepSun1)=1,SepSun1+14,SepSun1+21)</f>
        <v>42995</v>
      </c>
      <c r="J6" s="5"/>
      <c r="K6" s="36"/>
      <c r="L6" s="17"/>
      <c r="M6" s="29"/>
      <c r="N6" s="30"/>
    </row>
    <row r="7" spans="1:14" ht="18" customHeight="1" x14ac:dyDescent="0.25">
      <c r="A7" s="4"/>
      <c r="B7" s="67"/>
      <c r="C7" s="10">
        <f>IF(DAY(SepSun1)=1,SepSun1+15,SepSun1+22)</f>
        <v>42996</v>
      </c>
      <c r="D7" s="10">
        <f>IF(DAY(SepSun1)=1,SepSun1+16,SepSun1+23)</f>
        <v>42997</v>
      </c>
      <c r="E7" s="10">
        <f>IF(DAY(SepSun1)=1,SepSun1+17,SepSun1+24)</f>
        <v>42998</v>
      </c>
      <c r="F7" s="10">
        <f>IF(DAY(SepSun1)=1,SepSun1+18,SepSun1+25)</f>
        <v>42999</v>
      </c>
      <c r="G7" s="10">
        <f>IF(DAY(SepSun1)=1,SepSun1+19,SepSun1+26)</f>
        <v>43000</v>
      </c>
      <c r="H7" s="10">
        <f>IF(DAY(SepSun1)=1,SepSun1+20,SepSun1+27)</f>
        <v>43001</v>
      </c>
      <c r="I7" s="10">
        <f>IF(DAY(SepSun1)=1,SepSun1+21,SepSun1+28)</f>
        <v>43002</v>
      </c>
      <c r="J7" s="5"/>
      <c r="K7" s="11"/>
      <c r="L7" s="17"/>
      <c r="M7" s="29"/>
      <c r="N7" s="30"/>
    </row>
    <row r="8" spans="1:14" ht="18.75" customHeight="1" x14ac:dyDescent="0.25">
      <c r="A8" s="4"/>
      <c r="B8" s="67"/>
      <c r="C8" s="10">
        <f>IF(DAY(SepSun1)=1,SepSun1+22,SepSun1+29)</f>
        <v>43003</v>
      </c>
      <c r="D8" s="10">
        <f>IF(DAY(SepSun1)=1,SepSun1+23,SepSun1+30)</f>
        <v>43004</v>
      </c>
      <c r="E8" s="10">
        <f>IF(DAY(SepSun1)=1,SepSun1+24,SepSun1+31)</f>
        <v>43005</v>
      </c>
      <c r="F8" s="10">
        <f>IF(DAY(SepSun1)=1,SepSun1+25,SepSun1+32)</f>
        <v>43006</v>
      </c>
      <c r="G8" s="10">
        <f>IF(DAY(SepSun1)=1,SepSun1+26,SepSun1+33)</f>
        <v>43007</v>
      </c>
      <c r="H8" s="10">
        <f>IF(DAY(SepSun1)=1,SepSun1+27,SepSun1+34)</f>
        <v>43008</v>
      </c>
      <c r="I8" s="10">
        <f>IF(DAY(SepSun1)=1,SepSun1+28,SepSun1+35)</f>
        <v>43009</v>
      </c>
      <c r="J8" s="5"/>
      <c r="K8" s="11"/>
      <c r="L8" s="17"/>
      <c r="M8" s="29"/>
      <c r="N8" s="30"/>
    </row>
    <row r="9" spans="1:14" ht="18" customHeight="1" x14ac:dyDescent="0.25">
      <c r="A9" s="4"/>
      <c r="B9" s="67"/>
      <c r="C9" s="10">
        <f>IF(DAY(SepSun1)=1,SepSun1+29,SepSun1+36)</f>
        <v>43010</v>
      </c>
      <c r="D9" s="10">
        <f>IF(DAY(SepSun1)=1,SepSun1+30,SepSun1+37)</f>
        <v>43011</v>
      </c>
      <c r="E9" s="10">
        <f>IF(DAY(SepSun1)=1,SepSun1+31,SepSun1+38)</f>
        <v>43012</v>
      </c>
      <c r="F9" s="10">
        <f>IF(DAY(SepSun1)=1,SepSun1+32,SepSun1+39)</f>
        <v>43013</v>
      </c>
      <c r="G9" s="10">
        <f>IF(DAY(SepSun1)=1,SepSun1+33,SepSun1+40)</f>
        <v>43014</v>
      </c>
      <c r="H9" s="10">
        <f>IF(DAY(SepSun1)=1,SepSun1+34,SepSun1+41)</f>
        <v>43015</v>
      </c>
      <c r="I9" s="10">
        <f>IF(DAY(SepSun1)=1,SepSun1+35,SepSun1+42)</f>
        <v>43016</v>
      </c>
      <c r="J9" s="5"/>
      <c r="K9" s="12"/>
      <c r="L9" s="18"/>
      <c r="M9" s="31"/>
      <c r="N9" s="32"/>
    </row>
    <row r="10" spans="1:14" ht="18" customHeight="1" x14ac:dyDescent="0.25">
      <c r="A10" s="4"/>
      <c r="B10" s="68"/>
      <c r="C10" s="23"/>
      <c r="D10" s="23"/>
      <c r="E10" s="23"/>
      <c r="F10" s="23"/>
      <c r="G10" s="23"/>
      <c r="H10" s="23"/>
      <c r="I10" s="23"/>
      <c r="J10" s="24"/>
      <c r="K10" s="35" t="s">
        <v>7</v>
      </c>
      <c r="L10" s="16">
        <v>12</v>
      </c>
      <c r="M10" s="33" t="s">
        <v>47</v>
      </c>
      <c r="N10" s="34"/>
    </row>
    <row r="11" spans="1:14" ht="18" customHeight="1" x14ac:dyDescent="0.25">
      <c r="A11" s="4"/>
      <c r="B11" s="69" t="s">
        <v>12</v>
      </c>
      <c r="C11" s="70"/>
      <c r="D11" s="70"/>
      <c r="E11" s="70"/>
      <c r="F11" s="70"/>
      <c r="G11" s="70"/>
      <c r="H11" s="70"/>
      <c r="I11" s="70"/>
      <c r="J11" s="71"/>
      <c r="K11" s="36"/>
      <c r="L11" s="17"/>
      <c r="M11" s="29"/>
      <c r="N11" s="30"/>
    </row>
    <row r="12" spans="1:14" ht="18" customHeight="1" x14ac:dyDescent="0.25">
      <c r="A12" s="4"/>
      <c r="B12" s="69"/>
      <c r="C12" s="70"/>
      <c r="D12" s="70"/>
      <c r="E12" s="70"/>
      <c r="F12" s="70"/>
      <c r="G12" s="70"/>
      <c r="H12" s="70"/>
      <c r="I12" s="70"/>
      <c r="J12" s="71"/>
      <c r="K12" s="36"/>
      <c r="L12" s="17"/>
      <c r="M12" s="29"/>
      <c r="N12" s="30"/>
    </row>
    <row r="13" spans="1:14" ht="18" customHeight="1" x14ac:dyDescent="0.25">
      <c r="B13" s="3" t="s">
        <v>5</v>
      </c>
      <c r="C13" s="37" t="s">
        <v>7</v>
      </c>
      <c r="D13" s="39"/>
      <c r="E13" s="37" t="s">
        <v>8</v>
      </c>
      <c r="F13" s="39"/>
      <c r="G13" s="37" t="s">
        <v>9</v>
      </c>
      <c r="H13" s="39"/>
      <c r="I13" s="37" t="s">
        <v>10</v>
      </c>
      <c r="J13" s="38"/>
      <c r="K13" s="11"/>
      <c r="L13" s="17"/>
      <c r="M13" s="29"/>
      <c r="N13" s="30"/>
    </row>
    <row r="14" spans="1:14" ht="18" customHeight="1" x14ac:dyDescent="0.25">
      <c r="B14" s="8"/>
      <c r="C14" s="51" t="s">
        <v>18</v>
      </c>
      <c r="D14" s="52"/>
      <c r="E14" s="51"/>
      <c r="F14" s="52"/>
      <c r="G14" s="51" t="s">
        <v>18</v>
      </c>
      <c r="H14" s="52"/>
      <c r="I14" s="51"/>
      <c r="J14" s="60"/>
      <c r="K14" s="11"/>
      <c r="L14" s="17"/>
      <c r="M14" s="29"/>
      <c r="N14" s="30"/>
    </row>
    <row r="15" spans="1:14" ht="18" customHeight="1" x14ac:dyDescent="0.25">
      <c r="B15" s="6"/>
      <c r="C15" s="49" t="s">
        <v>36</v>
      </c>
      <c r="D15" s="50"/>
      <c r="E15" s="49"/>
      <c r="F15" s="50"/>
      <c r="G15" s="49" t="s">
        <v>36</v>
      </c>
      <c r="H15" s="50"/>
      <c r="I15" s="57"/>
      <c r="J15" s="58"/>
      <c r="K15" s="13"/>
      <c r="L15" s="19"/>
      <c r="M15" s="31"/>
      <c r="N15" s="32"/>
    </row>
    <row r="16" spans="1:14" ht="18" customHeight="1" x14ac:dyDescent="0.25">
      <c r="B16" s="8"/>
      <c r="C16" s="51" t="s">
        <v>19</v>
      </c>
      <c r="D16" s="52"/>
      <c r="E16" s="51"/>
      <c r="F16" s="52"/>
      <c r="G16" s="51" t="s">
        <v>19</v>
      </c>
      <c r="H16" s="52"/>
      <c r="I16" s="61"/>
      <c r="J16" s="62"/>
      <c r="K16" s="27" t="s">
        <v>8</v>
      </c>
      <c r="L16" s="16"/>
      <c r="M16" s="33"/>
      <c r="N16" s="34"/>
    </row>
    <row r="17" spans="2:14" ht="18" customHeight="1" x14ac:dyDescent="0.25">
      <c r="B17" s="6"/>
      <c r="C17" s="49" t="s">
        <v>37</v>
      </c>
      <c r="D17" s="50"/>
      <c r="E17" s="49"/>
      <c r="F17" s="50"/>
      <c r="G17" s="49" t="s">
        <v>37</v>
      </c>
      <c r="H17" s="50"/>
      <c r="I17" s="57"/>
      <c r="J17" s="58"/>
      <c r="K17" s="28"/>
      <c r="L17" s="17"/>
      <c r="M17" s="29"/>
      <c r="N17" s="30"/>
    </row>
    <row r="18" spans="2:14" ht="18" customHeight="1" x14ac:dyDescent="0.25">
      <c r="B18" s="9"/>
      <c r="C18" s="53" t="s">
        <v>38</v>
      </c>
      <c r="D18" s="54"/>
      <c r="E18" s="53"/>
      <c r="F18" s="54"/>
      <c r="G18" s="53" t="s">
        <v>38</v>
      </c>
      <c r="H18" s="54"/>
      <c r="I18" s="53"/>
      <c r="J18" s="59"/>
      <c r="K18" s="28"/>
      <c r="L18" s="17"/>
      <c r="M18" s="29"/>
      <c r="N18" s="30"/>
    </row>
    <row r="19" spans="2:14" ht="18" customHeight="1" x14ac:dyDescent="0.25">
      <c r="B19" s="6"/>
      <c r="C19" s="49" t="s">
        <v>39</v>
      </c>
      <c r="D19" s="50"/>
      <c r="E19" s="49"/>
      <c r="F19" s="50"/>
      <c r="G19" s="49" t="s">
        <v>39</v>
      </c>
      <c r="H19" s="50"/>
      <c r="I19" s="57"/>
      <c r="J19" s="58"/>
      <c r="K19" s="11"/>
      <c r="L19" s="17"/>
      <c r="M19" s="29"/>
      <c r="N19" s="30"/>
    </row>
    <row r="20" spans="2:14" ht="18" customHeight="1" x14ac:dyDescent="0.25">
      <c r="B20" s="8"/>
      <c r="C20" s="51" t="s">
        <v>40</v>
      </c>
      <c r="D20" s="52"/>
      <c r="E20" s="51"/>
      <c r="F20" s="52"/>
      <c r="G20" s="51" t="s">
        <v>40</v>
      </c>
      <c r="H20" s="52"/>
      <c r="I20" s="51"/>
      <c r="J20" s="60"/>
      <c r="K20" s="11"/>
      <c r="L20" s="17"/>
      <c r="M20" s="29"/>
      <c r="N20" s="30"/>
    </row>
    <row r="21" spans="2:14" ht="18" customHeight="1" x14ac:dyDescent="0.25">
      <c r="B21" s="6"/>
      <c r="C21" s="49" t="s">
        <v>41</v>
      </c>
      <c r="D21" s="50"/>
      <c r="E21" s="49"/>
      <c r="F21" s="50"/>
      <c r="G21" s="49" t="s">
        <v>41</v>
      </c>
      <c r="H21" s="50"/>
      <c r="I21" s="63"/>
      <c r="J21" s="64"/>
      <c r="K21" s="13"/>
      <c r="L21" s="19"/>
      <c r="M21" s="31"/>
      <c r="N21" s="32"/>
    </row>
    <row r="22" spans="2:14" ht="18" customHeight="1" x14ac:dyDescent="0.25">
      <c r="B22" s="8"/>
      <c r="C22" s="51"/>
      <c r="D22" s="52"/>
      <c r="E22" s="51"/>
      <c r="F22" s="52"/>
      <c r="G22" s="51"/>
      <c r="H22" s="52"/>
      <c r="I22" s="51"/>
      <c r="J22" s="60"/>
      <c r="K22" s="27" t="s">
        <v>9</v>
      </c>
      <c r="L22" s="16"/>
      <c r="M22" s="33"/>
      <c r="N22" s="34"/>
    </row>
    <row r="23" spans="2:14" ht="18" customHeight="1" x14ac:dyDescent="0.25">
      <c r="B23" s="6"/>
      <c r="C23" s="49"/>
      <c r="D23" s="50"/>
      <c r="E23" s="49"/>
      <c r="F23" s="50"/>
      <c r="G23" s="49"/>
      <c r="H23" s="50"/>
      <c r="I23" s="57"/>
      <c r="J23" s="58"/>
      <c r="K23" s="28"/>
      <c r="L23" s="17"/>
      <c r="M23" s="29"/>
      <c r="N23" s="30"/>
    </row>
    <row r="24" spans="2:14" ht="18" customHeight="1" x14ac:dyDescent="0.25">
      <c r="B24" s="8"/>
      <c r="C24" s="51"/>
      <c r="D24" s="52"/>
      <c r="E24" s="51"/>
      <c r="F24" s="52"/>
      <c r="G24" s="51"/>
      <c r="H24" s="52"/>
      <c r="I24" s="51"/>
      <c r="J24" s="60"/>
      <c r="K24" s="28"/>
      <c r="L24" s="17"/>
      <c r="M24" s="29"/>
      <c r="N24" s="30"/>
    </row>
    <row r="25" spans="2:14" ht="18" customHeight="1" x14ac:dyDescent="0.25">
      <c r="B25" s="6"/>
      <c r="C25" s="49"/>
      <c r="D25" s="50"/>
      <c r="E25" s="49"/>
      <c r="F25" s="50"/>
      <c r="G25" s="49"/>
      <c r="H25" s="50"/>
      <c r="I25" s="57"/>
      <c r="J25" s="58"/>
      <c r="K25" s="28"/>
      <c r="L25" s="17"/>
      <c r="M25" s="29"/>
      <c r="N25" s="30"/>
    </row>
    <row r="26" spans="2:14" ht="18" customHeight="1" x14ac:dyDescent="0.25">
      <c r="B26" s="8"/>
      <c r="C26" s="51"/>
      <c r="D26" s="52"/>
      <c r="E26" s="51"/>
      <c r="F26" s="52"/>
      <c r="G26" s="51"/>
      <c r="H26" s="52"/>
      <c r="I26" s="51"/>
      <c r="J26" s="60"/>
      <c r="K26" s="11"/>
      <c r="L26" s="17"/>
      <c r="M26" s="29"/>
      <c r="N26" s="30"/>
    </row>
    <row r="27" spans="2:14" ht="18" customHeight="1" x14ac:dyDescent="0.25">
      <c r="B27" s="6"/>
      <c r="C27" s="49"/>
      <c r="D27" s="50"/>
      <c r="E27" s="49"/>
      <c r="F27" s="50"/>
      <c r="G27" s="49"/>
      <c r="H27" s="50"/>
      <c r="I27" s="57"/>
      <c r="J27" s="58"/>
      <c r="K27" s="13"/>
      <c r="L27" s="19"/>
      <c r="M27" s="31"/>
      <c r="N27" s="32"/>
    </row>
    <row r="28" spans="2:14" ht="18" customHeight="1" x14ac:dyDescent="0.25">
      <c r="B28" s="8"/>
      <c r="C28" s="51"/>
      <c r="D28" s="52"/>
      <c r="E28" s="51"/>
      <c r="F28" s="52"/>
      <c r="G28" s="51"/>
      <c r="H28" s="52"/>
      <c r="I28" s="51"/>
      <c r="J28" s="60"/>
      <c r="K28" s="35" t="s">
        <v>10</v>
      </c>
      <c r="L28" s="16"/>
      <c r="M28" s="33"/>
      <c r="N28" s="34"/>
    </row>
    <row r="29" spans="2:14" ht="18" customHeight="1" x14ac:dyDescent="0.25">
      <c r="B29" s="6"/>
      <c r="C29" s="49"/>
      <c r="D29" s="50"/>
      <c r="E29" s="49"/>
      <c r="F29" s="50"/>
      <c r="G29" s="49"/>
      <c r="H29" s="50"/>
      <c r="I29" s="49"/>
      <c r="J29" s="65"/>
      <c r="K29" s="36"/>
      <c r="L29" s="17"/>
      <c r="M29" s="29"/>
      <c r="N29" s="30"/>
    </row>
    <row r="30" spans="2:14" ht="18" customHeight="1" x14ac:dyDescent="0.25">
      <c r="B30" s="8"/>
      <c r="C30" s="51" t="s">
        <v>42</v>
      </c>
      <c r="D30" s="52"/>
      <c r="E30" s="51"/>
      <c r="F30" s="52"/>
      <c r="G30" s="51" t="s">
        <v>42</v>
      </c>
      <c r="H30" s="52"/>
      <c r="I30" s="74"/>
      <c r="J30" s="75"/>
      <c r="K30" s="36"/>
      <c r="L30" s="17"/>
      <c r="M30" s="29"/>
      <c r="N30" s="30"/>
    </row>
    <row r="31" spans="2:14" ht="18" customHeight="1" x14ac:dyDescent="0.25">
      <c r="B31" s="6"/>
      <c r="C31" s="49" t="s">
        <v>43</v>
      </c>
      <c r="D31" s="50"/>
      <c r="E31" s="49"/>
      <c r="F31" s="50"/>
      <c r="G31" s="49" t="s">
        <v>43</v>
      </c>
      <c r="H31" s="50"/>
      <c r="I31" s="49"/>
      <c r="J31" s="65"/>
      <c r="K31" s="14"/>
      <c r="L31" s="17"/>
      <c r="M31" s="29"/>
      <c r="N31" s="30"/>
    </row>
    <row r="32" spans="2:14" ht="18" customHeight="1" x14ac:dyDescent="0.25">
      <c r="B32" s="8" t="s">
        <v>44</v>
      </c>
      <c r="C32" s="51" t="s">
        <v>44</v>
      </c>
      <c r="D32" s="52"/>
      <c r="E32" s="51"/>
      <c r="F32" s="52"/>
      <c r="G32" s="51" t="s">
        <v>44</v>
      </c>
      <c r="H32" s="52"/>
      <c r="I32" s="61"/>
      <c r="J32" s="62"/>
      <c r="K32" s="14"/>
      <c r="L32" s="17"/>
      <c r="M32" s="29"/>
      <c r="N32" s="30"/>
    </row>
    <row r="33" spans="2:14" ht="18" customHeight="1" x14ac:dyDescent="0.25">
      <c r="B33" s="7" t="s">
        <v>46</v>
      </c>
      <c r="C33" s="55" t="s">
        <v>45</v>
      </c>
      <c r="D33" s="56"/>
      <c r="E33" s="55"/>
      <c r="F33" s="56"/>
      <c r="G33" s="55" t="s">
        <v>45</v>
      </c>
      <c r="H33" s="56"/>
      <c r="I33" s="76"/>
      <c r="J33" s="77"/>
      <c r="K33" s="15"/>
      <c r="L33" s="20"/>
      <c r="M33" s="72"/>
      <c r="N33" s="73"/>
    </row>
  </sheetData>
  <mergeCells count="122">
    <mergeCell ref="C33:D33"/>
    <mergeCell ref="E33:F33"/>
    <mergeCell ref="G33:H33"/>
    <mergeCell ref="I33:J33"/>
    <mergeCell ref="M33:N33"/>
    <mergeCell ref="C31:D31"/>
    <mergeCell ref="E31:F31"/>
    <mergeCell ref="G31:H31"/>
    <mergeCell ref="I31:J31"/>
    <mergeCell ref="M31:N31"/>
    <mergeCell ref="C32:D32"/>
    <mergeCell ref="E32:F32"/>
    <mergeCell ref="G32:H32"/>
    <mergeCell ref="I32:J32"/>
    <mergeCell ref="M32:N32"/>
    <mergeCell ref="M29:N29"/>
    <mergeCell ref="C30:D30"/>
    <mergeCell ref="E30:F30"/>
    <mergeCell ref="G30:H30"/>
    <mergeCell ref="I30:J30"/>
    <mergeCell ref="M30:N30"/>
    <mergeCell ref="C28:D28"/>
    <mergeCell ref="E28:F28"/>
    <mergeCell ref="G28:H28"/>
    <mergeCell ref="I28:J28"/>
    <mergeCell ref="K28:K30"/>
    <mergeCell ref="M28:N28"/>
    <mergeCell ref="C29:D29"/>
    <mergeCell ref="E29:F29"/>
    <mergeCell ref="G29:H29"/>
    <mergeCell ref="I29:J29"/>
    <mergeCell ref="I25:J25"/>
    <mergeCell ref="M25:N25"/>
    <mergeCell ref="C26:D26"/>
    <mergeCell ref="E26:F26"/>
    <mergeCell ref="G26:H26"/>
    <mergeCell ref="I26:J26"/>
    <mergeCell ref="M26:N26"/>
    <mergeCell ref="C27:D27"/>
    <mergeCell ref="E27:F27"/>
    <mergeCell ref="G27:H27"/>
    <mergeCell ref="I27:J27"/>
    <mergeCell ref="M27:N27"/>
    <mergeCell ref="M22:N22"/>
    <mergeCell ref="C23:D23"/>
    <mergeCell ref="E23:F23"/>
    <mergeCell ref="G23:H23"/>
    <mergeCell ref="I23:J23"/>
    <mergeCell ref="M23:N23"/>
    <mergeCell ref="C21:D21"/>
    <mergeCell ref="E21:F21"/>
    <mergeCell ref="G21:H21"/>
    <mergeCell ref="I21:J21"/>
    <mergeCell ref="M21:N21"/>
    <mergeCell ref="C22:D22"/>
    <mergeCell ref="E22:F22"/>
    <mergeCell ref="G22:H22"/>
    <mergeCell ref="I22:J22"/>
    <mergeCell ref="K22:K25"/>
    <mergeCell ref="C24:D24"/>
    <mergeCell ref="E24:F24"/>
    <mergeCell ref="G24:H24"/>
    <mergeCell ref="I24:J24"/>
    <mergeCell ref="M24:N24"/>
    <mergeCell ref="C25:D25"/>
    <mergeCell ref="E25:F25"/>
    <mergeCell ref="G25:H25"/>
    <mergeCell ref="C19:D19"/>
    <mergeCell ref="E19:F19"/>
    <mergeCell ref="G19:H19"/>
    <mergeCell ref="I19:J19"/>
    <mergeCell ref="M19:N19"/>
    <mergeCell ref="C20:D20"/>
    <mergeCell ref="E20:F20"/>
    <mergeCell ref="G20:H20"/>
    <mergeCell ref="I20:J20"/>
    <mergeCell ref="M20:N20"/>
    <mergeCell ref="M17:N17"/>
    <mergeCell ref="C18:D18"/>
    <mergeCell ref="E18:F18"/>
    <mergeCell ref="G18:H18"/>
    <mergeCell ref="I18:J18"/>
    <mergeCell ref="M18:N18"/>
    <mergeCell ref="C16:D16"/>
    <mergeCell ref="E16:F16"/>
    <mergeCell ref="G16:H16"/>
    <mergeCell ref="I16:J16"/>
    <mergeCell ref="K16:K18"/>
    <mergeCell ref="M16:N16"/>
    <mergeCell ref="C17:D17"/>
    <mergeCell ref="E17:F17"/>
    <mergeCell ref="G17:H17"/>
    <mergeCell ref="I17:J17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M15:N15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2:B10"/>
    <mergeCell ref="K2:M3"/>
    <mergeCell ref="K4:K6"/>
    <mergeCell ref="M4:N4"/>
    <mergeCell ref="M5:N5"/>
    <mergeCell ref="M6:N6"/>
    <mergeCell ref="M7:N7"/>
    <mergeCell ref="M8:N8"/>
    <mergeCell ref="M9:N9"/>
    <mergeCell ref="K10:K12"/>
  </mergeCells>
  <conditionalFormatting sqref="C4:H4">
    <cfRule type="expression" dxfId="26" priority="5" stopIfTrue="1">
      <formula>DAY(C4)&gt;8</formula>
    </cfRule>
  </conditionalFormatting>
  <conditionalFormatting sqref="C8:I10">
    <cfRule type="expression" dxfId="25" priority="4" stopIfTrue="1">
      <formula>AND(DAY(C8)&gt;=1,DAY(C8)&lt;=15)</formula>
    </cfRule>
  </conditionalFormatting>
  <conditionalFormatting sqref="C4:I9">
    <cfRule type="expression" dxfId="24" priority="6">
      <formula>VLOOKUP(DAY(C4),AssignmentDays,1,FALSE)=DAY(C4)</formula>
    </cfRule>
  </conditionalFormatting>
  <conditionalFormatting sqref="B14:B33 E14:F33 I14:J33">
    <cfRule type="expression" dxfId="23" priority="3">
      <formula>B14&lt;&gt;""</formula>
    </cfRule>
  </conditionalFormatting>
  <conditionalFormatting sqref="C14:D33">
    <cfRule type="expression" dxfId="22" priority="2">
      <formula>C14&lt;&gt;""</formula>
    </cfRule>
  </conditionalFormatting>
  <conditionalFormatting sqref="G14:H33">
    <cfRule type="expression" dxfId="21" priority="1">
      <formula>G14&lt;&gt;""</formula>
    </cfRule>
  </conditionalFormatting>
  <printOptions horizontalCentered="1"/>
  <pageMargins left="0.5" right="0.5" top="0.5" bottom="0.5" header="0.3" footer="0.3"/>
  <pageSetup scale="91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37</vt:i4>
      </vt:variant>
    </vt:vector>
  </HeadingPairs>
  <TitlesOfParts>
    <vt:vector size="49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April!AssignmentDays</vt:lpstr>
      <vt:lpstr>August!AssignmentDays</vt:lpstr>
      <vt:lpstr>December!AssignmentDays</vt:lpstr>
      <vt:lpstr>February!AssignmentDays</vt:lpstr>
      <vt:lpstr>July!AssignmentDays</vt:lpstr>
      <vt:lpstr>June!AssignmentDays</vt:lpstr>
      <vt:lpstr>March!AssignmentDays</vt:lpstr>
      <vt:lpstr>May!AssignmentDays</vt:lpstr>
      <vt:lpstr>November!AssignmentDays</vt:lpstr>
      <vt:lpstr>October!AssignmentDays</vt:lpstr>
      <vt:lpstr>September!AssignmentDays</vt:lpstr>
      <vt:lpstr>AssignmentDays</vt:lpstr>
      <vt:lpstr>CalendarYear</vt:lpstr>
      <vt:lpstr>April!ImportantDatesTable</vt:lpstr>
      <vt:lpstr>August!ImportantDatesTable</vt:lpstr>
      <vt:lpstr>December!ImportantDatesTable</vt:lpstr>
      <vt:lpstr>February!ImportantDatesTable</vt:lpstr>
      <vt:lpstr>July!ImportantDatesTable</vt:lpstr>
      <vt:lpstr>June!ImportantDatesTable</vt:lpstr>
      <vt:lpstr>March!ImportantDatesTable</vt:lpstr>
      <vt:lpstr>May!ImportantDatesTable</vt:lpstr>
      <vt:lpstr>November!ImportantDatesTable</vt:lpstr>
      <vt:lpstr>October!ImportantDatesTable</vt:lpstr>
      <vt:lpstr>September!ImportantDatesTable</vt:lpstr>
      <vt:lpstr>ImportantDatesTable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2017-08-29T21:31:24Z</dcterms:created>
  <dcterms:modified xsi:type="dcterms:W3CDTF">2017-09-07T17:07:20Z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